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3.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8.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_rels/drawing17.xml.rels" ContentType="application/vnd.openxmlformats-package.relationships+xml"/>
  <Override PartName="/xl/drawings/drawing1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drawings/vmlDrawing3.vml" ContentType="application/vnd.openxmlformats-officedocument.vmlDrawing"/>
  <Override PartName="/xl/drawings/drawing1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vmlDrawing4.vml" ContentType="application/vnd.openxmlformats-officedocument.vmlDrawing"/>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6.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رئيسية" sheetId="1" state="visible" r:id="rId3"/>
    <sheet name="لوحة التحكم" sheetId="2" state="visible" r:id="rId4"/>
    <sheet name="الإعدادات" sheetId="3" state="visible" r:id="rId5"/>
    <sheet name="الموظفون" sheetId="4" state="visible" r:id="rId6"/>
    <sheet name="سجل الإجازات والحالات" sheetId="5" state="visible" r:id="rId7"/>
    <sheet name="الحركات الشهرية" sheetId="6" state="visible" r:id="rId8"/>
    <sheet name="مسير يناير" sheetId="7" state="visible" r:id="rId9"/>
    <sheet name="مسير فبراير" sheetId="8" state="visible" r:id="rId10"/>
    <sheet name="مسير مارس" sheetId="9" state="visible" r:id="rId11"/>
    <sheet name="مسير أبريل" sheetId="10" state="visible" r:id="rId12"/>
    <sheet name="مسير مايو" sheetId="11" state="visible" r:id="rId13"/>
    <sheet name="مسير يونيو" sheetId="12" state="visible" r:id="rId14"/>
    <sheet name="مسير يوليو" sheetId="13" state="visible" r:id="rId15"/>
    <sheet name="مسير أغسطس" sheetId="14" state="visible" r:id="rId16"/>
    <sheet name="مسير سبتمبر" sheetId="15" state="visible" r:id="rId17"/>
    <sheet name="مسير أكتوبر" sheetId="16" state="visible" r:id="rId18"/>
    <sheet name="مسير نوفمبر" sheetId="17" state="visible" r:id="rId19"/>
    <sheet name="مسير ديسمبر" sheetId="18" state="visible" r:id="rId20"/>
    <sheet name="الملخص الشهري" sheetId="19" state="visible" r:id="rId21"/>
    <sheet name="ملخص الموظفين السنوي" sheetId="20" state="visible" r:id="rId22"/>
    <sheet name="الإقامات ورخص العمل" sheetId="21" state="visible" r:id="rId23"/>
    <sheet name="مخصص نهاية الخدمة" sheetId="22" state="visible" r:id="rId24"/>
    <sheet name="مخصص الإجازات" sheetId="23" state="visible" r:id="rId25"/>
    <sheet name="مخصص التذاكر" sheetId="24" state="visible" r:id="rId26"/>
    <sheet name="قيود الرواتب" sheetId="25" state="visible" r:id="rId27"/>
    <sheet name="قسيمة الراتب" sheetId="26" state="visible" r:id="rId28"/>
  </sheets>
  <definedNames>
    <definedName function="false" hidden="true" localSheetId="20" name="_xlnm._FilterDatabase" vbProcedure="false">'الإقامات ورخص العمل'!$B$5:$U$105</definedName>
    <definedName function="false" hidden="true" localSheetId="5" name="_xlnm._FilterDatabase" vbProcedure="false">'الحركات الشهرية'!$A$5:$O$1005</definedName>
    <definedName function="false" hidden="true" localSheetId="3" name="_xlnm._FilterDatabase" vbProcedure="false">الموظفون!$A$5:$AK$105</definedName>
    <definedName function="false" hidden="true" localSheetId="4" name="_xlnm._FilterDatabase" vbProcedure="false">'سجل الإجازات والحالات'!$A$5:$T$505</definedName>
    <definedName function="false" hidden="false" localSheetId="25" name="_xlnm.Print_Area" vbProcedure="false">'قسيمة الراتب'!$B$1:$F$38</definedName>
    <definedName function="false" hidden="false" localSheetId="9" name="_xlnm.Print_Titles" vbProcedure="false">'مسير أبريل'!$5:$5</definedName>
    <definedName function="false" hidden="true" localSheetId="9" name="_xlnm._FilterDatabase" vbProcedure="false">'مسير أبريل'!$A$5:$AN$105</definedName>
    <definedName function="false" hidden="false" localSheetId="13" name="_xlnm.Print_Titles" vbProcedure="false">'مسير أغسطس'!$5:$5</definedName>
    <definedName function="false" hidden="true" localSheetId="13" name="_xlnm._FilterDatabase" vbProcedure="false">'مسير أغسطس'!$A$5:$AN$105</definedName>
    <definedName function="false" hidden="false" localSheetId="15" name="_xlnm.Print_Titles" vbProcedure="false">'مسير أكتوبر'!$5:$5</definedName>
    <definedName function="false" hidden="true" localSheetId="15" name="_xlnm._FilterDatabase" vbProcedure="false">'مسير أكتوبر'!$A$5:$AN$105</definedName>
    <definedName function="false" hidden="false" localSheetId="17" name="_xlnm.Print_Titles" vbProcedure="false">'مسير ديسمبر'!$5:$5</definedName>
    <definedName function="false" hidden="true" localSheetId="17" name="_xlnm._FilterDatabase" vbProcedure="false">'مسير ديسمبر'!$A$5:$AN$105</definedName>
    <definedName function="false" hidden="false" localSheetId="14" name="_xlnm.Print_Titles" vbProcedure="false">'مسير سبتمبر'!$5:$5</definedName>
    <definedName function="false" hidden="true" localSheetId="14" name="_xlnm._FilterDatabase" vbProcedure="false">'مسير سبتمبر'!$A$5:$AN$105</definedName>
    <definedName function="false" hidden="false" localSheetId="7" name="_xlnm.Print_Titles" vbProcedure="false">'مسير فبراير'!$5:$5</definedName>
    <definedName function="false" hidden="true" localSheetId="7" name="_xlnm._FilterDatabase" vbProcedure="false">'مسير فبراير'!$A$5:$AN$105</definedName>
    <definedName function="false" hidden="false" localSheetId="8" name="_xlnm.Print_Titles" vbProcedure="false">'مسير مارس'!$5:$5</definedName>
    <definedName function="false" hidden="true" localSheetId="8" name="_xlnm._FilterDatabase" vbProcedure="false">'مسير مارس'!$A$5:$AN$105</definedName>
    <definedName function="false" hidden="false" localSheetId="10" name="_xlnm.Print_Titles" vbProcedure="false">'مسير مايو'!$5:$5</definedName>
    <definedName function="false" hidden="true" localSheetId="10" name="_xlnm._FilterDatabase" vbProcedure="false">'مسير مايو'!$A$5:$AN$105</definedName>
    <definedName function="false" hidden="false" localSheetId="16" name="_xlnm.Print_Titles" vbProcedure="false">'مسير نوفمبر'!$5:$5</definedName>
    <definedName function="false" hidden="true" localSheetId="16" name="_xlnm._FilterDatabase" vbProcedure="false">'مسير نوفمبر'!$A$5:$AN$105</definedName>
    <definedName function="false" hidden="false" localSheetId="6" name="_xlnm.Print_Titles" vbProcedure="false">'مسير يناير'!$5:$5</definedName>
    <definedName function="false" hidden="true" localSheetId="6" name="_xlnm._FilterDatabase" vbProcedure="false">'مسير يناير'!$A$5:$AN$105</definedName>
    <definedName function="false" hidden="false" localSheetId="12" name="_xlnm.Print_Titles" vbProcedure="false">'مسير يوليو'!$5:$5</definedName>
    <definedName function="false" hidden="true" localSheetId="12" name="_xlnm._FilterDatabase" vbProcedure="false">'مسير يوليو'!$A$5:$AN$105</definedName>
    <definedName function="false" hidden="false" localSheetId="11" name="_xlnm.Print_Titles" vbProcedure="false">'مسير يونيو'!$5:$5</definedName>
    <definedName function="false" hidden="true" localSheetId="11" name="_xlnm._FilterDatabase" vbProcedure="false">'مسير يونيو'!$A$5:$AN$105</definedName>
    <definedName function="false" hidden="false" name="cfg_ALERT" vbProcedure="false">الإعدادات!$C$49</definedName>
    <definedName function="false" hidden="false" name="cfg_CO" vbProcedure="false">الإعدادات!$C$6</definedName>
    <definedName function="false" hidden="false" name="cfg_CUR" vbProcedure="false">الإعدادات!$C$8</definedName>
    <definedName function="false" hidden="false" name="cfg_DAYS_M" vbProcedure="false">الإعدادات!$C$13</definedName>
    <definedName function="false" hidden="false" name="cfg_DAYS_Y" vbProcedure="false">الإعدادات!$C$36</definedName>
    <definedName function="false" hidden="false" name="cfg_EOS_H" vbProcedure="false">الإعدادات!$C$26</definedName>
    <definedName function="false" hidden="false" name="cfg_EOS_O" vbProcedure="false">الإعدادات!$C$28</definedName>
    <definedName function="false" hidden="false" name="cfg_EOS_R1" vbProcedure="false">الإعدادات!$C$24</definedName>
    <definedName function="false" hidden="false" name="cfg_EOS_R2" vbProcedure="false">الإعدادات!$C$25</definedName>
    <definedName function="false" hidden="false" name="cfg_EOS_T" vbProcedure="false">الإعدادات!$C$27</definedName>
    <definedName function="false" hidden="false" name="cfg_EOS_TH" vbProcedure="false">الإعدادات!$C$23</definedName>
    <definedName function="false" hidden="false" name="cfg_FY" vbProcedure="false">الإعدادات!$C$7</definedName>
    <definedName function="false" hidden="false" name="cfg_G_CAP" vbProcedure="false">الإعدادات!$C$21</definedName>
    <definedName function="false" hidden="false" name="cfg_G_NE" vbProcedure="false">الإعدادات!$C$19</definedName>
    <definedName function="false" hidden="false" name="cfg_G_NR" vbProcedure="false">الإعدادات!$C$20</definedName>
    <definedName function="false" hidden="false" name="cfg_G_SE" vbProcedure="false">الإعدادات!$C$17</definedName>
    <definedName function="false" hidden="false" name="cfg_G_SR" vbProcedure="false">الإعدادات!$C$18</definedName>
    <definedName function="false" hidden="false" name="cfg_HRS" vbProcedure="false">الإعدادات!$C$14</definedName>
    <definedName function="false" hidden="false" name="cfg_IQ" vbProcedure="false">الإعدادات!$C$45</definedName>
    <definedName function="false" hidden="false" name="cfg_LT" vbProcedure="false">الإعدادات!$M$6:$Q$17</definedName>
    <definedName function="false" hidden="false" name="cfg_LV_D1" vbProcedure="false">الإعدادات!$C$30</definedName>
    <definedName function="false" hidden="false" name="cfg_LV_D2" vbProcedure="false">الإعدادات!$C$31</definedName>
    <definedName function="false" hidden="false" name="cfg_LV_H" vbProcedure="false">الإعدادات!$C$33</definedName>
    <definedName function="false" hidden="false" name="cfg_LV_O" vbProcedure="false">الإعدادات!$C$35</definedName>
    <definedName function="false" hidden="false" name="cfg_LV_T" vbProcedure="false">الإعدادات!$C$34</definedName>
    <definedName function="false" hidden="false" name="cfg_LV_TH" vbProcedure="false">الإعدادات!$C$32</definedName>
    <definedName function="false" hidden="false" name="cfg_MED" vbProcedure="false">الإعدادات!$C$47</definedName>
    <definedName function="false" hidden="false" name="cfg_OT_P" vbProcedure="false">الإعدادات!$C$15</definedName>
    <definedName function="false" hidden="false" name="cfg_RES" vbProcedure="false">الإعدادات!$B$39:$C$42</definedName>
    <definedName function="false" hidden="false" name="cfg_TRACK" vbProcedure="false">الإعدادات!$C$48</definedName>
    <definedName function="false" hidden="false" name="cfg_VAL_DATE" vbProcedure="false">الإعدادات!$C$11</definedName>
    <definedName function="false" hidden="false" name="cfg_VAL_M" vbProcedure="false">الإعدادات!$C$9</definedName>
    <definedName function="false" hidden="false" name="cfg_WP" vbProcedure="false">الإعدادات!$C$46</definedName>
    <definedName function="false" hidden="false" name="cfg_Y_START" vbProcedure="false">الإعدادات!$C$10</definedName>
    <definedName function="false" hidden="false" name="L_CAT" vbProcedure="false">الإعدادات!$I$6:$I$7</definedName>
    <definedName function="false" hidden="false" name="L_DEPT" vbProcedure="false">الإعدادات!$F$6:$F$20</definedName>
    <definedName function="false" hidden="false" name="L_EMPID" vbProcedure="false">الموظفون!$B$6:$B$105</definedName>
    <definedName function="false" hidden="false" name="L_LTYPE" vbProcedure="false">الإعدادات!$M$6:$M$17</definedName>
    <definedName function="false" hidden="false" name="L_MONTH" vbProcedure="false">الإعدادات!$J$6:$J$17</definedName>
    <definedName function="false" hidden="false" name="L_MSHEET" vbProcedure="false">الإعدادات!$K$6:$K$17</definedName>
    <definedName function="false" hidden="false" name="L_REASON" vbProcedure="false">الإعدادات!$G$6:$G$10</definedName>
    <definedName function="false" hidden="false" name="L_YN" vbProcedure="false">الإعدادات!$H$6:$H$7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F5" authorId="0">
      <text>
        <r>
          <rPr>
            <sz val="10"/>
            <rFont val="FreeSans"/>
            <family val="2"/>
          </rPr>
          <t xml:space="preserve">أضف أقسامك في الخانات الفارغة (حتى </t>
        </r>
        <r>
          <rPr>
            <sz val="10"/>
            <rFont val="Arial"/>
            <family val="2"/>
          </rPr>
          <t xml:space="preserve">15 قسماً).</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J5" authorId="0">
      <text>
        <r>
          <rPr>
            <sz val="10"/>
            <rFont val="FreeSans"/>
            <family val="2"/>
          </rPr>
          <t xml:space="preserve">تُلوَّن بالأحمر إذا انتهت أو ستنتهي خلال أيام التنبيه (الإعدادات)</t>
        </r>
        <r>
          <rPr>
            <sz val="10"/>
            <rFont val="Arial"/>
            <family val="2"/>
          </rPr>
          <t xml:space="preserve">.</t>
        </r>
      </text>
    </comment>
    <comment ref="T5" authorId="0">
      <text>
        <r>
          <rPr>
            <sz val="10"/>
            <rFont val="FreeSans"/>
            <family val="2"/>
          </rPr>
          <t xml:space="preserve">اتركها فارغة ليحسبها النظام آلياً (</t>
        </r>
        <r>
          <rPr>
            <sz val="10"/>
            <rFont val="Arial"/>
            <family val="2"/>
          </rPr>
          <t xml:space="preserve">21 يوماً ثم 30 بعد 5 سنوات). اكتب رقماً إذا كان العقد يمنح أياماً أكثر.</t>
        </r>
      </text>
    </comment>
    <comment ref="X5" authorId="0">
      <text>
        <r>
          <rPr>
            <sz val="10"/>
            <rFont val="FreeSans"/>
            <family val="2"/>
          </rPr>
          <t xml:space="preserve">اتركها فارغة لتطبيق القيمة الافتراضية من الإعدادات على غير السعودي. اكتب </t>
        </r>
        <r>
          <rPr>
            <sz val="10"/>
            <rFont val="Arial"/>
            <family val="2"/>
          </rPr>
          <t xml:space="preserve">0 إذا كان العامل يتحمل الرسوم.</t>
        </r>
      </text>
    </comment>
    <comment ref="AE5" authorId="0">
      <text>
        <r>
          <rPr>
            <sz val="10"/>
            <rFont val="FreeSans"/>
            <family val="2"/>
          </rPr>
          <t xml:space="preserve">اتركه فارغاً للموظف على رأس العمل. عند إدخاله يتوقف الراتب والمخصصات بعد هذا التاريخ</t>
        </r>
        <r>
          <rPr>
            <sz val="10"/>
            <rFont val="Arial"/>
            <family val="2"/>
          </rPr>
          <t xml:space="preserve">.</t>
        </r>
      </text>
    </comment>
    <comment ref="AH5" authorId="0">
      <text>
        <r>
          <rPr>
            <sz val="10"/>
            <rFont val="FreeSans"/>
            <family val="2"/>
          </rPr>
          <t xml:space="preserve">يُقرأ تلقائياً من «سجل الإجازات والحالات»: يظهر نوع الإجازة أو الإيقاف إذا كان الموظف فيها في تاريخ التقرير</t>
        </r>
        <r>
          <rPr>
            <sz val="10"/>
            <rFont val="Arial"/>
            <family val="2"/>
          </rPr>
          <t xml:space="preserv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5" authorId="0">
      <text>
        <r>
          <rPr>
            <sz val="10"/>
            <rFont val="FreeSans"/>
            <family val="2"/>
          </rPr>
          <t xml:space="preserve">مثال: موظف مسافر إجازة بدون راتب ← اختر «إجازة بدون راتب» واكتب من/إلى؛ المسير يخصم الأيام الواقعة في كل شهر تلقائياً دون حذف الموظف</t>
        </r>
        <r>
          <rPr>
            <sz val="10"/>
            <rFont val="Arial"/>
            <family val="2"/>
          </rPr>
          <t xml:space="preserve">.</t>
        </r>
      </text>
    </comment>
    <comment ref="I5" authorId="0">
      <text>
        <r>
          <rPr>
            <sz val="10"/>
            <rFont val="FreeSans"/>
            <family val="2"/>
          </rPr>
          <t xml:space="preserve">اتركها فارغة لتطبيق نسبة النوع. مثال: إجازة مرضية بنصف راتب ← اكتب </t>
        </r>
        <r>
          <rPr>
            <sz val="10"/>
            <rFont val="Arial"/>
            <family val="2"/>
          </rPr>
          <t xml:space="preserve">50%.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5" authorId="0">
      <text>
        <r>
          <rPr>
            <sz val="10"/>
            <rFont val="FreeSans"/>
            <family val="2"/>
          </rPr>
          <t xml:space="preserve">سجّل كل حركة في سطر: الشهر + رقم الموظف + القيم. الإجازات والإيقاف تُسجَّل بالتواريخ في «سجل الإجازات والحالات»؛ استخدم عمودي «بدون راتب» و«الإجازة اليدوية» هنا فقط للتسويات السريعة</t>
        </r>
        <r>
          <rPr>
            <sz val="10"/>
            <rFont val="Arial"/>
            <family val="2"/>
          </rPr>
          <t xml:space="preserve">.</t>
        </r>
      </text>
    </comment>
    <comment ref="L5" authorId="0">
      <text>
        <r>
          <rPr>
            <sz val="10"/>
            <rFont val="FreeSans"/>
            <family val="2"/>
          </rPr>
          <t xml:space="preserve">أيام الإجازة التي صُرفت نقداً (تُخصم من رصيد الإجازات). أدخل مبلغها في «إضافات أخرى» ليُصرف مع الراتب</t>
        </r>
        <r>
          <rPr>
            <sz val="10"/>
            <rFont val="Arial"/>
            <family val="2"/>
          </rPr>
          <t xml:space="preserve">.</t>
        </r>
      </text>
    </comment>
  </commentList>
</comments>
</file>

<file path=xl/sharedStrings.xml><?xml version="1.0" encoding="utf-8"?>
<sst xmlns="http://schemas.openxmlformats.org/spreadsheetml/2006/main" count="1673" uniqueCount="633">
  <si>
    <t xml:space="preserve">🏢 نظام الرواتب والمخصصات المتكامل</t>
  </si>
  <si>
    <t xml:space="preserve">مسير 12 شهراً • سجل الإجازات والإيقاف بالتواريخ • الإقامات ورخص العمل • نهاية الخدمة • الإجازات • التذاكر • التأمينات • القيود • القسيمة • لوحة التحكم</t>
  </si>
  <si>
    <t xml:space="preserve">🧭 خطوات العمل</t>
  </si>
  <si>
    <t xml:space="preserve">📅 مسيرات الأشهر</t>
  </si>
  <si>
    <t xml:space="preserve">#</t>
  </si>
  <si>
    <t xml:space="preserve">الورقة</t>
  </si>
  <si>
    <t xml:space="preserve">ماذا تفعل</t>
  </si>
  <si>
    <t xml:space="preserve">مسير يناير</t>
  </si>
  <si>
    <t xml:space="preserve">مسير يوليو</t>
  </si>
  <si>
    <t xml:space="preserve">1</t>
  </si>
  <si>
    <t xml:space="preserve">الإعدادات</t>
  </si>
  <si>
    <t xml:space="preserve">مرة واحدة: اسم المنشأة والسنة وشهر التقرير، النسب النظامية، رسوم الإقامة ورخصة العمل، وأنواع الإجازات.</t>
  </si>
  <si>
    <t xml:space="preserve">مسير فبراير</t>
  </si>
  <si>
    <t xml:space="preserve">مسير أغسطس</t>
  </si>
  <si>
    <t xml:space="preserve">2</t>
  </si>
  <si>
    <t xml:space="preserve">الموظفون</t>
  </si>
  <si>
    <t xml:space="preserve">سجّل الموظفين: الرواتب والبدلات، الإقامة ورخصة العمل وتكلفتها، التأمين الطبي، التذاكر، والأرصدة الافتتاحية.</t>
  </si>
  <si>
    <t xml:space="preserve">مسير مارس</t>
  </si>
  <si>
    <t xml:space="preserve">مسير سبتمبر</t>
  </si>
  <si>
    <t xml:space="preserve">3</t>
  </si>
  <si>
    <t xml:space="preserve">سجل الإجازات والحالات</t>
  </si>
  <si>
    <t xml:space="preserve">عند أي إجازة أو إيقاف: سجّل النوع ومن/إلى — المسير يخصم الأيام تلقائياً ولا حاجة لحذف الموظف.</t>
  </si>
  <si>
    <t xml:space="preserve">مسير أبريل</t>
  </si>
  <si>
    <t xml:space="preserve">مسير أكتوبر</t>
  </si>
  <si>
    <t xml:space="preserve">4</t>
  </si>
  <si>
    <t xml:space="preserve">الحركات الشهرية</t>
  </si>
  <si>
    <t xml:space="preserve">كل شهر: الغياب والإضافي والمكافآت والسلف والجزاءات والتذاكر ومستحقات نهاية الخدمة.</t>
  </si>
  <si>
    <t xml:space="preserve">مسير مايو</t>
  </si>
  <si>
    <t xml:space="preserve">مسير نوفمبر</t>
  </si>
  <si>
    <t xml:space="preserve">5</t>
  </si>
  <si>
    <t xml:space="preserve">راجع مسير الشهر (12 ورقة جاهزة) — عمود «الوضع خلال الشهر» يوضح حالة كل موظف.</t>
  </si>
  <si>
    <t xml:space="preserve">مسير يونيو</t>
  </si>
  <si>
    <t xml:space="preserve">مسير ديسمبر</t>
  </si>
  <si>
    <t xml:space="preserve">6</t>
  </si>
  <si>
    <t xml:space="preserve">الإقامات ورخص العمل</t>
  </si>
  <si>
    <t xml:space="preserve">تابع انتهاء الإقامات ورخص العمل وتكلفتها وتجديداتها المتوقعة.</t>
  </si>
  <si>
    <t xml:space="preserve">7</t>
  </si>
  <si>
    <t xml:space="preserve">مخصص نهاية الخدمة</t>
  </si>
  <si>
    <t xml:space="preserve">المخصصات كما في شهر التقرير: نهاية الخدمة ← الإجازات ← التذاكر مع الفحوصات.</t>
  </si>
  <si>
    <t xml:space="preserve">📅 الملخص الشهري</t>
  </si>
  <si>
    <t xml:space="preserve">📑 ملخص الموظفين</t>
  </si>
  <si>
    <t xml:space="preserve">8</t>
  </si>
  <si>
    <t xml:space="preserve">قيود الرواتب</t>
  </si>
  <si>
    <t xml:space="preserve">انسخ القيود الشهرية المتوازنة إلى نظامك المحاسبي.</t>
  </si>
  <si>
    <t xml:space="preserve">🌴 مخصص الإجازات</t>
  </si>
  <si>
    <t xml:space="preserve">✈ مخصص التذاكر</t>
  </si>
  <si>
    <t xml:space="preserve">9</t>
  </si>
  <si>
    <t xml:space="preserve">قسيمة الراتب</t>
  </si>
  <si>
    <t xml:space="preserve">اطبع قسيمة راتب أي موظف لأي شهر.</t>
  </si>
  <si>
    <t xml:space="preserve">10</t>
  </si>
  <si>
    <t xml:space="preserve">لوحة التحكم</t>
  </si>
  <si>
    <t xml:space="preserve">تابع المؤشرات والتنبيهات والرسوم البيانية.</t>
  </si>
  <si>
    <t xml:space="preserve">🎨 دليل الألوان والرموز</t>
  </si>
  <si>
    <t xml:space="preserve">123</t>
  </si>
  <si>
    <t xml:space="preserve">خلية إدخال — اكتب فيها (خط أزرق على خلفية صفراء).</t>
  </si>
  <si>
    <t xml:space="preserve">ƒx معادلة</t>
  </si>
  <si>
    <t xml:space="preserve">خلية معادلة — لا تعدّلها؛ تتحدث تلقائياً.</t>
  </si>
  <si>
    <t xml:space="preserve">✔ سليم</t>
  </si>
  <si>
    <t xml:space="preserve">فحص ناجح / على رأس العمل.</t>
  </si>
  <si>
    <t xml:space="preserve">✈ إجازة</t>
  </si>
  <si>
    <t xml:space="preserve">في إجازة أو إيقاف (من سجل الإجازات).</t>
  </si>
  <si>
    <t xml:space="preserve">⚠ تنبيه</t>
  </si>
  <si>
    <t xml:space="preserve">يحتاج مراجعة.</t>
  </si>
  <si>
    <t xml:space="preserve">✖ خطأ</t>
  </si>
  <si>
    <t xml:space="preserve">خطأ يجب تصحيحه / منتهي.</t>
  </si>
  <si>
    <t xml:space="preserve">🔗 خريطة الترابط</t>
  </si>
  <si>
    <t xml:space="preserve">الإعدادات ➜ الموظفون + سجل الإجازات والحالات + الحركات الشهرية ➜ مسيرات 12 شهراً ➜ الملخص الشهري + ملخص الموظفين + الإقامات ورخص العمل ➜ المخصصات (نهاية الخدمة / الإجازات / التذاكر) ➜ القيود المحاسبية ➜ قسيمة الراتب + لوحة التحكم</t>
  </si>
  <si>
    <t xml:space="preserve">❓ أمثلة سريعة</t>
  </si>
  <si>
    <t xml:space="preserve">موظف سافر إجازة بدون راتب شهرين</t>
  </si>
  <si>
    <t xml:space="preserve">سجل الإجازات: النوع «إجازة بدون راتب» + من/إلى ← يُخصم من المسيرين تلقائياً، ولا تُحتسب المدة في الخدمة ولا تُكتسب عنها إجازة أو تذكرة.</t>
  </si>
  <si>
    <t xml:space="preserve">موظف صُرف راتب إجازته قبل السفر</t>
  </si>
  <si>
    <t xml:space="preserve">النوع «إجازة سنوية (راتب مقدم قبل السفر)» ← يُصرف المبلغ في شهر البداية، ولا راتب عن أيام الإجازة في المسيرات، ويُخصم الرصيد.</t>
  </si>
  <si>
    <t xml:space="preserve">موظف موقوف أو متغيب (بلاغ)</t>
  </si>
  <si>
    <t xml:space="preserve">النوع «إيقاف عن العمل» أو «انقطاع عن العمل» ← يتوقف الراتب في الأيام المحددة؛ ويظهر «⛔ بدون راتب» في المسير.</t>
  </si>
  <si>
    <t xml:space="preserve">إجازة مرضية بنسبة خاصة</t>
  </si>
  <si>
    <t xml:space="preserve">اختر النوع المرضي، أو اكتب النسبة في عمود «نسبة أجر مخصصة» (مثلاً 50%).</t>
  </si>
  <si>
    <t xml:space="preserve">موظف ترك العمل نهائياً</t>
  </si>
  <si>
    <t xml:space="preserve">ورقة الموظفين: تاريخ انتهاء الخدمة + السبب ← يتوقف كل شيء بعده، وتُحسب المكافأة والتسوية.</t>
  </si>
  <si>
    <t xml:space="preserve">البيانات الحالية (12 موظفاً وإجازاتهم وحركاتهم) أمثلة توضيحية لإظهار طريقة العمل — امسح خلايا الإدخال الصفراء في «الموظفون» و«سجل الإجازات» و«الحركات الشهرية» وأدخل بياناتك. يستوعب الملف 100 موظف و500 إجازة و1,000 حركة. الأحكام مبنية على نظام العمل السعودي (المواد 84، 85، 98، 107، 109، 113، 116، 117) ونظام التأمينات الاجتماعية، وجميع النسب والرسوم قابلة للتعديل من الإعدادات.</t>
  </si>
  <si>
    <t xml:space="preserve">📊 لوحة التحكم — الرواتب والمخصصات والتكاليف الحكومية</t>
  </si>
  <si>
    <t xml:space="preserve">🏠 الرئيسية</t>
  </si>
  <si>
    <t xml:space="preserve">⚙ الإعدادات</t>
  </si>
  <si>
    <t xml:space="preserve">👥 الموظفون</t>
  </si>
  <si>
    <t xml:space="preserve">🌴 سجل الإجازات</t>
  </si>
  <si>
    <t xml:space="preserve">✍ الحركات</t>
  </si>
  <si>
    <t xml:space="preserve">🪪 الإقامات</t>
  </si>
  <si>
    <t xml:space="preserve">شهر التقرير ←</t>
  </si>
  <si>
    <t xml:space="preserve">⚙ تغيير الشهر</t>
  </si>
  <si>
    <t xml:space="preserve">👥 القوى العاملة</t>
  </si>
  <si>
    <t xml:space="preserve">الموظفون على رأس العمل</t>
  </si>
  <si>
    <t xml:space="preserve">في إجازة / إيقاف حالياً</t>
  </si>
  <si>
    <t xml:space="preserve">نسبة التوطين (السعودة)</t>
  </si>
  <si>
    <t xml:space="preserve">متوسط إجمالي الراتب الشهري</t>
  </si>
  <si>
    <t xml:space="preserve">إجمالي المستحقات</t>
  </si>
  <si>
    <t xml:space="preserve">صافي الرواتب المدفوعة</t>
  </si>
  <si>
    <t xml:space="preserve">التأمينات (موظف + منشأة)</t>
  </si>
  <si>
    <t xml:space="preserve">إجمالي تكلفة العمالة</t>
  </si>
  <si>
    <t xml:space="preserve">🪪 الإقامات ورخص العمل والتأمين الطبي</t>
  </si>
  <si>
    <t xml:space="preserve">المحمّل حتى تاريخه (إقامة + رخص + طبي)</t>
  </si>
  <si>
    <t xml:space="preserve">التكلفة السنوية المتوقعة</t>
  </si>
  <si>
    <t xml:space="preserve">تجديدات متوقعة خلال فترة التنبيه</t>
  </si>
  <si>
    <t xml:space="preserve">متوسط تكلفة الموظف الشهرية الكاملة</t>
  </si>
  <si>
    <t xml:space="preserve">مخصص الإجازات</t>
  </si>
  <si>
    <t xml:space="preserve">مخصص تذاكر السفر</t>
  </si>
  <si>
    <t xml:space="preserve">إجمالي المخصصات</t>
  </si>
  <si>
    <t xml:space="preserve">🔔 تنبيهات وفحوصات الترابط</t>
  </si>
  <si>
    <t xml:space="preserve">🌍 التوزيع حسب الفئة</t>
  </si>
  <si>
    <t xml:space="preserve">إقامات منتهية أو تنتهي قريباً</t>
  </si>
  <si>
    <t xml:space="preserve">الفئة</t>
  </si>
  <si>
    <t xml:space="preserve">العدد</t>
  </si>
  <si>
    <t xml:space="preserve">النسبة</t>
  </si>
  <si>
    <t xml:space="preserve">الرواتب الشهرية</t>
  </si>
  <si>
    <t xml:space="preserve">رخص عمل منتهية أو تنتهي قريباً</t>
  </si>
  <si>
    <t xml:space="preserve">سعودي</t>
  </si>
  <si>
    <t xml:space="preserve">أخطاء أو تداخل في سجل الإجازات</t>
  </si>
  <si>
    <t xml:space="preserve">غير سعودي</t>
  </si>
  <si>
    <t xml:space="preserve">موظفون منتهية خدماتهم بمستحقات لم تُصرف</t>
  </si>
  <si>
    <t xml:space="preserve">أرصدة إجازات سالبة أو مرتفعة</t>
  </si>
  <si>
    <t xml:space="preserve">تذاكر مستحقة للصرف</t>
  </si>
  <si>
    <t xml:space="preserve">حركات برقم وظيفي غير صحيح</t>
  </si>
  <si>
    <t xml:space="preserve">رواتب صافية بالسالب (كل الأشهر)</t>
  </si>
  <si>
    <t xml:space="preserve">توازن قيود الرواتب (حتى شهر التقرير)</t>
  </si>
  <si>
    <t xml:space="preserve">القسم</t>
  </si>
  <si>
    <t xml:space="preserve">عدد الموظفين</t>
  </si>
  <si>
    <t xml:space="preserve">المستحقات حتى تاريخه</t>
  </si>
  <si>
    <t xml:space="preserve">التكلفة الكاملة حتى تاريخه</t>
  </si>
  <si>
    <t xml:space="preserve">النسبة من التكلفة</t>
  </si>
  <si>
    <t xml:space="preserve">الإجمالي</t>
  </si>
  <si>
    <t xml:space="preserve">📈 الاتجاه الشهري لمكونات تكلفة العمالة (12 شهراً)</t>
  </si>
  <si>
    <t xml:space="preserve">الشهر</t>
  </si>
  <si>
    <t xml:space="preserve">صافي الرواتب</t>
  </si>
  <si>
    <t xml:space="preserve">سلف وخصومات</t>
  </si>
  <si>
    <t xml:space="preserve">المخصصات</t>
  </si>
  <si>
    <t xml:space="preserve">إقامات ورخص وتأمين طبي</t>
  </si>
  <si>
    <t xml:space="preserve">إجمالي التكلفة</t>
  </si>
  <si>
    <t xml:space="preserve">إجمالي السنة</t>
  </si>
  <si>
    <t xml:space="preserve">كل الأرقام في هذه اللوحة معادلات مرتبطة بالأوراق الأخرى — لا تُدخل فيها أي بيانات. غيّر «شهر التقرير» من الإعدادات لتتحدث اللوحة والمخصصات والقيود. الصف المظلل في جدول الاتجاه = شهر التقرير.</t>
  </si>
  <si>
    <t xml:space="preserve">⚙ الإعدادات والثوابت النظامية</t>
  </si>
  <si>
    <t xml:space="preserve">📊 لوحة التحكم</t>
  </si>
  <si>
    <t xml:space="preserve">🧾 القيود</t>
  </si>
  <si>
    <t xml:space="preserve">💳 القسيمة</t>
  </si>
  <si>
    <t xml:space="preserve">البند</t>
  </si>
  <si>
    <t xml:space="preserve">القيمة</t>
  </si>
  <si>
    <t xml:space="preserve">الشرح / المصدر</t>
  </si>
  <si>
    <t xml:space="preserve">الأقسام</t>
  </si>
  <si>
    <t xml:space="preserve">أسباب انتهاء الخدمة</t>
  </si>
  <si>
    <t xml:space="preserve">نعم / لا</t>
  </si>
  <si>
    <t xml:space="preserve">فئة التأمينات</t>
  </si>
  <si>
    <t xml:space="preserve">الأشهر</t>
  </si>
  <si>
    <t xml:space="preserve">أوراق المسير</t>
  </si>
  <si>
    <t xml:space="preserve">نوع الإجازة / الحالة</t>
  </si>
  <si>
    <t xml:space="preserve">نسبة الأجر المدفوع</t>
  </si>
  <si>
    <t xml:space="preserve">يُخصم من رصيد الإجازة السنوية؟</t>
  </si>
  <si>
    <t xml:space="preserve">يُحتسب ضمن مدة الخدمة؟</t>
  </si>
  <si>
    <t xml:space="preserve">يُصرف راتبها مقدماً؟</t>
  </si>
  <si>
    <t xml:space="preserve">الشرح</t>
  </si>
  <si>
    <t xml:space="preserve">اسم المنشأة</t>
  </si>
  <si>
    <t xml:space="preserve">شركة النخبة للتجارة والمقاولات</t>
  </si>
  <si>
    <t xml:space="preserve">يظهر في رؤوس جميع الأوراق والقسائم.</t>
  </si>
  <si>
    <t xml:space="preserve">الإدارة العليا</t>
  </si>
  <si>
    <t xml:space="preserve">استقالة</t>
  </si>
  <si>
    <t xml:space="preserve">نعم</t>
  </si>
  <si>
    <t xml:space="preserve">يناير</t>
  </si>
  <si>
    <t xml:space="preserve">إجازة سنوية (تُصرف مع الراتب)</t>
  </si>
  <si>
    <t xml:space="preserve">لا</t>
  </si>
  <si>
    <t xml:space="preserve">يستمر الراتب في المسير، وتُخصم الأيام من رصيد الإجازة ويُحمَّل راتبها على المخصص.</t>
  </si>
  <si>
    <t xml:space="preserve">السنة المالية</t>
  </si>
  <si>
    <t xml:space="preserve">كل التواريخ الشهرية تُبنى على هذه السنة.</t>
  </si>
  <si>
    <t xml:space="preserve">المالية</t>
  </si>
  <si>
    <t xml:space="preserve">إنهاء من صاحب العمل</t>
  </si>
  <si>
    <t xml:space="preserve">فبراير</t>
  </si>
  <si>
    <t xml:space="preserve">إجازة سنوية (راتب مقدم قبل السفر)</t>
  </si>
  <si>
    <t xml:space="preserve">يُصرف راتب الإجازة كاملاً في شهر بدايتها، ولا يُصرف راتب عن أيامها في المسيرات.</t>
  </si>
  <si>
    <t xml:space="preserve">العملة</t>
  </si>
  <si>
    <t xml:space="preserve">ريال سعودي</t>
  </si>
  <si>
    <t xml:space="preserve">الموارد البشرية</t>
  </si>
  <si>
    <t xml:space="preserve">انتهاء مدة العقد</t>
  </si>
  <si>
    <t xml:space="preserve">مارس</t>
  </si>
  <si>
    <t xml:space="preserve">إجازة بدون راتب</t>
  </si>
  <si>
    <t xml:space="preserve">لا راتب ولا تحتسب في الخدمة ولا تكتسب عنها إجازة أو تذكرة (المادة 116).</t>
  </si>
  <si>
    <t xml:space="preserve">شهر التقرير (1-12)</t>
  </si>
  <si>
    <t xml:space="preserve">يتحكم في: المخصصات كما في نهاية الشهر، حالة الموظفين، مؤشرات لوحة التحكم (من بداية السنة حتى هذا الشهر)، وتمييز الأشهر الفعلية عن المتوقعة.</t>
  </si>
  <si>
    <t xml:space="preserve">المبيعات</t>
  </si>
  <si>
    <t xml:space="preserve">اتفاق الطرفين</t>
  </si>
  <si>
    <t xml:space="preserve">أبريل</t>
  </si>
  <si>
    <t xml:space="preserve">إجازة مرضية بأجر كامل</t>
  </si>
  <si>
    <t xml:space="preserve">المادة 117: أول 30 يوماً في السنة بأجر كامل.</t>
  </si>
  <si>
    <t xml:space="preserve">بداية السنة المالية</t>
  </si>
  <si>
    <t xml:space="preserve">معادلة — لا تعدّل.</t>
  </si>
  <si>
    <t xml:space="preserve">العمليات</t>
  </si>
  <si>
    <t xml:space="preserve">وفاة أو عجز</t>
  </si>
  <si>
    <t xml:space="preserve">مايو</t>
  </si>
  <si>
    <t xml:space="preserve">إجازة مرضية بثلاثة أرباع الأجر</t>
  </si>
  <si>
    <t xml:space="preserve">المادة 117: الستون يوماً التالية بثلاثة أرباع الأجر.</t>
  </si>
  <si>
    <t xml:space="preserve">تاريخ التقرير (نهاية شهر التقرير)</t>
  </si>
  <si>
    <t xml:space="preserve">تقنية المعلومات</t>
  </si>
  <si>
    <t xml:space="preserve">يونيو</t>
  </si>
  <si>
    <t xml:space="preserve">إجازة مرضية بدون أجر</t>
  </si>
  <si>
    <t xml:space="preserve">المادة 117: الثلاثون يوماً التالية بدون أجر.</t>
  </si>
  <si>
    <t xml:space="preserve">💰 الرواتب والعمل الإضافي</t>
  </si>
  <si>
    <t xml:space="preserve">المشاريع</t>
  </si>
  <si>
    <t xml:space="preserve">يوليو</t>
  </si>
  <si>
    <t xml:space="preserve">إجازة استثنائية مدفوعة (زواج/وفاة/مولود/حج)</t>
  </si>
  <si>
    <t xml:space="preserve">المادتان 113 و114.</t>
  </si>
  <si>
    <t xml:space="preserve">أساس أيام الشهر</t>
  </si>
  <si>
    <t xml:space="preserve">الأجر اليومي = الأجر الشهري ÷ 30 (العرف المحاسبي ونظام العمل).</t>
  </si>
  <si>
    <t xml:space="preserve">أغسطس</t>
  </si>
  <si>
    <t xml:space="preserve">إيقاف عن العمل (تحقيق/جزاء)</t>
  </si>
  <si>
    <t xml:space="preserve">يوقف الراتب خلال مدة الإيقاف.</t>
  </si>
  <si>
    <t xml:space="preserve">ساعات العمل اليومية</t>
  </si>
  <si>
    <t xml:space="preserve">المادة 98 من نظام العمل: 8 ساعات يومياً.</t>
  </si>
  <si>
    <t xml:space="preserve">سبتمبر</t>
  </si>
  <si>
    <t xml:space="preserve">انقطاع عن العمل / بلاغ تغيب</t>
  </si>
  <si>
    <t xml:space="preserve">يوقف الراتب ولا تحتسب المدة في الخدمة.</t>
  </si>
  <si>
    <t xml:space="preserve">علاوة العمل الإضافي على الأجر الأساسي</t>
  </si>
  <si>
    <t xml:space="preserve">المادة 107: أجر الساعة + 50% من الأجر الأساسي للساعة.</t>
  </si>
  <si>
    <t xml:space="preserve">أكتوبر</t>
  </si>
  <si>
    <t xml:space="preserve">إيقاف الراتب مؤقتاً</t>
  </si>
  <si>
    <t xml:space="preserve">لأي سبب إداري آخر (مثلاً: خارج المملكة بانتظار العودة).</t>
  </si>
  <si>
    <t xml:space="preserve">🏛 التأمينات الاجتماعية (GOSI)</t>
  </si>
  <si>
    <t xml:space="preserve">نوفمبر</t>
  </si>
  <si>
    <t xml:space="preserve">سعودي — حصة الموظف</t>
  </si>
  <si>
    <t xml:space="preserve">معاشات 9% + ساند 0.75%. المشتركون الجدد بعد 3/7/2025 تتدرج نسبتهم سنوياً — عدّل عند الحاجة.</t>
  </si>
  <si>
    <t xml:space="preserve">ديسمبر</t>
  </si>
  <si>
    <t xml:space="preserve">سعودي — حصة المنشأة</t>
  </si>
  <si>
    <t xml:space="preserve">معاشات 9% + ساند 0.75% + أخطار مهنية 2%.</t>
  </si>
  <si>
    <t xml:space="preserve">غير سعودي — حصة الموظف</t>
  </si>
  <si>
    <t xml:space="preserve">لا يُستقطع من غير السعودي.</t>
  </si>
  <si>
    <t xml:space="preserve">يمكنك إضافة نوعين إضافيين في الصفين الفارغين أو تعديل النسب. أي تغيير هنا ينعكس فوراً على سجل الإجازات والمسيرات.</t>
  </si>
  <si>
    <t xml:space="preserve">غير سعودي — حصة المنشأة</t>
  </si>
  <si>
    <t xml:space="preserve">أخطار مهنية 2%.</t>
  </si>
  <si>
    <t xml:space="preserve">الحد الأعلى لأجر الاشتراك</t>
  </si>
  <si>
    <t xml:space="preserve">أجر الاشتراك = الأساسي + السكن بحد أقصى 45,000. تستمر الاشتراكات خلال الإجازات والإيقاف ما دام العامل على رأس العمل.</t>
  </si>
  <si>
    <t xml:space="preserve">🎁 مكافأة نهاية الخدمة</t>
  </si>
  <si>
    <t xml:space="preserve">عدد السنوات الأولى</t>
  </si>
  <si>
    <t xml:space="preserve">المادة 84: نصف شهر عن كل سنة من السنوات الخمس الأولى.</t>
  </si>
  <si>
    <t xml:space="preserve">أجر كل سنة من السنوات الأولى (بالأشهر)</t>
  </si>
  <si>
    <t xml:space="preserve">أجر كل سنة بعدها (بالأشهر)</t>
  </si>
  <si>
    <t xml:space="preserve">أجر شهر كامل عن كل سنة تالية.</t>
  </si>
  <si>
    <t xml:space="preserve">يدخل بدل السكن في أجر نهاية الخدمة؟</t>
  </si>
  <si>
    <t xml:space="preserve">الأجر الفعلي حسب المادة 2: الأساسي + البدلات الثابتة.</t>
  </si>
  <si>
    <t xml:space="preserve">يدخل بدل النقل في أجر نهاية الخدمة؟</t>
  </si>
  <si>
    <t xml:space="preserve">تدخل البدلات الأخرى في أجر نهاية الخدمة؟</t>
  </si>
  <si>
    <t xml:space="preserve">🌴 الإجازات السنوية</t>
  </si>
  <si>
    <t xml:space="preserve">أيام الإجازة السنوية (قبل الحد)</t>
  </si>
  <si>
    <t xml:space="preserve">المادة 109: 21 يوماً.</t>
  </si>
  <si>
    <t xml:space="preserve">أيام الإجازة السنوية (بعد الحد)</t>
  </si>
  <si>
    <t xml:space="preserve">30 يوماً بعد إتمام 5 سنوات متصلة.</t>
  </si>
  <si>
    <t xml:space="preserve">عدد سنوات الحد للإجازة</t>
  </si>
  <si>
    <t xml:space="preserve">يدخل السكن في أجر الإجازة؟</t>
  </si>
  <si>
    <t xml:space="preserve">يدخل النقل في أجر الإجازة؟</t>
  </si>
  <si>
    <t xml:space="preserve">تدخل البدلات الأخرى في أجر الإجازة؟</t>
  </si>
  <si>
    <t xml:space="preserve">عدد أيام السنة لاحتساب مدة الخدمة</t>
  </si>
  <si>
    <t xml:space="preserve">📐 نسب استحقاق مكافأة نهاية الخدمة عند الاستقالة (المادة 85)</t>
  </si>
  <si>
    <t xml:space="preserve">مدة الخدمة من (سنة)</t>
  </si>
  <si>
    <t xml:space="preserve">نسبة الاستحقاق</t>
  </si>
  <si>
    <t xml:space="preserve">أقل من سنتين: لا يستحق</t>
  </si>
  <si>
    <t xml:space="preserve">من سنتين إلى أقل من 5: ثلث المكافأة</t>
  </si>
  <si>
    <t xml:space="preserve">من 5 إلى أقل من 10: ثلثا المكافأة</t>
  </si>
  <si>
    <t xml:space="preserve">10 سنوات فأكثر: المكافأة كاملة</t>
  </si>
  <si>
    <t xml:space="preserve">🪪 الإقامة ورخصة العمل والتأمين الطبي (القيم الافتراضية)</t>
  </si>
  <si>
    <t xml:space="preserve">رسوم إصدار / تجديد الإقامة (سنوياً)</t>
  </si>
  <si>
    <t xml:space="preserve">رسوم الجوازات للإقامة. تُطبَّق تلقائياً على غير السعودي إذا تُركت خانة الموظف فارغة.</t>
  </si>
  <si>
    <t xml:space="preserve">المقابل المالي لرخصة العمل (كرت العمل) سنوياً</t>
  </si>
  <si>
    <t xml:space="preserve">800 ريال شهرياً للعامل الوافد. عدّله حسب نشاط المنشأة ونطاقها في نطاقات.</t>
  </si>
  <si>
    <t xml:space="preserve">التأمين الطبي السنوي الافتراضي</t>
  </si>
  <si>
    <t xml:space="preserve">يُطبَّق على كل موظف لم تُحدَّد له قيمة في ورقة الموظفين.</t>
  </si>
  <si>
    <t xml:space="preserve">تاريخ متابعة الإقامات ورخص العمل</t>
  </si>
  <si>
    <t xml:space="preserve">افتراضياً تاريخ اليوم — يمكنك كتابة تاريخ محدد بدلاً من المعادلة.</t>
  </si>
  <si>
    <t xml:space="preserve">أيام التنبيه قبل انتهاء الإقامة / الرخصة</t>
  </si>
  <si>
    <t xml:space="preserve">الخلايا الصفراء بالخط الأزرق = مدخلات قابلة للتعديل. الخلايا الرمادية = معادلات. النسب والحدود مأخوذة من نظام العمل السعودي ونظام التأمينات الاجتماعية ورسوم الجوازات ووزارة الموارد البشرية — راجعها عند صدور أي تعديل نظامي.</t>
  </si>
  <si>
    <t xml:space="preserve">👥 سجل بيانات الموظفين الرئيسي</t>
  </si>
  <si>
    <t xml:space="preserve">م</t>
  </si>
  <si>
    <t xml:space="preserve">الرقم الوظيفي</t>
  </si>
  <si>
    <t xml:space="preserve">اسم الموظف</t>
  </si>
  <si>
    <t xml:space="preserve">الجنسية</t>
  </si>
  <si>
    <t xml:space="preserve">المسمى الوظيفي</t>
  </si>
  <si>
    <t xml:space="preserve">تاريخ التعيين</t>
  </si>
  <si>
    <t xml:space="preserve">رقم الإقامة / الهوية</t>
  </si>
  <si>
    <t xml:space="preserve">تاريخ انتهاء الإقامة / الهوية</t>
  </si>
  <si>
    <t xml:space="preserve">تاريخ انتهاء رخصة العمل</t>
  </si>
  <si>
    <t xml:space="preserve">الراتب الأساسي</t>
  </si>
  <si>
    <t xml:space="preserve">بدل السكن</t>
  </si>
  <si>
    <t xml:space="preserve">بدل النقل</t>
  </si>
  <si>
    <t xml:space="preserve">بدلات أخرى</t>
  </si>
  <si>
    <t xml:space="preserve">إجمالي الراتب الشهري</t>
  </si>
  <si>
    <t xml:space="preserve">أجر احتساب نهاية الخدمة</t>
  </si>
  <si>
    <t xml:space="preserve">أجر احتساب الإجازة</t>
  </si>
  <si>
    <t xml:space="preserve">أجر الاشتراك في التأمينات</t>
  </si>
  <si>
    <t xml:space="preserve">أيام الإجازة السنوية (اختياري — يلغي الآلي)</t>
  </si>
  <si>
    <t xml:space="preserve">يستحق تذكرة سفر؟</t>
  </si>
  <si>
    <t xml:space="preserve">قيمة التذكرة (له ولمن يعول)</t>
  </si>
  <si>
    <t xml:space="preserve">دورية التذكرة (شهر)</t>
  </si>
  <si>
    <t xml:space="preserve">رسوم الإقامة السنوية (فارغ = الافتراضي)</t>
  </si>
  <si>
    <t xml:space="preserve">المقابل المالي لرخصة العمل سنوياً (فارغ = الافتراضي)</t>
  </si>
  <si>
    <t xml:space="preserve">التأمين الطبي السنوي (فارغ = الافتراضي)</t>
  </si>
  <si>
    <t xml:space="preserve">رسوم أخرى سنوية على المنشأة (مرافقين، خروج وعودة...)</t>
  </si>
  <si>
    <t xml:space="preserve">إجمالي التكاليف الحكومية والتأمين السنوية</t>
  </si>
  <si>
    <t xml:space="preserve">رصيد إجازات افتتاحي (يوم) في 1/1</t>
  </si>
  <si>
    <t xml:space="preserve">رصيد مخصص تذاكر افتتاحي في 1/1</t>
  </si>
  <si>
    <t xml:space="preserve">تاريخ انتهاء الخدمة</t>
  </si>
  <si>
    <t xml:space="preserve">سبب انتهاء الخدمة</t>
  </si>
  <si>
    <t xml:space="preserve">حالة التوظيف</t>
  </si>
  <si>
    <t xml:space="preserve">الوضع في تاريخ التقرير</t>
  </si>
  <si>
    <t xml:space="preserve">البنك</t>
  </si>
  <si>
    <t xml:space="preserve">رقم الآيبان IBAN</t>
  </si>
  <si>
    <t xml:space="preserve">ملاحظات</t>
  </si>
  <si>
    <t xml:space="preserve">E001</t>
  </si>
  <si>
    <t xml:space="preserve">عبدالله محمد العتيبي</t>
  </si>
  <si>
    <t xml:space="preserve">المدير العام</t>
  </si>
  <si>
    <t xml:space="preserve">1012345678</t>
  </si>
  <si>
    <t xml:space="preserve">الراجحي</t>
  </si>
  <si>
    <t xml:space="preserve">SA0380000000608010167519</t>
  </si>
  <si>
    <t xml:space="preserve">E002</t>
  </si>
  <si>
    <t xml:space="preserve">أحمد سعيد القحطاني</t>
  </si>
  <si>
    <t xml:space="preserve">مدير مالي</t>
  </si>
  <si>
    <t xml:space="preserve">1023456789</t>
  </si>
  <si>
    <t xml:space="preserve">الأهلي</t>
  </si>
  <si>
    <t xml:space="preserve">SA4410000011100000000001</t>
  </si>
  <si>
    <t xml:space="preserve">E003</t>
  </si>
  <si>
    <t xml:space="preserve">محمد علي حسن</t>
  </si>
  <si>
    <t xml:space="preserve">مصري</t>
  </si>
  <si>
    <t xml:space="preserve">محاسب أول</t>
  </si>
  <si>
    <t xml:space="preserve">2312345678</t>
  </si>
  <si>
    <t xml:space="preserve">SA0380000000608010167520</t>
  </si>
  <si>
    <t xml:space="preserve">E004</t>
  </si>
  <si>
    <t xml:space="preserve">نورة خالد الدوسري</t>
  </si>
  <si>
    <t xml:space="preserve">سعودية</t>
  </si>
  <si>
    <t xml:space="preserve">مديرة موارد بشرية</t>
  </si>
  <si>
    <t xml:space="preserve">1034567890</t>
  </si>
  <si>
    <t xml:space="preserve">الإنماء</t>
  </si>
  <si>
    <t xml:space="preserve">SA6005000068200000000002</t>
  </si>
  <si>
    <t xml:space="preserve">E005</t>
  </si>
  <si>
    <t xml:space="preserve">راجيش كومار</t>
  </si>
  <si>
    <t xml:space="preserve">هندي</t>
  </si>
  <si>
    <t xml:space="preserve">مهندس شبكات</t>
  </si>
  <si>
    <t xml:space="preserve">2323456789</t>
  </si>
  <si>
    <t xml:space="preserve">SA4410000011100000000003</t>
  </si>
  <si>
    <t xml:space="preserve">E006</t>
  </si>
  <si>
    <t xml:space="preserve">فهد ناصر الشمري</t>
  </si>
  <si>
    <t xml:space="preserve">مدير مبيعات</t>
  </si>
  <si>
    <t xml:space="preserve">1045678901</t>
  </si>
  <si>
    <t xml:space="preserve">SA0380000000608010167521</t>
  </si>
  <si>
    <t xml:space="preserve">E007</t>
  </si>
  <si>
    <t xml:space="preserve">خالد يوسف الأحمد</t>
  </si>
  <si>
    <t xml:space="preserve">أردني</t>
  </si>
  <si>
    <t xml:space="preserve">مهندس مشاريع</t>
  </si>
  <si>
    <t xml:space="preserve">2334567890</t>
  </si>
  <si>
    <t xml:space="preserve">البلاد</t>
  </si>
  <si>
    <t xml:space="preserve">SA1515000999100000000004</t>
  </si>
  <si>
    <t xml:space="preserve">المنشأة تتحمل رسوم مرافق واحد</t>
  </si>
  <si>
    <t xml:space="preserve">E008</t>
  </si>
  <si>
    <t xml:space="preserve">سارة عبدالرحمن الزهراني</t>
  </si>
  <si>
    <t xml:space="preserve">محاسبة</t>
  </si>
  <si>
    <t xml:space="preserve">1056789012</t>
  </si>
  <si>
    <t xml:space="preserve">SA6005000068200000000005</t>
  </si>
  <si>
    <t xml:space="preserve">E009</t>
  </si>
  <si>
    <t xml:space="preserve">محمد رفيق</t>
  </si>
  <si>
    <t xml:space="preserve">باكستاني</t>
  </si>
  <si>
    <t xml:space="preserve">مشرف عمليات</t>
  </si>
  <si>
    <t xml:space="preserve">2345678901</t>
  </si>
  <si>
    <t xml:space="preserve">SA0380000000608010167522</t>
  </si>
  <si>
    <t xml:space="preserve">E010</t>
  </si>
  <si>
    <t xml:space="preserve">ريم سلطان المطيري</t>
  </si>
  <si>
    <t xml:space="preserve">أخصائية تسويق</t>
  </si>
  <si>
    <t xml:space="preserve">1067890123</t>
  </si>
  <si>
    <t xml:space="preserve">SA4410000011100000000006</t>
  </si>
  <si>
    <t xml:space="preserve">E011</t>
  </si>
  <si>
    <t xml:space="preserve">جون ماتيو</t>
  </si>
  <si>
    <t xml:space="preserve">فلبيني</t>
  </si>
  <si>
    <t xml:space="preserve">فني صيانة</t>
  </si>
  <si>
    <t xml:space="preserve">2356789012</t>
  </si>
  <si>
    <t xml:space="preserve">SA0380000000608010167523</t>
  </si>
  <si>
    <t xml:space="preserve">E012</t>
  </si>
  <si>
    <t xml:space="preserve">عمر حسين البيشي</t>
  </si>
  <si>
    <t xml:space="preserve">مطور برمجيات</t>
  </si>
  <si>
    <t xml:space="preserve">1078901234</t>
  </si>
  <si>
    <t xml:space="preserve">SA1515000999100000000007</t>
  </si>
  <si>
    <t xml:space="preserve">🌴 سجل الإجازات والحالات — الإجازات والإيقاف ووقف الراتب بالتواريخ</t>
  </si>
  <si>
    <t xml:space="preserve">أيام مخصومة من الراتب في كل شهر</t>
  </si>
  <si>
    <t xml:space="preserve">أيام خارج الخدمة (تراكمي حتى نهاية الشهر)</t>
  </si>
  <si>
    <t xml:space="preserve">أيام مخصومة من رصيد الإجازة في الشهر</t>
  </si>
  <si>
    <t xml:space="preserve">اسم الموظف (تلقائي)</t>
  </si>
  <si>
    <t xml:space="preserve">من تاريخ</t>
  </si>
  <si>
    <t xml:space="preserve">إلى تاريخ (آخر يوم)</t>
  </si>
  <si>
    <t xml:space="preserve">عدد الأيام</t>
  </si>
  <si>
    <t xml:space="preserve">نسبة الأجر حسب النوع</t>
  </si>
  <si>
    <t xml:space="preserve">نسبة أجر مخصصة (اختياري)</t>
  </si>
  <si>
    <t xml:space="preserve">نسبة الأجر المطبقة</t>
  </si>
  <si>
    <t xml:space="preserve">يخصم من رصيد الإجازة؟</t>
  </si>
  <si>
    <t xml:space="preserve">يحتسب في الخدمة؟</t>
  </si>
  <si>
    <t xml:space="preserve">راتب مقدم؟</t>
  </si>
  <si>
    <t xml:space="preserve">مبلغ راتب الإجازة المقدم</t>
  </si>
  <si>
    <t xml:space="preserve">شهر صرف المقدم</t>
  </si>
  <si>
    <t xml:space="preserve">الحالة</t>
  </si>
  <si>
    <t xml:space="preserve">أيام خارج الخدمة حتى 31/12 السابق</t>
  </si>
  <si>
    <t xml:space="preserve">أيام خارج الخدمة حتى تاريخ التقرير</t>
  </si>
  <si>
    <t xml:space="preserve">أيام مخصومة من رصيد الإجازة (السنة حتى تاريخ التقرير)</t>
  </si>
  <si>
    <t xml:space="preserve">إجازة سنوية 10 أيام</t>
  </si>
  <si>
    <t xml:space="preserve">إجازة سنوية + تذكرة</t>
  </si>
  <si>
    <t xml:space="preserve">تقرير طبي</t>
  </si>
  <si>
    <t xml:space="preserve">إجازة سنوية — صُرف راتبها مقدماً</t>
  </si>
  <si>
    <t xml:space="preserve">إجازة سنوية</t>
  </si>
  <si>
    <t xml:space="preserve">إجازة سنوية — راتب مقدم + تذكرة</t>
  </si>
  <si>
    <t xml:space="preserve">ظرف خاص</t>
  </si>
  <si>
    <t xml:space="preserve">إجازة بدون راتب شهر — جارية في تاريخ التقرير</t>
  </si>
  <si>
    <t xml:space="preserve">إجازة مرضية (بعد استنفاد 30 يوماً)</t>
  </si>
  <si>
    <t xml:space="preserve">إجازة سنوية مخططة — راتب مقدم</t>
  </si>
  <si>
    <t xml:space="preserve">✍ الحركات الشهرية المتغيرة (غياب — إضافي — مكافآت — سلف — جزاءات — تذاكر — تسويات)</t>
  </si>
  <si>
    <t xml:space="preserve">الشهر (1-12)</t>
  </si>
  <si>
    <t xml:space="preserve">أيام غياب</t>
  </si>
  <si>
    <t xml:space="preserve">أيام بدون راتب (يدوي)</t>
  </si>
  <si>
    <t xml:space="preserve">ساعات عمل إضافي</t>
  </si>
  <si>
    <t xml:space="preserve">مكافآت وعمولات</t>
  </si>
  <si>
    <t xml:space="preserve">إضافات أخرى / فروقات</t>
  </si>
  <si>
    <t xml:space="preserve">أقساط سلف</t>
  </si>
  <si>
    <t xml:space="preserve">خصومات وجزاءات</t>
  </si>
  <si>
    <t xml:space="preserve">إجازة سنوية مأخوذة (يوم) — يدوي</t>
  </si>
  <si>
    <t xml:space="preserve">إجازة مصروفة نقداً (يوم)</t>
  </si>
  <si>
    <t xml:space="preserve">قيمة تذاكر مستخدمة</t>
  </si>
  <si>
    <t xml:space="preserve">مكافأة نهاية خدمة مدفوعة</t>
  </si>
  <si>
    <t xml:space="preserve">قسط سلفة 1/5</t>
  </si>
  <si>
    <t xml:space="preserve">غياب يوم</t>
  </si>
  <si>
    <t xml:space="preserve">قسط سلفة 2/5</t>
  </si>
  <si>
    <t xml:space="preserve">عمولة مبيعات الربع الرابع</t>
  </si>
  <si>
    <t xml:space="preserve">قسط سلفة 3/5</t>
  </si>
  <si>
    <t xml:space="preserve">تذكرة الإجازة</t>
  </si>
  <si>
    <t xml:space="preserve">قسط سلفة 4/5</t>
  </si>
  <si>
    <t xml:space="preserve">غياب يومين</t>
  </si>
  <si>
    <t xml:space="preserve">قسط سلفة 5/5</t>
  </si>
  <si>
    <t xml:space="preserve">عمولة مبيعات</t>
  </si>
  <si>
    <t xml:space="preserve">تسوية نهاية خدمة: المكافأة + صرف رصيد الإجازات نقداً (في الإضافات)</t>
  </si>
  <si>
    <t xml:space="preserve">بدل مهمة عمل</t>
  </si>
  <si>
    <t xml:space="preserve">جزاء تأخير</t>
  </si>
  <si>
    <t xml:space="preserve">من / إلى</t>
  </si>
  <si>
    <t xml:space="preserve">الشهر التالي ▶</t>
  </si>
  <si>
    <t xml:space="preserve">الوضع خلال الشهر</t>
  </si>
  <si>
    <t xml:space="preserve">أيام الاستحقاق</t>
  </si>
  <si>
    <t xml:space="preserve">أيام الغياب</t>
  </si>
  <si>
    <t xml:space="preserve">أيام إجازة / إيقاف بدون أجر</t>
  </si>
  <si>
    <t xml:space="preserve">أيام مدفوعة</t>
  </si>
  <si>
    <t xml:space="preserve">الأساسي</t>
  </si>
  <si>
    <t xml:space="preserve">السكن</t>
  </si>
  <si>
    <t xml:space="preserve">النقل</t>
  </si>
  <si>
    <t xml:space="preserve">أخرى</t>
  </si>
  <si>
    <t xml:space="preserve">ساعات إضافي</t>
  </si>
  <si>
    <t xml:space="preserve">قيمة الإضافي</t>
  </si>
  <si>
    <t xml:space="preserve">إضافات أخرى</t>
  </si>
  <si>
    <t xml:space="preserve">راتب إجازة مدفوع مقدماً</t>
  </si>
  <si>
    <t xml:space="preserve">تأمينات (حصة الموظف)</t>
  </si>
  <si>
    <t xml:space="preserve">إجمالي الاستقطاعات</t>
  </si>
  <si>
    <t xml:space="preserve">صافي الراتب</t>
  </si>
  <si>
    <t xml:space="preserve">تأمينات (حصة المنشأة)</t>
  </si>
  <si>
    <t xml:space="preserve">مخصص نهاية الخدمة للشهر</t>
  </si>
  <si>
    <t xml:space="preserve">مخصص الإجازات للشهر</t>
  </si>
  <si>
    <t xml:space="preserve">مخصص التذاكر للشهر</t>
  </si>
  <si>
    <t xml:space="preserve">رسوم الإقامة + رخصة العمل للشهر</t>
  </si>
  <si>
    <t xml:space="preserve">التأمين الطبي للشهر</t>
  </si>
  <si>
    <t xml:space="preserve">رسوم أخرى للشهر</t>
  </si>
  <si>
    <t xml:space="preserve">إجمالي تكلفة الموظف على المنشأة</t>
  </si>
  <si>
    <t xml:space="preserve">سنوات الخدمة نهاية الشهر</t>
  </si>
  <si>
    <t xml:space="preserve">سنوات الخدمة نهاية الشهر السابق</t>
  </si>
  <si>
    <t xml:space="preserve">أيام تكتسب عنها إجازة وتذكرة</t>
  </si>
  <si>
    <t xml:space="preserve">أيام التوظيف التقويمية</t>
  </si>
  <si>
    <t xml:space="preserve">أيام إجازة سنوية مستخدمة</t>
  </si>
  <si>
    <t xml:space="preserve">استخدام مخصص الإجازات (قيمة)</t>
  </si>
  <si>
    <t xml:space="preserve">أيام مخصومة من السجل (خام)</t>
  </si>
  <si>
    <t xml:space="preserve">لا تحذف أي موظف: أيام الإجازة بدون راتب والمرضية والإيقاف تُخصم تلقائياً من «سجل الإجازات والحالات» حسب التواريخ، والمنتهية خدمته يتوقف راتبه بعد تاريخ الانتهاء. أيام الاستحقاق = 30 للشهر الكامل أو الأيام الفعلية للتعيين/الانتهاء • الإضافي = الساعات × (إجمالي الأجر + 50% من الأساسي) ÷ 30 ÷ 8 • التأمينات على (الأساسي + السكن) بحد 45,000 • نهاية الخدمة = الاستحقاق التراكمي نهاية الشهر − نهاية الشهر السابق (بعد استبعاد المدد غير المحتسبة) • الإقامة ورخصة العمل والتأمين الطبي = التكلفة السنوية ÷ 12 × أيام التوظيف ÷ 30. الأعمدة الرمادية الأخيرة مساعدة للاحتساب.</t>
  </si>
  <si>
    <t xml:space="preserve">◀ الشهر السابق</t>
  </si>
  <si>
    <t xml:space="preserve">📅 الملخص الشهري للرواتب والمخصصات والتكاليف الحكومية — 12 شهراً</t>
  </si>
  <si>
    <t xml:space="preserve">رقم</t>
  </si>
  <si>
    <t xml:space="preserve">موظفون بخصم أيام</t>
  </si>
  <si>
    <t xml:space="preserve">الرواتب الأساسية</t>
  </si>
  <si>
    <t xml:space="preserve">البدلات</t>
  </si>
  <si>
    <t xml:space="preserve">العمل الإضافي</t>
  </si>
  <si>
    <t xml:space="preserve">مكافآت وإضافات</t>
  </si>
  <si>
    <t xml:space="preserve">رواتب إجازات مقدمة</t>
  </si>
  <si>
    <t xml:space="preserve">تأمينات الموظف</t>
  </si>
  <si>
    <t xml:space="preserve">تأمينات المنشأة</t>
  </si>
  <si>
    <t xml:space="preserve">مخصص التذاكر</t>
  </si>
  <si>
    <t xml:space="preserve">الإقامة ورخص العمل ورسوم أخرى</t>
  </si>
  <si>
    <t xml:space="preserve">التأمين الطبي</t>
  </si>
  <si>
    <t xml:space="preserve">الصف المظلل بالأصفر = شهر التقرير. الأشهر «المتوقعة» محسوبة على الرواتب الثابتة الحالية والإجازات المخططة في السجل (موازنة تقديرية). اضغط اسم الشهر للانتقال إلى مسيره.</t>
  </si>
  <si>
    <t xml:space="preserve">📑 ملخص الموظفين السنوي — المستحقات والتكلفة شهراً بشهر</t>
  </si>
  <si>
    <t xml:space="preserve">إجمالي المستحقات الشهرية</t>
  </si>
  <si>
    <t xml:space="preserve">إجمالي تكلفة الموظف على المنشأة (راتب + تأمينات + مخصصات + إقامة ورخصة عمل وتأمين طبي)</t>
  </si>
  <si>
    <t xml:space="preserve">الرقم</t>
  </si>
  <si>
    <t xml:space="preserve">المستحقات حتى شهر التقرير</t>
  </si>
  <si>
    <t xml:space="preserve">التكلفة حتى شهر التقرير</t>
  </si>
  <si>
    <t xml:space="preserve">صافي المدفوع حتى شهر التقرير</t>
  </si>
  <si>
    <t xml:space="preserve">متوسط التكلفة الشهرية</t>
  </si>
  <si>
    <t xml:space="preserve">انتهاء الإقامة / الهوية</t>
  </si>
  <si>
    <t xml:space="preserve">الأيام المتبقية</t>
  </si>
  <si>
    <t xml:space="preserve">حالة الإقامة</t>
  </si>
  <si>
    <t xml:space="preserve">انتهاء رخصة العمل</t>
  </si>
  <si>
    <t xml:space="preserve">حالة رخصة العمل</t>
  </si>
  <si>
    <t xml:space="preserve">رسوم الإقامة السنوية</t>
  </si>
  <si>
    <t xml:space="preserve">المقابل المالي السنوي</t>
  </si>
  <si>
    <t xml:space="preserve">التأمين الطبي السنوي</t>
  </si>
  <si>
    <t xml:space="preserve">رسوم أخرى سنوية</t>
  </si>
  <si>
    <t xml:space="preserve">إجمالي التكلفة السنوية</t>
  </si>
  <si>
    <t xml:space="preserve">التكلفة الشهرية</t>
  </si>
  <si>
    <t xml:space="preserve">المحمّل حتى شهر التقرير</t>
  </si>
  <si>
    <t xml:space="preserve">مبلغ تجديد متوقع خلال فترة التنبيه</t>
  </si>
  <si>
    <t xml:space="preserve">التكلفة السنوية تُحمَّل على المسير شهرياً (÷ 12 حسب أيام التوظيف) ضمن «تكلفة الموظف على المنشأة»، وتظهر في القيود كإطفاء لمصروفات مدفوعة مقدماً. «مبلغ تجديد متوقع» = رسوم الإقامة و/أو المقابل المالي لمن تنتهي وثيقته خلال فترة التنبيه — للتخطيط النقدي. لتغيير القيم لموظف معين عدّلها في ورقة الموظفين؛ القيم الافتراضية في الإعدادات.</t>
  </si>
  <si>
    <t xml:space="preserve">تاريخ الاحتساب</t>
  </si>
  <si>
    <t xml:space="preserve">مدة الخدمة</t>
  </si>
  <si>
    <t xml:space="preserve">أيام غير محتسبة (بدون راتب/انقطاع)</t>
  </si>
  <si>
    <t xml:space="preserve">سنوات الخدمة المحتسبة</t>
  </si>
  <si>
    <t xml:space="preserve">أجر الاحتساب</t>
  </si>
  <si>
    <t xml:space="preserve">استحقاق السنوات الأولى</t>
  </si>
  <si>
    <t xml:space="preserve">استحقاق ما بعدها</t>
  </si>
  <si>
    <t xml:space="preserve">الاستحقاق الكامل (م 84)</t>
  </si>
  <si>
    <t xml:space="preserve">الحالة / سبب الانتهاء</t>
  </si>
  <si>
    <t xml:space="preserve">نسبة الاستحقاق عند الاستقالة (م 85)</t>
  </si>
  <si>
    <t xml:space="preserve">الاستحقاق النظامي (رصيد المخصص المطلوب)</t>
  </si>
  <si>
    <t xml:space="preserve">الرصيد الافتتاحي 1/1</t>
  </si>
  <si>
    <t xml:space="preserve">المكوّن خلال الفترة</t>
  </si>
  <si>
    <t xml:space="preserve">المدفوع خلال الفترة</t>
  </si>
  <si>
    <t xml:space="preserve">الرصيد الختامي</t>
  </si>
  <si>
    <t xml:space="preserve">الفحص</t>
  </si>
  <si>
    <t xml:space="preserve">أساس المخصص: الاستحقاق الكامل وفق المادة 84 للموظف على رأس العمل (الأحوط محاسبياً)، وللمستقيل نسبة المادة 85. تُستبعد من مدة الخدمة الأنواع المعرّفة في الإعدادات بأنها «لا تحتسب في الخدمة» (الإجازة بدون راتب والانقطاع). الرصيد الافتتاحي = الاستحقاق في 31/12 من السنة السابقة بالأجر الحالي. المدفوع يُسحب تلقائياً من الحركات الشهرية.</t>
  </si>
  <si>
    <t xml:space="preserve">سنوات الخدمة</t>
  </si>
  <si>
    <t xml:space="preserve">الاستحقاق السنوي (يوم)</t>
  </si>
  <si>
    <t xml:space="preserve">أجر اليوم</t>
  </si>
  <si>
    <t xml:space="preserve">رصيد افتتاحي (يوم)</t>
  </si>
  <si>
    <t xml:space="preserve">بداية الاستحقاق هذه السنة</t>
  </si>
  <si>
    <t xml:space="preserve">نهاية الاستحقاق</t>
  </si>
  <si>
    <t xml:space="preserve">أيام العمل المحتسبة</t>
  </si>
  <si>
    <t xml:space="preserve">أيام مكتسبة</t>
  </si>
  <si>
    <t xml:space="preserve">أيام مأخوذة (السجل + اليدوي)</t>
  </si>
  <si>
    <t xml:space="preserve">أيام مصروفة نقداً</t>
  </si>
  <si>
    <t xml:space="preserve">الرصيد الختامي (يوم)</t>
  </si>
  <si>
    <t xml:space="preserve">قيمة المخصص الختامي</t>
  </si>
  <si>
    <t xml:space="preserve">قيمة الرصيد الافتتاحي</t>
  </si>
  <si>
    <t xml:space="preserve">تكلفة الإجازات المأخوذة</t>
  </si>
  <si>
    <t xml:space="preserve">الرصيد (يوم) = الافتتاحي + المكتسب (الاستحقاق السنوي ÷ 365 × أيام العمل المحتسبة) − المأخوذ − المصروف نقداً. الأيام المأخوذة تُسحب من «سجل الإجازات والحالات» (للإجازة ذات الراتب المقدم تُخصم كاملة في شهر صرفها) ومن العمود اليدوي في الحركات. أيام الإجازة بدون راتب والانقطاع لا تُكتسب عنها إجازة. قيمة المخصص = الرصيد × أجر اليوم الحالي.</t>
  </si>
  <si>
    <t xml:space="preserve">يستحق تذكرة؟</t>
  </si>
  <si>
    <t xml:space="preserve">قيمة التذكرة</t>
  </si>
  <si>
    <t xml:space="preserve">الدورية (شهر)</t>
  </si>
  <si>
    <t xml:space="preserve">الرصيد الافتتاحي</t>
  </si>
  <si>
    <t xml:space="preserve">المستخدم خلال الفترة</t>
  </si>
  <si>
    <t xml:space="preserve">ما يعادله من تذاكر</t>
  </si>
  <si>
    <t xml:space="preserve">المكوّن = (قيمة التذكرة ÷ دورية الاستحقاق × 12 ÷ 365) × أيام العمل المحتسبة خلال السنة حتى تاريخ التقرير (تُستبعد الإجازة بدون راتب والانقطاع). المستخدم يُسحب من عمود «قيمة تذاكر مستخدمة» في الحركات الشهرية. «ما يعادله من تذاكر» ≥ 1 يعني أن الموظف استحق تذكرة كاملة.</t>
  </si>
  <si>
    <t xml:space="preserve">🧾 القيود المحاسبية الشهرية للرواتب والمخصصات والتكاليف الحكومية (جاهزة للترحيل)</t>
  </si>
  <si>
    <t xml:space="preserve">رقم الشهر ←</t>
  </si>
  <si>
    <t xml:space="preserve">رمز الحساب</t>
  </si>
  <si>
    <t xml:space="preserve">اسم الحساب</t>
  </si>
  <si>
    <t xml:space="preserve">الطبيعة</t>
  </si>
  <si>
    <t xml:space="preserve">حتى شهر التقرير</t>
  </si>
  <si>
    <t xml:space="preserve">① قيد استحقاق رواتب الشهر</t>
  </si>
  <si>
    <t xml:space="preserve">5101</t>
  </si>
  <si>
    <t xml:space="preserve">مصروف الرواتب الأساسية</t>
  </si>
  <si>
    <t xml:space="preserve">مدين</t>
  </si>
  <si>
    <t xml:space="preserve">5102</t>
  </si>
  <si>
    <t xml:space="preserve">مصروف بدل السكن</t>
  </si>
  <si>
    <t xml:space="preserve">5103</t>
  </si>
  <si>
    <t xml:space="preserve">مصروف بدل النقل</t>
  </si>
  <si>
    <t xml:space="preserve">5104</t>
  </si>
  <si>
    <t xml:space="preserve">مصروف بدلات أخرى</t>
  </si>
  <si>
    <t xml:space="preserve">5105</t>
  </si>
  <si>
    <t xml:space="preserve">مصروف العمل الإضافي</t>
  </si>
  <si>
    <t xml:space="preserve">5106</t>
  </si>
  <si>
    <t xml:space="preserve">مصروف المكافآت والعمولات والإضافات</t>
  </si>
  <si>
    <t xml:space="preserve">5114</t>
  </si>
  <si>
    <t xml:space="preserve">رواتب إجازات مدفوعة مقدماً</t>
  </si>
  <si>
    <t xml:space="preserve">5107</t>
  </si>
  <si>
    <t xml:space="preserve">مصروف التأمينات الاجتماعية (حصة المنشأة)</t>
  </si>
  <si>
    <t xml:space="preserve">2105</t>
  </si>
  <si>
    <t xml:space="preserve">      المؤسسة العامة للتأمينات الاجتماعية — مستحق</t>
  </si>
  <si>
    <t xml:space="preserve">دائن</t>
  </si>
  <si>
    <t xml:space="preserve">1106</t>
  </si>
  <si>
    <t xml:space="preserve">      سلف الموظفين</t>
  </si>
  <si>
    <t xml:space="preserve">4901</t>
  </si>
  <si>
    <t xml:space="preserve">      إيرادات خصومات وجزاءات الموظفين</t>
  </si>
  <si>
    <t xml:space="preserve">2104</t>
  </si>
  <si>
    <t xml:space="preserve">      رواتب مستحقة الدفع</t>
  </si>
  <si>
    <t xml:space="preserve">② قيد تكوين المخصصات</t>
  </si>
  <si>
    <t xml:space="preserve">5108</t>
  </si>
  <si>
    <t xml:space="preserve">مصروف مكافأة نهاية الخدمة</t>
  </si>
  <si>
    <t xml:space="preserve">2202</t>
  </si>
  <si>
    <t xml:space="preserve">      مخصص مكافأة نهاية الخدمة</t>
  </si>
  <si>
    <t xml:space="preserve">5109</t>
  </si>
  <si>
    <t xml:space="preserve">مصروف الإجازات السنوية</t>
  </si>
  <si>
    <t xml:space="preserve">2106</t>
  </si>
  <si>
    <t xml:space="preserve">      مخصص الإجازات السنوية</t>
  </si>
  <si>
    <t xml:space="preserve">5110</t>
  </si>
  <si>
    <t xml:space="preserve">مصروف تذاكر السفر</t>
  </si>
  <si>
    <t xml:space="preserve">2107</t>
  </si>
  <si>
    <t xml:space="preserve">      مخصص تذاكر السفر</t>
  </si>
  <si>
    <t xml:space="preserve">③ تحميل رواتب الإجازات المأخوذة على المخصص</t>
  </si>
  <si>
    <t xml:space="preserve">مخصص الإجازات السنوية (استخدام)</t>
  </si>
  <si>
    <t xml:space="preserve">      مصروف الإجازات السنوية (رد — مُحمَّل على المخصص)</t>
  </si>
  <si>
    <t xml:space="preserve">④ إطفاء رسوم الإقامة ورخص العمل والتأمين الطبي</t>
  </si>
  <si>
    <t xml:space="preserve">5111</t>
  </si>
  <si>
    <t xml:space="preserve">مصروف رسوم الإقامة ورخص العمل والرسوم الحكومية</t>
  </si>
  <si>
    <t xml:space="preserve">1107</t>
  </si>
  <si>
    <t xml:space="preserve">      رسوم حكومية مدفوعة مقدماً</t>
  </si>
  <si>
    <t xml:space="preserve">5112</t>
  </si>
  <si>
    <t xml:space="preserve">مصروف التأمين الطبي</t>
  </si>
  <si>
    <t xml:space="preserve">1108</t>
  </si>
  <si>
    <t xml:space="preserve">      تأمين طبي مدفوع مقدماً</t>
  </si>
  <si>
    <t xml:space="preserve">⑤ صرف الرواتب ومستحقات نهاية الخدمة والتذاكر</t>
  </si>
  <si>
    <t xml:space="preserve">رواتب مستحقة الدفع</t>
  </si>
  <si>
    <t xml:space="preserve">مخصص مكافأة نهاية الخدمة (مدفوع)</t>
  </si>
  <si>
    <t xml:space="preserve">مخصص تذاكر السفر (مستخدم)</t>
  </si>
  <si>
    <t xml:space="preserve">1102</t>
  </si>
  <si>
    <t xml:space="preserve">      البنك</t>
  </si>
  <si>
    <t xml:space="preserve">إجمالي المدين</t>
  </si>
  <si>
    <t xml:space="preserve">إجمالي الدائن</t>
  </si>
  <si>
    <t xml:space="preserve">التوازن</t>
  </si>
  <si>
    <t xml:space="preserve">رموز الحسابات استرشادية — طابقها مع دليل حساباتك (مثلاً 2202 مخصص نهاية الخدمة كما في ملف النظام المحاسبي). القيد ③ ينقل راتب أيام الإجازة المأخوذة من المصروف إلى المخصص حتى لا يُحمَّل مرتين. القيد ④ يفترض أن الرسوم تُسجَّل عند سدادها في «مدفوعة مقدماً» ثم تُطفأ شهرياً. كل خلية مرتبطة مباشرة بصف الإجمالي في مسير الشهر المقابل أو بالحركات الشهرية.</t>
  </si>
  <si>
    <t xml:space="preserve">اختر الشهر (1-12):</t>
  </si>
  <si>
    <t xml:space="preserve">اختر الرقم الوظيفي:</t>
  </si>
  <si>
    <t xml:space="preserve">صف الموظف</t>
  </si>
  <si>
    <t xml:space="preserve">ورقة المسير</t>
  </si>
  <si>
    <t xml:space="preserve">رقم الآيبان</t>
  </si>
  <si>
    <t xml:space="preserve">أيام غياب + بدون أجر</t>
  </si>
  <si>
    <t xml:space="preserve">المستحقات</t>
  </si>
  <si>
    <t xml:space="preserve">الاستقطاعات</t>
  </si>
  <si>
    <t xml:space="preserve">التأمينات الاجتماعية</t>
  </si>
  <si>
    <t xml:space="preserve">أقساط السلف</t>
  </si>
  <si>
    <t xml:space="preserve">صافي الراتب المستحق</t>
  </si>
  <si>
    <t xml:space="preserve">معلومات للمنشأة: التكلفة الكاملة والأرصدة (كما في تاريخ التقرير)</t>
  </si>
  <si>
    <t xml:space="preserve">تأمينات حصة المنشأة</t>
  </si>
  <si>
    <t xml:space="preserve">الإقامة ورخصة العمل للشهر</t>
  </si>
  <si>
    <t xml:space="preserve">التأمين الطبي ورسوم أخرى للشهر</t>
  </si>
  <si>
    <t xml:space="preserve">إجمالي تكلفة الموظف للشهر</t>
  </si>
  <si>
    <t xml:space="preserve">رصيد الإجازات (يوم)</t>
  </si>
  <si>
    <t xml:space="preserve">رصيد مكافأة نهاية الخدمة</t>
  </si>
  <si>
    <t xml:space="preserve">رصيد مخصص التذاكر</t>
  </si>
  <si>
    <t xml:space="preserve">توقيع المحاسب: ....................</t>
  </si>
  <si>
    <t xml:space="preserve">توقيع الموظف: ....................</t>
  </si>
</sst>
</file>

<file path=xl/styles.xml><?xml version="1.0" encoding="utf-8"?>
<styleSheet xmlns="http://schemas.openxmlformats.org/spreadsheetml/2006/main">
  <numFmts count="13">
    <numFmt numFmtId="164" formatCode="General"/>
    <numFmt numFmtId="165" formatCode="0;[RED]\-0;\-"/>
    <numFmt numFmtId="166" formatCode="0.00%;[RED]\-0.00%;\-"/>
    <numFmt numFmtId="167" formatCode="_-* #,##0_-;[RED]_-* \(#,##0\)_-;_-* \-??_-;_-@_-"/>
    <numFmt numFmtId="168" formatCode="0"/>
    <numFmt numFmtId="169" formatCode="#,##0"/>
    <numFmt numFmtId="170" formatCode="yyyy/mm/dd"/>
    <numFmt numFmtId="171" formatCode="0.00"/>
    <numFmt numFmtId="172" formatCode="@"/>
    <numFmt numFmtId="173" formatCode="_-* #,##0.00_-;[RED]_-* \(#,##0.00\)_-;_-* \-??_-;_-@_-"/>
    <numFmt numFmtId="174" formatCode="0.00;[RED]\-0.00;\-"/>
    <numFmt numFmtId="175" formatCode="0.000"/>
    <numFmt numFmtId="176" formatCode="General"/>
  </numFmts>
  <fonts count="52">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i val="true"/>
      <sz val="10"/>
      <color rgb="FFFFFFFF"/>
      <name val="Arial"/>
      <family val="0"/>
      <charset val="1"/>
    </font>
    <font>
      <b val="true"/>
      <sz val="10"/>
      <color rgb="FF2E7D7A"/>
      <name val="Arial"/>
      <family val="0"/>
      <charset val="1"/>
    </font>
    <font>
      <b val="true"/>
      <sz val="11"/>
      <color rgb="FFFFFFFF"/>
      <name val="Arial"/>
      <family val="0"/>
      <charset val="1"/>
    </font>
    <font>
      <b val="true"/>
      <sz val="10"/>
      <color rgb="FFFFFFFF"/>
      <name val="Arial"/>
      <family val="0"/>
      <charset val="1"/>
    </font>
    <font>
      <b val="true"/>
      <sz val="12"/>
      <color rgb="FFFFFFFF"/>
      <name val="Arial"/>
      <family val="0"/>
      <charset val="1"/>
    </font>
    <font>
      <sz val="10"/>
      <color rgb="FF1F2933"/>
      <name val="Arial"/>
      <family val="0"/>
      <charset val="1"/>
    </font>
    <font>
      <b val="true"/>
      <sz val="10"/>
      <color rgb="FF1A4FA0"/>
      <name val="Arial"/>
      <family val="0"/>
      <charset val="1"/>
    </font>
    <font>
      <b val="true"/>
      <sz val="10"/>
      <color rgb="FF1F2933"/>
      <name val="Arial"/>
      <family val="0"/>
      <charset val="1"/>
    </font>
    <font>
      <b val="true"/>
      <sz val="10"/>
      <color rgb="FF2E7D32"/>
      <name val="Arial"/>
      <family val="0"/>
      <charset val="1"/>
    </font>
    <font>
      <b val="true"/>
      <sz val="10"/>
      <color rgb="FF1A73E8"/>
      <name val="Arial"/>
      <family val="0"/>
      <charset val="1"/>
    </font>
    <font>
      <b val="true"/>
      <sz val="10"/>
      <color rgb="FF9A6B00"/>
      <name val="Arial"/>
      <family val="0"/>
      <charset val="1"/>
    </font>
    <font>
      <b val="true"/>
      <sz val="10"/>
      <color rgb="FFC62828"/>
      <name val="Arial"/>
      <family val="0"/>
      <charset val="1"/>
    </font>
    <font>
      <b val="true"/>
      <sz val="11"/>
      <color rgb="FF1F3A5F"/>
      <name val="Arial"/>
      <family val="0"/>
      <charset val="1"/>
    </font>
    <font>
      <b val="true"/>
      <sz val="10"/>
      <color rgb="FF1F3A5F"/>
      <name val="Arial"/>
      <family val="0"/>
      <charset val="1"/>
    </font>
    <font>
      <i val="true"/>
      <sz val="9"/>
      <color rgb="FF5A6772"/>
      <name val="Arial"/>
      <family val="0"/>
      <charset val="1"/>
    </font>
    <font>
      <b val="true"/>
      <sz val="10"/>
      <color rgb="FF5A6772"/>
      <name val="Arial"/>
      <family val="0"/>
      <charset val="1"/>
    </font>
    <font>
      <b val="true"/>
      <sz val="9"/>
      <color rgb="FF5A6772"/>
      <name val="Arial"/>
      <family val="0"/>
      <charset val="1"/>
    </font>
    <font>
      <b val="true"/>
      <sz val="15"/>
      <color rgb="FF1F3A5F"/>
      <name val="Arial"/>
      <family val="0"/>
      <charset val="1"/>
    </font>
    <font>
      <b val="true"/>
      <sz val="15"/>
      <color rgb="FF1A73E8"/>
      <name val="Arial"/>
      <family val="0"/>
      <charset val="1"/>
    </font>
    <font>
      <b val="true"/>
      <sz val="15"/>
      <color rgb="FF2E7D32"/>
      <name val="Arial"/>
      <family val="0"/>
      <charset val="1"/>
    </font>
    <font>
      <b val="true"/>
      <sz val="15"/>
      <color rgb="FF2E7D7A"/>
      <name val="Arial"/>
      <family val="0"/>
      <charset val="1"/>
    </font>
    <font>
      <b val="true"/>
      <sz val="15"/>
      <color rgb="FFC62828"/>
      <name val="Arial"/>
      <family val="0"/>
      <charset val="1"/>
    </font>
    <font>
      <b val="true"/>
      <sz val="15"/>
      <color rgb="FF5E35B1"/>
      <name val="Arial"/>
      <family val="0"/>
      <charset val="1"/>
    </font>
    <font>
      <b val="true"/>
      <sz val="15"/>
      <color rgb="FF8D6E63"/>
      <name val="Arial"/>
      <family val="0"/>
      <charset val="1"/>
    </font>
    <font>
      <b val="true"/>
      <sz val="15"/>
      <color rgb="FF9A6B00"/>
      <name val="Arial"/>
      <family val="0"/>
      <charset val="1"/>
    </font>
    <font>
      <b val="true"/>
      <sz val="11"/>
      <color rgb="FF1F2933"/>
      <name val="Arial"/>
      <family val="0"/>
      <charset val="1"/>
    </font>
    <font>
      <b val="true"/>
      <sz val="9"/>
      <color rgb="FF1F2933"/>
      <name val="Arial"/>
      <family val="0"/>
      <charset val="1"/>
    </font>
    <font>
      <b val="true"/>
      <sz val="18"/>
      <color rgb="FF000000"/>
      <name val="FreeSans"/>
      <family val="2"/>
    </font>
    <font>
      <sz val="10"/>
      <color rgb="FF000000"/>
      <name val="Calibri"/>
      <family val="2"/>
    </font>
    <font>
      <b val="true"/>
      <sz val="11"/>
      <color rgb="FF1A4FA0"/>
      <name val="Arial"/>
      <family val="0"/>
      <charset val="1"/>
    </font>
    <font>
      <sz val="9"/>
      <color rgb="FF5A6772"/>
      <name val="Arial"/>
      <family val="0"/>
      <charset val="1"/>
    </font>
    <font>
      <sz val="10"/>
      <color rgb="FF1A4FA0"/>
      <name val="Arial"/>
      <family val="0"/>
      <charset val="1"/>
    </font>
    <font>
      <sz val="10"/>
      <color rgb="FF5A6772"/>
      <name val="Arial"/>
      <family val="0"/>
      <charset val="1"/>
    </font>
    <font>
      <sz val="10"/>
      <name val="FreeSans"/>
      <family val="2"/>
    </font>
    <font>
      <sz val="10"/>
      <name val="Arial"/>
      <family val="2"/>
    </font>
    <font>
      <b val="true"/>
      <sz val="9"/>
      <color rgb="FFFFFFFF"/>
      <name val="Arial"/>
      <family val="0"/>
      <charset val="1"/>
    </font>
    <font>
      <b val="true"/>
      <sz val="8"/>
      <color rgb="FFFFFFFF"/>
      <name val="Arial"/>
      <family val="0"/>
      <charset val="1"/>
    </font>
    <font>
      <b val="true"/>
      <sz val="12"/>
      <color rgb="FF1F3A5F"/>
      <name val="Arial"/>
      <family val="0"/>
      <charset val="1"/>
    </font>
    <font>
      <b val="true"/>
      <sz val="10"/>
      <color rgb="FF5E35B1"/>
      <name val="Arial"/>
      <family val="0"/>
      <charset val="1"/>
    </font>
    <font>
      <sz val="8"/>
      <color rgb="FF5A6772"/>
      <name val="Arial"/>
      <family val="0"/>
      <charset val="1"/>
    </font>
    <font>
      <sz val="10"/>
      <color rgb="FF9A6B00"/>
      <name val="Arial"/>
      <family val="0"/>
      <charset val="1"/>
    </font>
    <font>
      <b val="true"/>
      <sz val="9"/>
      <color rgb="FF9A6B00"/>
      <name val="Arial"/>
      <family val="0"/>
      <charset val="1"/>
    </font>
    <font>
      <b val="true"/>
      <sz val="12"/>
      <color rgb="FF1A4FA0"/>
      <name val="Arial"/>
      <family val="0"/>
      <charset val="1"/>
    </font>
    <font>
      <b val="true"/>
      <sz val="13"/>
      <color rgb="FFFFFFFF"/>
      <name val="Arial"/>
      <family val="0"/>
      <charset val="1"/>
    </font>
    <font>
      <b val="true"/>
      <sz val="8"/>
      <color rgb="FF1F2933"/>
      <name val="Arial"/>
      <family val="0"/>
      <charset val="1"/>
    </font>
    <font>
      <b val="true"/>
      <sz val="14"/>
      <color rgb="FFFFFFFF"/>
      <name val="Arial"/>
      <family val="0"/>
      <charset val="1"/>
    </font>
    <font>
      <b val="true"/>
      <sz val="16"/>
      <color rgb="FFFFFFFF"/>
      <name val="Arial"/>
      <family val="0"/>
      <charset val="1"/>
    </font>
  </fonts>
  <fills count="25">
    <fill>
      <patternFill patternType="none"/>
    </fill>
    <fill>
      <patternFill patternType="gray125"/>
    </fill>
    <fill>
      <patternFill patternType="solid">
        <fgColor rgb="FF1F3A5F"/>
        <bgColor rgb="FF1F2933"/>
      </patternFill>
    </fill>
    <fill>
      <patternFill patternType="solid">
        <fgColor rgb="FF2C5282"/>
        <bgColor rgb="FF1A4FA0"/>
      </patternFill>
    </fill>
    <fill>
      <patternFill patternType="solid">
        <fgColor rgb="FF9A6B00"/>
        <bgColor rgb="FFB7791F"/>
      </patternFill>
    </fill>
    <fill>
      <patternFill patternType="solid">
        <fgColor rgb="FFB7791F"/>
        <bgColor rgb="FF9A6B00"/>
      </patternFill>
    </fill>
    <fill>
      <patternFill patternType="solid">
        <fgColor rgb="FF2E7D7A"/>
        <bgColor rgb="FF2E7D32"/>
      </patternFill>
    </fill>
    <fill>
      <patternFill patternType="solid">
        <fgColor rgb="FFFFFFFF"/>
        <bgColor rgb="FFF5F8FB"/>
      </patternFill>
    </fill>
    <fill>
      <patternFill patternType="solid">
        <fgColor rgb="FFC05621"/>
        <bgColor rgb="FFC0504D"/>
      </patternFill>
    </fill>
    <fill>
      <patternFill patternType="solid">
        <fgColor rgb="FF5E35B1"/>
        <bgColor rgb="FF311B92"/>
      </patternFill>
    </fill>
    <fill>
      <patternFill patternType="solid">
        <fgColor rgb="FFFFF8E1"/>
        <bgColor rgb="FFFFF3CD"/>
      </patternFill>
    </fill>
    <fill>
      <patternFill patternType="solid">
        <fgColor rgb="FFF2F4F7"/>
        <bgColor rgb="FFF5F8FB"/>
      </patternFill>
    </fill>
    <fill>
      <patternFill patternType="solid">
        <fgColor rgb="FFE8F5E9"/>
        <bgColor rgb="FFF2F4F7"/>
      </patternFill>
    </fill>
    <fill>
      <patternFill patternType="solid">
        <fgColor rgb="FFE3F2FD"/>
        <bgColor rgb="FFDCEFEE"/>
      </patternFill>
    </fill>
    <fill>
      <patternFill patternType="solid">
        <fgColor rgb="FFFFF3CD"/>
        <bgColor rgb="FFFFF8E1"/>
      </patternFill>
    </fill>
    <fill>
      <patternFill patternType="solid">
        <fgColor rgb="FFFDECEA"/>
        <bgColor rgb="FFF3E5F5"/>
      </patternFill>
    </fill>
    <fill>
      <patternFill patternType="solid">
        <fgColor rgb="FFDCEFEE"/>
        <bgColor rgb="FFE3F2FD"/>
      </patternFill>
    </fill>
    <fill>
      <patternFill patternType="solid">
        <fgColor rgb="FF2E7D32"/>
        <bgColor rgb="FF2E7D7A"/>
      </patternFill>
    </fill>
    <fill>
      <patternFill patternType="solid">
        <fgColor rgb="FFF5F8FB"/>
        <bgColor rgb="FFF2F4F7"/>
      </patternFill>
    </fill>
    <fill>
      <patternFill patternType="solid">
        <fgColor rgb="FF8D6E63"/>
        <bgColor rgb="FF878787"/>
      </patternFill>
    </fill>
    <fill>
      <patternFill patternType="solid">
        <fgColor rgb="FFC62828"/>
        <bgColor rgb="FFC0504D"/>
      </patternFill>
    </fill>
    <fill>
      <patternFill patternType="solid">
        <fgColor rgb="FF4A5568"/>
        <bgColor rgb="FF5A6772"/>
      </patternFill>
    </fill>
    <fill>
      <patternFill patternType="solid">
        <fgColor rgb="FF311B92"/>
        <bgColor rgb="FF1F3A5F"/>
      </patternFill>
    </fill>
    <fill>
      <patternFill patternType="solid">
        <fgColor rgb="FF8795A1"/>
        <bgColor rgb="FF878787"/>
      </patternFill>
    </fill>
    <fill>
      <patternFill patternType="solid">
        <fgColor rgb="FF1A73E8"/>
        <bgColor rgb="FF4F81BD"/>
      </patternFill>
    </fill>
  </fills>
  <borders count="12">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style="thin">
        <color rgb="FFFFFFFF"/>
      </left>
      <right style="thin">
        <color rgb="FFFFFFFF"/>
      </right>
      <top style="thin">
        <color rgb="FFFFFFFF"/>
      </top>
      <bottom style="medium">
        <color rgb="FF1F3A5F"/>
      </bottom>
      <diagonal/>
    </border>
    <border diagonalUp="false" diagonalDown="false">
      <left style="thin">
        <color rgb="FFC9D3DD"/>
      </left>
      <right style="thin">
        <color rgb="FFC9D3DD"/>
      </right>
      <top style="medium">
        <color rgb="FF1F3A5F"/>
      </top>
      <bottom/>
      <diagonal/>
    </border>
    <border diagonalUp="false" diagonalDown="false">
      <left style="thin">
        <color rgb="FFC9D3DD"/>
      </left>
      <right style="thin">
        <color rgb="FFC9D3DD"/>
      </right>
      <top style="medium">
        <color rgb="FF1A73E8"/>
      </top>
      <bottom/>
      <diagonal/>
    </border>
    <border diagonalUp="false" diagonalDown="false">
      <left style="thin">
        <color rgb="FFC9D3DD"/>
      </left>
      <right style="thin">
        <color rgb="FFC9D3DD"/>
      </right>
      <top style="medium">
        <color rgb="FF2E7D32"/>
      </top>
      <bottom/>
      <diagonal/>
    </border>
    <border diagonalUp="false" diagonalDown="false">
      <left style="thin">
        <color rgb="FFC9D3DD"/>
      </left>
      <right style="thin">
        <color rgb="FFC9D3DD"/>
      </right>
      <top style="medium">
        <color rgb="FF2E7D7A"/>
      </top>
      <bottom/>
      <diagonal/>
    </border>
    <border diagonalUp="false" diagonalDown="false">
      <left style="thin">
        <color rgb="FFC9D3DD"/>
      </left>
      <right style="thin">
        <color rgb="FFC9D3DD"/>
      </right>
      <top/>
      <bottom style="thin">
        <color rgb="FFC9D3DD"/>
      </bottom>
      <diagonal/>
    </border>
    <border diagonalUp="false" diagonalDown="false">
      <left style="thin">
        <color rgb="FFC9D3DD"/>
      </left>
      <right style="thin">
        <color rgb="FFC9D3DD"/>
      </right>
      <top style="medium">
        <color rgb="FFC62828"/>
      </top>
      <bottom/>
      <diagonal/>
    </border>
    <border diagonalUp="false" diagonalDown="false">
      <left style="thin">
        <color rgb="FFC9D3DD"/>
      </left>
      <right style="thin">
        <color rgb="FFC9D3DD"/>
      </right>
      <top style="medium">
        <color rgb="FF5E35B1"/>
      </top>
      <bottom/>
      <diagonal/>
    </border>
    <border diagonalUp="false" diagonalDown="false">
      <left style="thin">
        <color rgb="FFC9D3DD"/>
      </left>
      <right style="thin">
        <color rgb="FFC9D3DD"/>
      </right>
      <top style="medium">
        <color rgb="FF8D6E63"/>
      </top>
      <bottom/>
      <diagonal/>
    </border>
    <border diagonalUp="false" diagonalDown="false">
      <left style="thin">
        <color rgb="FFC9D3DD"/>
      </left>
      <right style="thin">
        <color rgb="FFC9D3DD"/>
      </right>
      <top style="medium">
        <color rgb="FF9A6B0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readingOrder="2"/>
      <protection locked="true" hidden="false"/>
    </xf>
    <xf numFmtId="164" fontId="5" fillId="3" borderId="0" xfId="0" applyFont="true" applyBorder="true" applyAlignment="true" applyProtection="false">
      <alignment horizontal="center" vertical="center" textRotation="0" wrapText="false" indent="0" shrinkToFit="false" readingOrder="2"/>
      <protection locked="true" hidden="false"/>
    </xf>
    <xf numFmtId="164" fontId="6" fillId="0" borderId="0" xfId="0" applyFont="true" applyBorder="true" applyAlignment="true" applyProtection="false">
      <alignment horizontal="center" vertical="center" textRotation="0" wrapText="true" indent="0" shrinkToFit="false" readingOrder="2"/>
      <protection locked="true" hidden="false"/>
    </xf>
    <xf numFmtId="164" fontId="7" fillId="2" borderId="0" xfId="0" applyFont="true" applyBorder="true" applyAlignment="true" applyProtection="false">
      <alignment horizontal="right" vertical="center" textRotation="0" wrapText="false" indent="1" shrinkToFit="false" readingOrder="2"/>
      <protection locked="true" hidden="false"/>
    </xf>
    <xf numFmtId="164" fontId="7" fillId="4" borderId="0" xfId="0" applyFont="true" applyBorder="true" applyAlignment="true" applyProtection="false">
      <alignment horizontal="right" vertical="center" textRotation="0" wrapText="false" indent="1"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8" fillId="5" borderId="2" xfId="0" applyFont="true" applyBorder="true" applyAlignment="true" applyProtection="false">
      <alignment horizontal="center" vertical="center" textRotation="0" wrapText="false" indent="0" shrinkToFit="false" readingOrder="2"/>
      <protection locked="true" hidden="false"/>
    </xf>
    <xf numFmtId="164" fontId="9" fillId="6" borderId="1" xfId="0" applyFont="true" applyBorder="true" applyAlignment="true" applyProtection="false">
      <alignment horizontal="center" vertical="center" textRotation="0" wrapText="false" indent="0" shrinkToFit="false" readingOrder="2"/>
      <protection locked="true" hidden="false"/>
    </xf>
    <xf numFmtId="164" fontId="8" fillId="3" borderId="2" xfId="0" applyFont="true" applyBorder="true" applyAlignment="true" applyProtection="false">
      <alignment horizontal="center" vertical="center" textRotation="0" wrapText="false" indent="0" shrinkToFit="false" readingOrder="2"/>
      <protection locked="true" hidden="false"/>
    </xf>
    <xf numFmtId="164" fontId="10" fillId="7" borderId="1" xfId="0" applyFont="true" applyBorder="true" applyAlignment="true" applyProtection="false">
      <alignment horizontal="right" vertical="center" textRotation="0" wrapText="true" indent="0" shrinkToFit="false" readingOrder="2"/>
      <protection locked="true" hidden="false"/>
    </xf>
    <xf numFmtId="164" fontId="8" fillId="8" borderId="2" xfId="0" applyFont="true" applyBorder="true" applyAlignment="true" applyProtection="false">
      <alignment horizontal="center" vertical="center" textRotation="0" wrapText="false" indent="0" shrinkToFit="false" readingOrder="2"/>
      <protection locked="true" hidden="false"/>
    </xf>
    <xf numFmtId="164" fontId="8" fillId="9" borderId="2" xfId="0" applyFont="true" applyBorder="true" applyAlignment="true" applyProtection="false">
      <alignment horizontal="center" vertical="center" textRotation="0" wrapText="false" indent="0" shrinkToFit="false" readingOrder="2"/>
      <protection locked="true" hidden="false"/>
    </xf>
    <xf numFmtId="164" fontId="11" fillId="10" borderId="1" xfId="0" applyFont="true" applyBorder="true" applyAlignment="true" applyProtection="false">
      <alignment horizontal="center" vertical="center" textRotation="0" wrapText="false" indent="0" shrinkToFit="false" readingOrder="2"/>
      <protection locked="true" hidden="false"/>
    </xf>
    <xf numFmtId="164" fontId="10" fillId="7" borderId="1" xfId="0" applyFont="true" applyBorder="true" applyAlignment="true" applyProtection="false">
      <alignment horizontal="right" vertical="center" textRotation="0" wrapText="false" indent="0" shrinkToFit="false" readingOrder="2"/>
      <protection locked="true" hidden="false"/>
    </xf>
    <xf numFmtId="164" fontId="12" fillId="11" borderId="1" xfId="0" applyFont="true" applyBorder="true" applyAlignment="true" applyProtection="false">
      <alignment horizontal="center" vertical="center" textRotation="0" wrapText="false" indent="0" shrinkToFit="false" readingOrder="2"/>
      <protection locked="true" hidden="false"/>
    </xf>
    <xf numFmtId="164" fontId="13" fillId="12" borderId="1" xfId="0" applyFont="true" applyBorder="true" applyAlignment="true" applyProtection="false">
      <alignment horizontal="center" vertical="center" textRotation="0" wrapText="false" indent="0" shrinkToFit="false" readingOrder="2"/>
      <protection locked="true" hidden="false"/>
    </xf>
    <xf numFmtId="164" fontId="14" fillId="13" borderId="1" xfId="0" applyFont="true" applyBorder="true" applyAlignment="true" applyProtection="false">
      <alignment horizontal="center" vertical="center" textRotation="0" wrapText="false" indent="0" shrinkToFit="false" readingOrder="2"/>
      <protection locked="true" hidden="false"/>
    </xf>
    <xf numFmtId="164" fontId="15" fillId="14" borderId="1" xfId="0" applyFont="true" applyBorder="true" applyAlignment="true" applyProtection="false">
      <alignment horizontal="center" vertical="center" textRotation="0" wrapText="false" indent="0" shrinkToFit="false" readingOrder="2"/>
      <protection locked="true" hidden="false"/>
    </xf>
    <xf numFmtId="164" fontId="16" fillId="15" borderId="1" xfId="0" applyFont="true" applyBorder="true" applyAlignment="true" applyProtection="false">
      <alignment horizontal="center" vertical="center" textRotation="0" wrapText="false" indent="0" shrinkToFit="false" readingOrder="2"/>
      <protection locked="true" hidden="false"/>
    </xf>
    <xf numFmtId="164" fontId="7" fillId="6" borderId="0" xfId="0" applyFont="true" applyBorder="true" applyAlignment="true" applyProtection="false">
      <alignment horizontal="right" vertical="center" textRotation="0" wrapText="false" indent="1" shrinkToFit="false" readingOrder="2"/>
      <protection locked="true" hidden="false"/>
    </xf>
    <xf numFmtId="164" fontId="17" fillId="16" borderId="0" xfId="0" applyFont="true" applyBorder="true" applyAlignment="true" applyProtection="false">
      <alignment horizontal="center" vertical="center" textRotation="0" wrapText="true" indent="0" shrinkToFit="false" readingOrder="2"/>
      <protection locked="true" hidden="false"/>
    </xf>
    <xf numFmtId="164" fontId="7" fillId="17" borderId="0" xfId="0" applyFont="true" applyBorder="true" applyAlignment="true" applyProtection="false">
      <alignment horizontal="right" vertical="center" textRotation="0" wrapText="false" indent="1" shrinkToFit="false" readingOrder="2"/>
      <protection locked="true" hidden="false"/>
    </xf>
    <xf numFmtId="164" fontId="18" fillId="18" borderId="1" xfId="0" applyFont="true" applyBorder="true" applyAlignment="true" applyProtection="false">
      <alignment horizontal="right" vertical="center" textRotation="0" wrapText="true" indent="0" shrinkToFit="false" readingOrder="2"/>
      <protection locked="true" hidden="false"/>
    </xf>
    <xf numFmtId="164" fontId="19" fillId="0" borderId="0" xfId="0" applyFont="true" applyBorder="true" applyAlignment="true" applyProtection="false">
      <alignment horizontal="right" vertical="center" textRotation="0" wrapText="true" indent="0" shrinkToFit="false" readingOrder="2"/>
      <protection locked="true" hidden="false"/>
    </xf>
    <xf numFmtId="164" fontId="8" fillId="2" borderId="2" xfId="0" applyFont="true" applyBorder="true" applyAlignment="true" applyProtection="false">
      <alignment horizontal="center" vertical="center" textRotation="0" wrapText="false" indent="0" shrinkToFit="false" readingOrder="2"/>
      <protection locked="true" hidden="false"/>
    </xf>
    <xf numFmtId="164" fontId="8" fillId="6" borderId="2" xfId="0" applyFont="true" applyBorder="true" applyAlignment="true" applyProtection="false">
      <alignment horizontal="center" vertical="center" textRotation="0" wrapText="false" indent="0" shrinkToFit="false" readingOrder="2"/>
      <protection locked="true" hidden="false"/>
    </xf>
    <xf numFmtId="164" fontId="8" fillId="17" borderId="2" xfId="0" applyFont="true" applyBorder="true" applyAlignment="true" applyProtection="false">
      <alignment horizontal="center" vertical="center" textRotation="0" wrapText="false" indent="0" shrinkToFit="false" readingOrder="2"/>
      <protection locked="true" hidden="false"/>
    </xf>
    <xf numFmtId="164" fontId="8" fillId="19" borderId="2" xfId="0" applyFont="true" applyBorder="true" applyAlignment="true" applyProtection="false">
      <alignment horizontal="center" vertical="center" textRotation="0" wrapText="false" indent="0" shrinkToFit="false" readingOrder="2"/>
      <protection locked="true" hidden="false"/>
    </xf>
    <xf numFmtId="164" fontId="20" fillId="0" borderId="0" xfId="0" applyFont="true" applyBorder="false" applyAlignment="true" applyProtection="false">
      <alignment horizontal="left" vertical="center" textRotation="0" wrapText="false" indent="0" shrinkToFit="false" readingOrder="2"/>
      <protection locked="true" hidden="false"/>
    </xf>
    <xf numFmtId="164" fontId="17" fillId="10" borderId="1" xfId="0" applyFont="true" applyBorder="true" applyAlignment="true" applyProtection="false">
      <alignment horizontal="center" vertical="center" textRotation="0" wrapText="false" indent="0" shrinkToFit="false" readingOrder="2"/>
      <protection locked="true" hidden="false"/>
    </xf>
    <xf numFmtId="164" fontId="8" fillId="4" borderId="2" xfId="0" applyFont="true" applyBorder="true" applyAlignment="true" applyProtection="false">
      <alignment horizontal="center" vertical="center" textRotation="0" wrapText="false" indent="0" shrinkToFit="false" readingOrder="2"/>
      <protection locked="true" hidden="false"/>
    </xf>
    <xf numFmtId="164" fontId="21" fillId="7" borderId="3" xfId="0" applyFont="true" applyBorder="true" applyAlignment="true" applyProtection="false">
      <alignment horizontal="center" vertical="center" textRotation="0" wrapText="true" indent="0" shrinkToFit="false" readingOrder="2"/>
      <protection locked="true" hidden="false"/>
    </xf>
    <xf numFmtId="164" fontId="21" fillId="7" borderId="4" xfId="0" applyFont="true" applyBorder="true" applyAlignment="true" applyProtection="false">
      <alignment horizontal="center" vertical="center" textRotation="0" wrapText="true" indent="0" shrinkToFit="false" readingOrder="2"/>
      <protection locked="true" hidden="false"/>
    </xf>
    <xf numFmtId="164" fontId="21" fillId="7" borderId="5" xfId="0" applyFont="true" applyBorder="true" applyAlignment="true" applyProtection="false">
      <alignment horizontal="center" vertical="center" textRotation="0" wrapText="true" indent="0" shrinkToFit="false" readingOrder="2"/>
      <protection locked="true" hidden="false"/>
    </xf>
    <xf numFmtId="164" fontId="21" fillId="7" borderId="6" xfId="0" applyFont="true" applyBorder="true" applyAlignment="true" applyProtection="false">
      <alignment horizontal="center" vertical="center" textRotation="0" wrapText="true" indent="0" shrinkToFit="false" readingOrder="2"/>
      <protection locked="true" hidden="false"/>
    </xf>
    <xf numFmtId="165" fontId="22" fillId="7" borderId="7" xfId="0" applyFont="true" applyBorder="true" applyAlignment="true" applyProtection="false">
      <alignment horizontal="center" vertical="center" textRotation="0" wrapText="false" indent="0" shrinkToFit="false" readingOrder="2"/>
      <protection locked="true" hidden="false"/>
    </xf>
    <xf numFmtId="165" fontId="23" fillId="7" borderId="7" xfId="0" applyFont="true" applyBorder="true" applyAlignment="true" applyProtection="false">
      <alignment horizontal="center" vertical="center" textRotation="0" wrapText="false" indent="0" shrinkToFit="false" readingOrder="2"/>
      <protection locked="true" hidden="false"/>
    </xf>
    <xf numFmtId="166" fontId="24" fillId="7" borderId="7" xfId="0" applyFont="true" applyBorder="true" applyAlignment="true" applyProtection="false">
      <alignment horizontal="center" vertical="center" textRotation="0" wrapText="false" indent="0" shrinkToFit="false" readingOrder="2"/>
      <protection locked="true" hidden="false"/>
    </xf>
    <xf numFmtId="167" fontId="25" fillId="7" borderId="7" xfId="0" applyFont="true" applyBorder="true" applyAlignment="true" applyProtection="false">
      <alignment horizontal="center" vertical="center" textRotation="0" wrapText="false" indent="0" shrinkToFit="false" readingOrder="2"/>
      <protection locked="true" hidden="false"/>
    </xf>
    <xf numFmtId="164" fontId="21" fillId="7" borderId="8" xfId="0" applyFont="true" applyBorder="true" applyAlignment="true" applyProtection="false">
      <alignment horizontal="center" vertical="center" textRotation="0" wrapText="true" indent="0" shrinkToFit="false" readingOrder="2"/>
      <protection locked="true" hidden="false"/>
    </xf>
    <xf numFmtId="164" fontId="21" fillId="7" borderId="9" xfId="0" applyFont="true" applyBorder="true" applyAlignment="true" applyProtection="false">
      <alignment horizontal="center" vertical="center" textRotation="0" wrapText="true" indent="0" shrinkToFit="false" readingOrder="2"/>
      <protection locked="true" hidden="false"/>
    </xf>
    <xf numFmtId="167" fontId="24" fillId="7" borderId="7" xfId="0" applyFont="true" applyBorder="true" applyAlignment="true" applyProtection="false">
      <alignment horizontal="center" vertical="center" textRotation="0" wrapText="false" indent="0" shrinkToFit="false" readingOrder="2"/>
      <protection locked="true" hidden="false"/>
    </xf>
    <xf numFmtId="167" fontId="26" fillId="7" borderId="7" xfId="0" applyFont="true" applyBorder="true" applyAlignment="true" applyProtection="false">
      <alignment horizontal="center" vertical="center" textRotation="0" wrapText="false" indent="0" shrinkToFit="false" readingOrder="2"/>
      <protection locked="true" hidden="false"/>
    </xf>
    <xf numFmtId="167" fontId="27" fillId="7" borderId="7" xfId="0" applyFont="true" applyBorder="true" applyAlignment="true" applyProtection="false">
      <alignment horizontal="center" vertical="center" textRotation="0" wrapText="false" indent="0" shrinkToFit="false" readingOrder="2"/>
      <protection locked="true" hidden="false"/>
    </xf>
    <xf numFmtId="164" fontId="7" fillId="19" borderId="0" xfId="0" applyFont="true" applyBorder="true" applyAlignment="true" applyProtection="false">
      <alignment horizontal="right" vertical="center" textRotation="0" wrapText="false" indent="1" shrinkToFit="false" readingOrder="2"/>
      <protection locked="true" hidden="false"/>
    </xf>
    <xf numFmtId="164" fontId="21" fillId="7" borderId="10" xfId="0" applyFont="true" applyBorder="true" applyAlignment="true" applyProtection="false">
      <alignment horizontal="center" vertical="center" textRotation="0" wrapText="true" indent="0" shrinkToFit="false" readingOrder="2"/>
      <protection locked="true" hidden="false"/>
    </xf>
    <xf numFmtId="167" fontId="28" fillId="7" borderId="7" xfId="0" applyFont="true" applyBorder="true" applyAlignment="true" applyProtection="false">
      <alignment horizontal="center" vertical="center" textRotation="0" wrapText="false" indent="0" shrinkToFit="false" readingOrder="2"/>
      <protection locked="true" hidden="false"/>
    </xf>
    <xf numFmtId="164" fontId="21" fillId="7" borderId="11" xfId="0" applyFont="true" applyBorder="true" applyAlignment="true" applyProtection="false">
      <alignment horizontal="center" vertical="center" textRotation="0" wrapText="true" indent="0" shrinkToFit="false" readingOrder="2"/>
      <protection locked="true" hidden="false"/>
    </xf>
    <xf numFmtId="167" fontId="29" fillId="7" borderId="7" xfId="0" applyFont="true" applyBorder="true" applyAlignment="true" applyProtection="false">
      <alignment horizontal="center" vertical="center" textRotation="0" wrapText="false" indent="0" shrinkToFit="false" readingOrder="2"/>
      <protection locked="true" hidden="false"/>
    </xf>
    <xf numFmtId="167" fontId="23" fillId="7" borderId="7" xfId="0" applyFont="true" applyBorder="true" applyAlignment="true" applyProtection="false">
      <alignment horizontal="center" vertical="center" textRotation="0" wrapText="false" indent="0" shrinkToFit="false" readingOrder="2"/>
      <protection locked="true" hidden="false"/>
    </xf>
    <xf numFmtId="167" fontId="22" fillId="7" borderId="7" xfId="0" applyFont="true" applyBorder="true" applyAlignment="true" applyProtection="false">
      <alignment horizontal="center" vertical="center" textRotation="0" wrapText="false" indent="0" shrinkToFit="false" readingOrder="2"/>
      <protection locked="true" hidden="false"/>
    </xf>
    <xf numFmtId="164" fontId="7" fillId="20" borderId="0" xfId="0" applyFont="true" applyBorder="true" applyAlignment="true" applyProtection="false">
      <alignment horizontal="right" vertical="center" textRotation="0" wrapText="false" indent="1" shrinkToFit="false" readingOrder="2"/>
      <protection locked="true" hidden="false"/>
    </xf>
    <xf numFmtId="168" fontId="30" fillId="7" borderId="1" xfId="0" applyFont="true" applyBorder="true" applyAlignment="true" applyProtection="false">
      <alignment horizontal="center" vertical="center" textRotation="0" wrapText="false" indent="0" shrinkToFit="false" readingOrder="2"/>
      <protection locked="true" hidden="false"/>
    </xf>
    <xf numFmtId="164" fontId="30" fillId="7" borderId="1" xfId="0" applyFont="true" applyBorder="true" applyAlignment="true" applyProtection="false">
      <alignment horizontal="center" vertical="center" textRotation="0" wrapText="false" indent="0" shrinkToFit="false" readingOrder="2"/>
      <protection locked="true" hidden="false"/>
    </xf>
    <xf numFmtId="164" fontId="8" fillId="17" borderId="1" xfId="0" applyFont="true" applyBorder="true" applyAlignment="true" applyProtection="false">
      <alignment horizontal="center" vertical="center" textRotation="0" wrapText="true" indent="0" shrinkToFit="false" readingOrder="2"/>
      <protection locked="true" hidden="false"/>
    </xf>
    <xf numFmtId="164" fontId="12" fillId="7" borderId="1" xfId="0" applyFont="true" applyBorder="true" applyAlignment="true" applyProtection="false">
      <alignment horizontal="center" vertical="center" textRotation="0" wrapText="false" indent="0" shrinkToFit="false" readingOrder="2"/>
      <protection locked="true" hidden="false"/>
    </xf>
    <xf numFmtId="165" fontId="10" fillId="7" borderId="1" xfId="0" applyFont="true" applyBorder="true" applyAlignment="true" applyProtection="false">
      <alignment horizontal="center" vertical="center" textRotation="0" wrapText="false" indent="0" shrinkToFit="false" readingOrder="2"/>
      <protection locked="true" hidden="false"/>
    </xf>
    <xf numFmtId="166" fontId="10" fillId="7" borderId="1" xfId="0" applyFont="true" applyBorder="true" applyAlignment="true" applyProtection="false">
      <alignment horizontal="center" vertical="center" textRotation="0" wrapText="false" indent="0" shrinkToFit="false" readingOrder="2"/>
      <protection locked="true" hidden="false"/>
    </xf>
    <xf numFmtId="167" fontId="10" fillId="7" borderId="1" xfId="0" applyFont="true" applyBorder="true" applyAlignment="true" applyProtection="false">
      <alignment horizontal="center" vertical="center" textRotation="0" wrapText="false" indent="0" shrinkToFit="false" readingOrder="2"/>
      <protection locked="true" hidden="false"/>
    </xf>
    <xf numFmtId="164" fontId="7" fillId="3" borderId="0" xfId="0" applyFont="true" applyBorder="true" applyAlignment="true" applyProtection="false">
      <alignment horizontal="right" vertical="center" textRotation="0" wrapText="false" indent="1" shrinkToFit="false" readingOrder="2"/>
      <protection locked="true" hidden="false"/>
    </xf>
    <xf numFmtId="164" fontId="8" fillId="3" borderId="1" xfId="0" applyFont="true" applyBorder="true" applyAlignment="true" applyProtection="false">
      <alignment horizontal="center" vertical="center" textRotation="0" wrapText="true" indent="0" shrinkToFit="false" readingOrder="2"/>
      <protection locked="true" hidden="false"/>
    </xf>
    <xf numFmtId="164" fontId="12" fillId="7" borderId="1" xfId="0" applyFont="true" applyBorder="true" applyAlignment="true" applyProtection="false">
      <alignment horizontal="right" vertical="center" textRotation="0" wrapText="false" indent="0" shrinkToFit="false" readingOrder="2"/>
      <protection locked="true" hidden="false"/>
    </xf>
    <xf numFmtId="167" fontId="12" fillId="7" borderId="1" xfId="0" applyFont="true" applyBorder="true" applyAlignment="true" applyProtection="false">
      <alignment horizontal="center" vertical="center" textRotation="0" wrapText="false" indent="0" shrinkToFit="false" readingOrder="2"/>
      <protection locked="true" hidden="false"/>
    </xf>
    <xf numFmtId="164" fontId="8" fillId="3" borderId="1" xfId="0" applyFont="true" applyBorder="true" applyAlignment="true" applyProtection="false">
      <alignment horizontal="center" vertical="center" textRotation="0" wrapText="false" indent="0" shrinkToFit="false" readingOrder="2"/>
      <protection locked="true" hidden="false"/>
    </xf>
    <xf numFmtId="165" fontId="8" fillId="3" borderId="1" xfId="0" applyFont="true" applyBorder="true" applyAlignment="true" applyProtection="false">
      <alignment horizontal="center" vertical="center" textRotation="0" wrapText="false" indent="0" shrinkToFit="false" readingOrder="2"/>
      <protection locked="true" hidden="false"/>
    </xf>
    <xf numFmtId="167" fontId="8" fillId="3" borderId="1" xfId="0" applyFont="true" applyBorder="true" applyAlignment="true" applyProtection="false">
      <alignment horizontal="center" vertical="center" textRotation="0" wrapText="false" indent="0" shrinkToFit="false" readingOrder="2"/>
      <protection locked="true" hidden="false"/>
    </xf>
    <xf numFmtId="166" fontId="8" fillId="3" borderId="1" xfId="0" applyFont="true" applyBorder="true" applyAlignment="true" applyProtection="false">
      <alignment horizontal="center" vertical="center" textRotation="0" wrapText="false" indent="0" shrinkToFit="false" readingOrder="2"/>
      <protection locked="true" hidden="false"/>
    </xf>
    <xf numFmtId="164" fontId="31" fillId="0" borderId="0" xfId="0" applyFont="true" applyBorder="true" applyAlignment="true" applyProtection="false">
      <alignment horizontal="right" vertical="center" textRotation="0" wrapText="false" indent="0" shrinkToFit="false" readingOrder="2"/>
      <protection locked="true" hidden="false"/>
    </xf>
    <xf numFmtId="164" fontId="7" fillId="9" borderId="0" xfId="0" applyFont="true" applyBorder="true" applyAlignment="true" applyProtection="false">
      <alignment horizontal="right" vertical="center" textRotation="0" wrapText="false" indent="1" shrinkToFit="false" readingOrder="2"/>
      <protection locked="true" hidden="false"/>
    </xf>
    <xf numFmtId="164" fontId="8" fillId="9" borderId="1" xfId="0" applyFont="true" applyBorder="true" applyAlignment="true" applyProtection="false">
      <alignment horizontal="center" vertical="center" textRotation="0" wrapText="true" indent="0" shrinkToFit="false" readingOrder="2"/>
      <protection locked="true" hidden="false"/>
    </xf>
    <xf numFmtId="164" fontId="12" fillId="18" borderId="1" xfId="0" applyFont="true" applyBorder="true" applyAlignment="true" applyProtection="false">
      <alignment horizontal="center" vertical="center" textRotation="0" wrapText="false" indent="0" shrinkToFit="false" readingOrder="2"/>
      <protection locked="true" hidden="false"/>
    </xf>
    <xf numFmtId="167" fontId="10" fillId="18" borderId="1" xfId="0" applyFont="true" applyBorder="true" applyAlignment="true" applyProtection="false">
      <alignment horizontal="center" vertical="center" textRotation="0" wrapText="false" indent="0" shrinkToFit="false" readingOrder="2"/>
      <protection locked="true" hidden="false"/>
    </xf>
    <xf numFmtId="167" fontId="12" fillId="18" borderId="1" xfId="0" applyFont="true" applyBorder="true" applyAlignment="true" applyProtection="false">
      <alignment horizontal="center" vertical="center" textRotation="0" wrapText="false" indent="0" shrinkToFit="false" readingOrder="2"/>
      <protection locked="true" hidden="false"/>
    </xf>
    <xf numFmtId="164" fontId="8" fillId="9" borderId="1" xfId="0" applyFont="true" applyBorder="true" applyAlignment="true" applyProtection="false">
      <alignment horizontal="center" vertical="center" textRotation="0" wrapText="false" indent="0" shrinkToFit="false" readingOrder="2"/>
      <protection locked="true" hidden="false"/>
    </xf>
    <xf numFmtId="167" fontId="8" fillId="9" borderId="1" xfId="0" applyFont="true" applyBorder="true" applyAlignment="true" applyProtection="false">
      <alignment horizontal="center" vertical="center" textRotation="0" wrapText="false" indent="0" shrinkToFit="false" readingOrder="2"/>
      <protection locked="true" hidden="false"/>
    </xf>
    <xf numFmtId="164" fontId="8" fillId="6" borderId="1" xfId="0" applyFont="true" applyBorder="true" applyAlignment="true" applyProtection="false">
      <alignment horizontal="center" vertical="center" textRotation="0" wrapText="true" indent="0" shrinkToFit="false" readingOrder="2"/>
      <protection locked="true" hidden="false"/>
    </xf>
    <xf numFmtId="164" fontId="34" fillId="10" borderId="1" xfId="0" applyFont="true" applyBorder="true" applyAlignment="true" applyProtection="false">
      <alignment horizontal="center" vertical="center" textRotation="0" wrapText="false" indent="0" shrinkToFit="false" readingOrder="2"/>
      <protection locked="true" hidden="false"/>
    </xf>
    <xf numFmtId="164" fontId="35" fillId="7" borderId="1" xfId="0" applyFont="true" applyBorder="true" applyAlignment="true" applyProtection="false">
      <alignment horizontal="right" vertical="center" textRotation="0" wrapText="true" indent="0" shrinkToFit="false" readingOrder="2"/>
      <protection locked="true" hidden="false"/>
    </xf>
    <xf numFmtId="164" fontId="36" fillId="10" borderId="1" xfId="0" applyFont="true" applyBorder="true" applyAlignment="true" applyProtection="false">
      <alignment horizontal="center" vertical="center" textRotation="0" wrapText="false" indent="0" shrinkToFit="false" readingOrder="2"/>
      <protection locked="true" hidden="false"/>
    </xf>
    <xf numFmtId="164" fontId="10" fillId="7" borderId="1" xfId="0" applyFont="true" applyBorder="true" applyAlignment="true" applyProtection="false">
      <alignment horizontal="center" vertical="center" textRotation="0" wrapText="false" indent="0" shrinkToFit="false" readingOrder="2"/>
      <protection locked="true" hidden="false"/>
    </xf>
    <xf numFmtId="164" fontId="11" fillId="10" borderId="1" xfId="0" applyFont="true" applyBorder="true" applyAlignment="true" applyProtection="false">
      <alignment horizontal="right" vertical="center" textRotation="0" wrapText="false" indent="0" shrinkToFit="false" readingOrder="2"/>
      <protection locked="true" hidden="false"/>
    </xf>
    <xf numFmtId="166" fontId="36" fillId="10" borderId="1" xfId="0" applyFont="true" applyBorder="true" applyAlignment="true" applyProtection="false">
      <alignment horizontal="center" vertical="center" textRotation="0" wrapText="false" indent="0" shrinkToFit="false" readingOrder="2"/>
      <protection locked="true" hidden="false"/>
    </xf>
    <xf numFmtId="164" fontId="37" fillId="7" borderId="1" xfId="0" applyFont="true" applyBorder="true" applyAlignment="true" applyProtection="false">
      <alignment horizontal="right" vertical="center" textRotation="0" wrapText="true" indent="0" shrinkToFit="false" readingOrder="2"/>
      <protection locked="true" hidden="false"/>
    </xf>
    <xf numFmtId="168" fontId="34" fillId="10" borderId="1" xfId="0" applyFont="true" applyBorder="true" applyAlignment="true" applyProtection="false">
      <alignment horizontal="center" vertical="center" textRotation="0" wrapText="false" indent="0" shrinkToFit="false" readingOrder="2"/>
      <protection locked="true" hidden="false"/>
    </xf>
    <xf numFmtId="170" fontId="17" fillId="11" borderId="1" xfId="0" applyFont="true" applyBorder="true" applyAlignment="true" applyProtection="false">
      <alignment horizontal="center" vertical="center" textRotation="0" wrapText="false" indent="0" shrinkToFit="false" readingOrder="2"/>
      <protection locked="true" hidden="false"/>
    </xf>
    <xf numFmtId="166" fontId="34" fillId="10" borderId="1" xfId="0" applyFont="true" applyBorder="true" applyAlignment="true" applyProtection="false">
      <alignment horizontal="center" vertical="center" textRotation="0" wrapText="false" indent="0" shrinkToFit="false" readingOrder="2"/>
      <protection locked="true" hidden="false"/>
    </xf>
    <xf numFmtId="167" fontId="34" fillId="10" borderId="1" xfId="0" applyFont="true" applyBorder="true" applyAlignment="true" applyProtection="false">
      <alignment horizontal="center" vertical="center" textRotation="0" wrapText="false" indent="0" shrinkToFit="false" readingOrder="2"/>
      <protection locked="true" hidden="false"/>
    </xf>
    <xf numFmtId="171" fontId="34" fillId="10" borderId="1" xfId="0" applyFont="true" applyBorder="true" applyAlignment="true" applyProtection="false">
      <alignment horizontal="center" vertical="center" textRotation="0" wrapText="false" indent="0" shrinkToFit="false" readingOrder="2"/>
      <protection locked="true" hidden="false"/>
    </xf>
    <xf numFmtId="168" fontId="11" fillId="10" borderId="1" xfId="0" applyFont="true" applyBorder="true" applyAlignment="true" applyProtection="false">
      <alignment horizontal="center" vertical="center" textRotation="0" wrapText="false" indent="0" shrinkToFit="false" readingOrder="2"/>
      <protection locked="true" hidden="false"/>
    </xf>
    <xf numFmtId="166" fontId="11" fillId="10" borderId="1" xfId="0" applyFont="true" applyBorder="true" applyAlignment="true" applyProtection="false">
      <alignment horizontal="center" vertical="center" textRotation="0" wrapText="false" indent="0" shrinkToFit="false" readingOrder="2"/>
      <protection locked="true" hidden="false"/>
    </xf>
    <xf numFmtId="164" fontId="35" fillId="7" borderId="1" xfId="0" applyFont="true" applyBorder="true" applyAlignment="true" applyProtection="false">
      <alignment horizontal="right" vertical="center" textRotation="0" wrapText="false" indent="0" shrinkToFit="false" readingOrder="2"/>
      <protection locked="true" hidden="false"/>
    </xf>
    <xf numFmtId="170" fontId="34" fillId="10" borderId="1" xfId="0" applyFont="true" applyBorder="true" applyAlignment="true" applyProtection="false">
      <alignment horizontal="center" vertical="center" textRotation="0" wrapText="false" indent="0" shrinkToFit="false" readingOrder="2"/>
      <protection locked="true" hidden="false"/>
    </xf>
    <xf numFmtId="168" fontId="10" fillId="7" borderId="1" xfId="0" applyFont="true" applyBorder="true" applyAlignment="true" applyProtection="false">
      <alignment horizontal="center" vertical="center" textRotation="0" wrapText="false" indent="0" shrinkToFit="false" readingOrder="2"/>
      <protection locked="true" hidden="false"/>
    </xf>
    <xf numFmtId="170" fontId="36" fillId="10" borderId="1" xfId="0" applyFont="true" applyBorder="true" applyAlignment="true" applyProtection="false">
      <alignment horizontal="center" vertical="center" textRotation="0" wrapText="false" indent="0" shrinkToFit="false" readingOrder="2"/>
      <protection locked="true" hidden="false"/>
    </xf>
    <xf numFmtId="172" fontId="36" fillId="10" borderId="1" xfId="0" applyFont="true" applyBorder="true" applyAlignment="true" applyProtection="false">
      <alignment horizontal="center" vertical="center" textRotation="0" wrapText="false" indent="0" shrinkToFit="false" readingOrder="2"/>
      <protection locked="true" hidden="false"/>
    </xf>
    <xf numFmtId="173" fontId="36" fillId="10" borderId="1" xfId="0" applyFont="true" applyBorder="true" applyAlignment="true" applyProtection="false">
      <alignment horizontal="center" vertical="center" textRotation="0" wrapText="false" indent="0" shrinkToFit="false" readingOrder="2"/>
      <protection locked="true" hidden="false"/>
    </xf>
    <xf numFmtId="173" fontId="10" fillId="7" borderId="1" xfId="0" applyFont="true" applyBorder="true" applyAlignment="true" applyProtection="false">
      <alignment horizontal="center" vertical="center" textRotation="0" wrapText="false" indent="0" shrinkToFit="false" readingOrder="2"/>
      <protection locked="true" hidden="false"/>
    </xf>
    <xf numFmtId="168" fontId="36" fillId="10" borderId="1" xfId="0" applyFont="true" applyBorder="true" applyAlignment="true" applyProtection="false">
      <alignment horizontal="center" vertical="center" textRotation="0" wrapText="false" indent="0" shrinkToFit="false" readingOrder="2"/>
      <protection locked="true" hidden="false"/>
    </xf>
    <xf numFmtId="174" fontId="36" fillId="10" borderId="1" xfId="0" applyFont="true" applyBorder="true" applyAlignment="true" applyProtection="false">
      <alignment horizontal="center" vertical="center" textRotation="0" wrapText="false" indent="0" shrinkToFit="false" readingOrder="2"/>
      <protection locked="true" hidden="false"/>
    </xf>
    <xf numFmtId="168" fontId="10" fillId="18" borderId="1" xfId="0" applyFont="true" applyBorder="true" applyAlignment="true" applyProtection="false">
      <alignment horizontal="center" vertical="center" textRotation="0" wrapText="false" indent="0" shrinkToFit="false" readingOrder="2"/>
      <protection locked="true" hidden="false"/>
    </xf>
    <xf numFmtId="173" fontId="10" fillId="18" borderId="1" xfId="0" applyFont="true" applyBorder="true" applyAlignment="true" applyProtection="false">
      <alignment horizontal="center" vertical="center" textRotation="0" wrapText="false" indent="0" shrinkToFit="false" readingOrder="2"/>
      <protection locked="true" hidden="false"/>
    </xf>
    <xf numFmtId="164" fontId="10" fillId="18" borderId="1" xfId="0" applyFont="true" applyBorder="true" applyAlignment="true" applyProtection="false">
      <alignment horizontal="center" vertical="center" textRotation="0" wrapText="false" indent="0" shrinkToFit="false" readingOrder="2"/>
      <protection locked="true" hidden="false"/>
    </xf>
    <xf numFmtId="173" fontId="8" fillId="2" borderId="1" xfId="0" applyFont="true" applyBorder="true" applyAlignment="true" applyProtection="false">
      <alignment horizontal="center" vertical="center" textRotation="0" wrapText="false" indent="0" shrinkToFit="false" readingOrder="2"/>
      <protection locked="true" hidden="false"/>
    </xf>
    <xf numFmtId="164" fontId="40" fillId="20" borderId="0" xfId="0" applyFont="true" applyBorder="true" applyAlignment="true" applyProtection="false">
      <alignment horizontal="center" vertical="center" textRotation="0" wrapText="false" indent="0" shrinkToFit="false" readingOrder="2"/>
      <protection locked="true" hidden="false"/>
    </xf>
    <xf numFmtId="164" fontId="40" fillId="19" borderId="0" xfId="0" applyFont="true" applyBorder="true" applyAlignment="true" applyProtection="false">
      <alignment horizontal="center" vertical="center" textRotation="0" wrapText="false" indent="0" shrinkToFit="false" readingOrder="2"/>
      <protection locked="true" hidden="false"/>
    </xf>
    <xf numFmtId="164" fontId="40" fillId="17" borderId="0" xfId="0" applyFont="true" applyBorder="true" applyAlignment="true" applyProtection="false">
      <alignment horizontal="center" vertical="center" textRotation="0" wrapText="false" indent="0" shrinkToFit="false" readingOrder="2"/>
      <protection locked="true" hidden="false"/>
    </xf>
    <xf numFmtId="164" fontId="41" fillId="20" borderId="1" xfId="0" applyFont="true" applyBorder="true" applyAlignment="true" applyProtection="false">
      <alignment horizontal="center" vertical="center" textRotation="0" wrapText="true" indent="0" shrinkToFit="false" readingOrder="2"/>
      <protection locked="true" hidden="false"/>
    </xf>
    <xf numFmtId="164" fontId="41" fillId="19" borderId="1" xfId="0" applyFont="true" applyBorder="true" applyAlignment="true" applyProtection="false">
      <alignment horizontal="center" vertical="center" textRotation="0" wrapText="true" indent="0" shrinkToFit="false" readingOrder="2"/>
      <protection locked="true" hidden="false"/>
    </xf>
    <xf numFmtId="164" fontId="41" fillId="17" borderId="1" xfId="0" applyFont="true" applyBorder="true" applyAlignment="true" applyProtection="false">
      <alignment horizontal="center" vertical="center" textRotation="0" wrapText="true" indent="0" shrinkToFit="false" readingOrder="2"/>
      <protection locked="true" hidden="false"/>
    </xf>
    <xf numFmtId="165" fontId="10" fillId="18" borderId="1" xfId="0" applyFont="true" applyBorder="true" applyAlignment="true" applyProtection="false">
      <alignment horizontal="center" vertical="center" textRotation="0" wrapText="false" indent="0" shrinkToFit="false" readingOrder="2"/>
      <protection locked="true" hidden="false"/>
    </xf>
    <xf numFmtId="166" fontId="10" fillId="18" borderId="1" xfId="0" applyFont="true" applyBorder="true" applyAlignment="true" applyProtection="false">
      <alignment horizontal="center" vertical="center" textRotation="0" wrapText="false" indent="0" shrinkToFit="false" readingOrder="2"/>
      <protection locked="true" hidden="false"/>
    </xf>
    <xf numFmtId="164" fontId="20" fillId="0" borderId="0" xfId="0" applyFont="true" applyBorder="false" applyAlignment="true" applyProtection="false">
      <alignment horizontal="center" vertical="center" textRotation="0" wrapText="false" indent="0" shrinkToFit="false" readingOrder="2"/>
      <protection locked="true" hidden="false"/>
    </xf>
    <xf numFmtId="168" fontId="42" fillId="11" borderId="1" xfId="0" applyFont="true" applyBorder="true" applyAlignment="true" applyProtection="false">
      <alignment horizontal="center" vertical="center" textRotation="0" wrapText="false" indent="0" shrinkToFit="false" readingOrder="2"/>
      <protection locked="true" hidden="false"/>
    </xf>
    <xf numFmtId="170" fontId="18" fillId="11" borderId="1" xfId="0" applyFont="true" applyBorder="true" applyAlignment="true" applyProtection="false">
      <alignment horizontal="center" vertical="center" textRotation="0" wrapText="false" indent="0" shrinkToFit="false" readingOrder="2"/>
      <protection locked="true" hidden="false"/>
    </xf>
    <xf numFmtId="164" fontId="12" fillId="0" borderId="1" xfId="0" applyFont="true" applyBorder="true" applyAlignment="true" applyProtection="false">
      <alignment horizontal="center" vertical="center" textRotation="0" wrapText="false" indent="0" shrinkToFit="false" readingOrder="2"/>
      <protection locked="true" hidden="false"/>
    </xf>
    <xf numFmtId="164" fontId="8" fillId="21" borderId="2" xfId="0" applyFont="true" applyBorder="true" applyAlignment="true" applyProtection="false">
      <alignment horizontal="center" vertical="center" textRotation="0" wrapText="false" indent="0" shrinkToFit="false" readingOrder="2"/>
      <protection locked="true" hidden="false"/>
    </xf>
    <xf numFmtId="164" fontId="40" fillId="2" borderId="1" xfId="0" applyFont="true" applyBorder="true" applyAlignment="true" applyProtection="false">
      <alignment horizontal="center" vertical="center" textRotation="0" wrapText="true" indent="0" shrinkToFit="false" readingOrder="2"/>
      <protection locked="true" hidden="false"/>
    </xf>
    <xf numFmtId="164" fontId="40" fillId="21" borderId="1" xfId="0" applyFont="true" applyBorder="true" applyAlignment="true" applyProtection="false">
      <alignment horizontal="center" vertical="center" textRotation="0" wrapText="true" indent="0" shrinkToFit="false" readingOrder="2"/>
      <protection locked="true" hidden="false"/>
    </xf>
    <xf numFmtId="164" fontId="40" fillId="6" borderId="1" xfId="0" applyFont="true" applyBorder="true" applyAlignment="true" applyProtection="false">
      <alignment horizontal="center" vertical="center" textRotation="0" wrapText="true" indent="0" shrinkToFit="false" readingOrder="2"/>
      <protection locked="true" hidden="false"/>
    </xf>
    <xf numFmtId="164" fontId="40" fillId="20" borderId="1" xfId="0" applyFont="true" applyBorder="true" applyAlignment="true" applyProtection="false">
      <alignment horizontal="center" vertical="center" textRotation="0" wrapText="true" indent="0" shrinkToFit="false" readingOrder="2"/>
      <protection locked="true" hidden="false"/>
    </xf>
    <xf numFmtId="164" fontId="40" fillId="17" borderId="1" xfId="0" applyFont="true" applyBorder="true" applyAlignment="true" applyProtection="false">
      <alignment horizontal="center" vertical="center" textRotation="0" wrapText="true" indent="0" shrinkToFit="false" readingOrder="2"/>
      <protection locked="true" hidden="false"/>
    </xf>
    <xf numFmtId="164" fontId="40" fillId="9" borderId="1" xfId="0" applyFont="true" applyBorder="true" applyAlignment="true" applyProtection="false">
      <alignment horizontal="center" vertical="center" textRotation="0" wrapText="true" indent="0" shrinkToFit="false" readingOrder="2"/>
      <protection locked="true" hidden="false"/>
    </xf>
    <xf numFmtId="164" fontId="40" fillId="19" borderId="1" xfId="0" applyFont="true" applyBorder="true" applyAlignment="true" applyProtection="false">
      <alignment horizontal="center" vertical="center" textRotation="0" wrapText="true" indent="0" shrinkToFit="false" readingOrder="2"/>
      <protection locked="true" hidden="false"/>
    </xf>
    <xf numFmtId="164" fontId="40" fillId="22" borderId="1" xfId="0" applyFont="true" applyBorder="true" applyAlignment="true" applyProtection="false">
      <alignment horizontal="center" vertical="center" textRotation="0" wrapText="true" indent="0" shrinkToFit="false" readingOrder="2"/>
      <protection locked="true" hidden="false"/>
    </xf>
    <xf numFmtId="164" fontId="40" fillId="23" borderId="1" xfId="0" applyFont="true" applyBorder="true" applyAlignment="true" applyProtection="false">
      <alignment horizontal="center" vertical="center" textRotation="0" wrapText="true" indent="0" shrinkToFit="false" readingOrder="2"/>
      <protection locked="true" hidden="false"/>
    </xf>
    <xf numFmtId="174" fontId="10" fillId="7" borderId="1" xfId="0" applyFont="true" applyBorder="true" applyAlignment="true" applyProtection="false">
      <alignment horizontal="center" vertical="center" textRotation="0" wrapText="false" indent="0" shrinkToFit="false" readingOrder="2"/>
      <protection locked="true" hidden="false"/>
    </xf>
    <xf numFmtId="173" fontId="12" fillId="7" borderId="1" xfId="0" applyFont="true" applyBorder="true" applyAlignment="true" applyProtection="false">
      <alignment horizontal="center" vertical="center" textRotation="0" wrapText="false" indent="0" shrinkToFit="false" readingOrder="2"/>
      <protection locked="true" hidden="false"/>
    </xf>
    <xf numFmtId="173" fontId="13" fillId="7" borderId="1" xfId="0" applyFont="true" applyBorder="true" applyAlignment="true" applyProtection="false">
      <alignment horizontal="center" vertical="center" textRotation="0" wrapText="false" indent="0" shrinkToFit="false" readingOrder="2"/>
      <protection locked="true" hidden="false"/>
    </xf>
    <xf numFmtId="173" fontId="43" fillId="7" borderId="1" xfId="0" applyFont="true" applyBorder="true" applyAlignment="true" applyProtection="false">
      <alignment horizontal="center" vertical="center" textRotation="0" wrapText="false" indent="0" shrinkToFit="false" readingOrder="2"/>
      <protection locked="true" hidden="false"/>
    </xf>
    <xf numFmtId="175" fontId="10" fillId="7" borderId="1" xfId="0" applyFont="true" applyBorder="true" applyAlignment="true" applyProtection="false">
      <alignment horizontal="center" vertical="center" textRotation="0" wrapText="false" indent="0" shrinkToFit="false" readingOrder="2"/>
      <protection locked="true" hidden="false"/>
    </xf>
    <xf numFmtId="174" fontId="10" fillId="18" borderId="1" xfId="0" applyFont="true" applyBorder="true" applyAlignment="true" applyProtection="false">
      <alignment horizontal="center" vertical="center" textRotation="0" wrapText="false" indent="0" shrinkToFit="false" readingOrder="2"/>
      <protection locked="true" hidden="false"/>
    </xf>
    <xf numFmtId="173" fontId="12" fillId="18" borderId="1" xfId="0" applyFont="true" applyBorder="true" applyAlignment="true" applyProtection="false">
      <alignment horizontal="center" vertical="center" textRotation="0" wrapText="false" indent="0" shrinkToFit="false" readingOrder="2"/>
      <protection locked="true" hidden="false"/>
    </xf>
    <xf numFmtId="173" fontId="13" fillId="18" borderId="1" xfId="0" applyFont="true" applyBorder="true" applyAlignment="true" applyProtection="false">
      <alignment horizontal="center" vertical="center" textRotation="0" wrapText="false" indent="0" shrinkToFit="false" readingOrder="2"/>
      <protection locked="true" hidden="false"/>
    </xf>
    <xf numFmtId="173" fontId="43" fillId="18" borderId="1" xfId="0" applyFont="true" applyBorder="true" applyAlignment="true" applyProtection="false">
      <alignment horizontal="center" vertical="center" textRotation="0" wrapText="false" indent="0" shrinkToFit="false" readingOrder="2"/>
      <protection locked="true" hidden="false"/>
    </xf>
    <xf numFmtId="175" fontId="10" fillId="18" borderId="1" xfId="0" applyFont="true" applyBorder="true" applyAlignment="true" applyProtection="false">
      <alignment horizontal="center" vertical="center" textRotation="0" wrapText="false" indent="0" shrinkToFit="false" readingOrder="2"/>
      <protection locked="true" hidden="false"/>
    </xf>
    <xf numFmtId="174" fontId="8" fillId="2" borderId="1" xfId="0" applyFont="true" applyBorder="true" applyAlignment="true" applyProtection="false">
      <alignment horizontal="center" vertical="center" textRotation="0" wrapText="false" indent="0" shrinkToFit="false" readingOrder="2"/>
      <protection locked="true" hidden="false"/>
    </xf>
    <xf numFmtId="164" fontId="11" fillId="7" borderId="1" xfId="0" applyFont="true" applyBorder="true" applyAlignment="true" applyProtection="false">
      <alignment horizontal="center" vertical="center" textRotation="0" wrapText="false" indent="0" shrinkToFit="false" readingOrder="2"/>
      <protection locked="true" hidden="false"/>
    </xf>
    <xf numFmtId="164" fontId="11" fillId="18" borderId="1" xfId="0" applyFont="true" applyBorder="true" applyAlignment="true" applyProtection="false">
      <alignment horizontal="center" vertical="center" textRotation="0" wrapText="false" indent="0" shrinkToFit="false" readingOrder="2"/>
      <protection locked="true" hidden="false"/>
    </xf>
    <xf numFmtId="164" fontId="8" fillId="6" borderId="1" xfId="0" applyFont="true" applyBorder="true" applyAlignment="true" applyProtection="false">
      <alignment horizontal="center" vertical="center" textRotation="0" wrapText="false" indent="0" shrinkToFit="false" readingOrder="2"/>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0" fillId="6" borderId="1" xfId="0" applyFont="false" applyBorder="true" applyAlignment="false" applyProtection="false">
      <alignment horizontal="general" vertical="bottom" textRotation="0" wrapText="false" indent="0" shrinkToFit="false"/>
      <protection locked="true" hidden="false"/>
    </xf>
    <xf numFmtId="173" fontId="8" fillId="6" borderId="1" xfId="0" applyFont="true" applyBorder="true" applyAlignment="true" applyProtection="false">
      <alignment horizontal="center" vertical="center" textRotation="0" wrapText="false" indent="0" shrinkToFit="false" readingOrder="2"/>
      <protection locked="true" hidden="false"/>
    </xf>
    <xf numFmtId="173" fontId="18" fillId="7" borderId="1" xfId="0" applyFont="true" applyBorder="true" applyAlignment="true" applyProtection="false">
      <alignment horizontal="center" vertical="center" textRotation="0" wrapText="false" indent="0" shrinkToFit="false" readingOrder="2"/>
      <protection locked="true" hidden="false"/>
    </xf>
    <xf numFmtId="173" fontId="18" fillId="18" borderId="1" xfId="0" applyFont="true" applyBorder="true" applyAlignment="true" applyProtection="false">
      <alignment horizontal="center" vertical="center" textRotation="0" wrapText="false" indent="0" shrinkToFit="false" readingOrder="2"/>
      <protection locked="true" hidden="false"/>
    </xf>
    <xf numFmtId="173" fontId="8" fillId="7" borderId="1" xfId="0" applyFont="true" applyBorder="true" applyAlignment="true" applyProtection="false">
      <alignment horizontal="center" vertical="center" textRotation="0" wrapText="false" indent="0" shrinkToFit="false" readingOrder="2"/>
      <protection locked="true" hidden="false"/>
    </xf>
    <xf numFmtId="164" fontId="8" fillId="19" borderId="1" xfId="0" applyFont="true" applyBorder="true" applyAlignment="true" applyProtection="false">
      <alignment horizontal="center" vertical="center" textRotation="0" wrapText="true" indent="0" shrinkToFit="false" readingOrder="2"/>
      <protection locked="true" hidden="false"/>
    </xf>
    <xf numFmtId="170" fontId="10" fillId="7" borderId="1" xfId="0" applyFont="true" applyBorder="true" applyAlignment="true" applyProtection="false">
      <alignment horizontal="center" vertical="center" textRotation="0" wrapText="false" indent="0" shrinkToFit="false" readingOrder="2"/>
      <protection locked="true" hidden="false"/>
    </xf>
    <xf numFmtId="170" fontId="10" fillId="18" borderId="1" xfId="0" applyFont="true" applyBorder="true" applyAlignment="true" applyProtection="false">
      <alignment horizontal="center" vertical="center" textRotation="0" wrapText="false" indent="0" shrinkToFit="false" readingOrder="2"/>
      <protection locked="true" hidden="false"/>
    </xf>
    <xf numFmtId="164" fontId="8" fillId="4" borderId="1" xfId="0" applyFont="true" applyBorder="true" applyAlignment="true" applyProtection="false">
      <alignment horizontal="center" vertical="center" textRotation="0" wrapText="true" indent="0" shrinkToFit="false" readingOrder="2"/>
      <protection locked="true" hidden="false"/>
    </xf>
    <xf numFmtId="173" fontId="15" fillId="7" borderId="1" xfId="0" applyFont="true" applyBorder="true" applyAlignment="true" applyProtection="false">
      <alignment horizontal="center" vertical="center" textRotation="0" wrapText="false" indent="0" shrinkToFit="false" readingOrder="2"/>
      <protection locked="true" hidden="false"/>
    </xf>
    <xf numFmtId="173" fontId="15" fillId="18" borderId="1" xfId="0" applyFont="true" applyBorder="true" applyAlignment="true" applyProtection="false">
      <alignment horizontal="center" vertical="center" textRotation="0" wrapText="false" indent="0" shrinkToFit="false" readingOrder="2"/>
      <protection locked="true" hidden="false"/>
    </xf>
    <xf numFmtId="171" fontId="10" fillId="7" borderId="1" xfId="0" applyFont="true" applyBorder="true" applyAlignment="true" applyProtection="false">
      <alignment horizontal="center" vertical="center" textRotation="0" wrapText="false" indent="0" shrinkToFit="false" readingOrder="2"/>
      <protection locked="true" hidden="false"/>
    </xf>
    <xf numFmtId="171" fontId="10" fillId="18" borderId="1" xfId="0" applyFont="true" applyBorder="true" applyAlignment="true" applyProtection="false">
      <alignment horizontal="center" vertical="center" textRotation="0" wrapText="false" indent="0" shrinkToFit="false" readingOrder="2"/>
      <protection locked="true" hidden="false"/>
    </xf>
    <xf numFmtId="164" fontId="8" fillId="24" borderId="1" xfId="0" applyFont="true" applyBorder="true" applyAlignment="true" applyProtection="false">
      <alignment horizontal="center" vertical="center" textRotation="0" wrapText="true" indent="0" shrinkToFit="false" readingOrder="2"/>
      <protection locked="true" hidden="false"/>
    </xf>
    <xf numFmtId="173" fontId="14" fillId="7" borderId="1" xfId="0" applyFont="true" applyBorder="true" applyAlignment="true" applyProtection="false">
      <alignment horizontal="center" vertical="center" textRotation="0" wrapText="false" indent="0" shrinkToFit="false" readingOrder="2"/>
      <protection locked="true" hidden="false"/>
    </xf>
    <xf numFmtId="173" fontId="14" fillId="18" borderId="1" xfId="0" applyFont="true" applyBorder="true" applyAlignment="true" applyProtection="false">
      <alignment horizontal="center" vertical="center" textRotation="0" wrapText="false" indent="0" shrinkToFit="false" readingOrder="2"/>
      <protection locked="true" hidden="false"/>
    </xf>
    <xf numFmtId="164" fontId="44" fillId="0" borderId="0" xfId="0" applyFont="true" applyBorder="false" applyAlignment="true" applyProtection="false">
      <alignment horizontal="left" vertical="center" textRotation="0" wrapText="false" indent="0" shrinkToFit="false" readingOrder="2"/>
      <protection locked="true" hidden="false"/>
    </xf>
    <xf numFmtId="168" fontId="44" fillId="0" borderId="0" xfId="0" applyFont="true" applyBorder="false" applyAlignment="true" applyProtection="false">
      <alignment horizontal="center" vertical="center" textRotation="0" wrapText="false" indent="0" shrinkToFit="false" readingOrder="2"/>
      <protection locked="true" hidden="false"/>
    </xf>
    <xf numFmtId="164" fontId="31" fillId="7" borderId="1" xfId="0" applyFont="true" applyBorder="true" applyAlignment="true" applyProtection="false">
      <alignment horizontal="center" vertical="center" textRotation="0" wrapText="false" indent="0" shrinkToFit="false" readingOrder="2"/>
      <protection locked="true" hidden="false"/>
    </xf>
    <xf numFmtId="173" fontId="12" fillId="11" borderId="1" xfId="0" applyFont="true" applyBorder="true" applyAlignment="true" applyProtection="false">
      <alignment horizontal="center" vertical="center" textRotation="0" wrapText="false" indent="0" shrinkToFit="false" readingOrder="2"/>
      <protection locked="true" hidden="false"/>
    </xf>
    <xf numFmtId="173" fontId="18" fillId="11" borderId="1" xfId="0" applyFont="true" applyBorder="true" applyAlignment="true" applyProtection="false">
      <alignment horizontal="center" vertical="center" textRotation="0" wrapText="false" indent="0" shrinkToFit="false" readingOrder="2"/>
      <protection locked="true" hidden="false"/>
    </xf>
    <xf numFmtId="164" fontId="45" fillId="7" borderId="1" xfId="0" applyFont="true" applyBorder="true" applyAlignment="true" applyProtection="false">
      <alignment horizontal="right" vertical="center" textRotation="0" wrapText="false" indent="0" shrinkToFit="false" readingOrder="2"/>
      <protection locked="true" hidden="false"/>
    </xf>
    <xf numFmtId="164" fontId="46" fillId="7" borderId="1" xfId="0" applyFont="true" applyBorder="true" applyAlignment="true" applyProtection="false">
      <alignment horizontal="center" vertical="center" textRotation="0" wrapText="false" indent="0" shrinkToFit="false" readingOrder="2"/>
      <protection locked="true" hidden="false"/>
    </xf>
    <xf numFmtId="164" fontId="8" fillId="2" borderId="1" xfId="0" applyFont="true" applyBorder="true" applyAlignment="true" applyProtection="false">
      <alignment horizontal="center" vertical="center" textRotation="0" wrapText="false" indent="0" shrinkToFit="false" readingOrder="2"/>
      <protection locked="true" hidden="false"/>
    </xf>
    <xf numFmtId="164" fontId="8" fillId="4" borderId="1" xfId="0" applyFont="true" applyBorder="true" applyAlignment="true" applyProtection="false">
      <alignment horizontal="center" vertical="center" textRotation="0" wrapText="false" indent="0" shrinkToFit="false" readingOrder="2"/>
      <protection locked="true" hidden="false"/>
    </xf>
    <xf numFmtId="173" fontId="8" fillId="4" borderId="1" xfId="0" applyFont="true" applyBorder="true" applyAlignment="true" applyProtection="false">
      <alignment horizontal="center" vertical="center" textRotation="0" wrapText="false" indent="0" shrinkToFit="false" readingOrder="2"/>
      <protection locked="true" hidden="false"/>
    </xf>
    <xf numFmtId="168" fontId="47" fillId="10" borderId="1" xfId="0" applyFont="true" applyBorder="true" applyAlignment="true" applyProtection="false">
      <alignment horizontal="center" vertical="center" textRotation="0" wrapText="false" indent="0" shrinkToFit="false" readingOrder="2"/>
      <protection locked="true" hidden="false"/>
    </xf>
    <xf numFmtId="164" fontId="47" fillId="10" borderId="1" xfId="0" applyFont="true" applyBorder="true" applyAlignment="true" applyProtection="false">
      <alignment horizontal="center" vertical="center" textRotation="0" wrapText="false" indent="0" shrinkToFit="false" readingOrder="2"/>
      <protection locked="true" hidden="false"/>
    </xf>
    <xf numFmtId="164" fontId="44" fillId="0" borderId="0" xfId="0" applyFont="true" applyBorder="false" applyAlignment="true" applyProtection="false">
      <alignment horizontal="right" vertical="center" textRotation="0" wrapText="false" indent="0" shrinkToFit="false" readingOrder="2"/>
      <protection locked="true" hidden="false"/>
    </xf>
    <xf numFmtId="176" fontId="44" fillId="0" borderId="0" xfId="0" applyFont="true" applyBorder="false" applyAlignment="false" applyProtection="false">
      <alignment horizontal="general" vertical="bottom" textRotation="0" wrapText="false" indent="0" shrinkToFit="false"/>
      <protection locked="true" hidden="false"/>
    </xf>
    <xf numFmtId="164" fontId="48" fillId="6" borderId="0" xfId="0" applyFont="true" applyBorder="true" applyAlignment="true" applyProtection="false">
      <alignment horizontal="center" vertical="center" textRotation="0" wrapText="false" indent="0" shrinkToFit="false" readingOrder="2"/>
      <protection locked="true" hidden="false"/>
    </xf>
    <xf numFmtId="164" fontId="20" fillId="18" borderId="1" xfId="0" applyFont="true" applyBorder="true" applyAlignment="true" applyProtection="false">
      <alignment horizontal="right" vertical="center" textRotation="0" wrapText="false" indent="0" shrinkToFit="false" readingOrder="2"/>
      <protection locked="true" hidden="false"/>
    </xf>
    <xf numFmtId="164" fontId="12" fillId="7" borderId="1" xfId="0" applyFont="true" applyBorder="true" applyAlignment="true" applyProtection="false">
      <alignment horizontal="center" vertical="center" textRotation="0" wrapText="true" indent="0" shrinkToFit="false" readingOrder="2"/>
      <protection locked="true" hidden="false"/>
    </xf>
    <xf numFmtId="170" fontId="12" fillId="7" borderId="1" xfId="0" applyFont="true" applyBorder="true" applyAlignment="true" applyProtection="false">
      <alignment horizontal="center" vertical="center" textRotation="0" wrapText="true" indent="0" shrinkToFit="false" readingOrder="2"/>
      <protection locked="true" hidden="false"/>
    </xf>
    <xf numFmtId="164" fontId="49" fillId="7" borderId="1" xfId="0" applyFont="true" applyBorder="true" applyAlignment="true" applyProtection="false">
      <alignment horizontal="center" vertical="center" textRotation="0" wrapText="true" indent="0" shrinkToFit="false" readingOrder="2"/>
      <protection locked="true" hidden="false"/>
    </xf>
    <xf numFmtId="174" fontId="12" fillId="7"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right" vertical="center" textRotation="0" wrapText="false" indent="0" shrinkToFit="false" readingOrder="2"/>
      <protection locked="true" hidden="false"/>
    </xf>
    <xf numFmtId="173" fontId="7" fillId="6" borderId="1" xfId="0" applyFont="true" applyBorder="true" applyAlignment="true" applyProtection="false">
      <alignment horizontal="center" vertical="center" textRotation="0" wrapText="false" indent="0" shrinkToFit="false" readingOrder="2"/>
      <protection locked="true" hidden="false"/>
    </xf>
    <xf numFmtId="164" fontId="7" fillId="20" borderId="1" xfId="0" applyFont="true" applyBorder="true" applyAlignment="true" applyProtection="false">
      <alignment horizontal="right" vertical="center" textRotation="0" wrapText="false" indent="0" shrinkToFit="false" readingOrder="2"/>
      <protection locked="true" hidden="false"/>
    </xf>
    <xf numFmtId="173" fontId="7" fillId="20" borderId="1" xfId="0" applyFont="true" applyBorder="true" applyAlignment="true" applyProtection="false">
      <alignment horizontal="center" vertical="center" textRotation="0" wrapText="false" indent="0" shrinkToFit="false" readingOrder="2"/>
      <protection locked="true" hidden="false"/>
    </xf>
    <xf numFmtId="164" fontId="50" fillId="17" borderId="0" xfId="0" applyFont="true" applyBorder="true" applyAlignment="true" applyProtection="false">
      <alignment horizontal="center" vertical="center" textRotation="0" wrapText="false" indent="0" shrinkToFit="false" readingOrder="2"/>
      <protection locked="true" hidden="false"/>
    </xf>
    <xf numFmtId="173" fontId="51" fillId="17" borderId="0" xfId="0" applyFont="true" applyBorder="true" applyAlignment="true" applyProtection="false">
      <alignment horizontal="center" vertical="center" textRotation="0" wrapText="false" indent="0" shrinkToFit="false" readingOrder="2"/>
      <protection locked="true" hidden="false"/>
    </xf>
    <xf numFmtId="164" fontId="31" fillId="0" borderId="0" xfId="0" applyFont="true" applyBorder="true" applyAlignment="true" applyProtection="false">
      <alignment horizontal="center" vertical="center" textRotation="0" wrapText="false" indent="0" shrinkToFit="false" readingOrder="2"/>
      <protection locked="true" hidden="false"/>
    </xf>
    <xf numFmtId="174" fontId="43" fillId="7" borderId="1" xfId="0" applyFont="true" applyBorder="true" applyAlignment="true" applyProtection="false">
      <alignment horizontal="center" vertical="center" textRotation="0" wrapText="false" indent="0" shrinkToFit="false" readingOrder="2"/>
      <protection locked="true" hidden="false"/>
    </xf>
    <xf numFmtId="164" fontId="10" fillId="0" borderId="0" xfId="0" applyFont="true" applyBorder="false" applyAlignment="true" applyProtection="false">
      <alignment horizontal="right" vertical="center" textRotation="0" wrapText="fals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1">
    <dxf>
      <font>
        <b val="1"/>
        <color rgb="FF2E7D32"/>
      </font>
      <fill>
        <patternFill>
          <bgColor rgb="FFE8F5E9"/>
        </patternFill>
      </fill>
    </dxf>
    <dxf>
      <font>
        <b val="1"/>
        <color rgb="FFC62828"/>
      </font>
      <fill>
        <patternFill>
          <bgColor rgb="FFFDECEA"/>
        </patternFill>
      </fill>
    </dxf>
    <dxf>
      <font>
        <b val="1"/>
        <color rgb="FF9A6B00"/>
      </font>
      <fill>
        <patternFill>
          <bgColor rgb="FFFFF3CD"/>
        </patternFill>
      </fill>
    </dxf>
    <dxf>
      <font>
        <b val="1"/>
        <color rgb="FF1A73E8"/>
      </font>
      <fill>
        <patternFill>
          <bgColor rgb="FFE3F2FD"/>
        </patternFill>
      </fill>
    </dxf>
    <dxf>
      <font>
        <b val="1"/>
        <color rgb="FF5E35B1"/>
      </font>
      <fill>
        <patternFill>
          <bgColor rgb="FFF3E5F5"/>
        </patternFill>
      </fill>
    </dxf>
    <dxf>
      <fill>
        <patternFill>
          <bgColor rgb="FFFFF3CD"/>
        </patternFill>
      </fill>
    </dxf>
    <dxf>
      <fill>
        <patternFill patternType="solid">
          <fgColor rgb="FF1F3A5F"/>
          <bgColor rgb="FF000000"/>
        </patternFill>
      </fill>
    </dxf>
    <dxf>
      <fill>
        <patternFill patternType="solid">
          <fgColor rgb="FFF5F8FB"/>
          <bgColor rgb="FF000000"/>
        </patternFill>
      </fill>
    </dxf>
    <dxf>
      <fill>
        <patternFill patternType="solid">
          <fgColor rgb="FFFFFFFF"/>
          <bgColor rgb="FF000000"/>
        </patternFill>
      </fill>
    </dxf>
    <dxf>
      <fill>
        <patternFill patternType="solid">
          <fgColor rgb="FF1F2933"/>
          <bgColor rgb="FF000000"/>
        </patternFill>
      </fill>
    </dxf>
    <dxf>
      <fill>
        <patternFill patternType="solid">
          <fgColor rgb="FFFFF8E1"/>
          <bgColor rgb="FF000000"/>
        </patternFill>
      </fill>
    </dxf>
    <dxf>
      <fill>
        <patternFill patternType="solid">
          <fgColor rgb="FF1A4FA0"/>
          <bgColor rgb="FF000000"/>
        </patternFill>
      </fill>
    </dxf>
    <dxf>
      <fill>
        <patternFill patternType="solid">
          <fgColor rgb="FFFDECEA"/>
          <bgColor rgb="FF000000"/>
        </patternFill>
      </fill>
    </dxf>
    <dxf>
      <fill>
        <patternFill patternType="solid">
          <fgColor rgb="FFC62828"/>
          <bgColor rgb="FF000000"/>
        </patternFill>
      </fill>
    </dxf>
    <dxf>
      <fill>
        <patternFill patternType="solid">
          <fgColor rgb="FFE8F5E9"/>
          <bgColor rgb="FF000000"/>
        </patternFill>
      </fill>
    </dxf>
    <dxf>
      <fill>
        <patternFill patternType="solid">
          <fgColor rgb="FF2E7D32"/>
          <bgColor rgb="FF000000"/>
        </patternFill>
      </fill>
    </dxf>
    <dxf>
      <fill>
        <patternFill patternType="solid">
          <fgColor rgb="FFE3F2FD"/>
          <bgColor rgb="FF000000"/>
        </patternFill>
      </fill>
    </dxf>
    <dxf>
      <fill>
        <patternFill patternType="solid">
          <fgColor rgb="FF1A73E8"/>
          <bgColor rgb="FF000000"/>
        </patternFill>
      </fill>
    </dxf>
    <dxf>
      <fill>
        <patternFill>
          <bgColor rgb="FFFDECEA"/>
        </patternFill>
      </fill>
    </dxf>
    <dxf>
      <fill>
        <patternFill patternType="solid">
          <fgColor rgb="FFF3E5F5"/>
          <bgColor rgb="FF000000"/>
        </patternFill>
      </fill>
    </dxf>
    <dxf>
      <fill>
        <patternFill patternType="solid">
          <fgColor rgb="FF5E35B1"/>
          <bgColor rgb="FF000000"/>
        </patternFill>
      </fill>
    </dxf>
    <dxf>
      <fill>
        <patternFill patternType="solid">
          <fgColor rgb="FFFFF3CD"/>
          <bgColor rgb="FF000000"/>
        </patternFill>
      </fill>
    </dxf>
    <dxf>
      <fill>
        <patternFill patternType="solid">
          <fgColor rgb="FF9A6B00"/>
          <bgColor rgb="FF000000"/>
        </patternFill>
      </fill>
    </dxf>
    <dxf>
      <fill>
        <patternFill patternType="solid">
          <fgColor rgb="FF4A5568"/>
          <bgColor rgb="FF000000"/>
        </patternFill>
      </fill>
    </dxf>
    <dxf>
      <fill>
        <patternFill patternType="solid">
          <fgColor rgb="FFA0AEC0"/>
          <bgColor rgb="FF000000"/>
        </patternFill>
      </fill>
    </dxf>
    <dxf>
      <fill>
        <patternFill patternType="solid">
          <fgColor rgb="FF2E7D7A"/>
          <bgColor rgb="FF000000"/>
        </patternFill>
      </fill>
    </dxf>
    <dxf>
      <fill>
        <patternFill patternType="solid">
          <fgColor rgb="FF8D6E63"/>
          <bgColor rgb="FF000000"/>
        </patternFill>
      </fill>
    </dxf>
    <dxf>
      <fill>
        <patternFill patternType="solid">
          <fgColor rgb="FF311B92"/>
          <bgColor rgb="FF000000"/>
        </patternFill>
      </fill>
    </dxf>
    <dxf>
      <fill>
        <patternFill patternType="solid">
          <fgColor rgb="FF8795A1"/>
          <bgColor rgb="FF000000"/>
        </patternFill>
      </fill>
    </dxf>
    <dxf>
      <font>
        <i val="1"/>
        <color rgb="FFA0AEC0"/>
      </font>
    </dxf>
    <dxf>
      <fill>
        <patternFill patternType="solid">
          <fgColor rgb="FFFF0000"/>
          <bgColor rgb="FF000000"/>
        </patternFill>
      </fill>
    </dxf>
  </dxfs>
  <colors>
    <indexedColors>
      <rgbColor rgb="FF000000"/>
      <rgbColor rgb="FFFFFFFF"/>
      <rgbColor rgb="FFFF0000"/>
      <rgbColor rgb="FF00FF00"/>
      <rgbColor rgb="FF0000FF"/>
      <rgbColor rgb="FFF5F8FB"/>
      <rgbColor rgb="FFFF00FF"/>
      <rgbColor rgb="FF00FFFF"/>
      <rgbColor rgb="FF800000"/>
      <rgbColor rgb="FF2E7D32"/>
      <rgbColor rgb="FF000080"/>
      <rgbColor rgb="FF9A6B00"/>
      <rgbColor rgb="FF800080"/>
      <rgbColor rgb="FF2C5282"/>
      <rgbColor rgb="FFA0AEC0"/>
      <rgbColor rgb="FF878787"/>
      <rgbColor rgb="FF8D6E63"/>
      <rgbColor rgb="FFC0504D"/>
      <rgbColor rgb="FFFFF8E1"/>
      <rgbColor rgb="FFE3F2FD"/>
      <rgbColor rgb="FF660066"/>
      <rgbColor rgb="FFB7791F"/>
      <rgbColor rgb="FF1A4FA0"/>
      <rgbColor rgb="FFC9D3DD"/>
      <rgbColor rgb="FF000080"/>
      <rgbColor rgb="FFFF00FF"/>
      <rgbColor rgb="FFFFFF00"/>
      <rgbColor rgb="FF00FFFF"/>
      <rgbColor rgb="FF800080"/>
      <rgbColor rgb="FF800000"/>
      <rgbColor rgb="FF4F81BD"/>
      <rgbColor rgb="FF0000FF"/>
      <rgbColor rgb="FF00CCFF"/>
      <rgbColor rgb="FFDCEFEE"/>
      <rgbColor rgb="FFE8F5E9"/>
      <rgbColor rgb="FFFFF3CD"/>
      <rgbColor rgb="FFF3E5F5"/>
      <rgbColor rgb="FFFDECEA"/>
      <rgbColor rgb="FFF2F4F7"/>
      <rgbColor rgb="FFD9D9D9"/>
      <rgbColor rgb="FF1A73E8"/>
      <rgbColor rgb="FF33CCCC"/>
      <rgbColor rgb="FF99CC00"/>
      <rgbColor rgb="FFFFCC00"/>
      <rgbColor rgb="FFF6AD55"/>
      <rgbColor rgb="FFC05621"/>
      <rgbColor rgb="FF5A6772"/>
      <rgbColor rgb="FF8795A1"/>
      <rgbColor rgb="FF1F3A5F"/>
      <rgbColor rgb="FF2E7D7A"/>
      <rgbColor rgb="FF003300"/>
      <rgbColor rgb="FF4A5568"/>
      <rgbColor rgb="FFC62828"/>
      <rgbColor rgb="FF5E35B1"/>
      <rgbColor rgb="FF311B92"/>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الموظفون حسب الفئة</a:t>
            </a:r>
          </a:p>
        </c:rich>
      </c:tx>
      <c:overlay val="0"/>
      <c:spPr>
        <a:noFill/>
        <a:ln w="0">
          <a:noFill/>
        </a:ln>
      </c:spPr>
    </c:title>
    <c:autoTitleDeleted val="0"/>
    <c:plotArea>
      <c:pieChart>
        <c:varyColors val="1"/>
        <c:ser>
          <c:idx val="0"/>
          <c:order val="0"/>
          <c:tx>
            <c:strRef>
              <c:f>'لوحة التحكم'!J22</c:f>
              <c:strCache>
                <c:ptCount val="1"/>
                <c:pt idx="0">
                  <c:v>العدد</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'لوحة التحكم'!$I$23:$I$24</c:f>
              <c:strCache>
                <c:ptCount val="2"/>
                <c:pt idx="0">
                  <c:v>سعودي</c:v>
                </c:pt>
                <c:pt idx="1">
                  <c:v>غير سعودي</c:v>
                </c:pt>
              </c:strCache>
            </c:strRef>
          </c:cat>
          <c:val>
            <c:numRef>
              <c:f>'لوحة التحكم'!$J$23:$J$24</c:f>
              <c:numCache>
                <c:formatCode>0;[RED]\-0;\-</c:formatCode>
                <c:ptCount val="2"/>
                <c:pt idx="0">
                  <c:v>7</c:v>
                </c:pt>
                <c:pt idx="1">
                  <c:v>4</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التكلفة الكاملة حسب القسم</a:t>
            </a:r>
          </a:p>
        </c:rich>
      </c:tx>
      <c:overlay val="0"/>
      <c:spPr>
        <a:noFill/>
        <a:ln w="0">
          <a:noFill/>
        </a:ln>
      </c:spPr>
    </c:title>
    <c:autoTitleDeleted val="0"/>
    <c:plotArea>
      <c:barChart>
        <c:barDir val="bar"/>
        <c:grouping val="clustered"/>
        <c:varyColors val="0"/>
        <c:ser>
          <c:idx val="0"/>
          <c:order val="0"/>
          <c:tx>
            <c:strRef>
              <c:f>'لوحة التحكم'!F39</c:f>
              <c:strCache>
                <c:ptCount val="1"/>
                <c:pt idx="0">
                  <c:v>التكلفة الكاملة حتى تاريخه</c:v>
                </c:pt>
              </c:strCache>
            </c:strRef>
          </c:tx>
          <c:spPr>
            <a:solidFill>
              <a:srgbClr val="2c528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التحكم'!$B$40:$B$46</c:f>
              <c:strCache>
                <c:ptCount val="7"/>
                <c:pt idx="0">
                  <c:v>الإدارة العليا</c:v>
                </c:pt>
                <c:pt idx="1">
                  <c:v>المالية</c:v>
                </c:pt>
                <c:pt idx="2">
                  <c:v>الموارد البشرية</c:v>
                </c:pt>
                <c:pt idx="3">
                  <c:v>المبيعات</c:v>
                </c:pt>
                <c:pt idx="4">
                  <c:v>العمليات</c:v>
                </c:pt>
                <c:pt idx="5">
                  <c:v>تقنية المعلومات</c:v>
                </c:pt>
                <c:pt idx="6">
                  <c:v>المشاريع</c:v>
                </c:pt>
              </c:strCache>
            </c:strRef>
          </c:cat>
          <c:val>
            <c:numRef>
              <c:f>'لوحة التحكم'!$F$40:$F$46</c:f>
              <c:numCache>
                <c:formatCode>_-* #,##0_-;[RED]_-* \(#,##0\)_-;_-* \-??_-;_-@_-</c:formatCode>
                <c:ptCount val="7"/>
                <c:pt idx="0">
                  <c:v>464357.157534247</c:v>
                </c:pt>
                <c:pt idx="1">
                  <c:v>540247.258847032</c:v>
                </c:pt>
                <c:pt idx="2">
                  <c:v>219578.578767123</c:v>
                </c:pt>
                <c:pt idx="3">
                  <c:v>313995.808219178</c:v>
                </c:pt>
                <c:pt idx="4">
                  <c:v>169460.19977169</c:v>
                </c:pt>
                <c:pt idx="5">
                  <c:v>336946.03652968</c:v>
                </c:pt>
                <c:pt idx="6">
                  <c:v>182507.311643836</c:v>
                </c:pt>
              </c:numCache>
            </c:numRef>
          </c:val>
        </c:ser>
        <c:gapWidth val="150"/>
        <c:overlap val="0"/>
        <c:axId val="55280265"/>
        <c:axId val="65868705"/>
      </c:barChart>
      <c:catAx>
        <c:axId val="55280265"/>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868705"/>
        <c:crosses val="autoZero"/>
        <c:auto val="1"/>
        <c:lblAlgn val="ctr"/>
        <c:lblOffset val="100"/>
        <c:noMultiLvlLbl val="0"/>
      </c:catAx>
      <c:valAx>
        <c:axId val="65868705"/>
        <c:scaling>
          <c:orientation val="minMax"/>
        </c:scaling>
        <c:delete val="0"/>
        <c:axPos val="l"/>
        <c:majorGridlines>
          <c:spPr>
            <a:ln w="9360">
              <a:solidFill>
                <a:srgbClr val="878787"/>
              </a:solidFill>
              <a:round/>
            </a:ln>
          </c:spPr>
        </c:majorGridlines>
        <c:numFmt formatCode="_-* #,##0_-;[RED]_-* \(#,##0\)_-;_-* \-??_-;_-@_-"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2802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مكونات تكلفة العمالة شهرياً</a:t>
            </a:r>
          </a:p>
        </c:rich>
      </c:tx>
      <c:overlay val="0"/>
      <c:spPr>
        <a:noFill/>
        <a:ln w="0">
          <a:noFill/>
        </a:ln>
      </c:spPr>
    </c:title>
    <c:autoTitleDeleted val="0"/>
    <c:plotArea>
      <c:barChart>
        <c:barDir val="col"/>
        <c:grouping val="stacked"/>
        <c:varyColors val="0"/>
        <c:ser>
          <c:idx val="0"/>
          <c:order val="0"/>
          <c:tx>
            <c:strRef>
              <c:f>'لوحة التحكم'!C59</c:f>
              <c:strCache>
                <c:ptCount val="1"/>
                <c:pt idx="0">
                  <c:v>صافي الرواتب</c:v>
                </c:pt>
              </c:strCache>
            </c:strRef>
          </c:tx>
          <c:spPr>
            <a:solidFill>
              <a:srgbClr val="2e7d3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التحكم'!$C$60:$C$71</c:f>
              <c:numCache>
                <c:formatCode>_-* #,##0_-;[RED]_-* \(#,##0\)_-;_-* \-??_-;_-@_-</c:formatCode>
                <c:ptCount val="12"/>
                <c:pt idx="0">
                  <c:v>178337.395833333</c:v>
                </c:pt>
                <c:pt idx="1">
                  <c:v>182442.395833333</c:v>
                </c:pt>
                <c:pt idx="2">
                  <c:v>177782.8125</c:v>
                </c:pt>
                <c:pt idx="3">
                  <c:v>181616.5625</c:v>
                </c:pt>
                <c:pt idx="4">
                  <c:v>189111.354166667</c:v>
                </c:pt>
                <c:pt idx="5">
                  <c:v>195154.6875</c:v>
                </c:pt>
                <c:pt idx="6">
                  <c:v>190501.947773973</c:v>
                </c:pt>
                <c:pt idx="7">
                  <c:v>180702.1875</c:v>
                </c:pt>
                <c:pt idx="8">
                  <c:v>175044.270833333</c:v>
                </c:pt>
                <c:pt idx="9">
                  <c:v>169506.354166667</c:v>
                </c:pt>
                <c:pt idx="10">
                  <c:v>182204.6875</c:v>
                </c:pt>
                <c:pt idx="11">
                  <c:v>181704.6875</c:v>
                </c:pt>
              </c:numCache>
            </c:numRef>
          </c:val>
        </c:ser>
        <c:ser>
          <c:idx val="1"/>
          <c:order val="1"/>
          <c:tx>
            <c:strRef>
              <c:f>'لوحة التحكم'!D59</c:f>
              <c:strCache>
                <c:ptCount val="1"/>
                <c:pt idx="0">
                  <c:v>التأمينات (موظف + منشأة)</c:v>
                </c:pt>
              </c:strCache>
            </c:strRef>
          </c:tx>
          <c:spPr>
            <a:solidFill>
              <a:srgbClr val="c6282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التحكم'!$D$60:$D$71</c:f>
              <c:numCache>
                <c:formatCode>_-* #,##0_-;[RED]_-* \(#,##0\)_-;_-* \-??_-;_-@_-</c:formatCode>
                <c:ptCount val="12"/>
                <c:pt idx="0">
                  <c:v>25859.375</c:v>
                </c:pt>
                <c:pt idx="1">
                  <c:v>25859.375</c:v>
                </c:pt>
                <c:pt idx="2">
                  <c:v>25859.375</c:v>
                </c:pt>
                <c:pt idx="3">
                  <c:v>27149.375</c:v>
                </c:pt>
                <c:pt idx="4">
                  <c:v>28278.125</c:v>
                </c:pt>
                <c:pt idx="5">
                  <c:v>28278.125</c:v>
                </c:pt>
                <c:pt idx="6">
                  <c:v>28153.125</c:v>
                </c:pt>
                <c:pt idx="7">
                  <c:v>28153.125</c:v>
                </c:pt>
                <c:pt idx="8">
                  <c:v>28153.125</c:v>
                </c:pt>
                <c:pt idx="9">
                  <c:v>28153.125</c:v>
                </c:pt>
                <c:pt idx="10">
                  <c:v>28153.125</c:v>
                </c:pt>
                <c:pt idx="11">
                  <c:v>28153.125</c:v>
                </c:pt>
              </c:numCache>
            </c:numRef>
          </c:val>
        </c:ser>
        <c:ser>
          <c:idx val="2"/>
          <c:order val="2"/>
          <c:tx>
            <c:strRef>
              <c:f>'لوحة التحكم'!E59</c:f>
              <c:strCache>
                <c:ptCount val="1"/>
                <c:pt idx="0">
                  <c:v>سلف وخصومات</c:v>
                </c:pt>
              </c:strCache>
            </c:strRef>
          </c:tx>
          <c:spPr>
            <a:solidFill>
              <a:srgbClr val="f6ad5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التحكم'!$E$60:$E$71</c:f>
              <c:numCache>
                <c:formatCode>_-* #,##0_-;[RED]_-* \(#,##0\)_-;_-* \-??_-;_-@_-</c:formatCode>
                <c:ptCount val="12"/>
                <c:pt idx="0">
                  <c:v>1100</c:v>
                </c:pt>
                <c:pt idx="1">
                  <c:v>1000</c:v>
                </c:pt>
                <c:pt idx="2">
                  <c:v>1000</c:v>
                </c:pt>
                <c:pt idx="3">
                  <c:v>1000</c:v>
                </c:pt>
                <c:pt idx="4">
                  <c:v>1000</c:v>
                </c:pt>
                <c:pt idx="5">
                  <c:v>0</c:v>
                </c:pt>
                <c:pt idx="6">
                  <c:v>0</c:v>
                </c:pt>
                <c:pt idx="7">
                  <c:v>0</c:v>
                </c:pt>
                <c:pt idx="8">
                  <c:v>250</c:v>
                </c:pt>
                <c:pt idx="9">
                  <c:v>0</c:v>
                </c:pt>
                <c:pt idx="10">
                  <c:v>0</c:v>
                </c:pt>
                <c:pt idx="11">
                  <c:v>0</c:v>
                </c:pt>
              </c:numCache>
            </c:numRef>
          </c:val>
        </c:ser>
        <c:ser>
          <c:idx val="3"/>
          <c:order val="3"/>
          <c:tx>
            <c:strRef>
              <c:f>'لوحة التحكم'!F59</c:f>
              <c:strCache>
                <c:ptCount val="1"/>
                <c:pt idx="0">
                  <c:v>المخصصات</c:v>
                </c:pt>
              </c:strCache>
            </c:strRef>
          </c:tx>
          <c:spPr>
            <a:solidFill>
              <a:srgbClr val="9a6b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التحكم'!$F$60:$F$71</c:f>
              <c:numCache>
                <c:formatCode>_-* #,##0_-;[RED]_-* \(#,##0\)_-;_-* \-??_-;_-@_-</c:formatCode>
                <c:ptCount val="12"/>
                <c:pt idx="0">
                  <c:v>29189.1506849315</c:v>
                </c:pt>
                <c:pt idx="1">
                  <c:v>26695.1232876712</c:v>
                </c:pt>
                <c:pt idx="2">
                  <c:v>29555.3150684932</c:v>
                </c:pt>
                <c:pt idx="3">
                  <c:v>29241.0410958904</c:v>
                </c:pt>
                <c:pt idx="4">
                  <c:v>30793.6164383562</c:v>
                </c:pt>
                <c:pt idx="5">
                  <c:v>29800.2739726027</c:v>
                </c:pt>
                <c:pt idx="6">
                  <c:v>29536.6301369863</c:v>
                </c:pt>
                <c:pt idx="7">
                  <c:v>29436.7671232877</c:v>
                </c:pt>
                <c:pt idx="8">
                  <c:v>27526.0273972603</c:v>
                </c:pt>
                <c:pt idx="9">
                  <c:v>27709.506849315</c:v>
                </c:pt>
                <c:pt idx="10">
                  <c:v>28583.8356164384</c:v>
                </c:pt>
                <c:pt idx="11">
                  <c:v>29536.6301369863</c:v>
                </c:pt>
              </c:numCache>
            </c:numRef>
          </c:val>
        </c:ser>
        <c:ser>
          <c:idx val="4"/>
          <c:order val="4"/>
          <c:tx>
            <c:strRef>
              <c:f>'لوحة التحكم'!G59</c:f>
              <c:strCache>
                <c:ptCount val="1"/>
                <c:pt idx="0">
                  <c:v>إقامات ورخص وتأمين طبي</c:v>
                </c:pt>
              </c:strCache>
            </c:strRef>
          </c:tx>
          <c:spPr>
            <a:solidFill>
              <a:srgbClr val="8d6e6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التحكم'!$G$60:$G$71</c:f>
              <c:numCache>
                <c:formatCode>_-* #,##0_-;[RED]_-* \(#,##0\)_-;_-* \-??_-;_-@_-</c:formatCode>
                <c:ptCount val="12"/>
                <c:pt idx="0">
                  <c:v>7270.83333333333</c:v>
                </c:pt>
                <c:pt idx="1">
                  <c:v>7270.83333333333</c:v>
                </c:pt>
                <c:pt idx="2">
                  <c:v>7270.83333333333</c:v>
                </c:pt>
                <c:pt idx="3">
                  <c:v>7377.5</c:v>
                </c:pt>
                <c:pt idx="4">
                  <c:v>7470.83333333333</c:v>
                </c:pt>
                <c:pt idx="5">
                  <c:v>7470.83333333333</c:v>
                </c:pt>
                <c:pt idx="6">
                  <c:v>6466.66666666667</c:v>
                </c:pt>
                <c:pt idx="7">
                  <c:v>6466.66666666667</c:v>
                </c:pt>
                <c:pt idx="8">
                  <c:v>6466.66666666667</c:v>
                </c:pt>
                <c:pt idx="9">
                  <c:v>6466.66666666667</c:v>
                </c:pt>
                <c:pt idx="10">
                  <c:v>6466.66666666667</c:v>
                </c:pt>
                <c:pt idx="11">
                  <c:v>6466.66666666667</c:v>
                </c:pt>
              </c:numCache>
            </c:numRef>
          </c:val>
        </c:ser>
        <c:gapWidth val="150"/>
        <c:overlap val="100"/>
        <c:axId val="620002"/>
        <c:axId val="76404415"/>
      </c:barChart>
      <c:catAx>
        <c:axId val="62000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404415"/>
        <c:crosses val="autoZero"/>
        <c:auto val="1"/>
        <c:lblAlgn val="ctr"/>
        <c:lblOffset val="100"/>
        <c:noMultiLvlLbl val="0"/>
      </c:catAx>
      <c:valAx>
        <c:axId val="76404415"/>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00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إجمالي المستحقات مقابل إجمالي تكلفة العمالة شهرياً</a:t>
            </a:r>
          </a:p>
        </c:rich>
      </c:tx>
      <c:overlay val="0"/>
      <c:spPr>
        <a:noFill/>
        <a:ln w="0">
          <a:noFill/>
        </a:ln>
      </c:spPr>
    </c:title>
    <c:autoTitleDeleted val="0"/>
    <c:plotArea>
      <c:barChart>
        <c:barDir val="col"/>
        <c:grouping val="clustered"/>
        <c:varyColors val="0"/>
        <c:ser>
          <c:idx val="0"/>
          <c:order val="0"/>
          <c:tx>
            <c:strRef>
              <c:f>'الملخص الشهري'!K5</c:f>
              <c:strCache>
                <c:ptCount val="1"/>
                <c:pt idx="0">
                  <c:v>إجمالي المستحقات</c:v>
                </c:pt>
              </c:strCache>
            </c:strRef>
          </c:tx>
          <c:spPr>
            <a:solidFill>
              <a:srgbClr val="2e7d7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'الملخص الشهري'!$B$6:$B$17</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'الملخص الشهري'!$K$6:$K$17</c:f>
              <c:numCache>
                <c:formatCode>_-* #,##0.00_-;[RED]_-* \(#,##0.00\)_-;_-* \-??_-;_-@_-</c:formatCode>
                <c:ptCount val="12"/>
                <c:pt idx="0">
                  <c:v>190710.833333333</c:v>
                </c:pt>
                <c:pt idx="1">
                  <c:v>194715.833333333</c:v>
                </c:pt>
                <c:pt idx="2">
                  <c:v>190056.25</c:v>
                </c:pt>
                <c:pt idx="3">
                  <c:v>194475</c:v>
                </c:pt>
                <c:pt idx="4">
                  <c:v>202481.666666667</c:v>
                </c:pt>
                <c:pt idx="5">
                  <c:v>207525</c:v>
                </c:pt>
                <c:pt idx="6">
                  <c:v>202872.260273973</c:v>
                </c:pt>
                <c:pt idx="7">
                  <c:v>193072.5</c:v>
                </c:pt>
                <c:pt idx="8">
                  <c:v>187664.583333333</c:v>
                </c:pt>
                <c:pt idx="9">
                  <c:v>181876.666666667</c:v>
                </c:pt>
                <c:pt idx="10">
                  <c:v>194575</c:v>
                </c:pt>
                <c:pt idx="11">
                  <c:v>194075</c:v>
                </c:pt>
              </c:numCache>
            </c:numRef>
          </c:val>
        </c:ser>
        <c:ser>
          <c:idx val="1"/>
          <c:order val="1"/>
          <c:tx>
            <c:strRef>
              <c:f>'الملخص الشهري'!U5</c:f>
              <c:strCache>
                <c:ptCount val="1"/>
                <c:pt idx="0">
                  <c:v>إجمالي تكلفة العمالة</c:v>
                </c:pt>
              </c:strCache>
            </c:strRef>
          </c:tx>
          <c:spPr>
            <a:solidFill>
              <a:srgbClr val="5e35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'الملخص الشهري'!$B$6:$B$17</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'الملخص الشهري'!$U$6:$U$17</c:f>
              <c:numCache>
                <c:formatCode>_-* #,##0.00_-;[RED]_-* \(#,##0.00\)_-;_-* \-??_-;_-@_-</c:formatCode>
                <c:ptCount val="12"/>
                <c:pt idx="0">
                  <c:v>241756.754851598</c:v>
                </c:pt>
                <c:pt idx="1">
                  <c:v>243267.727454338</c:v>
                </c:pt>
                <c:pt idx="2">
                  <c:v>241468.335901827</c:v>
                </c:pt>
                <c:pt idx="3">
                  <c:v>246384.47859589</c:v>
                </c:pt>
                <c:pt idx="4">
                  <c:v>256653.928938356</c:v>
                </c:pt>
                <c:pt idx="5">
                  <c:v>260703.919805936</c:v>
                </c:pt>
                <c:pt idx="6">
                  <c:v>254658.369577626</c:v>
                </c:pt>
                <c:pt idx="7">
                  <c:v>244758.746289954</c:v>
                </c:pt>
                <c:pt idx="8">
                  <c:v>237440.08989726</c:v>
                </c:pt>
                <c:pt idx="9">
                  <c:v>231835.652682648</c:v>
                </c:pt>
                <c:pt idx="10">
                  <c:v>245408.314783105</c:v>
                </c:pt>
                <c:pt idx="11">
                  <c:v>245861.109303653</c:v>
                </c:pt>
              </c:numCache>
            </c:numRef>
          </c:val>
        </c:ser>
        <c:gapWidth val="150"/>
        <c:overlap val="0"/>
        <c:axId val="97447035"/>
        <c:axId val="82753706"/>
      </c:barChart>
      <c:catAx>
        <c:axId val="974470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753706"/>
        <c:crosses val="autoZero"/>
        <c:auto val="1"/>
        <c:lblAlgn val="ctr"/>
        <c:lblOffset val="100"/>
        <c:noMultiLvlLbl val="0"/>
      </c:catAx>
      <c:valAx>
        <c:axId val="8275370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4470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17.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-86040</xdr:colOff>
      <xdr:row>24</xdr:row>
      <xdr:rowOff>0</xdr:rowOff>
    </xdr:from>
    <xdr:to>
      <xdr:col>11</xdr:col>
      <xdr:colOff>0</xdr:colOff>
      <xdr:row>35</xdr:row>
      <xdr:rowOff>136080</xdr:rowOff>
    </xdr:to>
    <xdr:graphicFrame>
      <xdr:nvGraphicFramePr>
        <xdr:cNvPr id="0" name="Chart 1"/>
        <xdr:cNvGraphicFramePr/>
      </xdr:nvGraphicFramePr>
      <xdr:xfrm>
        <a:off x="-11376360" y="6648480"/>
        <a:ext cx="3419640" cy="223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-234720</xdr:colOff>
      <xdr:row>37</xdr:row>
      <xdr:rowOff>0</xdr:rowOff>
    </xdr:from>
    <xdr:to>
      <xdr:col>12</xdr:col>
      <xdr:colOff>0</xdr:colOff>
      <xdr:row>52</xdr:row>
      <xdr:rowOff>29520</xdr:rowOff>
    </xdr:to>
    <xdr:graphicFrame>
      <xdr:nvGraphicFramePr>
        <xdr:cNvPr id="1" name="Chart 2"/>
        <xdr:cNvGraphicFramePr/>
      </xdr:nvGraphicFramePr>
      <xdr:xfrm>
        <a:off x="-12636360" y="9124920"/>
        <a:ext cx="46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-594360</xdr:colOff>
      <xdr:row>58</xdr:row>
      <xdr:rowOff>0</xdr:rowOff>
    </xdr:from>
    <xdr:to>
      <xdr:col>13</xdr:col>
      <xdr:colOff>0</xdr:colOff>
      <xdr:row>72</xdr:row>
      <xdr:rowOff>30960</xdr:rowOff>
    </xdr:to>
    <xdr:graphicFrame>
      <xdr:nvGraphicFramePr>
        <xdr:cNvPr id="2" name="Chart 3"/>
        <xdr:cNvGraphicFramePr/>
      </xdr:nvGraphicFramePr>
      <xdr:xfrm>
        <a:off x="-14107320" y="13563720"/>
        <a:ext cx="503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-380880</xdr:colOff>
      <xdr:row>21</xdr:row>
      <xdr:rowOff>0</xdr:rowOff>
    </xdr:from>
    <xdr:to>
      <xdr:col>10</xdr:col>
      <xdr:colOff>0</xdr:colOff>
      <xdr:row>38</xdr:row>
      <xdr:rowOff>1080</xdr:rowOff>
    </xdr:to>
    <xdr:graphicFrame>
      <xdr:nvGraphicFramePr>
        <xdr:cNvPr id="3" name="Chart 1"/>
        <xdr:cNvGraphicFramePr/>
      </xdr:nvGraphicFramePr>
      <xdr:xfrm>
        <a:off x="-9537480" y="5048280"/>
        <a:ext cx="93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1.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1:G36"/>
  <sheetViews>
    <sheetView showFormulas="false" showGridLines="false" showRowColHeaders="true" showZeros="true" rightToLeft="tru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30"/>
    <col collapsed="false" customWidth="true" hidden="false" outlineLevel="0" max="4" min="4" style="0" width="64"/>
    <col collapsed="false" customWidth="true" hidden="false" outlineLevel="0" max="5" min="5" style="0" width="3"/>
    <col collapsed="false" customWidth="true" hidden="false" outlineLevel="0" max="7" min="6" style="0" width="22"/>
  </cols>
  <sheetData>
    <row r="1" customFormat="false" ht="37.5" hidden="false" customHeight="true" outlineLevel="0" collapsed="false">
      <c r="B1" s="1" t="s">
        <v>0</v>
      </c>
      <c r="C1" s="1"/>
      <c r="D1" s="1"/>
      <c r="E1" s="1"/>
      <c r="F1" s="1"/>
      <c r="G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row>
    <row r="3" customFormat="false" ht="30" hidden="false" customHeight="true" outlineLevel="0" collapsed="false">
      <c r="B3" s="3" t="s">
        <v>1</v>
      </c>
      <c r="C3" s="3"/>
      <c r="D3" s="3"/>
      <c r="E3" s="3"/>
      <c r="F3" s="3"/>
      <c r="G3" s="3"/>
    </row>
    <row r="4" customFormat="false" ht="7.5" hidden="false" customHeight="true" outlineLevel="0" collapsed="false"/>
    <row r="5" customFormat="false" ht="21.75" hidden="false" customHeight="true" outlineLevel="0" collapsed="false">
      <c r="B5" s="4" t="s">
        <v>2</v>
      </c>
      <c r="C5" s="4"/>
      <c r="D5" s="4"/>
      <c r="F5" s="5" t="s">
        <v>3</v>
      </c>
      <c r="G5" s="5"/>
    </row>
    <row r="6" customFormat="false" ht="24" hidden="false" customHeight="true" outlineLevel="0" collapsed="false">
      <c r="B6" s="6" t="s">
        <v>4</v>
      </c>
      <c r="C6" s="6" t="s">
        <v>5</v>
      </c>
      <c r="D6" s="6" t="s">
        <v>6</v>
      </c>
      <c r="F6" s="7" t="s">
        <v>7</v>
      </c>
      <c r="G6" s="7" t="s">
        <v>8</v>
      </c>
    </row>
    <row r="7" customFormat="false" ht="30" hidden="false" customHeight="true" outlineLevel="0" collapsed="false">
      <c r="B7" s="8" t="s">
        <v>9</v>
      </c>
      <c r="C7" s="9" t="s">
        <v>10</v>
      </c>
      <c r="D7" s="10" t="s">
        <v>11</v>
      </c>
      <c r="F7" s="11" t="s">
        <v>12</v>
      </c>
      <c r="G7" s="11" t="s">
        <v>13</v>
      </c>
    </row>
    <row r="8" customFormat="false" ht="30" hidden="false" customHeight="true" outlineLevel="0" collapsed="false">
      <c r="B8" s="8" t="s">
        <v>14</v>
      </c>
      <c r="C8" s="9" t="s">
        <v>15</v>
      </c>
      <c r="D8" s="10" t="s">
        <v>16</v>
      </c>
      <c r="F8" s="7" t="s">
        <v>17</v>
      </c>
      <c r="G8" s="7" t="s">
        <v>18</v>
      </c>
    </row>
    <row r="9" customFormat="false" ht="30" hidden="false" customHeight="true" outlineLevel="0" collapsed="false">
      <c r="B9" s="8" t="s">
        <v>19</v>
      </c>
      <c r="C9" s="9" t="s">
        <v>20</v>
      </c>
      <c r="D9" s="10" t="s">
        <v>21</v>
      </c>
      <c r="F9" s="11" t="s">
        <v>22</v>
      </c>
      <c r="G9" s="11" t="s">
        <v>23</v>
      </c>
    </row>
    <row r="10" customFormat="false" ht="30" hidden="false" customHeight="true" outlineLevel="0" collapsed="false">
      <c r="B10" s="8" t="s">
        <v>24</v>
      </c>
      <c r="C10" s="9" t="s">
        <v>25</v>
      </c>
      <c r="D10" s="10" t="s">
        <v>26</v>
      </c>
      <c r="F10" s="7" t="s">
        <v>27</v>
      </c>
      <c r="G10" s="7" t="s">
        <v>28</v>
      </c>
    </row>
    <row r="11" customFormat="false" ht="30" hidden="false" customHeight="true" outlineLevel="0" collapsed="false">
      <c r="B11" s="8" t="s">
        <v>29</v>
      </c>
      <c r="C11" s="9" t="s">
        <v>7</v>
      </c>
      <c r="D11" s="10" t="s">
        <v>30</v>
      </c>
      <c r="F11" s="11" t="s">
        <v>31</v>
      </c>
      <c r="G11" s="11" t="s">
        <v>32</v>
      </c>
    </row>
    <row r="12" customFormat="false" ht="30" hidden="false" customHeight="true" outlineLevel="0" collapsed="false">
      <c r="B12" s="8" t="s">
        <v>33</v>
      </c>
      <c r="C12" s="9" t="s">
        <v>34</v>
      </c>
      <c r="D12" s="10" t="s">
        <v>35</v>
      </c>
    </row>
    <row r="13" customFormat="false" ht="30" hidden="false" customHeight="true" outlineLevel="0" collapsed="false">
      <c r="B13" s="8" t="s">
        <v>36</v>
      </c>
      <c r="C13" s="9" t="s">
        <v>37</v>
      </c>
      <c r="D13" s="10" t="s">
        <v>38</v>
      </c>
      <c r="F13" s="12" t="s">
        <v>39</v>
      </c>
      <c r="G13" s="12" t="s">
        <v>40</v>
      </c>
    </row>
    <row r="14" customFormat="false" ht="30" hidden="false" customHeight="true" outlineLevel="0" collapsed="false">
      <c r="B14" s="8" t="s">
        <v>41</v>
      </c>
      <c r="C14" s="9" t="s">
        <v>42</v>
      </c>
      <c r="D14" s="10" t="s">
        <v>43</v>
      </c>
      <c r="F14" s="12" t="s">
        <v>44</v>
      </c>
      <c r="G14" s="12" t="s">
        <v>45</v>
      </c>
    </row>
    <row r="15" customFormat="false" ht="30" hidden="false" customHeight="true" outlineLevel="0" collapsed="false">
      <c r="B15" s="8" t="s">
        <v>46</v>
      </c>
      <c r="C15" s="9" t="s">
        <v>47</v>
      </c>
      <c r="D15" s="10" t="s">
        <v>48</v>
      </c>
    </row>
    <row r="16" customFormat="false" ht="30" hidden="false" customHeight="true" outlineLevel="0" collapsed="false">
      <c r="B16" s="8" t="s">
        <v>49</v>
      </c>
      <c r="C16" s="9" t="s">
        <v>50</v>
      </c>
      <c r="D16" s="10" t="s">
        <v>51</v>
      </c>
    </row>
    <row r="18" customFormat="false" ht="21.75" hidden="false" customHeight="true" outlineLevel="0" collapsed="false">
      <c r="B18" s="4" t="s">
        <v>52</v>
      </c>
      <c r="C18" s="4"/>
      <c r="D18" s="4"/>
    </row>
    <row r="19" customFormat="false" ht="15" hidden="false" customHeight="false" outlineLevel="0" collapsed="false">
      <c r="C19" s="13" t="s">
        <v>53</v>
      </c>
      <c r="D19" s="14" t="s">
        <v>54</v>
      </c>
    </row>
    <row r="20" customFormat="false" ht="15" hidden="false" customHeight="false" outlineLevel="0" collapsed="false">
      <c r="C20" s="15" t="s">
        <v>55</v>
      </c>
      <c r="D20" s="14" t="s">
        <v>56</v>
      </c>
    </row>
    <row r="21" customFormat="false" ht="15" hidden="false" customHeight="false" outlineLevel="0" collapsed="false">
      <c r="C21" s="16" t="s">
        <v>57</v>
      </c>
      <c r="D21" s="14" t="s">
        <v>58</v>
      </c>
    </row>
    <row r="22" customFormat="false" ht="15" hidden="false" customHeight="false" outlineLevel="0" collapsed="false">
      <c r="C22" s="17" t="s">
        <v>59</v>
      </c>
      <c r="D22" s="14" t="s">
        <v>60</v>
      </c>
    </row>
    <row r="23" customFormat="false" ht="15" hidden="false" customHeight="false" outlineLevel="0" collapsed="false">
      <c r="C23" s="18" t="s">
        <v>61</v>
      </c>
      <c r="D23" s="14" t="s">
        <v>62</v>
      </c>
    </row>
    <row r="24" customFormat="false" ht="15" hidden="false" customHeight="false" outlineLevel="0" collapsed="false">
      <c r="C24" s="19" t="s">
        <v>63</v>
      </c>
      <c r="D24" s="14" t="s">
        <v>64</v>
      </c>
    </row>
    <row r="26" customFormat="false" ht="21.75" hidden="false" customHeight="true" outlineLevel="0" collapsed="false">
      <c r="B26" s="20" t="s">
        <v>65</v>
      </c>
      <c r="C26" s="20"/>
      <c r="D26" s="20"/>
      <c r="E26" s="20"/>
      <c r="F26" s="20"/>
      <c r="G26" s="20"/>
    </row>
    <row r="27" customFormat="false" ht="48" hidden="false" customHeight="true" outlineLevel="0" collapsed="false">
      <c r="B27" s="21" t="s">
        <v>66</v>
      </c>
      <c r="C27" s="21"/>
      <c r="D27" s="21"/>
      <c r="E27" s="21"/>
      <c r="F27" s="21"/>
      <c r="G27" s="21"/>
    </row>
    <row r="29" customFormat="false" ht="21.75" hidden="false" customHeight="true" outlineLevel="0" collapsed="false">
      <c r="B29" s="22" t="s">
        <v>67</v>
      </c>
      <c r="C29" s="22"/>
      <c r="D29" s="22"/>
      <c r="E29" s="22"/>
      <c r="F29" s="22"/>
      <c r="G29" s="22"/>
    </row>
    <row r="30" customFormat="false" ht="33.75" hidden="false" customHeight="true" outlineLevel="0" collapsed="false">
      <c r="B30" s="23" t="s">
        <v>68</v>
      </c>
      <c r="C30" s="23"/>
      <c r="D30" s="10" t="s">
        <v>69</v>
      </c>
      <c r="E30" s="10"/>
      <c r="F30" s="10"/>
      <c r="G30" s="10"/>
    </row>
    <row r="31" customFormat="false" ht="33.75" hidden="false" customHeight="true" outlineLevel="0" collapsed="false">
      <c r="B31" s="23" t="s">
        <v>70</v>
      </c>
      <c r="C31" s="23"/>
      <c r="D31" s="10" t="s">
        <v>71</v>
      </c>
      <c r="E31" s="10"/>
      <c r="F31" s="10"/>
      <c r="G31" s="10"/>
    </row>
    <row r="32" customFormat="false" ht="33.75" hidden="false" customHeight="true" outlineLevel="0" collapsed="false">
      <c r="B32" s="23" t="s">
        <v>72</v>
      </c>
      <c r="C32" s="23"/>
      <c r="D32" s="10" t="s">
        <v>73</v>
      </c>
      <c r="E32" s="10"/>
      <c r="F32" s="10"/>
      <c r="G32" s="10"/>
    </row>
    <row r="33" customFormat="false" ht="33.75" hidden="false" customHeight="true" outlineLevel="0" collapsed="false">
      <c r="B33" s="23" t="s">
        <v>74</v>
      </c>
      <c r="C33" s="23"/>
      <c r="D33" s="10" t="s">
        <v>75</v>
      </c>
      <c r="E33" s="10"/>
      <c r="F33" s="10"/>
      <c r="G33" s="10"/>
    </row>
    <row r="34" customFormat="false" ht="33.75" hidden="false" customHeight="true" outlineLevel="0" collapsed="false">
      <c r="B34" s="23" t="s">
        <v>76</v>
      </c>
      <c r="C34" s="23"/>
      <c r="D34" s="10" t="s">
        <v>77</v>
      </c>
      <c r="E34" s="10"/>
      <c r="F34" s="10"/>
      <c r="G34" s="10"/>
    </row>
    <row r="36" customFormat="false" ht="49.5" hidden="false" customHeight="true" outlineLevel="0" collapsed="false">
      <c r="B36" s="24" t="s">
        <v>78</v>
      </c>
      <c r="C36" s="24"/>
      <c r="D36" s="24"/>
      <c r="E36" s="24"/>
      <c r="F36" s="24"/>
      <c r="G36" s="24"/>
    </row>
  </sheetData>
  <mergeCells count="20">
    <mergeCell ref="B1:G1"/>
    <mergeCell ref="B2:G2"/>
    <mergeCell ref="B3:G3"/>
    <mergeCell ref="B5:D5"/>
    <mergeCell ref="F5:G5"/>
    <mergeCell ref="B18:D18"/>
    <mergeCell ref="B26:G26"/>
    <mergeCell ref="B27:G27"/>
    <mergeCell ref="B29:G29"/>
    <mergeCell ref="B30:C30"/>
    <mergeCell ref="D30:G30"/>
    <mergeCell ref="B31:C31"/>
    <mergeCell ref="D31:G31"/>
    <mergeCell ref="B32:C32"/>
    <mergeCell ref="D32:G32"/>
    <mergeCell ref="B33:C33"/>
    <mergeCell ref="D33:G33"/>
    <mergeCell ref="B34:C34"/>
    <mergeCell ref="D34:G34"/>
    <mergeCell ref="B36:G36"/>
  </mergeCells>
  <hyperlinks>
    <hyperlink ref="F6" location="'مسير يناير'!A1" display="مسير يناير"/>
    <hyperlink ref="G6" location="'مسير يوليو'!A1" display="مسير يوليو"/>
    <hyperlink ref="C7" location="'الإعدادات'!A1" display="الإعدادات"/>
    <hyperlink ref="F7" location="'مسير فبراير'!A1" display="مسير فبراير"/>
    <hyperlink ref="G7" location="'مسير أغسطس'!A1" display="مسير أغسطس"/>
    <hyperlink ref="C8" location="'الموظفون'!A1" display="الموظفون"/>
    <hyperlink ref="F8" location="'مسير مارس'!A1" display="مسير مارس"/>
    <hyperlink ref="G8" location="'مسير سبتمبر'!A1" display="مسير سبتمبر"/>
    <hyperlink ref="C9" location="'سجل الإجازات والحالات'!A1" display="سجل الإجازات والحالات"/>
    <hyperlink ref="F9" location="'مسير أبريل'!A1" display="مسير أبريل"/>
    <hyperlink ref="G9" location="'مسير أكتوبر'!A1" display="مسير أكتوبر"/>
    <hyperlink ref="C10" location="'الحركات الشهرية'!A1" display="الحركات الشهرية"/>
    <hyperlink ref="F10" location="'مسير مايو'!A1" display="مسير مايو"/>
    <hyperlink ref="G10" location="'مسير نوفمبر'!A1" display="مسير نوفمبر"/>
    <hyperlink ref="C11" location="'مسير يناير'!A1" display="مسير يناير"/>
    <hyperlink ref="F11" location="'مسير يونيو'!A1" display="مسير يونيو"/>
    <hyperlink ref="G11" location="'مسير ديسمبر'!A1" display="مسير ديسمبر"/>
    <hyperlink ref="C12" location="'الإقامات ورخص العمل'!A1" display="الإقامات ورخص العمل"/>
    <hyperlink ref="C13" location="'مخصص نهاية الخدمة'!A1" display="مخصص نهاية الخدمة"/>
    <hyperlink ref="F13" location="'الملخص الشهري'!A1" display="📅 الملخص الشهري"/>
    <hyperlink ref="G13" location="'ملخص الموظفين السنوي'!A1" display="📑 ملخص الموظفين"/>
    <hyperlink ref="C14" location="'قيود الرواتب'!A1" display="قيود الرواتب"/>
    <hyperlink ref="F14" location="'مخصص الإجازات'!A1" display="🌴 مخصص الإجازات"/>
    <hyperlink ref="G14" location="'مخصص التذاكر'!A1" display="✈ مخصص التذاكر"/>
    <hyperlink ref="C15" location="'قسيمة الراتب'!A1" display="قسيمة الراتب"/>
    <hyperlink ref="C16" location="'لوحة التحكم'!A1" display="لوحة التحكم"/>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35B1"/>
    <pageSetUpPr fitToPage="true"/>
  </sheetPr>
  <dimension ref="B1:N75"/>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14" min="2" style="0" width="12.5"/>
  </cols>
  <sheetData>
    <row r="1" customFormat="false" ht="37.5" hidden="false" customHeight="true" outlineLevel="0" collapsed="false">
      <c r="B1" s="1" t="s">
        <v>79</v>
      </c>
      <c r="C1" s="1"/>
      <c r="D1" s="1"/>
      <c r="E1" s="1"/>
      <c r="F1" s="1"/>
      <c r="G1" s="1"/>
      <c r="H1" s="1"/>
      <c r="I1" s="1"/>
      <c r="J1" s="1"/>
      <c r="K1" s="1"/>
      <c r="L1" s="1"/>
      <c r="M1" s="1"/>
      <c r="N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row>
    <row r="3" customFormat="false" ht="25.5" hidden="false" customHeight="true" outlineLevel="0" collapsed="false">
      <c r="B3" s="25" t="s">
        <v>80</v>
      </c>
      <c r="C3" s="26" t="s">
        <v>81</v>
      </c>
      <c r="D3" s="26" t="s">
        <v>82</v>
      </c>
      <c r="E3" s="27" t="s">
        <v>83</v>
      </c>
      <c r="F3" s="26" t="s">
        <v>84</v>
      </c>
      <c r="G3" s="28" t="s">
        <v>85</v>
      </c>
      <c r="H3" s="26" t="s">
        <v>39</v>
      </c>
      <c r="J3" s="29" t="s">
        <v>86</v>
      </c>
      <c r="K3" s="30" t="str">
        <f aca="false">INDEX(L_MONTH,cfg_VAL_M)&amp;" "&amp;cfg_FY</f>
        <v>سبتمبر 2026</v>
      </c>
      <c r="L3" s="30"/>
      <c r="M3" s="31" t="s">
        <v>87</v>
      </c>
      <c r="N3" s="31"/>
    </row>
    <row r="4" customFormat="false" ht="7.5" hidden="false" customHeight="true" outlineLevel="0" collapsed="false"/>
    <row r="5" customFormat="false" ht="21.75" hidden="false" customHeight="true" outlineLevel="0" collapsed="false">
      <c r="B5" s="4" t="s">
        <v>88</v>
      </c>
      <c r="C5" s="4"/>
      <c r="D5" s="4"/>
      <c r="E5" s="4"/>
      <c r="F5" s="4"/>
      <c r="G5" s="4"/>
      <c r="H5" s="4"/>
      <c r="I5" s="4"/>
      <c r="J5" s="4"/>
      <c r="K5" s="4"/>
      <c r="L5" s="4"/>
      <c r="M5" s="4"/>
      <c r="N5" s="4"/>
    </row>
    <row r="6" customFormat="false" ht="21.75" hidden="false" customHeight="true" outlineLevel="0" collapsed="false">
      <c r="B6" s="32" t="s">
        <v>89</v>
      </c>
      <c r="C6" s="32"/>
      <c r="D6" s="32"/>
      <c r="E6" s="33" t="s">
        <v>90</v>
      </c>
      <c r="F6" s="33"/>
      <c r="G6" s="33"/>
      <c r="H6" s="34" t="s">
        <v>91</v>
      </c>
      <c r="I6" s="34"/>
      <c r="J6" s="34"/>
      <c r="K6" s="35" t="s">
        <v>92</v>
      </c>
      <c r="L6" s="35"/>
      <c r="M6" s="35"/>
      <c r="N6" s="35"/>
    </row>
    <row r="7" customFormat="false" ht="31.5" hidden="false" customHeight="true" outlineLevel="0" collapsed="false">
      <c r="B7" s="36" t="n">
        <f aca="false">COUNTIF(الموظفون!$AG$6:$AG$105,"✔ على رأس العمل")</f>
        <v>11</v>
      </c>
      <c r="C7" s="36"/>
      <c r="D7" s="36"/>
      <c r="E7" s="37" t="n">
        <f aca="false">COUNTIF(الموظفون!$AH$6:$AH$105,"✈*")</f>
        <v>1</v>
      </c>
      <c r="F7" s="37"/>
      <c r="G7" s="37"/>
      <c r="H7" s="38" t="n">
        <f aca="false">IFERROR(COUNTIFS(الموظفون!$AG$6:$AG$105,"✔ على رأس العمل",الموظفون!$E$6:$E$105,"سعودي")/B7,0)</f>
        <v>0.636363636363636</v>
      </c>
      <c r="I7" s="38"/>
      <c r="J7" s="38"/>
      <c r="K7" s="39" t="n">
        <f aca="false">IFERROR(AVERAGEIF(الموظفون!$AG$6:$AG$105,"✔ على رأس العمل",الموظفون!$P$6:$P$105),0)</f>
        <v>17688.6363636364</v>
      </c>
      <c r="L7" s="39"/>
      <c r="M7" s="39"/>
      <c r="N7" s="39"/>
    </row>
    <row r="9" customFormat="false" ht="21.75" hidden="false" customHeight="true" outlineLevel="0" collapsed="false">
      <c r="B9" s="20" t="str">
        <f aca="false">"💵 الرواتب من بداية السنة حتى "&amp;INDEX(L_MONTH,cfg_VAL_M)</f>
        <v>💵 الرواتب من بداية السنة حتى سبتمبر</v>
      </c>
      <c r="C9" s="20"/>
      <c r="D9" s="20"/>
      <c r="E9" s="20"/>
      <c r="F9" s="20"/>
      <c r="G9" s="20"/>
      <c r="H9" s="20"/>
      <c r="I9" s="20"/>
      <c r="J9" s="20"/>
      <c r="K9" s="20"/>
      <c r="L9" s="20"/>
      <c r="M9" s="20"/>
      <c r="N9" s="20"/>
    </row>
    <row r="10" customFormat="false" ht="21.75" hidden="false" customHeight="true" outlineLevel="0" collapsed="false">
      <c r="B10" s="35" t="s">
        <v>93</v>
      </c>
      <c r="C10" s="35"/>
      <c r="D10" s="35"/>
      <c r="E10" s="34" t="s">
        <v>94</v>
      </c>
      <c r="F10" s="34"/>
      <c r="G10" s="34"/>
      <c r="H10" s="40" t="s">
        <v>95</v>
      </c>
      <c r="I10" s="40"/>
      <c r="J10" s="40"/>
      <c r="K10" s="41" t="s">
        <v>96</v>
      </c>
      <c r="L10" s="41"/>
      <c r="M10" s="41"/>
      <c r="N10" s="41"/>
    </row>
    <row r="11" customFormat="false" ht="31.5" hidden="false" customHeight="true" outlineLevel="0" collapsed="false">
      <c r="B11" s="39" t="n">
        <f aca="false">'الملخص الشهري'!K19</f>
        <v>1763573.92694064</v>
      </c>
      <c r="C11" s="39"/>
      <c r="D11" s="39"/>
      <c r="E11" s="42" t="n">
        <f aca="false">'الملخص الشهري'!N19</f>
        <v>1650693.61444064</v>
      </c>
      <c r="F11" s="42"/>
      <c r="G11" s="42"/>
      <c r="H11" s="43" t="n">
        <f aca="false">'الملخص الشهري'!L19+'الملخص الشهري'!O19</f>
        <v>245743.125</v>
      </c>
      <c r="I11" s="43"/>
      <c r="J11" s="43"/>
      <c r="K11" s="44" t="n">
        <f aca="false">'الملخص الشهري'!U19</f>
        <v>2227092.35131279</v>
      </c>
      <c r="L11" s="44"/>
      <c r="M11" s="44"/>
      <c r="N11" s="44"/>
    </row>
    <row r="13" customFormat="false" ht="21.75" hidden="false" customHeight="true" outlineLevel="0" collapsed="false">
      <c r="B13" s="45" t="s">
        <v>97</v>
      </c>
      <c r="C13" s="45"/>
      <c r="D13" s="45"/>
      <c r="E13" s="45"/>
      <c r="F13" s="45"/>
      <c r="G13" s="45"/>
      <c r="H13" s="45"/>
      <c r="I13" s="45"/>
      <c r="J13" s="45"/>
      <c r="K13" s="45"/>
      <c r="L13" s="45"/>
      <c r="M13" s="45"/>
      <c r="N13" s="45"/>
    </row>
    <row r="14" customFormat="false" ht="21.75" hidden="false" customHeight="true" outlineLevel="0" collapsed="false">
      <c r="B14" s="46" t="s">
        <v>98</v>
      </c>
      <c r="C14" s="46"/>
      <c r="D14" s="46"/>
      <c r="E14" s="46" t="s">
        <v>99</v>
      </c>
      <c r="F14" s="46"/>
      <c r="G14" s="46"/>
      <c r="H14" s="40" t="s">
        <v>100</v>
      </c>
      <c r="I14" s="40"/>
      <c r="J14" s="40"/>
      <c r="K14" s="41" t="s">
        <v>101</v>
      </c>
      <c r="L14" s="41"/>
      <c r="M14" s="41"/>
      <c r="N14" s="41"/>
    </row>
    <row r="15" customFormat="false" ht="31.5" hidden="false" customHeight="true" outlineLevel="0" collapsed="false">
      <c r="B15" s="47" t="n">
        <f aca="false">'الملخص الشهري'!S19+'الملخص الشهري'!T19</f>
        <v>63531.6666666667</v>
      </c>
      <c r="C15" s="47"/>
      <c r="D15" s="47"/>
      <c r="E15" s="47" t="n">
        <f aca="false">'الإقامات ورخص العمل'!R106</f>
        <v>77600</v>
      </c>
      <c r="F15" s="47"/>
      <c r="G15" s="47"/>
      <c r="H15" s="43" t="n">
        <f aca="false">'الإقامات ورخص العمل'!U106</f>
        <v>20500</v>
      </c>
      <c r="I15" s="43"/>
      <c r="J15" s="43"/>
      <c r="K15" s="44" t="n">
        <f aca="false">IFERROR('الملخص الشهري'!U19/SUMIF('الملخص الشهري'!$C$6:$C$17,"&lt;="&amp;cfg_VAL_M,'الملخص الشهري'!$D$6:$D$17),0)</f>
        <v>21834.2387383606</v>
      </c>
      <c r="L15" s="44"/>
      <c r="M15" s="44"/>
      <c r="N15" s="44"/>
    </row>
    <row r="17" customFormat="false" ht="21.75" hidden="false" customHeight="true" outlineLevel="0" collapsed="false">
      <c r="B17" s="5" t="str">
        <f aca="false">"🏦 أرصدة المخصصات كما في "&amp;TEXT(cfg_VAL_DATE,"yyyy/mm/dd")</f>
        <v>🏦 أرصدة المخصصات كما في 2026/09/30</v>
      </c>
      <c r="C17" s="5"/>
      <c r="D17" s="5"/>
      <c r="E17" s="5"/>
      <c r="F17" s="5"/>
      <c r="G17" s="5"/>
      <c r="H17" s="5"/>
      <c r="I17" s="5"/>
      <c r="J17" s="5"/>
      <c r="K17" s="5"/>
      <c r="L17" s="5"/>
      <c r="M17" s="5"/>
      <c r="N17" s="5"/>
    </row>
    <row r="18" customFormat="false" ht="21.75" hidden="false" customHeight="true" outlineLevel="0" collapsed="false">
      <c r="B18" s="48" t="s">
        <v>37</v>
      </c>
      <c r="C18" s="48"/>
      <c r="D18" s="48"/>
      <c r="E18" s="34" t="s">
        <v>102</v>
      </c>
      <c r="F18" s="34"/>
      <c r="G18" s="34"/>
      <c r="H18" s="33" t="s">
        <v>103</v>
      </c>
      <c r="I18" s="33"/>
      <c r="J18" s="33"/>
      <c r="K18" s="32" t="s">
        <v>104</v>
      </c>
      <c r="L18" s="32"/>
      <c r="M18" s="32"/>
      <c r="N18" s="32"/>
    </row>
    <row r="19" customFormat="false" ht="31.5" hidden="false" customHeight="true" outlineLevel="0" collapsed="false">
      <c r="B19" s="49" t="n">
        <f aca="false">'مخصص نهاية الخدمة'!S106</f>
        <v>1161402.2260274</v>
      </c>
      <c r="C19" s="49"/>
      <c r="D19" s="49"/>
      <c r="E19" s="42" t="n">
        <f aca="false">'مخصص الإجازات'!P106</f>
        <v>151856.445205479</v>
      </c>
      <c r="F19" s="42"/>
      <c r="G19" s="42"/>
      <c r="H19" s="50" t="n">
        <f aca="false">'مخصص التذاكر'!N106</f>
        <v>7324.1095890411</v>
      </c>
      <c r="I19" s="50"/>
      <c r="J19" s="50"/>
      <c r="K19" s="51" t="n">
        <f aca="false">B19+E19+H19</f>
        <v>1320582.78082192</v>
      </c>
      <c r="L19" s="51"/>
      <c r="M19" s="51"/>
      <c r="N19" s="51"/>
    </row>
    <row r="21" customFormat="false" ht="21.75" hidden="false" customHeight="true" outlineLevel="0" collapsed="false">
      <c r="B21" s="52" t="s">
        <v>105</v>
      </c>
      <c r="C21" s="52"/>
      <c r="D21" s="52"/>
      <c r="E21" s="52"/>
      <c r="F21" s="52"/>
      <c r="G21" s="52"/>
      <c r="I21" s="22" t="s">
        <v>106</v>
      </c>
      <c r="J21" s="22"/>
      <c r="K21" s="22"/>
      <c r="L21" s="22"/>
      <c r="M21" s="22"/>
      <c r="N21" s="22"/>
    </row>
    <row r="22" customFormat="false" ht="21.75" hidden="false" customHeight="true" outlineLevel="0" collapsed="false">
      <c r="B22" s="14" t="s">
        <v>107</v>
      </c>
      <c r="C22" s="14"/>
      <c r="D22" s="14"/>
      <c r="E22" s="14"/>
      <c r="F22" s="53" t="n">
        <f aca="false">COUNTIF('الإقامات ورخص العمل'!$J$6:$J$105,"✖*")+COUNTIF('الإقامات ورخص العمل'!$J$6:$J$105,"⚠*")</f>
        <v>2</v>
      </c>
      <c r="G22" s="54" t="str">
        <f aca="false">IF(F22=0,"✔","⚠")</f>
        <v>⚠</v>
      </c>
      <c r="I22" s="55" t="s">
        <v>108</v>
      </c>
      <c r="J22" s="55" t="s">
        <v>109</v>
      </c>
      <c r="K22" s="55" t="s">
        <v>110</v>
      </c>
      <c r="L22" s="55" t="s">
        <v>111</v>
      </c>
      <c r="M22" s="55"/>
      <c r="N22" s="55"/>
    </row>
    <row r="23" customFormat="false" ht="15" hidden="false" customHeight="false" outlineLevel="0" collapsed="false">
      <c r="B23" s="14" t="s">
        <v>112</v>
      </c>
      <c r="C23" s="14"/>
      <c r="D23" s="14"/>
      <c r="E23" s="14"/>
      <c r="F23" s="53" t="n">
        <f aca="false">COUNTIF('الإقامات ورخص العمل'!$M$6:$M$105,"✖*")+COUNTIF('الإقامات ورخص العمل'!$M$6:$M$105,"⚠*")</f>
        <v>2</v>
      </c>
      <c r="G23" s="54" t="str">
        <f aca="false">IF(F23=0,"✔","⚠")</f>
        <v>⚠</v>
      </c>
      <c r="I23" s="56" t="s">
        <v>113</v>
      </c>
      <c r="J23" s="57" t="n">
        <f aca="false">COUNTIFS(الموظفون!$AG$6:$AG$105,"✔ على رأس العمل",الموظفون!$E$6:$E$105,I23)</f>
        <v>7</v>
      </c>
      <c r="K23" s="58" t="n">
        <f aca="false">IFERROR(J23/SUM($J$23:$J$24),0)</f>
        <v>0.636363636363636</v>
      </c>
      <c r="L23" s="59" t="n">
        <f aca="false">SUMIFS(الموظفون!$P$6:$P$105,الموظفون!$AG$6:$AG$105,"✔ على رأس العمل",الموظفون!$E$6:$E$105,I23)</f>
        <v>145025</v>
      </c>
      <c r="M23" s="59"/>
      <c r="N23" s="59"/>
    </row>
    <row r="24" customFormat="false" ht="15" hidden="false" customHeight="false" outlineLevel="0" collapsed="false">
      <c r="B24" s="14" t="s">
        <v>114</v>
      </c>
      <c r="C24" s="14"/>
      <c r="D24" s="14"/>
      <c r="E24" s="14"/>
      <c r="F24" s="53" t="n">
        <f aca="false">COUNTIF('سجل الإجازات والحالات'!$P$6:$P$505,"✖*")+COUNTIF('سجل الإجازات والحالات'!$P$6:$P$505,"⚠*")</f>
        <v>0</v>
      </c>
      <c r="G24" s="54" t="str">
        <f aca="false">IF(F24=0,"✔","⚠")</f>
        <v>✔</v>
      </c>
      <c r="I24" s="56" t="s">
        <v>115</v>
      </c>
      <c r="J24" s="57" t="n">
        <f aca="false">COUNTIFS(الموظفون!$AG$6:$AG$105,"✔ على رأس العمل",الموظفون!$E$6:$E$105,I24)</f>
        <v>4</v>
      </c>
      <c r="K24" s="58" t="n">
        <f aca="false">IFERROR(J24/SUM($J$23:$J$24),0)</f>
        <v>0.363636363636364</v>
      </c>
      <c r="L24" s="59" t="n">
        <f aca="false">SUMIFS(الموظفون!$P$6:$P$105,الموظفون!$AG$6:$AG$105,"✔ على رأس العمل",الموظفون!$E$6:$E$105,I24)</f>
        <v>49550</v>
      </c>
      <c r="M24" s="59"/>
      <c r="N24" s="59"/>
    </row>
    <row r="25" customFormat="false" ht="15" hidden="false" customHeight="false" outlineLevel="0" collapsed="false">
      <c r="B25" s="14" t="s">
        <v>116</v>
      </c>
      <c r="C25" s="14"/>
      <c r="D25" s="14"/>
      <c r="E25" s="14"/>
      <c r="F25" s="53" t="n">
        <f aca="false">COUNTIF('مخصص نهاية الخدمة'!$T$6:$T$105,"⚠*")</f>
        <v>0</v>
      </c>
      <c r="G25" s="54" t="str">
        <f aca="false">IF(F25=0,"✔","⚠")</f>
        <v>✔</v>
      </c>
    </row>
    <row r="26" customFormat="false" ht="15" hidden="false" customHeight="false" outlineLevel="0" collapsed="false">
      <c r="B26" s="14" t="s">
        <v>117</v>
      </c>
      <c r="C26" s="14"/>
      <c r="D26" s="14"/>
      <c r="E26" s="14"/>
      <c r="F26" s="53" t="n">
        <f aca="false">COUNTIF('مخصص الإجازات'!$S$6:$S$105,"✖*")+COUNTIF('مخصص الإجازات'!$S$6:$S$105,"⚠ رصيد مرتفع*")</f>
        <v>0</v>
      </c>
      <c r="G26" s="54" t="str">
        <f aca="false">IF(F26=0,"✔","⚠")</f>
        <v>✔</v>
      </c>
    </row>
    <row r="27" customFormat="false" ht="15" hidden="false" customHeight="false" outlineLevel="0" collapsed="false">
      <c r="B27" s="14" t="s">
        <v>118</v>
      </c>
      <c r="C27" s="14"/>
      <c r="D27" s="14"/>
      <c r="E27" s="14"/>
      <c r="F27" s="53" t="n">
        <f aca="false">COUNTIF('مخصص التذاكر'!$P$6:$P$105,"⚠ تذكرة*")</f>
        <v>0</v>
      </c>
      <c r="G27" s="54" t="str">
        <f aca="false">IF(F27=0,"✔","⚠")</f>
        <v>✔</v>
      </c>
    </row>
    <row r="28" customFormat="false" ht="15" hidden="false" customHeight="false" outlineLevel="0" collapsed="false">
      <c r="B28" s="14" t="s">
        <v>119</v>
      </c>
      <c r="C28" s="14"/>
      <c r="D28" s="14"/>
      <c r="E28" s="14"/>
      <c r="F28" s="53" t="n">
        <f aca="false">COUNTIF('الحركات الشهرية'!$C$6:$C$1005,"✖*")+COUNTIF('سجل الإجازات والحالات'!$C$6:$C$505,"✖*")</f>
        <v>0</v>
      </c>
      <c r="G28" s="54" t="str">
        <f aca="false">IF(F28=0,"✔","⚠")</f>
        <v>✔</v>
      </c>
    </row>
    <row r="29" customFormat="false" ht="15" hidden="false" customHeight="false" outlineLevel="0" collapsed="false">
      <c r="B29" s="14" t="s">
        <v>120</v>
      </c>
      <c r="C29" s="14"/>
      <c r="D29" s="14"/>
      <c r="E29" s="14"/>
      <c r="F29" s="53" t="n">
        <f aca="false">COUNTIF('مسير يناير'!$Y$6:$Y$105,"&lt;0")+COUNTIF('مسير فبراير'!$Y$6:$Y$105,"&lt;0")+COUNTIF('مسير مارس'!$Y$6:$Y$105,"&lt;0")+COUNTIF('مسير أبريل'!$Y$6:$Y$105,"&lt;0")+COUNTIF('مسير مايو'!$Y$6:$Y$105,"&lt;0")+COUNTIF('مسير يونيو'!$Y$6:$Y$105,"&lt;0")+COUNTIF('مسير يوليو'!$Y$6:$Y$105,"&lt;0")+COUNTIF('مسير أغسطس'!$Y$6:$Y$105,"&lt;0")+COUNTIF('مسير سبتمبر'!$Y$6:$Y$105,"&lt;0")+COUNTIF('مسير أكتوبر'!$Y$6:$Y$105,"&lt;0")+COUNTIF('مسير نوفمبر'!$Y$6:$Y$105,"&lt;0")+COUNTIF('مسير ديسمبر'!$Y$6:$Y$105,"&lt;0")</f>
        <v>0</v>
      </c>
      <c r="G29" s="54" t="str">
        <f aca="false">IF(F29=0,"✔","⚠")</f>
        <v>✔</v>
      </c>
    </row>
    <row r="30" customFormat="false" ht="15" hidden="false" customHeight="false" outlineLevel="0" collapsed="false">
      <c r="B30" s="14" t="s">
        <v>121</v>
      </c>
      <c r="C30" s="14"/>
      <c r="D30" s="14"/>
      <c r="E30" s="14"/>
      <c r="F30" s="56" t="str">
        <f aca="false">'قيود الرواتب'!$R$42</f>
        <v>✔ متوازن</v>
      </c>
      <c r="G30" s="56"/>
    </row>
    <row r="38" customFormat="false" ht="21.75" hidden="false" customHeight="true" outlineLevel="0" collapsed="false">
      <c r="B38" s="60" t="str">
        <f aca="false">"🏢 تحليل التكلفة حسب القسم حتى "&amp;INDEX(L_MONTH,cfg_VAL_M)</f>
        <v>🏢 تحليل التكلفة حسب القسم حتى سبتمبر</v>
      </c>
      <c r="C38" s="60"/>
      <c r="D38" s="60"/>
      <c r="E38" s="60"/>
      <c r="F38" s="60"/>
      <c r="G38" s="60"/>
    </row>
    <row r="39" customFormat="false" ht="36" hidden="false" customHeight="true" outlineLevel="0" collapsed="false">
      <c r="B39" s="61" t="s">
        <v>122</v>
      </c>
      <c r="C39" s="61" t="s">
        <v>123</v>
      </c>
      <c r="D39" s="61" t="s">
        <v>111</v>
      </c>
      <c r="E39" s="61" t="s">
        <v>124</v>
      </c>
      <c r="F39" s="61" t="s">
        <v>125</v>
      </c>
      <c r="G39" s="61" t="s">
        <v>126</v>
      </c>
    </row>
    <row r="40" customFormat="false" ht="15" hidden="false" customHeight="false" outlineLevel="0" collapsed="false">
      <c r="B40" s="62" t="str">
        <f aca="false">IF(INDEX(L_DEPT,1)="","",INDEX(L_DEPT,1))</f>
        <v>الإدارة العليا</v>
      </c>
      <c r="C40" s="57" t="n">
        <f aca="false">IF(B40="","",COUNTIFS(الموظفون!$AG$6:$AG$105,"✔ على رأس العمل",الموظفون!$F$6:$F$105,B40))</f>
        <v>1</v>
      </c>
      <c r="D40" s="59" t="n">
        <f aca="false">IF(B40="","",SUMIFS(الموظفون!$P$6:$P$105,الموظفون!$AG$6:$AG$105,"✔ على رأس العمل",الموظفون!$F$6:$F$105,B40))</f>
        <v>40800</v>
      </c>
      <c r="E40" s="59" t="n">
        <f aca="false">IF(B40="","",SUMIF('ملخص الموظفين السنوي'!$D$6:$D$105,B40,'ملخص الموظفين السنوي'!$R$6:$R$105))</f>
        <v>367200</v>
      </c>
      <c r="F40" s="63" t="n">
        <f aca="false">IF(B40="","",SUMIF('ملخص الموظفين السنوي'!$D$6:$D$105,B40,'ملخص الموظفين السنوي'!$AF$6:$AF$105))</f>
        <v>464357.157534247</v>
      </c>
      <c r="G40" s="58" t="n">
        <f aca="false">IF(B40="","",IFERROR(F40/SUM($F$40:$F$54),0))</f>
        <v>0.208503772760266</v>
      </c>
    </row>
    <row r="41" customFormat="false" ht="15" hidden="false" customHeight="false" outlineLevel="0" collapsed="false">
      <c r="B41" s="62" t="str">
        <f aca="false">IF(INDEX(L_DEPT,2)="","",INDEX(L_DEPT,2))</f>
        <v>المالية</v>
      </c>
      <c r="C41" s="57" t="n">
        <f aca="false">IF(B41="","",COUNTIFS(الموظفون!$AG$6:$AG$105,"✔ على رأس العمل",الموظفون!$F$6:$F$105,B41))</f>
        <v>3</v>
      </c>
      <c r="D41" s="59" t="n">
        <f aca="false">IF(B41="","",SUMIFS(الموظفون!$P$6:$P$105,الموظفون!$AG$6:$AG$105,"✔ على رأس العمل",الموظفون!$F$6:$F$105,B41))</f>
        <v>47400</v>
      </c>
      <c r="E41" s="59" t="n">
        <f aca="false">IF(B41="","",SUMIF('ملخص الموظفين السنوي'!$D$6:$D$105,B41,'ملخص الموظفين السنوي'!$R$6:$R$105))</f>
        <v>426939.583333333</v>
      </c>
      <c r="F41" s="63" t="n">
        <f aca="false">IF(B41="","",SUMIF('ملخص الموظفين السنوي'!$D$6:$D$105,B41,'ملخص الموظفين السنوي'!$AF$6:$AF$105))</f>
        <v>540247.258847032</v>
      </c>
      <c r="G41" s="58" t="n">
        <f aca="false">IF(B41="","",IFERROR(F41/SUM($F$40:$F$54),0))</f>
        <v>0.24257963911042</v>
      </c>
    </row>
    <row r="42" customFormat="false" ht="15" hidden="false" customHeight="false" outlineLevel="0" collapsed="false">
      <c r="B42" s="62" t="str">
        <f aca="false">IF(INDEX(L_DEPT,3)="","",INDEX(L_DEPT,3))</f>
        <v>الموارد البشرية</v>
      </c>
      <c r="C42" s="57" t="n">
        <f aca="false">IF(B42="","",COUNTIFS(الموظفون!$AG$6:$AG$105,"✔ على رأس العمل",الموظفون!$F$6:$F$105,B42))</f>
        <v>1</v>
      </c>
      <c r="D42" s="59" t="n">
        <f aca="false">IF(B42="","",SUMIFS(الموظفون!$P$6:$P$105,الموظفون!$AG$6:$AG$105,"✔ على رأس العمل",الموظفون!$F$6:$F$105,B42))</f>
        <v>18900</v>
      </c>
      <c r="E42" s="59" t="n">
        <f aca="false">IF(B42="","",SUMIF('ملخص الموظفين السنوي'!$D$6:$D$105,B42,'ملخص الموظفين السنوي'!$R$6:$R$105))</f>
        <v>170100</v>
      </c>
      <c r="F42" s="63" t="n">
        <f aca="false">IF(B42="","",SUMIF('ملخص الموظفين السنوي'!$D$6:$D$105,B42,'ملخص الموظفين السنوي'!$AF$6:$AF$105))</f>
        <v>219578.578767123</v>
      </c>
      <c r="G42" s="58" t="n">
        <f aca="false">IF(B42="","",IFERROR(F42/SUM($F$40:$F$54),0))</f>
        <v>0.0985942853414634</v>
      </c>
    </row>
    <row r="43" customFormat="false" ht="15" hidden="false" customHeight="false" outlineLevel="0" collapsed="false">
      <c r="B43" s="62" t="str">
        <f aca="false">IF(INDEX(L_DEPT,4)="","",INDEX(L_DEPT,4))</f>
        <v>المبيعات</v>
      </c>
      <c r="C43" s="57" t="n">
        <f aca="false">IF(B43="","",COUNTIFS(الموظفون!$AG$6:$AG$105,"✔ على رأس العمل",الموظفون!$F$6:$F$105,B43))</f>
        <v>2</v>
      </c>
      <c r="D43" s="59" t="n">
        <f aca="false">IF(B43="","",SUMIFS(الموظفون!$P$6:$P$105,الموظفون!$AG$6:$AG$105,"✔ على رأس العمل",الموظفون!$F$6:$F$105,B43))</f>
        <v>32200</v>
      </c>
      <c r="E43" s="59" t="n">
        <f aca="false">IF(B43="","",SUMIF('ملخص الموظفين السنوي'!$D$6:$D$105,B43,'ملخص الموظفين السنوي'!$R$6:$R$105))</f>
        <v>253744.583333333</v>
      </c>
      <c r="F43" s="63" t="n">
        <f aca="false">IF(B43="","",SUMIF('ملخص الموظفين السنوي'!$D$6:$D$105,B43,'ملخص الموظفين السنوي'!$AF$6:$AF$105))</f>
        <v>313995.808219178</v>
      </c>
      <c r="G43" s="58" t="n">
        <f aca="false">IF(B43="","",IFERROR(F43/SUM($F$40:$F$54),0))</f>
        <v>0.140989127834815</v>
      </c>
    </row>
    <row r="44" customFormat="false" ht="15" hidden="false" customHeight="false" outlineLevel="0" collapsed="false">
      <c r="B44" s="62" t="str">
        <f aca="false">IF(INDEX(L_DEPT,5)="","",INDEX(L_DEPT,5))</f>
        <v>العمليات</v>
      </c>
      <c r="C44" s="57" t="n">
        <f aca="false">IF(B44="","",COUNTIFS(الموظفون!$AG$6:$AG$105,"✔ على رأس العمل",الموظفون!$F$6:$F$105,B44))</f>
        <v>1</v>
      </c>
      <c r="D44" s="59" t="n">
        <f aca="false">IF(B44="","",SUMIFS(الموظفون!$P$6:$P$105,الموظفون!$AG$6:$AG$105,"✔ على رأس العمل",الموظفون!$F$6:$F$105,B44))</f>
        <v>9075</v>
      </c>
      <c r="E44" s="59" t="n">
        <f aca="false">IF(B44="","",SUMIF('ملخص الموظفين السنوي'!$D$6:$D$105,B44,'ملخص الموظفين السنوي'!$R$6:$R$105))</f>
        <v>130896.843607306</v>
      </c>
      <c r="F44" s="63" t="n">
        <f aca="false">IF(B44="","",SUMIF('ملخص الموظفين السنوي'!$D$6:$D$105,B44,'ملخص الموظفين السنوي'!$AF$6:$AF$105))</f>
        <v>169460.19977169</v>
      </c>
      <c r="G44" s="58" t="n">
        <f aca="false">IF(B44="","",IFERROR(F44/SUM($F$40:$F$54),0))</f>
        <v>0.0760903335112256</v>
      </c>
    </row>
    <row r="45" customFormat="false" ht="15" hidden="false" customHeight="false" outlineLevel="0" collapsed="false">
      <c r="B45" s="62" t="str">
        <f aca="false">IF(INDEX(L_DEPT,6)="","",INDEX(L_DEPT,6))</f>
        <v>تقنية المعلومات</v>
      </c>
      <c r="C45" s="57" t="n">
        <f aca="false">IF(B45="","",COUNTIFS(الموظفون!$AG$6:$AG$105,"✔ على رأس العمل",الموظفون!$F$6:$F$105,B45))</f>
        <v>2</v>
      </c>
      <c r="D45" s="59" t="n">
        <f aca="false">IF(B45="","",SUMIFS(الموظفون!$P$6:$P$105,الموظفون!$AG$6:$AG$105,"✔ على رأس العمل",الموظفون!$F$6:$F$105,B45))</f>
        <v>30550</v>
      </c>
      <c r="E45" s="59" t="n">
        <f aca="false">IF(B45="","",SUMIF('ملخص الموظفين السنوي'!$D$6:$D$105,B45,'ملخص الموظفين السنوي'!$R$6:$R$105))</f>
        <v>272961.666666667</v>
      </c>
      <c r="F45" s="63" t="n">
        <f aca="false">IF(B45="","",SUMIF('ملخص الموظفين السنوي'!$D$6:$D$105,B45,'ملخص الموظفين السنوي'!$AF$6:$AF$105))</f>
        <v>336946.03652968</v>
      </c>
      <c r="G45" s="58" t="n">
        <f aca="false">IF(B45="","",IFERROR(F45/SUM($F$40:$F$54),0))</f>
        <v>0.15129414652745</v>
      </c>
    </row>
    <row r="46" customFormat="false" ht="15" hidden="false" customHeight="false" outlineLevel="0" collapsed="false">
      <c r="B46" s="62" t="str">
        <f aca="false">IF(INDEX(L_DEPT,7)="","",INDEX(L_DEPT,7))</f>
        <v>المشاريع</v>
      </c>
      <c r="C46" s="57" t="n">
        <f aca="false">IF(B46="","",COUNTIFS(الموظفون!$AG$6:$AG$105,"✔ على رأس العمل",الموظفون!$F$6:$F$105,B46))</f>
        <v>1</v>
      </c>
      <c r="D46" s="59" t="n">
        <f aca="false">IF(B46="","",SUMIFS(الموظفون!$P$6:$P$105,الموظفون!$AG$6:$AG$105,"✔ على رأس العمل",الموظفون!$F$6:$F$105,B46))</f>
        <v>15650</v>
      </c>
      <c r="E46" s="59" t="n">
        <f aca="false">IF(B46="","",SUMIF('ملخص الموظفين السنوي'!$D$6:$D$105,B46,'ملخص الموظفين السنوي'!$R$6:$R$105))</f>
        <v>141731.25</v>
      </c>
      <c r="F46" s="63" t="n">
        <f aca="false">IF(B46="","",SUMIF('ملخص الموظفين السنوي'!$D$6:$D$105,B46,'ملخص الموظفين السنوي'!$AF$6:$AF$105))</f>
        <v>182507.311643836</v>
      </c>
      <c r="G46" s="58" t="n">
        <f aca="false">IF(B46="","",IFERROR(F46/SUM($F$40:$F$54),0))</f>
        <v>0.0819486949143598</v>
      </c>
    </row>
    <row r="47" customFormat="false" ht="15" hidden="false" customHeight="false" outlineLevel="0" collapsed="false">
      <c r="B47" s="62" t="str">
        <f aca="false">IF(INDEX(L_DEPT,8)="","",INDEX(L_DEPT,8))</f>
        <v/>
      </c>
      <c r="C47" s="57" t="str">
        <f aca="false">IF(B47="","",COUNTIFS(الموظفون!$AG$6:$AG$105,"✔ على رأس العمل",الموظفون!$F$6:$F$105,B47))</f>
        <v/>
      </c>
      <c r="D47" s="59" t="str">
        <f aca="false">IF(B47="","",SUMIFS(الموظفون!$P$6:$P$105,الموظفون!$AG$6:$AG$105,"✔ على رأس العمل",الموظفون!$F$6:$F$105,B47))</f>
        <v/>
      </c>
      <c r="E47" s="59" t="str">
        <f aca="false">IF(B47="","",SUMIF('ملخص الموظفين السنوي'!$D$6:$D$105,B47,'ملخص الموظفين السنوي'!$R$6:$R$105))</f>
        <v/>
      </c>
      <c r="F47" s="63" t="str">
        <f aca="false">IF(B47="","",SUMIF('ملخص الموظفين السنوي'!$D$6:$D$105,B47,'ملخص الموظفين السنوي'!$AF$6:$AF$105))</f>
        <v/>
      </c>
      <c r="G47" s="58" t="str">
        <f aca="false">IF(B47="","",IFERROR(F47/SUM($F$40:$F$54),0))</f>
        <v/>
      </c>
    </row>
    <row r="48" customFormat="false" ht="15" hidden="false" customHeight="false" outlineLevel="0" collapsed="false">
      <c r="B48" s="62" t="str">
        <f aca="false">IF(INDEX(L_DEPT,9)="","",INDEX(L_DEPT,9))</f>
        <v/>
      </c>
      <c r="C48" s="57" t="str">
        <f aca="false">IF(B48="","",COUNTIFS(الموظفون!$AG$6:$AG$105,"✔ على رأس العمل",الموظفون!$F$6:$F$105,B48))</f>
        <v/>
      </c>
      <c r="D48" s="59" t="str">
        <f aca="false">IF(B48="","",SUMIFS(الموظفون!$P$6:$P$105,الموظفون!$AG$6:$AG$105,"✔ على رأس العمل",الموظفون!$F$6:$F$105,B48))</f>
        <v/>
      </c>
      <c r="E48" s="59" t="str">
        <f aca="false">IF(B48="","",SUMIF('ملخص الموظفين السنوي'!$D$6:$D$105,B48,'ملخص الموظفين السنوي'!$R$6:$R$105))</f>
        <v/>
      </c>
      <c r="F48" s="63" t="str">
        <f aca="false">IF(B48="","",SUMIF('ملخص الموظفين السنوي'!$D$6:$D$105,B48,'ملخص الموظفين السنوي'!$AF$6:$AF$105))</f>
        <v/>
      </c>
      <c r="G48" s="58" t="str">
        <f aca="false">IF(B48="","",IFERROR(F48/SUM($F$40:$F$54),0))</f>
        <v/>
      </c>
    </row>
    <row r="49" customFormat="false" ht="15" hidden="false" customHeight="false" outlineLevel="0" collapsed="false">
      <c r="B49" s="62" t="str">
        <f aca="false">IF(INDEX(L_DEPT,10)="","",INDEX(L_DEPT,10))</f>
        <v/>
      </c>
      <c r="C49" s="57" t="str">
        <f aca="false">IF(B49="","",COUNTIFS(الموظفون!$AG$6:$AG$105,"✔ على رأس العمل",الموظفون!$F$6:$F$105,B49))</f>
        <v/>
      </c>
      <c r="D49" s="59" t="str">
        <f aca="false">IF(B49="","",SUMIFS(الموظفون!$P$6:$P$105,الموظفون!$AG$6:$AG$105,"✔ على رأس العمل",الموظفون!$F$6:$F$105,B49))</f>
        <v/>
      </c>
      <c r="E49" s="59" t="str">
        <f aca="false">IF(B49="","",SUMIF('ملخص الموظفين السنوي'!$D$6:$D$105,B49,'ملخص الموظفين السنوي'!$R$6:$R$105))</f>
        <v/>
      </c>
      <c r="F49" s="63" t="str">
        <f aca="false">IF(B49="","",SUMIF('ملخص الموظفين السنوي'!$D$6:$D$105,B49,'ملخص الموظفين السنوي'!$AF$6:$AF$105))</f>
        <v/>
      </c>
      <c r="G49" s="58" t="str">
        <f aca="false">IF(B49="","",IFERROR(F49/SUM($F$40:$F$54),0))</f>
        <v/>
      </c>
    </row>
    <row r="50" customFormat="false" ht="15" hidden="false" customHeight="false" outlineLevel="0" collapsed="false">
      <c r="B50" s="62" t="str">
        <f aca="false">IF(INDEX(L_DEPT,11)="","",INDEX(L_DEPT,11))</f>
        <v/>
      </c>
      <c r="C50" s="57" t="str">
        <f aca="false">IF(B50="","",COUNTIFS(الموظفون!$AG$6:$AG$105,"✔ على رأس العمل",الموظفون!$F$6:$F$105,B50))</f>
        <v/>
      </c>
      <c r="D50" s="59" t="str">
        <f aca="false">IF(B50="","",SUMIFS(الموظفون!$P$6:$P$105,الموظفون!$AG$6:$AG$105,"✔ على رأس العمل",الموظفون!$F$6:$F$105,B50))</f>
        <v/>
      </c>
      <c r="E50" s="59" t="str">
        <f aca="false">IF(B50="","",SUMIF('ملخص الموظفين السنوي'!$D$6:$D$105,B50,'ملخص الموظفين السنوي'!$R$6:$R$105))</f>
        <v/>
      </c>
      <c r="F50" s="63" t="str">
        <f aca="false">IF(B50="","",SUMIF('ملخص الموظفين السنوي'!$D$6:$D$105,B50,'ملخص الموظفين السنوي'!$AF$6:$AF$105))</f>
        <v/>
      </c>
      <c r="G50" s="58" t="str">
        <f aca="false">IF(B50="","",IFERROR(F50/SUM($F$40:$F$54),0))</f>
        <v/>
      </c>
    </row>
    <row r="51" customFormat="false" ht="15" hidden="false" customHeight="false" outlineLevel="0" collapsed="false">
      <c r="B51" s="62" t="str">
        <f aca="false">IF(INDEX(L_DEPT,12)="","",INDEX(L_DEPT,12))</f>
        <v/>
      </c>
      <c r="C51" s="57" t="str">
        <f aca="false">IF(B51="","",COUNTIFS(الموظفون!$AG$6:$AG$105,"✔ على رأس العمل",الموظفون!$F$6:$F$105,B51))</f>
        <v/>
      </c>
      <c r="D51" s="59" t="str">
        <f aca="false">IF(B51="","",SUMIFS(الموظفون!$P$6:$P$105,الموظفون!$AG$6:$AG$105,"✔ على رأس العمل",الموظفون!$F$6:$F$105,B51))</f>
        <v/>
      </c>
      <c r="E51" s="59" t="str">
        <f aca="false">IF(B51="","",SUMIF('ملخص الموظفين السنوي'!$D$6:$D$105,B51,'ملخص الموظفين السنوي'!$R$6:$R$105))</f>
        <v/>
      </c>
      <c r="F51" s="63" t="str">
        <f aca="false">IF(B51="","",SUMIF('ملخص الموظفين السنوي'!$D$6:$D$105,B51,'ملخص الموظفين السنوي'!$AF$6:$AF$105))</f>
        <v/>
      </c>
      <c r="G51" s="58" t="str">
        <f aca="false">IF(B51="","",IFERROR(F51/SUM($F$40:$F$54),0))</f>
        <v/>
      </c>
    </row>
    <row r="52" customFormat="false" ht="15" hidden="false" customHeight="false" outlineLevel="0" collapsed="false">
      <c r="B52" s="62" t="str">
        <f aca="false">IF(INDEX(L_DEPT,13)="","",INDEX(L_DEPT,13))</f>
        <v/>
      </c>
      <c r="C52" s="57" t="str">
        <f aca="false">IF(B52="","",COUNTIFS(الموظفون!$AG$6:$AG$105,"✔ على رأس العمل",الموظفون!$F$6:$F$105,B52))</f>
        <v/>
      </c>
      <c r="D52" s="59" t="str">
        <f aca="false">IF(B52="","",SUMIFS(الموظفون!$P$6:$P$105,الموظفون!$AG$6:$AG$105,"✔ على رأس العمل",الموظفون!$F$6:$F$105,B52))</f>
        <v/>
      </c>
      <c r="E52" s="59" t="str">
        <f aca="false">IF(B52="","",SUMIF('ملخص الموظفين السنوي'!$D$6:$D$105,B52,'ملخص الموظفين السنوي'!$R$6:$R$105))</f>
        <v/>
      </c>
      <c r="F52" s="63" t="str">
        <f aca="false">IF(B52="","",SUMIF('ملخص الموظفين السنوي'!$D$6:$D$105,B52,'ملخص الموظفين السنوي'!$AF$6:$AF$105))</f>
        <v/>
      </c>
      <c r="G52" s="58" t="str">
        <f aca="false">IF(B52="","",IFERROR(F52/SUM($F$40:$F$54),0))</f>
        <v/>
      </c>
    </row>
    <row r="53" customFormat="false" ht="15" hidden="false" customHeight="false" outlineLevel="0" collapsed="false">
      <c r="B53" s="62" t="str">
        <f aca="false">IF(INDEX(L_DEPT,14)="","",INDEX(L_DEPT,14))</f>
        <v/>
      </c>
      <c r="C53" s="57" t="str">
        <f aca="false">IF(B53="","",COUNTIFS(الموظفون!$AG$6:$AG$105,"✔ على رأس العمل",الموظفون!$F$6:$F$105,B53))</f>
        <v/>
      </c>
      <c r="D53" s="59" t="str">
        <f aca="false">IF(B53="","",SUMIFS(الموظفون!$P$6:$P$105,الموظفون!$AG$6:$AG$105,"✔ على رأس العمل",الموظفون!$F$6:$F$105,B53))</f>
        <v/>
      </c>
      <c r="E53" s="59" t="str">
        <f aca="false">IF(B53="","",SUMIF('ملخص الموظفين السنوي'!$D$6:$D$105,B53,'ملخص الموظفين السنوي'!$R$6:$R$105))</f>
        <v/>
      </c>
      <c r="F53" s="63" t="str">
        <f aca="false">IF(B53="","",SUMIF('ملخص الموظفين السنوي'!$D$6:$D$105,B53,'ملخص الموظفين السنوي'!$AF$6:$AF$105))</f>
        <v/>
      </c>
      <c r="G53" s="58" t="str">
        <f aca="false">IF(B53="","",IFERROR(F53/SUM($F$40:$F$54),0))</f>
        <v/>
      </c>
    </row>
    <row r="54" customFormat="false" ht="15" hidden="false" customHeight="false" outlineLevel="0" collapsed="false">
      <c r="B54" s="62" t="str">
        <f aca="false">IF(INDEX(L_DEPT,15)="","",INDEX(L_DEPT,15))</f>
        <v/>
      </c>
      <c r="C54" s="57" t="str">
        <f aca="false">IF(B54="","",COUNTIFS(الموظفون!$AG$6:$AG$105,"✔ على رأس العمل",الموظفون!$F$6:$F$105,B54))</f>
        <v/>
      </c>
      <c r="D54" s="59" t="str">
        <f aca="false">IF(B54="","",SUMIFS(الموظفون!$P$6:$P$105,الموظفون!$AG$6:$AG$105,"✔ على رأس العمل",الموظفون!$F$6:$F$105,B54))</f>
        <v/>
      </c>
      <c r="E54" s="59" t="str">
        <f aca="false">IF(B54="","",SUMIF('ملخص الموظفين السنوي'!$D$6:$D$105,B54,'ملخص الموظفين السنوي'!$R$6:$R$105))</f>
        <v/>
      </c>
      <c r="F54" s="63" t="str">
        <f aca="false">IF(B54="","",SUMIF('ملخص الموظفين السنوي'!$D$6:$D$105,B54,'ملخص الموظفين السنوي'!$AF$6:$AF$105))</f>
        <v/>
      </c>
      <c r="G54" s="58" t="str">
        <f aca="false">IF(B54="","",IFERROR(F54/SUM($F$40:$F$54),0))</f>
        <v/>
      </c>
    </row>
    <row r="55" customFormat="false" ht="15" hidden="false" customHeight="false" outlineLevel="0" collapsed="false">
      <c r="B55" s="64" t="s">
        <v>127</v>
      </c>
      <c r="C55" s="65" t="n">
        <f aca="false">SUM(C40:C54)</f>
        <v>11</v>
      </c>
      <c r="D55" s="66" t="n">
        <f aca="false">SUM(D40:D54)</f>
        <v>194575</v>
      </c>
      <c r="E55" s="66" t="n">
        <f aca="false">SUM(E40:E54)</f>
        <v>1763573.92694064</v>
      </c>
      <c r="F55" s="66" t="n">
        <f aca="false">SUM(F40:F54)</f>
        <v>2227092.35131279</v>
      </c>
      <c r="G55" s="67" t="n">
        <f aca="false">SUM(G40:G54)</f>
        <v>1</v>
      </c>
    </row>
    <row r="56" customFormat="false" ht="15" hidden="false" customHeight="false" outlineLevel="0" collapsed="false">
      <c r="B56" s="68" t="str">
        <f aca="false">IF(ROUND(F55-'الملخص الشهري'!U19,0)=0,"✔ مطابق للملخص الشهري","⚠ يوجد موظفون بدون قسم أو قسم غير مدرج")</f>
        <v>✔ مطابق للملخص الشهري</v>
      </c>
      <c r="C56" s="68"/>
      <c r="D56" s="68"/>
      <c r="E56" s="68"/>
      <c r="F56" s="68"/>
      <c r="G56" s="68"/>
    </row>
    <row r="58" customFormat="false" ht="21.75" hidden="false" customHeight="true" outlineLevel="0" collapsed="false">
      <c r="B58" s="69" t="s">
        <v>128</v>
      </c>
      <c r="C58" s="69"/>
      <c r="D58" s="69"/>
      <c r="E58" s="69"/>
      <c r="F58" s="69"/>
      <c r="G58" s="69"/>
      <c r="H58" s="69"/>
      <c r="I58" s="69"/>
      <c r="J58" s="69"/>
      <c r="K58" s="69"/>
      <c r="L58" s="69"/>
      <c r="M58" s="69"/>
      <c r="N58" s="69"/>
    </row>
    <row r="59" customFormat="false" ht="43.5" hidden="false" customHeight="true" outlineLevel="0" collapsed="false">
      <c r="B59" s="70" t="s">
        <v>129</v>
      </c>
      <c r="C59" s="70" t="s">
        <v>130</v>
      </c>
      <c r="D59" s="70" t="s">
        <v>95</v>
      </c>
      <c r="E59" s="70" t="s">
        <v>131</v>
      </c>
      <c r="F59" s="70" t="s">
        <v>132</v>
      </c>
      <c r="G59" s="70" t="s">
        <v>133</v>
      </c>
      <c r="H59" s="70" t="s">
        <v>134</v>
      </c>
    </row>
    <row r="60" customFormat="false" ht="15" hidden="false" customHeight="false" outlineLevel="0" collapsed="false">
      <c r="B60" s="56" t="str">
        <f aca="false">'الملخص الشهري'!B6</f>
        <v>يناير</v>
      </c>
      <c r="C60" s="59" t="n">
        <f aca="false">'الملخص الشهري'!N6</f>
        <v>178337.395833333</v>
      </c>
      <c r="D60" s="59" t="n">
        <f aca="false">'الملخص الشهري'!L6+'الملخص الشهري'!O6</f>
        <v>25859.375</v>
      </c>
      <c r="E60" s="59" t="n">
        <f aca="false">'الملخص الشهري'!M6</f>
        <v>1100</v>
      </c>
      <c r="F60" s="59" t="n">
        <f aca="false">'الملخص الشهري'!P6+'الملخص الشهري'!Q6+'الملخص الشهري'!R6</f>
        <v>29189.1506849315</v>
      </c>
      <c r="G60" s="59" t="n">
        <f aca="false">'الملخص الشهري'!S6+'الملخص الشهري'!T6</f>
        <v>7270.83333333333</v>
      </c>
      <c r="H60" s="63" t="n">
        <f aca="false">SUM(C60:G60)</f>
        <v>241756.754851598</v>
      </c>
    </row>
    <row r="61" customFormat="false" ht="15" hidden="false" customHeight="false" outlineLevel="0" collapsed="false">
      <c r="B61" s="71" t="str">
        <f aca="false">'الملخص الشهري'!B7</f>
        <v>فبراير</v>
      </c>
      <c r="C61" s="72" t="n">
        <f aca="false">'الملخص الشهري'!N7</f>
        <v>182442.395833333</v>
      </c>
      <c r="D61" s="72" t="n">
        <f aca="false">'الملخص الشهري'!L7+'الملخص الشهري'!O7</f>
        <v>25859.375</v>
      </c>
      <c r="E61" s="72" t="n">
        <f aca="false">'الملخص الشهري'!M7</f>
        <v>1000</v>
      </c>
      <c r="F61" s="72" t="n">
        <f aca="false">'الملخص الشهري'!P7+'الملخص الشهري'!Q7+'الملخص الشهري'!R7</f>
        <v>26695.1232876712</v>
      </c>
      <c r="G61" s="72" t="n">
        <f aca="false">'الملخص الشهري'!S7+'الملخص الشهري'!T7</f>
        <v>7270.83333333333</v>
      </c>
      <c r="H61" s="73" t="n">
        <f aca="false">SUM(C61:G61)</f>
        <v>243267.727454338</v>
      </c>
    </row>
    <row r="62" customFormat="false" ht="15" hidden="false" customHeight="false" outlineLevel="0" collapsed="false">
      <c r="B62" s="56" t="str">
        <f aca="false">'الملخص الشهري'!B8</f>
        <v>مارس</v>
      </c>
      <c r="C62" s="59" t="n">
        <f aca="false">'الملخص الشهري'!N8</f>
        <v>177782.8125</v>
      </c>
      <c r="D62" s="59" t="n">
        <f aca="false">'الملخص الشهري'!L8+'الملخص الشهري'!O8</f>
        <v>25859.375</v>
      </c>
      <c r="E62" s="59" t="n">
        <f aca="false">'الملخص الشهري'!M8</f>
        <v>1000</v>
      </c>
      <c r="F62" s="59" t="n">
        <f aca="false">'الملخص الشهري'!P8+'الملخص الشهري'!Q8+'الملخص الشهري'!R8</f>
        <v>29555.3150684932</v>
      </c>
      <c r="G62" s="59" t="n">
        <f aca="false">'الملخص الشهري'!S8+'الملخص الشهري'!T8</f>
        <v>7270.83333333333</v>
      </c>
      <c r="H62" s="63" t="n">
        <f aca="false">SUM(C62:G62)</f>
        <v>241468.335901827</v>
      </c>
    </row>
    <row r="63" customFormat="false" ht="15" hidden="false" customHeight="false" outlineLevel="0" collapsed="false">
      <c r="B63" s="71" t="str">
        <f aca="false">'الملخص الشهري'!B9</f>
        <v>أبريل</v>
      </c>
      <c r="C63" s="72" t="n">
        <f aca="false">'الملخص الشهري'!N9</f>
        <v>181616.5625</v>
      </c>
      <c r="D63" s="72" t="n">
        <f aca="false">'الملخص الشهري'!L9+'الملخص الشهري'!O9</f>
        <v>27149.375</v>
      </c>
      <c r="E63" s="72" t="n">
        <f aca="false">'الملخص الشهري'!M9</f>
        <v>1000</v>
      </c>
      <c r="F63" s="72" t="n">
        <f aca="false">'الملخص الشهري'!P9+'الملخص الشهري'!Q9+'الملخص الشهري'!R9</f>
        <v>29241.0410958904</v>
      </c>
      <c r="G63" s="72" t="n">
        <f aca="false">'الملخص الشهري'!S9+'الملخص الشهري'!T9</f>
        <v>7377.5</v>
      </c>
      <c r="H63" s="73" t="n">
        <f aca="false">SUM(C63:G63)</f>
        <v>246384.47859589</v>
      </c>
    </row>
    <row r="64" customFormat="false" ht="15" hidden="false" customHeight="false" outlineLevel="0" collapsed="false">
      <c r="B64" s="56" t="str">
        <f aca="false">'الملخص الشهري'!B10</f>
        <v>مايو</v>
      </c>
      <c r="C64" s="59" t="n">
        <f aca="false">'الملخص الشهري'!N10</f>
        <v>189111.354166667</v>
      </c>
      <c r="D64" s="59" t="n">
        <f aca="false">'الملخص الشهري'!L10+'الملخص الشهري'!O10</f>
        <v>28278.125</v>
      </c>
      <c r="E64" s="59" t="n">
        <f aca="false">'الملخص الشهري'!M10</f>
        <v>1000</v>
      </c>
      <c r="F64" s="59" t="n">
        <f aca="false">'الملخص الشهري'!P10+'الملخص الشهري'!Q10+'الملخص الشهري'!R10</f>
        <v>30793.6164383562</v>
      </c>
      <c r="G64" s="59" t="n">
        <f aca="false">'الملخص الشهري'!S10+'الملخص الشهري'!T10</f>
        <v>7470.83333333333</v>
      </c>
      <c r="H64" s="63" t="n">
        <f aca="false">SUM(C64:G64)</f>
        <v>256653.928938356</v>
      </c>
    </row>
    <row r="65" customFormat="false" ht="15" hidden="false" customHeight="false" outlineLevel="0" collapsed="false">
      <c r="B65" s="71" t="str">
        <f aca="false">'الملخص الشهري'!B11</f>
        <v>يونيو</v>
      </c>
      <c r="C65" s="72" t="n">
        <f aca="false">'الملخص الشهري'!N11</f>
        <v>195154.6875</v>
      </c>
      <c r="D65" s="72" t="n">
        <f aca="false">'الملخص الشهري'!L11+'الملخص الشهري'!O11</f>
        <v>28278.125</v>
      </c>
      <c r="E65" s="72" t="n">
        <f aca="false">'الملخص الشهري'!M11</f>
        <v>0</v>
      </c>
      <c r="F65" s="72" t="n">
        <f aca="false">'الملخص الشهري'!P11+'الملخص الشهري'!Q11+'الملخص الشهري'!R11</f>
        <v>29800.2739726027</v>
      </c>
      <c r="G65" s="72" t="n">
        <f aca="false">'الملخص الشهري'!S11+'الملخص الشهري'!T11</f>
        <v>7470.83333333333</v>
      </c>
      <c r="H65" s="73" t="n">
        <f aca="false">SUM(C65:G65)</f>
        <v>260703.919805936</v>
      </c>
    </row>
    <row r="66" customFormat="false" ht="15" hidden="false" customHeight="false" outlineLevel="0" collapsed="false">
      <c r="B66" s="56" t="str">
        <f aca="false">'الملخص الشهري'!B12</f>
        <v>يوليو</v>
      </c>
      <c r="C66" s="59" t="n">
        <f aca="false">'الملخص الشهري'!N12</f>
        <v>190501.947773973</v>
      </c>
      <c r="D66" s="59" t="n">
        <f aca="false">'الملخص الشهري'!L12+'الملخص الشهري'!O12</f>
        <v>28153.125</v>
      </c>
      <c r="E66" s="59" t="n">
        <f aca="false">'الملخص الشهري'!M12</f>
        <v>0</v>
      </c>
      <c r="F66" s="59" t="n">
        <f aca="false">'الملخص الشهري'!P12+'الملخص الشهري'!Q12+'الملخص الشهري'!R12</f>
        <v>29536.6301369863</v>
      </c>
      <c r="G66" s="59" t="n">
        <f aca="false">'الملخص الشهري'!S12+'الملخص الشهري'!T12</f>
        <v>6466.66666666667</v>
      </c>
      <c r="H66" s="63" t="n">
        <f aca="false">SUM(C66:G66)</f>
        <v>254658.369577626</v>
      </c>
    </row>
    <row r="67" customFormat="false" ht="15" hidden="false" customHeight="false" outlineLevel="0" collapsed="false">
      <c r="B67" s="71" t="str">
        <f aca="false">'الملخص الشهري'!B13</f>
        <v>أغسطس</v>
      </c>
      <c r="C67" s="72" t="n">
        <f aca="false">'الملخص الشهري'!N13</f>
        <v>180702.1875</v>
      </c>
      <c r="D67" s="72" t="n">
        <f aca="false">'الملخص الشهري'!L13+'الملخص الشهري'!O13</f>
        <v>28153.125</v>
      </c>
      <c r="E67" s="72" t="n">
        <f aca="false">'الملخص الشهري'!M13</f>
        <v>0</v>
      </c>
      <c r="F67" s="72" t="n">
        <f aca="false">'الملخص الشهري'!P13+'الملخص الشهري'!Q13+'الملخص الشهري'!R13</f>
        <v>29436.7671232877</v>
      </c>
      <c r="G67" s="72" t="n">
        <f aca="false">'الملخص الشهري'!S13+'الملخص الشهري'!T13</f>
        <v>6466.66666666667</v>
      </c>
      <c r="H67" s="73" t="n">
        <f aca="false">SUM(C67:G67)</f>
        <v>244758.746289954</v>
      </c>
    </row>
    <row r="68" customFormat="false" ht="15" hidden="false" customHeight="false" outlineLevel="0" collapsed="false">
      <c r="B68" s="56" t="str">
        <f aca="false">'الملخص الشهري'!B14</f>
        <v>سبتمبر</v>
      </c>
      <c r="C68" s="59" t="n">
        <f aca="false">'الملخص الشهري'!N14</f>
        <v>175044.270833333</v>
      </c>
      <c r="D68" s="59" t="n">
        <f aca="false">'الملخص الشهري'!L14+'الملخص الشهري'!O14</f>
        <v>28153.125</v>
      </c>
      <c r="E68" s="59" t="n">
        <f aca="false">'الملخص الشهري'!M14</f>
        <v>250</v>
      </c>
      <c r="F68" s="59" t="n">
        <f aca="false">'الملخص الشهري'!P14+'الملخص الشهري'!Q14+'الملخص الشهري'!R14</f>
        <v>27526.0273972603</v>
      </c>
      <c r="G68" s="59" t="n">
        <f aca="false">'الملخص الشهري'!S14+'الملخص الشهري'!T14</f>
        <v>6466.66666666667</v>
      </c>
      <c r="H68" s="63" t="n">
        <f aca="false">SUM(C68:G68)</f>
        <v>237440.08989726</v>
      </c>
    </row>
    <row r="69" customFormat="false" ht="15" hidden="false" customHeight="false" outlineLevel="0" collapsed="false">
      <c r="B69" s="71" t="str">
        <f aca="false">'الملخص الشهري'!B15</f>
        <v>أكتوبر</v>
      </c>
      <c r="C69" s="72" t="n">
        <f aca="false">'الملخص الشهري'!N15</f>
        <v>169506.354166667</v>
      </c>
      <c r="D69" s="72" t="n">
        <f aca="false">'الملخص الشهري'!L15+'الملخص الشهري'!O15</f>
        <v>28153.125</v>
      </c>
      <c r="E69" s="72" t="n">
        <f aca="false">'الملخص الشهري'!M15</f>
        <v>0</v>
      </c>
      <c r="F69" s="72" t="n">
        <f aca="false">'الملخص الشهري'!P15+'الملخص الشهري'!Q15+'الملخص الشهري'!R15</f>
        <v>27709.506849315</v>
      </c>
      <c r="G69" s="72" t="n">
        <f aca="false">'الملخص الشهري'!S15+'الملخص الشهري'!T15</f>
        <v>6466.66666666667</v>
      </c>
      <c r="H69" s="73" t="n">
        <f aca="false">SUM(C69:G69)</f>
        <v>231835.652682648</v>
      </c>
    </row>
    <row r="70" customFormat="false" ht="15" hidden="false" customHeight="false" outlineLevel="0" collapsed="false">
      <c r="B70" s="56" t="str">
        <f aca="false">'الملخص الشهري'!B16</f>
        <v>نوفمبر</v>
      </c>
      <c r="C70" s="59" t="n">
        <f aca="false">'الملخص الشهري'!N16</f>
        <v>182204.6875</v>
      </c>
      <c r="D70" s="59" t="n">
        <f aca="false">'الملخص الشهري'!L16+'الملخص الشهري'!O16</f>
        <v>28153.125</v>
      </c>
      <c r="E70" s="59" t="n">
        <f aca="false">'الملخص الشهري'!M16</f>
        <v>0</v>
      </c>
      <c r="F70" s="59" t="n">
        <f aca="false">'الملخص الشهري'!P16+'الملخص الشهري'!Q16+'الملخص الشهري'!R16</f>
        <v>28583.8356164384</v>
      </c>
      <c r="G70" s="59" t="n">
        <f aca="false">'الملخص الشهري'!S16+'الملخص الشهري'!T16</f>
        <v>6466.66666666667</v>
      </c>
      <c r="H70" s="63" t="n">
        <f aca="false">SUM(C70:G70)</f>
        <v>245408.314783105</v>
      </c>
    </row>
    <row r="71" customFormat="false" ht="15" hidden="false" customHeight="false" outlineLevel="0" collapsed="false">
      <c r="B71" s="71" t="str">
        <f aca="false">'الملخص الشهري'!B17</f>
        <v>ديسمبر</v>
      </c>
      <c r="C71" s="72" t="n">
        <f aca="false">'الملخص الشهري'!N17</f>
        <v>181704.6875</v>
      </c>
      <c r="D71" s="72" t="n">
        <f aca="false">'الملخص الشهري'!L17+'الملخص الشهري'!O17</f>
        <v>28153.125</v>
      </c>
      <c r="E71" s="72" t="n">
        <f aca="false">'الملخص الشهري'!M17</f>
        <v>0</v>
      </c>
      <c r="F71" s="72" t="n">
        <f aca="false">'الملخص الشهري'!P17+'الملخص الشهري'!Q17+'الملخص الشهري'!R17</f>
        <v>29536.6301369863</v>
      </c>
      <c r="G71" s="72" t="n">
        <f aca="false">'الملخص الشهري'!S17+'الملخص الشهري'!T17</f>
        <v>6466.66666666667</v>
      </c>
      <c r="H71" s="73" t="n">
        <f aca="false">SUM(C71:G71)</f>
        <v>245861.109303653</v>
      </c>
    </row>
    <row r="72" customFormat="false" ht="15" hidden="false" customHeight="false" outlineLevel="0" collapsed="false">
      <c r="B72" s="74" t="s">
        <v>135</v>
      </c>
      <c r="C72" s="75" t="n">
        <f aca="false">SUM(C60:C71)</f>
        <v>2184109.34360731</v>
      </c>
      <c r="D72" s="75" t="n">
        <f aca="false">SUM(D60:D71)</f>
        <v>330202.5</v>
      </c>
      <c r="E72" s="75" t="n">
        <f aca="false">SUM(E60:E71)</f>
        <v>5350</v>
      </c>
      <c r="F72" s="75" t="n">
        <f aca="false">SUM(F60:F71)</f>
        <v>347603.917808219</v>
      </c>
      <c r="G72" s="75" t="n">
        <f aca="false">SUM(G60:G71)</f>
        <v>82931.6666666667</v>
      </c>
      <c r="H72" s="75" t="n">
        <f aca="false">SUM(H60:H71)</f>
        <v>2950197.42808219</v>
      </c>
    </row>
    <row r="73" customFormat="false" ht="15" hidden="false" customHeight="false" outlineLevel="0" collapsed="false">
      <c r="B73" s="68" t="str">
        <f aca="false">IF(ROUND(H72-'الملخص الشهري'!U18,0)=0,"✔ مطابق لإجمالي تكلفة العمالة في الملخص الشهري","✖ غير مطابق")</f>
        <v>✔ مطابق لإجمالي تكلفة العمالة في الملخص الشهري</v>
      </c>
      <c r="C73" s="68"/>
      <c r="D73" s="68"/>
      <c r="E73" s="68"/>
      <c r="F73" s="68"/>
      <c r="G73" s="68"/>
      <c r="H73" s="68"/>
    </row>
    <row r="75" customFormat="false" ht="25.5" hidden="false" customHeight="true" outlineLevel="0" collapsed="false">
      <c r="B75" s="24" t="s">
        <v>136</v>
      </c>
      <c r="C75" s="24"/>
      <c r="D75" s="24"/>
      <c r="E75" s="24"/>
      <c r="F75" s="24"/>
      <c r="G75" s="24"/>
      <c r="H75" s="24"/>
      <c r="I75" s="24"/>
      <c r="J75" s="24"/>
      <c r="K75" s="24"/>
      <c r="L75" s="24"/>
      <c r="M75" s="24"/>
      <c r="N75" s="24"/>
    </row>
  </sheetData>
  <mergeCells count="60">
    <mergeCell ref="B1:N1"/>
    <mergeCell ref="B2:N2"/>
    <mergeCell ref="K3:L3"/>
    <mergeCell ref="M3:N3"/>
    <mergeCell ref="B5:N5"/>
    <mergeCell ref="B6:D6"/>
    <mergeCell ref="E6:G6"/>
    <mergeCell ref="H6:J6"/>
    <mergeCell ref="K6:N6"/>
    <mergeCell ref="B7:D7"/>
    <mergeCell ref="E7:G7"/>
    <mergeCell ref="H7:J7"/>
    <mergeCell ref="K7:N7"/>
    <mergeCell ref="B9:N9"/>
    <mergeCell ref="B10:D10"/>
    <mergeCell ref="E10:G10"/>
    <mergeCell ref="H10:J10"/>
    <mergeCell ref="K10:N10"/>
    <mergeCell ref="B11:D11"/>
    <mergeCell ref="E11:G11"/>
    <mergeCell ref="H11:J11"/>
    <mergeCell ref="K11:N11"/>
    <mergeCell ref="B13:N13"/>
    <mergeCell ref="B14:D14"/>
    <mergeCell ref="E14:G14"/>
    <mergeCell ref="H14:J14"/>
    <mergeCell ref="K14:N14"/>
    <mergeCell ref="B15:D15"/>
    <mergeCell ref="E15:G15"/>
    <mergeCell ref="H15:J15"/>
    <mergeCell ref="K15:N15"/>
    <mergeCell ref="B17:N17"/>
    <mergeCell ref="B18:D18"/>
    <mergeCell ref="E18:G18"/>
    <mergeCell ref="H18:J18"/>
    <mergeCell ref="K18:N18"/>
    <mergeCell ref="B19:D19"/>
    <mergeCell ref="E19:G19"/>
    <mergeCell ref="H19:J19"/>
    <mergeCell ref="K19:N19"/>
    <mergeCell ref="B21:G21"/>
    <mergeCell ref="I21:N21"/>
    <mergeCell ref="B22:E22"/>
    <mergeCell ref="L22:N22"/>
    <mergeCell ref="B23:E23"/>
    <mergeCell ref="L23:N23"/>
    <mergeCell ref="B24:E24"/>
    <mergeCell ref="L24:N24"/>
    <mergeCell ref="B25:E25"/>
    <mergeCell ref="B26:E26"/>
    <mergeCell ref="B27:E27"/>
    <mergeCell ref="B28:E28"/>
    <mergeCell ref="B29:E29"/>
    <mergeCell ref="B30:E30"/>
    <mergeCell ref="F30:G30"/>
    <mergeCell ref="B38:G38"/>
    <mergeCell ref="B56:G56"/>
    <mergeCell ref="B58:N58"/>
    <mergeCell ref="B73:H73"/>
    <mergeCell ref="B75:N75"/>
  </mergeCells>
  <conditionalFormatting sqref="F30">
    <cfRule type="expression" priority="2" aboveAverage="0" equalAverage="0" bottom="0" percent="0" rank="0" text="" dxfId="0">
      <formula>ISNUMBER(SEARCH("✔",F30))</formula>
    </cfRule>
    <cfRule type="expression" priority="3" aboveAverage="0" equalAverage="0" bottom="0" percent="0" rank="0" text="" dxfId="1">
      <formula>ISNUMBER(SEARCH("✖",F30))</formula>
    </cfRule>
    <cfRule type="expression" priority="4" aboveAverage="0" equalAverage="0" bottom="0" percent="0" rank="0" text="" dxfId="2">
      <formula>ISNUMBER(SEARCH("⚠",F30))</formula>
    </cfRule>
    <cfRule type="expression" priority="5" aboveAverage="0" equalAverage="0" bottom="0" percent="0" rank="0" text="" dxfId="3">
      <formula>ISNUMBER(SEARCH("✈",F30))</formula>
    </cfRule>
    <cfRule type="expression" priority="6" aboveAverage="0" equalAverage="0" bottom="0" percent="0" rank="0" text="" dxfId="1">
      <formula>ISNUMBER(SEARCH("⛔",F30))</formula>
    </cfRule>
    <cfRule type="expression" priority="7" aboveAverage="0" equalAverage="0" bottom="0" percent="0" rank="0" text="" dxfId="0">
      <formula>ISNUMBER(SEARCH("🌴",F30))</formula>
    </cfRule>
    <cfRule type="expression" priority="8" aboveAverage="0" equalAverage="0" bottom="0" percent="0" rank="0" text="" dxfId="4">
      <formula>ISNUMBER(SEARCH("⏳",F30))</formula>
    </cfRule>
  </conditionalFormatting>
  <conditionalFormatting sqref="G22:G29">
    <cfRule type="expression" priority="9" aboveAverage="0" equalAverage="0" bottom="0" percent="0" rank="0" text="" dxfId="0">
      <formula>G22="✔"</formula>
    </cfRule>
    <cfRule type="expression" priority="10" aboveAverage="0" equalAverage="0" bottom="0" percent="0" rank="0" text="" dxfId="2">
      <formula>G22="⚠"</formula>
    </cfRule>
  </conditionalFormatting>
  <conditionalFormatting sqref="B56">
    <cfRule type="expression" priority="11" aboveAverage="0" equalAverage="0" bottom="0" percent="0" rank="0" text="" dxfId="0">
      <formula>ISNUMBER(SEARCH("✔",B56))</formula>
    </cfRule>
    <cfRule type="expression" priority="12" aboveAverage="0" equalAverage="0" bottom="0" percent="0" rank="0" text="" dxfId="1">
      <formula>ISNUMBER(SEARCH("✖",B56))</formula>
    </cfRule>
    <cfRule type="expression" priority="13" aboveAverage="0" equalAverage="0" bottom="0" percent="0" rank="0" text="" dxfId="2">
      <formula>ISNUMBER(SEARCH("⚠",B56))</formula>
    </cfRule>
    <cfRule type="expression" priority="14" aboveAverage="0" equalAverage="0" bottom="0" percent="0" rank="0" text="" dxfId="3">
      <formula>ISNUMBER(SEARCH("✈",B56))</formula>
    </cfRule>
    <cfRule type="expression" priority="15" aboveAverage="0" equalAverage="0" bottom="0" percent="0" rank="0" text="" dxfId="1">
      <formula>ISNUMBER(SEARCH("⛔",B56))</formula>
    </cfRule>
    <cfRule type="expression" priority="16" aboveAverage="0" equalAverage="0" bottom="0" percent="0" rank="0" text="" dxfId="0">
      <formula>ISNUMBER(SEARCH("🌴",B56))</formula>
    </cfRule>
    <cfRule type="expression" priority="17" aboveAverage="0" equalAverage="0" bottom="0" percent="0" rank="0" text="" dxfId="4">
      <formula>ISNUMBER(SEARCH("⏳",B56))</formula>
    </cfRule>
  </conditionalFormatting>
  <conditionalFormatting sqref="B60:H71">
    <cfRule type="expression" priority="18" aboveAverage="0" equalAverage="0" bottom="0" percent="0" rank="0" text="" dxfId="5">
      <formula>ROW()-59=cfg_VAL_M</formula>
    </cfRule>
  </conditionalFormatting>
  <conditionalFormatting sqref="B73">
    <cfRule type="expression" priority="19" aboveAverage="0" equalAverage="0" bottom="0" percent="0" rank="0" text="" dxfId="0">
      <formula>ISNUMBER(SEARCH("✔",B73))</formula>
    </cfRule>
    <cfRule type="expression" priority="20" aboveAverage="0" equalAverage="0" bottom="0" percent="0" rank="0" text="" dxfId="1">
      <formula>ISNUMBER(SEARCH("✖",B73))</formula>
    </cfRule>
    <cfRule type="expression" priority="21" aboveAverage="0" equalAverage="0" bottom="0" percent="0" rank="0" text="" dxfId="2">
      <formula>ISNUMBER(SEARCH("⚠",B73))</formula>
    </cfRule>
    <cfRule type="expression" priority="22" aboveAverage="0" equalAverage="0" bottom="0" percent="0" rank="0" text="" dxfId="3">
      <formula>ISNUMBER(SEARCH("✈",B73))</formula>
    </cfRule>
    <cfRule type="expression" priority="23" aboveAverage="0" equalAverage="0" bottom="0" percent="0" rank="0" text="" dxfId="1">
      <formula>ISNUMBER(SEARCH("⛔",B73))</formula>
    </cfRule>
    <cfRule type="expression" priority="24" aboveAverage="0" equalAverage="0" bottom="0" percent="0" rank="0" text="" dxfId="0">
      <formula>ISNUMBER(SEARCH("🌴",B73))</formula>
    </cfRule>
    <cfRule type="expression" priority="25" aboveAverage="0" equalAverage="0" bottom="0" percent="0" rank="0" text="" dxfId="4">
      <formula>ISNUMBER(SEARCH("⏳",B73))</formula>
    </cfRule>
  </conditionalFormatting>
  <hyperlinks>
    <hyperlink ref="B3" location="'الرئيسية'!A1" display="🏠 الرئيسية"/>
    <hyperlink ref="C3" location="'الإعدادات'!A1" display="⚙ الإعدادات"/>
    <hyperlink ref="D3" location="'الموظفون'!A1" display="👥 الموظفون"/>
    <hyperlink ref="E3" location="'سجل الإجازات والحالات'!A1" display="🌴 سجل الإجازات"/>
    <hyperlink ref="F3" location="'الحركات الشهرية'!A1" display="✍ الحركات"/>
    <hyperlink ref="G3" location="'الإقامات ورخص العمل'!A1" display="🪪 الإقامات"/>
    <hyperlink ref="H3" location="'الملخص الشهري'!A1" display="📅 الملخص الشهري"/>
    <hyperlink ref="M3" location="'الإعدادات'!A1" display="⚙ تغيير الشهر"/>
    <hyperlink ref="E6" location="'سجل الإجازات والحالات'!A1" display="في إجازة / إيقاف حالياً"/>
    <hyperlink ref="B14" location="'الإقامات ورخص العمل'!A1" display="المحمّل حتى تاريخه (إقامة + رخص + طبي)"/>
    <hyperlink ref="H14" location="'الإقامات ورخص العمل'!A1" display="تجديدات متوقعة خلال فترة التنبيه"/>
    <hyperlink ref="B18" location="'مخصص نهاية الخدمة'!A1" display="مخصص نهاية الخدمة"/>
    <hyperlink ref="E18" location="'مخصص الإجازات'!A1" display="مخصص الإجازات"/>
    <hyperlink ref="H18" location="'مخصص التذاكر'!A1" display="مخصص تذاكر السفر"/>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true"/>
  </sheetPr>
  <dimension ref="B1:R51"/>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8"/>
    <col collapsed="false" customWidth="true" hidden="false" outlineLevel="0" max="4" min="4" style="0" width="58"/>
    <col collapsed="false" customWidth="true" hidden="false" outlineLevel="0" max="5" min="5" style="0" width="3"/>
    <col collapsed="false" customWidth="true" hidden="false" outlineLevel="0" max="6" min="6" style="0" width="20"/>
    <col collapsed="false" customWidth="true" hidden="false" outlineLevel="0" max="7" min="7" style="0" width="22"/>
    <col collapsed="false" customWidth="true" hidden="false" outlineLevel="0" max="8" min="8" style="0" width="9"/>
    <col collapsed="false" customWidth="true" hidden="false" outlineLevel="0" max="9" min="9" style="0" width="14"/>
    <col collapsed="false" customWidth="true" hidden="false" outlineLevel="0" max="10" min="10" style="0" width="11"/>
    <col collapsed="false" customWidth="true" hidden="false" outlineLevel="0" max="11" min="11" style="0" width="16"/>
    <col collapsed="false" customWidth="true" hidden="false" outlineLevel="0" max="12" min="12" style="0" width="3"/>
    <col collapsed="false" customWidth="true" hidden="false" outlineLevel="0" max="13" min="13" style="0" width="40"/>
    <col collapsed="false" customWidth="true" hidden="false" outlineLevel="0" max="17" min="14" style="0" width="11"/>
    <col collapsed="false" customWidth="true" hidden="false" outlineLevel="0" max="18" min="18" style="0" width="60"/>
  </cols>
  <sheetData>
    <row r="1" customFormat="false" ht="37.5" hidden="false" customHeight="true" outlineLevel="0" collapsed="false">
      <c r="B1" s="1" t="s">
        <v>137</v>
      </c>
      <c r="C1" s="1"/>
      <c r="D1" s="1"/>
      <c r="E1" s="1"/>
      <c r="F1" s="1"/>
      <c r="G1" s="1"/>
      <c r="H1" s="1"/>
      <c r="I1" s="1"/>
      <c r="J1" s="1"/>
      <c r="K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row>
    <row r="3" customFormat="false" ht="25.5" hidden="false" customHeight="true" outlineLevel="0" collapsed="false">
      <c r="B3" s="25" t="s">
        <v>80</v>
      </c>
      <c r="C3" s="12" t="s">
        <v>138</v>
      </c>
      <c r="D3" s="26" t="s">
        <v>82</v>
      </c>
      <c r="F3" s="27" t="s">
        <v>83</v>
      </c>
      <c r="G3" s="26" t="s">
        <v>84</v>
      </c>
      <c r="H3" s="28" t="s">
        <v>85</v>
      </c>
      <c r="I3" s="26" t="s">
        <v>39</v>
      </c>
      <c r="J3" s="26" t="s">
        <v>139</v>
      </c>
      <c r="K3" s="26" t="s">
        <v>140</v>
      </c>
    </row>
    <row r="4" customFormat="false" ht="7.5" hidden="false" customHeight="true" outlineLevel="0" collapsed="false"/>
    <row r="5" customFormat="false" ht="48" hidden="false" customHeight="true" outlineLevel="0" collapsed="false">
      <c r="B5" s="6" t="s">
        <v>141</v>
      </c>
      <c r="C5" s="6" t="s">
        <v>142</v>
      </c>
      <c r="D5" s="6" t="s">
        <v>143</v>
      </c>
      <c r="F5" s="76" t="s">
        <v>144</v>
      </c>
      <c r="G5" s="76" t="s">
        <v>145</v>
      </c>
      <c r="H5" s="76" t="s">
        <v>146</v>
      </c>
      <c r="I5" s="76" t="s">
        <v>147</v>
      </c>
      <c r="J5" s="76" t="s">
        <v>148</v>
      </c>
      <c r="K5" s="76" t="s">
        <v>149</v>
      </c>
      <c r="M5" s="55" t="s">
        <v>150</v>
      </c>
      <c r="N5" s="55" t="s">
        <v>151</v>
      </c>
      <c r="O5" s="55" t="s">
        <v>152</v>
      </c>
      <c r="P5" s="55" t="s">
        <v>153</v>
      </c>
      <c r="Q5" s="55" t="s">
        <v>154</v>
      </c>
      <c r="R5" s="55" t="s">
        <v>155</v>
      </c>
    </row>
    <row r="6" customFormat="false" ht="27.75" hidden="false" customHeight="true" outlineLevel="0" collapsed="false">
      <c r="B6" s="62" t="s">
        <v>156</v>
      </c>
      <c r="C6" s="77" t="s">
        <v>157</v>
      </c>
      <c r="D6" s="78" t="s">
        <v>158</v>
      </c>
      <c r="F6" s="79" t="s">
        <v>159</v>
      </c>
      <c r="G6" s="80" t="s">
        <v>160</v>
      </c>
      <c r="H6" s="80" t="s">
        <v>161</v>
      </c>
      <c r="I6" s="80" t="s">
        <v>113</v>
      </c>
      <c r="J6" s="80" t="s">
        <v>162</v>
      </c>
      <c r="K6" s="80" t="s">
        <v>7</v>
      </c>
      <c r="M6" s="81" t="s">
        <v>163</v>
      </c>
      <c r="N6" s="82" t="n">
        <v>1</v>
      </c>
      <c r="O6" s="79" t="s">
        <v>161</v>
      </c>
      <c r="P6" s="79" t="s">
        <v>161</v>
      </c>
      <c r="Q6" s="79" t="s">
        <v>164</v>
      </c>
      <c r="R6" s="83" t="s">
        <v>165</v>
      </c>
    </row>
    <row r="7" customFormat="false" ht="27.75" hidden="false" customHeight="true" outlineLevel="0" collapsed="false">
      <c r="B7" s="62" t="s">
        <v>166</v>
      </c>
      <c r="C7" s="84" t="n">
        <v>2026</v>
      </c>
      <c r="D7" s="78" t="s">
        <v>167</v>
      </c>
      <c r="F7" s="79" t="s">
        <v>168</v>
      </c>
      <c r="G7" s="80" t="s">
        <v>169</v>
      </c>
      <c r="H7" s="80" t="s">
        <v>164</v>
      </c>
      <c r="I7" s="80" t="s">
        <v>115</v>
      </c>
      <c r="J7" s="80" t="s">
        <v>170</v>
      </c>
      <c r="K7" s="80" t="s">
        <v>12</v>
      </c>
      <c r="M7" s="81" t="s">
        <v>171</v>
      </c>
      <c r="N7" s="82" t="n">
        <v>1</v>
      </c>
      <c r="O7" s="79" t="s">
        <v>161</v>
      </c>
      <c r="P7" s="79" t="s">
        <v>161</v>
      </c>
      <c r="Q7" s="79" t="s">
        <v>161</v>
      </c>
      <c r="R7" s="83" t="s">
        <v>172</v>
      </c>
    </row>
    <row r="8" customFormat="false" ht="27.75" hidden="false" customHeight="true" outlineLevel="0" collapsed="false">
      <c r="B8" s="62" t="s">
        <v>173</v>
      </c>
      <c r="C8" s="77" t="s">
        <v>174</v>
      </c>
      <c r="D8" s="78"/>
      <c r="F8" s="79" t="s">
        <v>175</v>
      </c>
      <c r="G8" s="80" t="s">
        <v>176</v>
      </c>
      <c r="J8" s="80" t="s">
        <v>177</v>
      </c>
      <c r="K8" s="80" t="s">
        <v>17</v>
      </c>
      <c r="M8" s="81" t="s">
        <v>178</v>
      </c>
      <c r="N8" s="82" t="n">
        <v>0</v>
      </c>
      <c r="O8" s="79" t="s">
        <v>164</v>
      </c>
      <c r="P8" s="79" t="s">
        <v>164</v>
      </c>
      <c r="Q8" s="79" t="s">
        <v>164</v>
      </c>
      <c r="R8" s="83" t="s">
        <v>179</v>
      </c>
    </row>
    <row r="9" customFormat="false" ht="30" hidden="false" customHeight="true" outlineLevel="0" collapsed="false">
      <c r="B9" s="62" t="s">
        <v>180</v>
      </c>
      <c r="C9" s="84" t="n">
        <v>9</v>
      </c>
      <c r="D9" s="78" t="s">
        <v>181</v>
      </c>
      <c r="F9" s="79" t="s">
        <v>182</v>
      </c>
      <c r="G9" s="80" t="s">
        <v>183</v>
      </c>
      <c r="J9" s="80" t="s">
        <v>184</v>
      </c>
      <c r="K9" s="80" t="s">
        <v>22</v>
      </c>
      <c r="M9" s="81" t="s">
        <v>185</v>
      </c>
      <c r="N9" s="82" t="n">
        <v>1</v>
      </c>
      <c r="O9" s="79" t="s">
        <v>164</v>
      </c>
      <c r="P9" s="79" t="s">
        <v>161</v>
      </c>
      <c r="Q9" s="79" t="s">
        <v>164</v>
      </c>
      <c r="R9" s="83" t="s">
        <v>186</v>
      </c>
    </row>
    <row r="10" customFormat="false" ht="27.75" hidden="false" customHeight="true" outlineLevel="0" collapsed="false">
      <c r="B10" s="62" t="s">
        <v>187</v>
      </c>
      <c r="C10" s="85" t="n">
        <f aca="false">DATE(cfg_FY,1,1)</f>
        <v>46023</v>
      </c>
      <c r="D10" s="78" t="s">
        <v>188</v>
      </c>
      <c r="F10" s="79" t="s">
        <v>189</v>
      </c>
      <c r="G10" s="80" t="s">
        <v>190</v>
      </c>
      <c r="J10" s="80" t="s">
        <v>191</v>
      </c>
      <c r="K10" s="80" t="s">
        <v>27</v>
      </c>
      <c r="M10" s="81" t="s">
        <v>192</v>
      </c>
      <c r="N10" s="82" t="n">
        <v>0.75</v>
      </c>
      <c r="O10" s="79" t="s">
        <v>164</v>
      </c>
      <c r="P10" s="79" t="s">
        <v>161</v>
      </c>
      <c r="Q10" s="79" t="s">
        <v>164</v>
      </c>
      <c r="R10" s="83" t="s">
        <v>193</v>
      </c>
    </row>
    <row r="11" customFormat="false" ht="27.75" hidden="false" customHeight="true" outlineLevel="0" collapsed="false">
      <c r="B11" s="62" t="s">
        <v>194</v>
      </c>
      <c r="C11" s="85" t="n">
        <f aca="false">EOMONTH(DATE(cfg_FY,cfg_VAL_M,1),0)</f>
        <v>46295</v>
      </c>
      <c r="D11" s="78" t="s">
        <v>188</v>
      </c>
      <c r="F11" s="79" t="s">
        <v>195</v>
      </c>
      <c r="J11" s="80" t="s">
        <v>196</v>
      </c>
      <c r="K11" s="80" t="s">
        <v>31</v>
      </c>
      <c r="M11" s="81" t="s">
        <v>197</v>
      </c>
      <c r="N11" s="82" t="n">
        <v>0</v>
      </c>
      <c r="O11" s="79" t="s">
        <v>164</v>
      </c>
      <c r="P11" s="79" t="s">
        <v>161</v>
      </c>
      <c r="Q11" s="79" t="s">
        <v>164</v>
      </c>
      <c r="R11" s="83" t="s">
        <v>198</v>
      </c>
    </row>
    <row r="12" customFormat="false" ht="27.75" hidden="false" customHeight="true" outlineLevel="0" collapsed="false">
      <c r="B12" s="20" t="s">
        <v>199</v>
      </c>
      <c r="C12" s="20"/>
      <c r="D12" s="20"/>
      <c r="F12" s="79" t="s">
        <v>200</v>
      </c>
      <c r="J12" s="80" t="s">
        <v>201</v>
      </c>
      <c r="K12" s="80" t="s">
        <v>8</v>
      </c>
      <c r="M12" s="81" t="s">
        <v>202</v>
      </c>
      <c r="N12" s="82" t="n">
        <v>1</v>
      </c>
      <c r="O12" s="79" t="s">
        <v>164</v>
      </c>
      <c r="P12" s="79" t="s">
        <v>161</v>
      </c>
      <c r="Q12" s="79" t="s">
        <v>164</v>
      </c>
      <c r="R12" s="83" t="s">
        <v>203</v>
      </c>
    </row>
    <row r="13" customFormat="false" ht="30" hidden="false" customHeight="true" outlineLevel="0" collapsed="false">
      <c r="B13" s="62" t="s">
        <v>204</v>
      </c>
      <c r="C13" s="84" t="n">
        <v>30</v>
      </c>
      <c r="D13" s="78" t="s">
        <v>205</v>
      </c>
      <c r="F13" s="79"/>
      <c r="J13" s="80" t="s">
        <v>206</v>
      </c>
      <c r="K13" s="80" t="s">
        <v>13</v>
      </c>
      <c r="M13" s="81" t="s">
        <v>207</v>
      </c>
      <c r="N13" s="82" t="n">
        <v>0</v>
      </c>
      <c r="O13" s="79" t="s">
        <v>164</v>
      </c>
      <c r="P13" s="79" t="s">
        <v>161</v>
      </c>
      <c r="Q13" s="79" t="s">
        <v>164</v>
      </c>
      <c r="R13" s="83" t="s">
        <v>208</v>
      </c>
    </row>
    <row r="14" customFormat="false" ht="27.75" hidden="false" customHeight="true" outlineLevel="0" collapsed="false">
      <c r="B14" s="62" t="s">
        <v>209</v>
      </c>
      <c r="C14" s="84" t="n">
        <v>8</v>
      </c>
      <c r="D14" s="78" t="s">
        <v>210</v>
      </c>
      <c r="F14" s="79"/>
      <c r="J14" s="80" t="s">
        <v>211</v>
      </c>
      <c r="K14" s="80" t="s">
        <v>18</v>
      </c>
      <c r="M14" s="81" t="s">
        <v>212</v>
      </c>
      <c r="N14" s="82" t="n">
        <v>0</v>
      </c>
      <c r="O14" s="79" t="s">
        <v>164</v>
      </c>
      <c r="P14" s="79" t="s">
        <v>164</v>
      </c>
      <c r="Q14" s="79" t="s">
        <v>164</v>
      </c>
      <c r="R14" s="83" t="s">
        <v>213</v>
      </c>
    </row>
    <row r="15" customFormat="false" ht="27.75" hidden="false" customHeight="true" outlineLevel="0" collapsed="false">
      <c r="B15" s="62" t="s">
        <v>214</v>
      </c>
      <c r="C15" s="86" t="n">
        <v>0.5</v>
      </c>
      <c r="D15" s="78" t="s">
        <v>215</v>
      </c>
      <c r="F15" s="79"/>
      <c r="J15" s="80" t="s">
        <v>216</v>
      </c>
      <c r="K15" s="80" t="s">
        <v>23</v>
      </c>
      <c r="M15" s="81" t="s">
        <v>217</v>
      </c>
      <c r="N15" s="82" t="n">
        <v>0</v>
      </c>
      <c r="O15" s="79" t="s">
        <v>164</v>
      </c>
      <c r="P15" s="79" t="s">
        <v>161</v>
      </c>
      <c r="Q15" s="79" t="s">
        <v>164</v>
      </c>
      <c r="R15" s="83" t="s">
        <v>218</v>
      </c>
    </row>
    <row r="16" customFormat="false" ht="27.75" hidden="false" customHeight="true" outlineLevel="0" collapsed="false">
      <c r="B16" s="20" t="s">
        <v>219</v>
      </c>
      <c r="C16" s="20"/>
      <c r="D16" s="20"/>
      <c r="F16" s="79"/>
      <c r="J16" s="80" t="s">
        <v>220</v>
      </c>
      <c r="K16" s="80" t="s">
        <v>28</v>
      </c>
      <c r="M16" s="81"/>
      <c r="N16" s="82"/>
      <c r="O16" s="79"/>
      <c r="P16" s="79"/>
      <c r="Q16" s="79"/>
      <c r="R16" s="83"/>
    </row>
    <row r="17" customFormat="false" ht="30" hidden="false" customHeight="true" outlineLevel="0" collapsed="false">
      <c r="B17" s="62" t="s">
        <v>221</v>
      </c>
      <c r="C17" s="86" t="n">
        <v>0.0975</v>
      </c>
      <c r="D17" s="78" t="s">
        <v>222</v>
      </c>
      <c r="F17" s="79"/>
      <c r="J17" s="80" t="s">
        <v>223</v>
      </c>
      <c r="K17" s="80" t="s">
        <v>32</v>
      </c>
      <c r="M17" s="81"/>
      <c r="N17" s="82"/>
      <c r="O17" s="79"/>
      <c r="P17" s="79"/>
      <c r="Q17" s="79"/>
      <c r="R17" s="83"/>
    </row>
    <row r="18" customFormat="false" ht="21.75" hidden="false" customHeight="true" outlineLevel="0" collapsed="false">
      <c r="B18" s="62" t="s">
        <v>224</v>
      </c>
      <c r="C18" s="86" t="n">
        <v>0.1175</v>
      </c>
      <c r="D18" s="78" t="s">
        <v>225</v>
      </c>
      <c r="F18" s="79"/>
    </row>
    <row r="19" customFormat="false" ht="30" hidden="false" customHeight="true" outlineLevel="0" collapsed="false">
      <c r="B19" s="62" t="s">
        <v>226</v>
      </c>
      <c r="C19" s="86" t="n">
        <v>0</v>
      </c>
      <c r="D19" s="78" t="s">
        <v>227</v>
      </c>
      <c r="F19" s="79"/>
      <c r="M19" s="24" t="s">
        <v>228</v>
      </c>
      <c r="N19" s="24"/>
      <c r="O19" s="24"/>
      <c r="P19" s="24"/>
      <c r="Q19" s="24"/>
      <c r="R19" s="24"/>
    </row>
    <row r="20" customFormat="false" ht="21.75" hidden="false" customHeight="true" outlineLevel="0" collapsed="false">
      <c r="B20" s="62" t="s">
        <v>229</v>
      </c>
      <c r="C20" s="86" t="n">
        <v>0.02</v>
      </c>
      <c r="D20" s="78" t="s">
        <v>230</v>
      </c>
      <c r="F20" s="79"/>
    </row>
    <row r="21" customFormat="false" ht="30" hidden="false" customHeight="true" outlineLevel="0" collapsed="false">
      <c r="B21" s="62" t="s">
        <v>231</v>
      </c>
      <c r="C21" s="87" t="n">
        <v>45000</v>
      </c>
      <c r="D21" s="78" t="s">
        <v>232</v>
      </c>
    </row>
    <row r="22" customFormat="false" ht="21.75" hidden="false" customHeight="true" outlineLevel="0" collapsed="false">
      <c r="B22" s="20" t="s">
        <v>233</v>
      </c>
      <c r="C22" s="20"/>
      <c r="D22" s="20"/>
    </row>
    <row r="23" customFormat="false" ht="21.75" hidden="false" customHeight="true" outlineLevel="0" collapsed="false">
      <c r="B23" s="62" t="s">
        <v>234</v>
      </c>
      <c r="C23" s="84" t="n">
        <v>5</v>
      </c>
      <c r="D23" s="78" t="s">
        <v>235</v>
      </c>
    </row>
    <row r="24" customFormat="false" ht="21.75" hidden="false" customHeight="true" outlineLevel="0" collapsed="false">
      <c r="B24" s="62" t="s">
        <v>236</v>
      </c>
      <c r="C24" s="88" t="n">
        <v>0.5</v>
      </c>
      <c r="D24" s="78"/>
    </row>
    <row r="25" customFormat="false" ht="21.75" hidden="false" customHeight="true" outlineLevel="0" collapsed="false">
      <c r="B25" s="62" t="s">
        <v>237</v>
      </c>
      <c r="C25" s="88" t="n">
        <v>1</v>
      </c>
      <c r="D25" s="78" t="s">
        <v>238</v>
      </c>
    </row>
    <row r="26" customFormat="false" ht="21.75" hidden="false" customHeight="true" outlineLevel="0" collapsed="false">
      <c r="B26" s="62" t="s">
        <v>239</v>
      </c>
      <c r="C26" s="77" t="s">
        <v>161</v>
      </c>
      <c r="D26" s="78" t="s">
        <v>240</v>
      </c>
    </row>
    <row r="27" customFormat="false" ht="21.75" hidden="false" customHeight="true" outlineLevel="0" collapsed="false">
      <c r="B27" s="62" t="s">
        <v>241</v>
      </c>
      <c r="C27" s="77" t="s">
        <v>161</v>
      </c>
      <c r="D27" s="78"/>
    </row>
    <row r="28" customFormat="false" ht="21.75" hidden="false" customHeight="true" outlineLevel="0" collapsed="false">
      <c r="B28" s="62" t="s">
        <v>242</v>
      </c>
      <c r="C28" s="77" t="s">
        <v>164</v>
      </c>
      <c r="D28" s="78"/>
    </row>
    <row r="29" customFormat="false" ht="21.75" hidden="false" customHeight="true" outlineLevel="0" collapsed="false">
      <c r="B29" s="20" t="s">
        <v>243</v>
      </c>
      <c r="C29" s="20"/>
      <c r="D29" s="20"/>
    </row>
    <row r="30" customFormat="false" ht="21.75" hidden="false" customHeight="true" outlineLevel="0" collapsed="false">
      <c r="B30" s="62" t="s">
        <v>244</v>
      </c>
      <c r="C30" s="84" t="n">
        <v>21</v>
      </c>
      <c r="D30" s="78" t="s">
        <v>245</v>
      </c>
    </row>
    <row r="31" customFormat="false" ht="21.75" hidden="false" customHeight="true" outlineLevel="0" collapsed="false">
      <c r="B31" s="62" t="s">
        <v>246</v>
      </c>
      <c r="C31" s="84" t="n">
        <v>30</v>
      </c>
      <c r="D31" s="78" t="s">
        <v>247</v>
      </c>
    </row>
    <row r="32" customFormat="false" ht="21.75" hidden="false" customHeight="true" outlineLevel="0" collapsed="false">
      <c r="B32" s="62" t="s">
        <v>248</v>
      </c>
      <c r="C32" s="84" t="n">
        <v>5</v>
      </c>
      <c r="D32" s="78"/>
    </row>
    <row r="33" customFormat="false" ht="21.75" hidden="false" customHeight="true" outlineLevel="0" collapsed="false">
      <c r="B33" s="62" t="s">
        <v>249</v>
      </c>
      <c r="C33" s="77" t="s">
        <v>161</v>
      </c>
      <c r="D33" s="78"/>
    </row>
    <row r="34" customFormat="false" ht="21.75" hidden="false" customHeight="true" outlineLevel="0" collapsed="false">
      <c r="B34" s="62" t="s">
        <v>250</v>
      </c>
      <c r="C34" s="77" t="s">
        <v>161</v>
      </c>
      <c r="D34" s="78"/>
    </row>
    <row r="35" customFormat="false" ht="21.75" hidden="false" customHeight="true" outlineLevel="0" collapsed="false">
      <c r="B35" s="62" t="s">
        <v>251</v>
      </c>
      <c r="C35" s="77" t="s">
        <v>164</v>
      </c>
      <c r="D35" s="78"/>
    </row>
    <row r="36" customFormat="false" ht="21.75" hidden="false" customHeight="true" outlineLevel="0" collapsed="false">
      <c r="B36" s="62" t="s">
        <v>252</v>
      </c>
      <c r="C36" s="84" t="n">
        <v>365</v>
      </c>
      <c r="D36" s="78"/>
    </row>
    <row r="37" customFormat="false" ht="21.75" hidden="false" customHeight="true" outlineLevel="0" collapsed="false">
      <c r="B37" s="20" t="s">
        <v>253</v>
      </c>
      <c r="C37" s="20"/>
      <c r="D37" s="20"/>
    </row>
    <row r="38" customFormat="false" ht="24" hidden="false" customHeight="true" outlineLevel="0" collapsed="false">
      <c r="B38" s="6" t="s">
        <v>254</v>
      </c>
      <c r="C38" s="6" t="s">
        <v>255</v>
      </c>
      <c r="D38" s="6" t="s">
        <v>155</v>
      </c>
    </row>
    <row r="39" customFormat="false" ht="15" hidden="false" customHeight="false" outlineLevel="0" collapsed="false">
      <c r="B39" s="89" t="n">
        <v>0</v>
      </c>
      <c r="C39" s="90" t="n">
        <v>0</v>
      </c>
      <c r="D39" s="91" t="s">
        <v>256</v>
      </c>
    </row>
    <row r="40" customFormat="false" ht="15" hidden="false" customHeight="false" outlineLevel="0" collapsed="false">
      <c r="B40" s="89" t="n">
        <v>2</v>
      </c>
      <c r="C40" s="90" t="n">
        <f aca="false">1/3</f>
        <v>0.333333333333333</v>
      </c>
      <c r="D40" s="91" t="s">
        <v>257</v>
      </c>
    </row>
    <row r="41" customFormat="false" ht="15" hidden="false" customHeight="false" outlineLevel="0" collapsed="false">
      <c r="B41" s="89" t="n">
        <v>5</v>
      </c>
      <c r="C41" s="90" t="n">
        <f aca="false">2/3</f>
        <v>0.666666666666667</v>
      </c>
      <c r="D41" s="91" t="s">
        <v>258</v>
      </c>
    </row>
    <row r="42" customFormat="false" ht="15" hidden="false" customHeight="false" outlineLevel="0" collapsed="false">
      <c r="B42" s="89" t="n">
        <v>10</v>
      </c>
      <c r="C42" s="90" t="n">
        <v>1</v>
      </c>
      <c r="D42" s="91" t="s">
        <v>259</v>
      </c>
    </row>
    <row r="44" customFormat="false" ht="21.75" hidden="false" customHeight="true" outlineLevel="0" collapsed="false">
      <c r="B44" s="45" t="s">
        <v>260</v>
      </c>
      <c r="C44" s="45"/>
      <c r="D44" s="45"/>
    </row>
    <row r="45" customFormat="false" ht="30" hidden="false" customHeight="true" outlineLevel="0" collapsed="false">
      <c r="B45" s="62" t="s">
        <v>261</v>
      </c>
      <c r="C45" s="87" t="n">
        <v>650</v>
      </c>
      <c r="D45" s="78" t="s">
        <v>262</v>
      </c>
    </row>
    <row r="46" customFormat="false" ht="30" hidden="false" customHeight="true" outlineLevel="0" collapsed="false">
      <c r="B46" s="62" t="s">
        <v>263</v>
      </c>
      <c r="C46" s="87" t="n">
        <v>9600</v>
      </c>
      <c r="D46" s="78" t="s">
        <v>264</v>
      </c>
    </row>
    <row r="47" customFormat="false" ht="21.75" hidden="false" customHeight="true" outlineLevel="0" collapsed="false">
      <c r="B47" s="62" t="s">
        <v>265</v>
      </c>
      <c r="C47" s="87" t="n">
        <v>0</v>
      </c>
      <c r="D47" s="78" t="s">
        <v>266</v>
      </c>
    </row>
    <row r="48" customFormat="false" ht="30" hidden="false" customHeight="true" outlineLevel="0" collapsed="false">
      <c r="B48" s="62" t="s">
        <v>267</v>
      </c>
      <c r="C48" s="92" t="n">
        <f aca="true">TODAY()</f>
        <v>46294</v>
      </c>
      <c r="D48" s="78" t="s">
        <v>268</v>
      </c>
    </row>
    <row r="49" customFormat="false" ht="21.75" hidden="false" customHeight="true" outlineLevel="0" collapsed="false">
      <c r="B49" s="62" t="s">
        <v>269</v>
      </c>
      <c r="C49" s="84" t="n">
        <v>60</v>
      </c>
      <c r="D49" s="78"/>
    </row>
    <row r="51" customFormat="false" ht="33.75" hidden="false" customHeight="true" outlineLevel="0" collapsed="false">
      <c r="B51" s="24" t="s">
        <v>270</v>
      </c>
      <c r="C51" s="24"/>
      <c r="D51" s="24"/>
    </row>
  </sheetData>
  <mergeCells count="10">
    <mergeCell ref="B1:K1"/>
    <mergeCell ref="B2:K2"/>
    <mergeCell ref="B12:D12"/>
    <mergeCell ref="B16:D16"/>
    <mergeCell ref="M19:R19"/>
    <mergeCell ref="B22:D22"/>
    <mergeCell ref="B29:D29"/>
    <mergeCell ref="B37:D37"/>
    <mergeCell ref="B44:D44"/>
    <mergeCell ref="B51:D51"/>
  </mergeCells>
  <dataValidations count="5">
    <dataValidation allowBlank="true" error="من فضلك اختر قيمة من القائمة المنسدلة." errorStyle="stop" errorTitle="قيمة غير مسموحة" operator="between" showDropDown="false" showErrorMessage="true" showInputMessage="false" sqref="C26:C28" type="list">
      <formula1>L_YN</formula1>
      <formula2>0</formula2>
    </dataValidation>
    <dataValidation allowBlank="true" error="من فضلك اختر قيمة من القائمة المنسدلة." errorStyle="stop" errorTitle="قيمة غير مسموحة" operator="between" showDropDown="false" showErrorMessage="true" showInputMessage="false" sqref="C33:C35" type="list">
      <formula1>L_YN</formula1>
      <formula2>0</formula2>
    </dataValidation>
    <dataValidation allowBlank="true" error="شهر التقرير من 1 إلى 12" errorStyle="stop" errorTitle="قيمة غير صحيحة" operator="between" showDropDown="false" showErrorMessage="true" showInputMessage="false" sqref="C9" type="whole">
      <formula1>1</formula1>
      <formula2>12</formula2>
    </dataValidation>
    <dataValidation allowBlank="true" error="القيمة المدخلة خارج النطاق المسموح." errorStyle="stop" errorTitle="قيمة غير صحيحة" operator="between" showDropDown="false" showErrorMessage="true" showInputMessage="false" sqref="C7" type="whole">
      <formula1>2000</formula1>
      <formula2>2100</formula2>
    </dataValidation>
    <dataValidation allowBlank="true" error="من فضلك اختر قيمة من القائمة المنسدلة." errorStyle="stop" errorTitle="قيمة غير مسموحة" operator="between" showDropDown="false" showErrorMessage="true" showInputMessage="false" sqref="O6:Q17" type="list">
      <formula1>L_YN</formula1>
      <formula2>0</formula2>
    </dataValidation>
  </dataValidations>
  <hyperlinks>
    <hyperlink ref="B3" location="'الرئيسية'!A1" display="🏠 الرئيسية"/>
    <hyperlink ref="C3" location="'لوحة التحكم'!A1" display="📊 لوحة التحكم"/>
    <hyperlink ref="D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 ref="K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AK106"/>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26"/>
    <col collapsed="false" customWidth="true" hidden="false" outlineLevel="0" max="4" min="4" style="0" width="11"/>
    <col collapsed="false" customWidth="true" hidden="false" outlineLevel="0" max="5" min="5" style="0" width="12"/>
    <col collapsed="false" customWidth="true" hidden="false" outlineLevel="0" max="6" min="6" style="0" width="16"/>
    <col collapsed="false" customWidth="true" hidden="false" outlineLevel="0" max="7" min="7" style="0" width="18"/>
    <col collapsed="false" customWidth="true" hidden="false" outlineLevel="0" max="8" min="8" style="0" width="12"/>
    <col collapsed="false" customWidth="true" hidden="false" outlineLevel="0" max="9" min="9" style="0" width="13"/>
    <col collapsed="false" customWidth="true" hidden="false" outlineLevel="0" max="11" min="10" style="0" width="12"/>
    <col collapsed="false" customWidth="true" hidden="false" outlineLevel="0" max="12" min="12" style="0" width="13"/>
    <col collapsed="false" customWidth="true" hidden="false" outlineLevel="0" max="13" min="13" style="0" width="12"/>
    <col collapsed="false" customWidth="true" hidden="false" outlineLevel="0" max="15" min="14" style="0" width="11"/>
    <col collapsed="false" customWidth="true" hidden="false" outlineLevel="0" max="17" min="16" style="0" width="14"/>
    <col collapsed="false" customWidth="true" hidden="false" outlineLevel="0" max="20" min="18" style="0" width="13"/>
    <col collapsed="false" customWidth="true" hidden="false" outlineLevel="0" max="21" min="21" style="0" width="10"/>
    <col collapsed="false" customWidth="true" hidden="false" outlineLevel="0" max="22" min="22" style="0" width="13"/>
    <col collapsed="false" customWidth="true" hidden="false" outlineLevel="0" max="23" min="23" style="0" width="10"/>
    <col collapsed="false" customWidth="true" hidden="false" outlineLevel="0" max="24" min="24" style="0" width="13"/>
    <col collapsed="false" customWidth="true" hidden="false" outlineLevel="0" max="25" min="25" style="0" width="14"/>
    <col collapsed="false" customWidth="true" hidden="false" outlineLevel="0" max="26" min="26" style="0" width="13"/>
    <col collapsed="false" customWidth="true" hidden="false" outlineLevel="0" max="28" min="27" style="0" width="15"/>
    <col collapsed="false" customWidth="true" hidden="false" outlineLevel="0" max="29" min="29" style="0" width="12"/>
    <col collapsed="false" customWidth="true" hidden="false" outlineLevel="0" max="30" min="30" style="0" width="13"/>
    <col collapsed="false" customWidth="true" hidden="false" outlineLevel="0" max="31" min="31" style="0" width="12"/>
    <col collapsed="false" customWidth="true" hidden="false" outlineLevel="0" max="32" min="32" style="0" width="16"/>
    <col collapsed="false" customWidth="true" hidden="false" outlineLevel="0" max="33" min="33" style="0" width="15"/>
    <col collapsed="false" customWidth="true" hidden="false" outlineLevel="0" max="34" min="34" style="0" width="20"/>
    <col collapsed="false" customWidth="true" hidden="false" outlineLevel="0" max="35" min="35" style="0" width="10"/>
    <col collapsed="false" customWidth="true" hidden="false" outlineLevel="0" max="36" min="36" style="0" width="27"/>
    <col collapsed="false" customWidth="true" hidden="false" outlineLevel="0" max="37" min="37" style="0" width="24"/>
  </cols>
  <sheetData>
    <row r="1" customFormat="false" ht="37.5" hidden="false" customHeight="true" outlineLevel="0" collapsed="false">
      <c r="A1" s="1" t="s">
        <v>271</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row>
    <row r="3" customFormat="false" ht="25.5" hidden="false" customHeight="true" outlineLevel="0" collapsed="false">
      <c r="B3" s="25" t="s">
        <v>80</v>
      </c>
      <c r="C3" s="12" t="s">
        <v>138</v>
      </c>
      <c r="E3" s="26" t="s">
        <v>81</v>
      </c>
      <c r="F3" s="27" t="s">
        <v>83</v>
      </c>
      <c r="G3" s="26" t="s">
        <v>84</v>
      </c>
      <c r="H3" s="28" t="s">
        <v>85</v>
      </c>
      <c r="J3" s="26" t="s">
        <v>39</v>
      </c>
      <c r="L3" s="26" t="s">
        <v>139</v>
      </c>
      <c r="M3" s="26" t="s">
        <v>140</v>
      </c>
    </row>
    <row r="4" customFormat="false" ht="7.5" hidden="false" customHeight="true" outlineLevel="0" collapsed="false"/>
    <row r="5" customFormat="false" ht="66" hidden="false" customHeight="true" outlineLevel="0" collapsed="false">
      <c r="A5" s="6" t="s">
        <v>272</v>
      </c>
      <c r="B5" s="6" t="s">
        <v>273</v>
      </c>
      <c r="C5" s="6" t="s">
        <v>274</v>
      </c>
      <c r="D5" s="6" t="s">
        <v>275</v>
      </c>
      <c r="E5" s="6" t="s">
        <v>147</v>
      </c>
      <c r="F5" s="6" t="s">
        <v>122</v>
      </c>
      <c r="G5" s="6" t="s">
        <v>276</v>
      </c>
      <c r="H5" s="6" t="s">
        <v>277</v>
      </c>
      <c r="I5" s="6" t="s">
        <v>278</v>
      </c>
      <c r="J5" s="6" t="s">
        <v>279</v>
      </c>
      <c r="K5" s="6" t="s">
        <v>280</v>
      </c>
      <c r="L5" s="6" t="s">
        <v>281</v>
      </c>
      <c r="M5" s="6" t="s">
        <v>282</v>
      </c>
      <c r="N5" s="6" t="s">
        <v>283</v>
      </c>
      <c r="O5" s="6" t="s">
        <v>284</v>
      </c>
      <c r="P5" s="6" t="s">
        <v>285</v>
      </c>
      <c r="Q5" s="6" t="s">
        <v>286</v>
      </c>
      <c r="R5" s="6" t="s">
        <v>287</v>
      </c>
      <c r="S5" s="6" t="s">
        <v>288</v>
      </c>
      <c r="T5" s="6" t="s">
        <v>289</v>
      </c>
      <c r="U5" s="6" t="s">
        <v>290</v>
      </c>
      <c r="V5" s="6" t="s">
        <v>291</v>
      </c>
      <c r="W5" s="6" t="s">
        <v>292</v>
      </c>
      <c r="X5" s="6" t="s">
        <v>293</v>
      </c>
      <c r="Y5" s="6" t="s">
        <v>294</v>
      </c>
      <c r="Z5" s="6" t="s">
        <v>295</v>
      </c>
      <c r="AA5" s="6" t="s">
        <v>296</v>
      </c>
      <c r="AB5" s="6" t="s">
        <v>297</v>
      </c>
      <c r="AC5" s="6" t="s">
        <v>298</v>
      </c>
      <c r="AD5" s="6" t="s">
        <v>299</v>
      </c>
      <c r="AE5" s="6" t="s">
        <v>300</v>
      </c>
      <c r="AF5" s="6" t="s">
        <v>301</v>
      </c>
      <c r="AG5" s="6" t="s">
        <v>302</v>
      </c>
      <c r="AH5" s="6" t="s">
        <v>303</v>
      </c>
      <c r="AI5" s="6" t="s">
        <v>304</v>
      </c>
      <c r="AJ5" s="6" t="s">
        <v>305</v>
      </c>
      <c r="AK5" s="6" t="s">
        <v>306</v>
      </c>
    </row>
    <row r="6" customFormat="false" ht="15" hidden="false" customHeight="false" outlineLevel="0" collapsed="false">
      <c r="A6" s="93" t="n">
        <f aca="false">IF(B6="","",ROW()-5)</f>
        <v>1</v>
      </c>
      <c r="B6" s="79" t="s">
        <v>307</v>
      </c>
      <c r="C6" s="79" t="s">
        <v>308</v>
      </c>
      <c r="D6" s="79" t="s">
        <v>113</v>
      </c>
      <c r="E6" s="79" t="s">
        <v>113</v>
      </c>
      <c r="F6" s="79" t="s">
        <v>159</v>
      </c>
      <c r="G6" s="79" t="s">
        <v>309</v>
      </c>
      <c r="H6" s="94" t="n">
        <v>40923</v>
      </c>
      <c r="I6" s="95" t="s">
        <v>310</v>
      </c>
      <c r="J6" s="94" t="n">
        <v>47248</v>
      </c>
      <c r="K6" s="94"/>
      <c r="L6" s="96" t="n">
        <v>28000</v>
      </c>
      <c r="M6" s="96" t="n">
        <v>7000</v>
      </c>
      <c r="N6" s="96" t="n">
        <v>2800</v>
      </c>
      <c r="O6" s="96" t="n">
        <v>3000</v>
      </c>
      <c r="P6" s="97" t="n">
        <f aca="false">IF(B6="","",SUM(L6:O6))</f>
        <v>40800</v>
      </c>
      <c r="Q6" s="97" t="n">
        <f aca="false">IF(B6="","",L6+IF(cfg_EOS_H="نعم",M6,0)+IF(cfg_EOS_T="نعم",N6,0)+IF(cfg_EOS_O="نعم",O6,0))</f>
        <v>37800</v>
      </c>
      <c r="R6" s="97" t="n">
        <f aca="false">IF(B6="","",L6+IF(cfg_LV_H="نعم",M6,0)+IF(cfg_LV_T="نعم",N6,0)+IF(cfg_LV_O="نعم",O6,0))</f>
        <v>37800</v>
      </c>
      <c r="S6" s="97" t="n">
        <f aca="false">IF(B6="","",MIN(cfg_G_CAP,L6+M6))</f>
        <v>35000</v>
      </c>
      <c r="T6" s="98"/>
      <c r="U6" s="79" t="s">
        <v>164</v>
      </c>
      <c r="V6" s="96" t="n">
        <v>0</v>
      </c>
      <c r="W6" s="98" t="n">
        <v>12</v>
      </c>
      <c r="X6" s="96"/>
      <c r="Y6" s="96"/>
      <c r="Z6" s="96" t="n">
        <v>4800</v>
      </c>
      <c r="AA6" s="96"/>
      <c r="AB6" s="97" t="n">
        <f aca="false">IF(B6="","",IF(X6&lt;&gt;"",X6,IF(E6="غير سعودي",cfg_IQ,0))+IF(Y6&lt;&gt;"",Y6,IF(E6="غير سعودي",cfg_WP,0))+IF(Z6&lt;&gt;"",Z6,cfg_MED)+N(AA6))</f>
        <v>4800</v>
      </c>
      <c r="AC6" s="99" t="n">
        <v>18</v>
      </c>
      <c r="AD6" s="96" t="n">
        <v>0</v>
      </c>
      <c r="AE6" s="94"/>
      <c r="AF6" s="79"/>
      <c r="AG6" s="80" t="str">
        <f aca="false">IF(B6="","",IF(AND(AE6&lt;&gt;"",AE6&lt;=cfg_VAL_DATE),"✖ منتهي الخدمة",IF(H6&gt;cfg_VAL_DATE,"⏳ لم يباشر بعد","✔ على رأس العمل")))</f>
        <v>✔ على رأس العمل</v>
      </c>
      <c r="AH6" s="80" t="str">
        <f aca="false">IF(B6="","",IF(AG6&lt;&gt;"✔ على رأس العمل",AG6,IF(COUNTIFS('سجل الإجازات والحالات'!$B$6:$B$505,B6,'سجل الإجازات والحالات'!$E$6:$E$505,"&lt;="&amp;cfg_VAL_DATE,'سجل الإجازات والحالات'!$F$6:$F$505,"&gt;="&amp;cfg_VAL_DATE)&gt;0,"✈ "&amp;INDEX('سجل الإجازات والحالات'!$D$6:$D$505,MATCH(1,INDEX(('سجل الإجازات والحالات'!$B$6:$B$505=B6)*('سجل الإجازات والحالات'!$E$6:$E$505&lt;=cfg_VAL_DATE)*('سجل الإجازات والحالات'!$F$6:$F$505&gt;=cfg_VAL_DATE),0),0)),"✔ على رأس العمل")))</f>
        <v>✔ على رأس العمل</v>
      </c>
      <c r="AI6" s="79" t="s">
        <v>311</v>
      </c>
      <c r="AJ6" s="79" t="s">
        <v>312</v>
      </c>
      <c r="AK6" s="79"/>
    </row>
    <row r="7" customFormat="false" ht="15" hidden="false" customHeight="false" outlineLevel="0" collapsed="false">
      <c r="A7" s="100" t="n">
        <f aca="false">IF(B7="","",ROW()-5)</f>
        <v>2</v>
      </c>
      <c r="B7" s="79" t="s">
        <v>313</v>
      </c>
      <c r="C7" s="79" t="s">
        <v>314</v>
      </c>
      <c r="D7" s="79" t="s">
        <v>113</v>
      </c>
      <c r="E7" s="79" t="s">
        <v>113</v>
      </c>
      <c r="F7" s="79" t="s">
        <v>168</v>
      </c>
      <c r="G7" s="79" t="s">
        <v>315</v>
      </c>
      <c r="H7" s="94" t="n">
        <v>42522</v>
      </c>
      <c r="I7" s="95" t="s">
        <v>316</v>
      </c>
      <c r="J7" s="94" t="n">
        <v>46786</v>
      </c>
      <c r="K7" s="94"/>
      <c r="L7" s="96" t="n">
        <v>18000</v>
      </c>
      <c r="M7" s="96" t="n">
        <v>4500</v>
      </c>
      <c r="N7" s="96" t="n">
        <v>1800</v>
      </c>
      <c r="O7" s="96" t="n">
        <v>1000</v>
      </c>
      <c r="P7" s="101" t="n">
        <f aca="false">IF(B7="","",SUM(L7:O7))</f>
        <v>25300</v>
      </c>
      <c r="Q7" s="101" t="n">
        <f aca="false">IF(B7="","",L7+IF(cfg_EOS_H="نعم",M7,0)+IF(cfg_EOS_T="نعم",N7,0)+IF(cfg_EOS_O="نعم",O7,0))</f>
        <v>24300</v>
      </c>
      <c r="R7" s="101" t="n">
        <f aca="false">IF(B7="","",L7+IF(cfg_LV_H="نعم",M7,0)+IF(cfg_LV_T="نعم",N7,0)+IF(cfg_LV_O="نعم",O7,0))</f>
        <v>24300</v>
      </c>
      <c r="S7" s="101" t="n">
        <f aca="false">IF(B7="","",MIN(cfg_G_CAP,L7+M7))</f>
        <v>22500</v>
      </c>
      <c r="T7" s="98"/>
      <c r="U7" s="79" t="s">
        <v>164</v>
      </c>
      <c r="V7" s="96" t="n">
        <v>0</v>
      </c>
      <c r="W7" s="98" t="n">
        <v>12</v>
      </c>
      <c r="X7" s="96"/>
      <c r="Y7" s="96"/>
      <c r="Z7" s="96" t="n">
        <v>3600</v>
      </c>
      <c r="AA7" s="96"/>
      <c r="AB7" s="101" t="n">
        <f aca="false">IF(B7="","",IF(X7&lt;&gt;"",X7,IF(E7="غير سعودي",cfg_IQ,0))+IF(Y7&lt;&gt;"",Y7,IF(E7="غير سعودي",cfg_WP,0))+IF(Z7&lt;&gt;"",Z7,cfg_MED)+N(AA7))</f>
        <v>3600</v>
      </c>
      <c r="AC7" s="99" t="n">
        <v>12</v>
      </c>
      <c r="AD7" s="96" t="n">
        <v>0</v>
      </c>
      <c r="AE7" s="94"/>
      <c r="AF7" s="79"/>
      <c r="AG7" s="102" t="str">
        <f aca="false">IF(B7="","",IF(AND(AE7&lt;&gt;"",AE7&lt;=cfg_VAL_DATE),"✖ منتهي الخدمة",IF(H7&gt;cfg_VAL_DATE,"⏳ لم يباشر بعد","✔ على رأس العمل")))</f>
        <v>✔ على رأس العمل</v>
      </c>
      <c r="AH7" s="102" t="str">
        <f aca="false">IF(B7="","",IF(AG7&lt;&gt;"✔ على رأس العمل",AG7,IF(COUNTIFS('سجل الإجازات والحالات'!$B$6:$B$505,B7,'سجل الإجازات والحالات'!$E$6:$E$505,"&lt;="&amp;cfg_VAL_DATE,'سجل الإجازات والحالات'!$F$6:$F$505,"&gt;="&amp;cfg_VAL_DATE)&gt;0,"✈ "&amp;INDEX('سجل الإجازات والحالات'!$D$6:$D$505,MATCH(1,INDEX(('سجل الإجازات والحالات'!$B$6:$B$505=B7)*('سجل الإجازات والحالات'!$E$6:$E$505&lt;=cfg_VAL_DATE)*('سجل الإجازات والحالات'!$F$6:$F$505&gt;=cfg_VAL_DATE),0),0)),"✔ على رأس العمل")))</f>
        <v>✔ على رأس العمل</v>
      </c>
      <c r="AI7" s="79" t="s">
        <v>317</v>
      </c>
      <c r="AJ7" s="79" t="s">
        <v>318</v>
      </c>
      <c r="AK7" s="79"/>
    </row>
    <row r="8" customFormat="false" ht="15" hidden="false" customHeight="false" outlineLevel="0" collapsed="false">
      <c r="A8" s="93" t="n">
        <f aca="false">IF(B8="","",ROW()-5)</f>
        <v>3</v>
      </c>
      <c r="B8" s="79" t="s">
        <v>319</v>
      </c>
      <c r="C8" s="79" t="s">
        <v>320</v>
      </c>
      <c r="D8" s="79" t="s">
        <v>321</v>
      </c>
      <c r="E8" s="79" t="s">
        <v>115</v>
      </c>
      <c r="F8" s="79" t="s">
        <v>168</v>
      </c>
      <c r="G8" s="79" t="s">
        <v>322</v>
      </c>
      <c r="H8" s="94" t="n">
        <v>43353</v>
      </c>
      <c r="I8" s="95" t="s">
        <v>323</v>
      </c>
      <c r="J8" s="94" t="n">
        <v>46346</v>
      </c>
      <c r="K8" s="94" t="n">
        <v>46346</v>
      </c>
      <c r="L8" s="96" t="n">
        <v>8500</v>
      </c>
      <c r="M8" s="96" t="n">
        <v>2125</v>
      </c>
      <c r="N8" s="96" t="n">
        <v>850</v>
      </c>
      <c r="O8" s="96" t="n">
        <v>500</v>
      </c>
      <c r="P8" s="97" t="n">
        <f aca="false">IF(B8="","",SUM(L8:O8))</f>
        <v>11975</v>
      </c>
      <c r="Q8" s="97" t="n">
        <f aca="false">IF(B8="","",L8+IF(cfg_EOS_H="نعم",M8,0)+IF(cfg_EOS_T="نعم",N8,0)+IF(cfg_EOS_O="نعم",O8,0))</f>
        <v>11475</v>
      </c>
      <c r="R8" s="97" t="n">
        <f aca="false">IF(B8="","",L8+IF(cfg_LV_H="نعم",M8,0)+IF(cfg_LV_T="نعم",N8,0)+IF(cfg_LV_O="نعم",O8,0))</f>
        <v>11475</v>
      </c>
      <c r="S8" s="97" t="n">
        <f aca="false">IF(B8="","",MIN(cfg_G_CAP,L8+M8))</f>
        <v>10625</v>
      </c>
      <c r="T8" s="98"/>
      <c r="U8" s="79" t="s">
        <v>161</v>
      </c>
      <c r="V8" s="96" t="n">
        <v>3200</v>
      </c>
      <c r="W8" s="98" t="n">
        <v>24</v>
      </c>
      <c r="X8" s="96"/>
      <c r="Y8" s="96"/>
      <c r="Z8" s="96" t="n">
        <v>2400</v>
      </c>
      <c r="AA8" s="96"/>
      <c r="AB8" s="97" t="n">
        <f aca="false">IF(B8="","",IF(X8&lt;&gt;"",X8,IF(E8="غير سعودي",cfg_IQ,0))+IF(Y8&lt;&gt;"",Y8,IF(E8="غير سعودي",cfg_WP,0))+IF(Z8&lt;&gt;"",Z8,cfg_MED)+N(AA8))</f>
        <v>12650</v>
      </c>
      <c r="AC8" s="99" t="n">
        <v>20</v>
      </c>
      <c r="AD8" s="96" t="n">
        <v>1600</v>
      </c>
      <c r="AE8" s="94"/>
      <c r="AF8" s="79"/>
      <c r="AG8" s="80" t="str">
        <f aca="false">IF(B8="","",IF(AND(AE8&lt;&gt;"",AE8&lt;=cfg_VAL_DATE),"✖ منتهي الخدمة",IF(H8&gt;cfg_VAL_DATE,"⏳ لم يباشر بعد","✔ على رأس العمل")))</f>
        <v>✔ على رأس العمل</v>
      </c>
      <c r="AH8" s="80" t="str">
        <f aca="false">IF(B8="","",IF(AG8&lt;&gt;"✔ على رأس العمل",AG8,IF(COUNTIFS('سجل الإجازات والحالات'!$B$6:$B$505,B8,'سجل الإجازات والحالات'!$E$6:$E$505,"&lt;="&amp;cfg_VAL_DATE,'سجل الإجازات والحالات'!$F$6:$F$505,"&gt;="&amp;cfg_VAL_DATE)&gt;0,"✈ "&amp;INDEX('سجل الإجازات والحالات'!$D$6:$D$505,MATCH(1,INDEX(('سجل الإجازات والحالات'!$B$6:$B$505=B8)*('سجل الإجازات والحالات'!$E$6:$E$505&lt;=cfg_VAL_DATE)*('سجل الإجازات والحالات'!$F$6:$F$505&gt;=cfg_VAL_DATE),0),0)),"✔ على رأس العمل")))</f>
        <v>✔ على رأس العمل</v>
      </c>
      <c r="AI8" s="79" t="s">
        <v>311</v>
      </c>
      <c r="AJ8" s="79" t="s">
        <v>324</v>
      </c>
      <c r="AK8" s="79"/>
    </row>
    <row r="9" customFormat="false" ht="15" hidden="false" customHeight="false" outlineLevel="0" collapsed="false">
      <c r="A9" s="100" t="n">
        <f aca="false">IF(B9="","",ROW()-5)</f>
        <v>4</v>
      </c>
      <c r="B9" s="79" t="s">
        <v>325</v>
      </c>
      <c r="C9" s="79" t="s">
        <v>326</v>
      </c>
      <c r="D9" s="79" t="s">
        <v>327</v>
      </c>
      <c r="E9" s="79" t="s">
        <v>113</v>
      </c>
      <c r="F9" s="79" t="s">
        <v>175</v>
      </c>
      <c r="G9" s="79" t="s">
        <v>328</v>
      </c>
      <c r="H9" s="94" t="n">
        <v>43497</v>
      </c>
      <c r="I9" s="95" t="s">
        <v>329</v>
      </c>
      <c r="J9" s="94" t="n">
        <v>47678</v>
      </c>
      <c r="K9" s="94"/>
      <c r="L9" s="96" t="n">
        <v>14000</v>
      </c>
      <c r="M9" s="96" t="n">
        <v>3500</v>
      </c>
      <c r="N9" s="96" t="n">
        <v>1400</v>
      </c>
      <c r="O9" s="96" t="n">
        <v>0</v>
      </c>
      <c r="P9" s="101" t="n">
        <f aca="false">IF(B9="","",SUM(L9:O9))</f>
        <v>18900</v>
      </c>
      <c r="Q9" s="101" t="n">
        <f aca="false">IF(B9="","",L9+IF(cfg_EOS_H="نعم",M9,0)+IF(cfg_EOS_T="نعم",N9,0)+IF(cfg_EOS_O="نعم",O9,0))</f>
        <v>18900</v>
      </c>
      <c r="R9" s="101" t="n">
        <f aca="false">IF(B9="","",L9+IF(cfg_LV_H="نعم",M9,0)+IF(cfg_LV_T="نعم",N9,0)+IF(cfg_LV_O="نعم",O9,0))</f>
        <v>18900</v>
      </c>
      <c r="S9" s="101" t="n">
        <f aca="false">IF(B9="","",MIN(cfg_G_CAP,L9+M9))</f>
        <v>17500</v>
      </c>
      <c r="T9" s="98"/>
      <c r="U9" s="79" t="s">
        <v>164</v>
      </c>
      <c r="V9" s="96" t="n">
        <v>0</v>
      </c>
      <c r="W9" s="98" t="n">
        <v>12</v>
      </c>
      <c r="X9" s="96"/>
      <c r="Y9" s="96"/>
      <c r="Z9" s="96" t="n">
        <v>3600</v>
      </c>
      <c r="AA9" s="96"/>
      <c r="AB9" s="101" t="n">
        <f aca="false">IF(B9="","",IF(X9&lt;&gt;"",X9,IF(E9="غير سعودي",cfg_IQ,0))+IF(Y9&lt;&gt;"",Y9,IF(E9="غير سعودي",cfg_WP,0))+IF(Z9&lt;&gt;"",Z9,cfg_MED)+N(AA9))</f>
        <v>3600</v>
      </c>
      <c r="AC9" s="99" t="n">
        <v>9</v>
      </c>
      <c r="AD9" s="96" t="n">
        <v>0</v>
      </c>
      <c r="AE9" s="94"/>
      <c r="AF9" s="79"/>
      <c r="AG9" s="102" t="str">
        <f aca="false">IF(B9="","",IF(AND(AE9&lt;&gt;"",AE9&lt;=cfg_VAL_DATE),"✖ منتهي الخدمة",IF(H9&gt;cfg_VAL_DATE,"⏳ لم يباشر بعد","✔ على رأس العمل")))</f>
        <v>✔ على رأس العمل</v>
      </c>
      <c r="AH9" s="102" t="str">
        <f aca="false">IF(B9="","",IF(AG9&lt;&gt;"✔ على رأس العمل",AG9,IF(COUNTIFS('سجل الإجازات والحالات'!$B$6:$B$505,B9,'سجل الإجازات والحالات'!$E$6:$E$505,"&lt;="&amp;cfg_VAL_DATE,'سجل الإجازات والحالات'!$F$6:$F$505,"&gt;="&amp;cfg_VAL_DATE)&gt;0,"✈ "&amp;INDEX('سجل الإجازات والحالات'!$D$6:$D$505,MATCH(1,INDEX(('سجل الإجازات والحالات'!$B$6:$B$505=B9)*('سجل الإجازات والحالات'!$E$6:$E$505&lt;=cfg_VAL_DATE)*('سجل الإجازات والحالات'!$F$6:$F$505&gt;=cfg_VAL_DATE),0),0)),"✔ على رأس العمل")))</f>
        <v>✔ على رأس العمل</v>
      </c>
      <c r="AI9" s="79" t="s">
        <v>330</v>
      </c>
      <c r="AJ9" s="79" t="s">
        <v>331</v>
      </c>
      <c r="AK9" s="79"/>
    </row>
    <row r="10" customFormat="false" ht="15" hidden="false" customHeight="false" outlineLevel="0" collapsed="false">
      <c r="A10" s="93" t="n">
        <f aca="false">IF(B10="","",ROW()-5)</f>
        <v>5</v>
      </c>
      <c r="B10" s="79" t="s">
        <v>332</v>
      </c>
      <c r="C10" s="79" t="s">
        <v>333</v>
      </c>
      <c r="D10" s="79" t="s">
        <v>334</v>
      </c>
      <c r="E10" s="79" t="s">
        <v>115</v>
      </c>
      <c r="F10" s="79" t="s">
        <v>195</v>
      </c>
      <c r="G10" s="79" t="s">
        <v>335</v>
      </c>
      <c r="H10" s="94" t="n">
        <v>43933</v>
      </c>
      <c r="I10" s="95" t="s">
        <v>336</v>
      </c>
      <c r="J10" s="94" t="n">
        <v>46417</v>
      </c>
      <c r="K10" s="94" t="n">
        <v>46417</v>
      </c>
      <c r="L10" s="96" t="n">
        <v>9000</v>
      </c>
      <c r="M10" s="96" t="n">
        <v>2250</v>
      </c>
      <c r="N10" s="96" t="n">
        <v>900</v>
      </c>
      <c r="O10" s="96" t="n">
        <v>700</v>
      </c>
      <c r="P10" s="97" t="n">
        <f aca="false">IF(B10="","",SUM(L10:O10))</f>
        <v>12850</v>
      </c>
      <c r="Q10" s="97" t="n">
        <f aca="false">IF(B10="","",L10+IF(cfg_EOS_H="نعم",M10,0)+IF(cfg_EOS_T="نعم",N10,0)+IF(cfg_EOS_O="نعم",O10,0))</f>
        <v>12150</v>
      </c>
      <c r="R10" s="97" t="n">
        <f aca="false">IF(B10="","",L10+IF(cfg_LV_H="نعم",M10,0)+IF(cfg_LV_T="نعم",N10,0)+IF(cfg_LV_O="نعم",O10,0))</f>
        <v>12150</v>
      </c>
      <c r="S10" s="97" t="n">
        <f aca="false">IF(B10="","",MIN(cfg_G_CAP,L10+M10))</f>
        <v>11250</v>
      </c>
      <c r="T10" s="98"/>
      <c r="U10" s="79" t="s">
        <v>161</v>
      </c>
      <c r="V10" s="96" t="n">
        <v>2800</v>
      </c>
      <c r="W10" s="98" t="n">
        <v>12</v>
      </c>
      <c r="X10" s="96"/>
      <c r="Y10" s="96"/>
      <c r="Z10" s="96" t="n">
        <v>2400</v>
      </c>
      <c r="AA10" s="96"/>
      <c r="AB10" s="97" t="n">
        <f aca="false">IF(B10="","",IF(X10&lt;&gt;"",X10,IF(E10="غير سعودي",cfg_IQ,0))+IF(Y10&lt;&gt;"",Y10,IF(E10="غير سعودي",cfg_WP,0))+IF(Z10&lt;&gt;"",Z10,cfg_MED)+N(AA10))</f>
        <v>12650</v>
      </c>
      <c r="AC10" s="99" t="n">
        <v>14</v>
      </c>
      <c r="AD10" s="96" t="n">
        <v>900</v>
      </c>
      <c r="AE10" s="94"/>
      <c r="AF10" s="79"/>
      <c r="AG10" s="80" t="str">
        <f aca="false">IF(B10="","",IF(AND(AE10&lt;&gt;"",AE10&lt;=cfg_VAL_DATE),"✖ منتهي الخدمة",IF(H10&gt;cfg_VAL_DATE,"⏳ لم يباشر بعد","✔ على رأس العمل")))</f>
        <v>✔ على رأس العمل</v>
      </c>
      <c r="AH10" s="80" t="str">
        <f aca="false">IF(B10="","",IF(AG10&lt;&gt;"✔ على رأس العمل",AG10,IF(COUNTIFS('سجل الإجازات والحالات'!$B$6:$B$505,B10,'سجل الإجازات والحالات'!$E$6:$E$505,"&lt;="&amp;cfg_VAL_DATE,'سجل الإجازات والحالات'!$F$6:$F$505,"&gt;="&amp;cfg_VAL_DATE)&gt;0,"✈ "&amp;INDEX('سجل الإجازات والحالات'!$D$6:$D$505,MATCH(1,INDEX(('سجل الإجازات والحالات'!$B$6:$B$505=B10)*('سجل الإجازات والحالات'!$E$6:$E$505&lt;=cfg_VAL_DATE)*('سجل الإجازات والحالات'!$F$6:$F$505&gt;=cfg_VAL_DATE),0),0)),"✔ على رأس العمل")))</f>
        <v>✔ على رأس العمل</v>
      </c>
      <c r="AI10" s="79" t="s">
        <v>317</v>
      </c>
      <c r="AJ10" s="79" t="s">
        <v>337</v>
      </c>
      <c r="AK10" s="79"/>
    </row>
    <row r="11" customFormat="false" ht="15" hidden="false" customHeight="false" outlineLevel="0" collapsed="false">
      <c r="A11" s="100" t="n">
        <f aca="false">IF(B11="","",ROW()-5)</f>
        <v>6</v>
      </c>
      <c r="B11" s="79" t="s">
        <v>338</v>
      </c>
      <c r="C11" s="79" t="s">
        <v>339</v>
      </c>
      <c r="D11" s="79" t="s">
        <v>113</v>
      </c>
      <c r="E11" s="79" t="s">
        <v>113</v>
      </c>
      <c r="F11" s="79" t="s">
        <v>182</v>
      </c>
      <c r="G11" s="79" t="s">
        <v>340</v>
      </c>
      <c r="H11" s="94" t="n">
        <v>43044</v>
      </c>
      <c r="I11" s="95" t="s">
        <v>341</v>
      </c>
      <c r="J11" s="94" t="n">
        <v>47929</v>
      </c>
      <c r="K11" s="94"/>
      <c r="L11" s="96" t="n">
        <v>13000</v>
      </c>
      <c r="M11" s="96" t="n">
        <v>3250</v>
      </c>
      <c r="N11" s="96" t="n">
        <v>1300</v>
      </c>
      <c r="O11" s="96" t="n">
        <v>2500</v>
      </c>
      <c r="P11" s="101" t="n">
        <f aca="false">IF(B11="","",SUM(L11:O11))</f>
        <v>20050</v>
      </c>
      <c r="Q11" s="101" t="n">
        <f aca="false">IF(B11="","",L11+IF(cfg_EOS_H="نعم",M11,0)+IF(cfg_EOS_T="نعم",N11,0)+IF(cfg_EOS_O="نعم",O11,0))</f>
        <v>17550</v>
      </c>
      <c r="R11" s="101" t="n">
        <f aca="false">IF(B11="","",L11+IF(cfg_LV_H="نعم",M11,0)+IF(cfg_LV_T="نعم",N11,0)+IF(cfg_LV_O="نعم",O11,0))</f>
        <v>17550</v>
      </c>
      <c r="S11" s="101" t="n">
        <f aca="false">IF(B11="","",MIN(cfg_G_CAP,L11+M11))</f>
        <v>16250</v>
      </c>
      <c r="T11" s="98"/>
      <c r="U11" s="79" t="s">
        <v>164</v>
      </c>
      <c r="V11" s="96" t="n">
        <v>0</v>
      </c>
      <c r="W11" s="98" t="n">
        <v>12</v>
      </c>
      <c r="X11" s="96"/>
      <c r="Y11" s="96"/>
      <c r="Z11" s="96" t="n">
        <v>3600</v>
      </c>
      <c r="AA11" s="96"/>
      <c r="AB11" s="101" t="n">
        <f aca="false">IF(B11="","",IF(X11&lt;&gt;"",X11,IF(E11="غير سعودي",cfg_IQ,0))+IF(Y11&lt;&gt;"",Y11,IF(E11="غير سعودي",cfg_WP,0))+IF(Z11&lt;&gt;"",Z11,cfg_MED)+N(AA11))</f>
        <v>3600</v>
      </c>
      <c r="AC11" s="99" t="n">
        <v>25</v>
      </c>
      <c r="AD11" s="96" t="n">
        <v>0</v>
      </c>
      <c r="AE11" s="94"/>
      <c r="AF11" s="79"/>
      <c r="AG11" s="102" t="str">
        <f aca="false">IF(B11="","",IF(AND(AE11&lt;&gt;"",AE11&lt;=cfg_VAL_DATE),"✖ منتهي الخدمة",IF(H11&gt;cfg_VAL_DATE,"⏳ لم يباشر بعد","✔ على رأس العمل")))</f>
        <v>✔ على رأس العمل</v>
      </c>
      <c r="AH11" s="102" t="str">
        <f aca="false">IF(B11="","",IF(AG11&lt;&gt;"✔ على رأس العمل",AG11,IF(COUNTIFS('سجل الإجازات والحالات'!$B$6:$B$505,B11,'سجل الإجازات والحالات'!$E$6:$E$505,"&lt;="&amp;cfg_VAL_DATE,'سجل الإجازات والحالات'!$F$6:$F$505,"&gt;="&amp;cfg_VAL_DATE)&gt;0,"✈ "&amp;INDEX('سجل الإجازات والحالات'!$D$6:$D$505,MATCH(1,INDEX(('سجل الإجازات والحالات'!$B$6:$B$505=B11)*('سجل الإجازات والحالات'!$E$6:$E$505&lt;=cfg_VAL_DATE)*('سجل الإجازات والحالات'!$F$6:$F$505&gt;=cfg_VAL_DATE),0),0)),"✔ على رأس العمل")))</f>
        <v>✈ إجازة بدون راتب</v>
      </c>
      <c r="AI11" s="79" t="s">
        <v>311</v>
      </c>
      <c r="AJ11" s="79" t="s">
        <v>342</v>
      </c>
      <c r="AK11" s="79"/>
    </row>
    <row r="12" customFormat="false" ht="15" hidden="false" customHeight="false" outlineLevel="0" collapsed="false">
      <c r="A12" s="93" t="n">
        <f aca="false">IF(B12="","",ROW()-5)</f>
        <v>7</v>
      </c>
      <c r="B12" s="79" t="s">
        <v>343</v>
      </c>
      <c r="C12" s="79" t="s">
        <v>344</v>
      </c>
      <c r="D12" s="79" t="s">
        <v>345</v>
      </c>
      <c r="E12" s="79" t="s">
        <v>115</v>
      </c>
      <c r="F12" s="79" t="s">
        <v>200</v>
      </c>
      <c r="G12" s="79" t="s">
        <v>346</v>
      </c>
      <c r="H12" s="94" t="n">
        <v>44216</v>
      </c>
      <c r="I12" s="95" t="s">
        <v>347</v>
      </c>
      <c r="J12" s="94" t="n">
        <v>46320</v>
      </c>
      <c r="K12" s="94" t="n">
        <v>46280</v>
      </c>
      <c r="L12" s="96" t="n">
        <v>11000</v>
      </c>
      <c r="M12" s="96" t="n">
        <v>2750</v>
      </c>
      <c r="N12" s="96" t="n">
        <v>1100</v>
      </c>
      <c r="O12" s="96" t="n">
        <v>800</v>
      </c>
      <c r="P12" s="97" t="n">
        <f aca="false">IF(B12="","",SUM(L12:O12))</f>
        <v>15650</v>
      </c>
      <c r="Q12" s="97" t="n">
        <f aca="false">IF(B12="","",L12+IF(cfg_EOS_H="نعم",M12,0)+IF(cfg_EOS_T="نعم",N12,0)+IF(cfg_EOS_O="نعم",O12,0))</f>
        <v>14850</v>
      </c>
      <c r="R12" s="97" t="n">
        <f aca="false">IF(B12="","",L12+IF(cfg_LV_H="نعم",M12,0)+IF(cfg_LV_T="نعم",N12,0)+IF(cfg_LV_O="نعم",O12,0))</f>
        <v>14850</v>
      </c>
      <c r="S12" s="97" t="n">
        <f aca="false">IF(B12="","",MIN(cfg_G_CAP,L12+M12))</f>
        <v>13750</v>
      </c>
      <c r="T12" s="98"/>
      <c r="U12" s="79" t="s">
        <v>161</v>
      </c>
      <c r="V12" s="96" t="n">
        <v>4500</v>
      </c>
      <c r="W12" s="98" t="n">
        <v>12</v>
      </c>
      <c r="X12" s="96"/>
      <c r="Y12" s="96"/>
      <c r="Z12" s="96" t="n">
        <v>2400</v>
      </c>
      <c r="AA12" s="96" t="n">
        <v>4800</v>
      </c>
      <c r="AB12" s="97" t="n">
        <f aca="false">IF(B12="","",IF(X12&lt;&gt;"",X12,IF(E12="غير سعودي",cfg_IQ,0))+IF(Y12&lt;&gt;"",Y12,IF(E12="غير سعودي",cfg_WP,0))+IF(Z12&lt;&gt;"",Z12,cfg_MED)+N(AA12))</f>
        <v>17450</v>
      </c>
      <c r="AC12" s="99" t="n">
        <v>16</v>
      </c>
      <c r="AD12" s="96" t="n">
        <v>2400</v>
      </c>
      <c r="AE12" s="94"/>
      <c r="AF12" s="79"/>
      <c r="AG12" s="80" t="str">
        <f aca="false">IF(B12="","",IF(AND(AE12&lt;&gt;"",AE12&lt;=cfg_VAL_DATE),"✖ منتهي الخدمة",IF(H12&gt;cfg_VAL_DATE,"⏳ لم يباشر بعد","✔ على رأس العمل")))</f>
        <v>✔ على رأس العمل</v>
      </c>
      <c r="AH12" s="80" t="str">
        <f aca="false">IF(B12="","",IF(AG12&lt;&gt;"✔ على رأس العمل",AG12,IF(COUNTIFS('سجل الإجازات والحالات'!$B$6:$B$505,B12,'سجل الإجازات والحالات'!$E$6:$E$505,"&lt;="&amp;cfg_VAL_DATE,'سجل الإجازات والحالات'!$F$6:$F$505,"&gt;="&amp;cfg_VAL_DATE)&gt;0,"✈ "&amp;INDEX('سجل الإجازات والحالات'!$D$6:$D$505,MATCH(1,INDEX(('سجل الإجازات والحالات'!$B$6:$B$505=B12)*('سجل الإجازات والحالات'!$E$6:$E$505&lt;=cfg_VAL_DATE)*('سجل الإجازات والحالات'!$F$6:$F$505&gt;=cfg_VAL_DATE),0),0)),"✔ على رأس العمل")))</f>
        <v>✔ على رأس العمل</v>
      </c>
      <c r="AI12" s="79" t="s">
        <v>348</v>
      </c>
      <c r="AJ12" s="79" t="s">
        <v>349</v>
      </c>
      <c r="AK12" s="79" t="s">
        <v>350</v>
      </c>
    </row>
    <row r="13" customFormat="false" ht="15" hidden="false" customHeight="false" outlineLevel="0" collapsed="false">
      <c r="A13" s="100" t="n">
        <f aca="false">IF(B13="","",ROW()-5)</f>
        <v>8</v>
      </c>
      <c r="B13" s="79" t="s">
        <v>351</v>
      </c>
      <c r="C13" s="79" t="s">
        <v>352</v>
      </c>
      <c r="D13" s="79" t="s">
        <v>327</v>
      </c>
      <c r="E13" s="79" t="s">
        <v>113</v>
      </c>
      <c r="F13" s="79" t="s">
        <v>168</v>
      </c>
      <c r="G13" s="79" t="s">
        <v>353</v>
      </c>
      <c r="H13" s="94" t="n">
        <v>44986</v>
      </c>
      <c r="I13" s="95" t="s">
        <v>354</v>
      </c>
      <c r="J13" s="94" t="n">
        <v>48466</v>
      </c>
      <c r="K13" s="94"/>
      <c r="L13" s="96" t="n">
        <v>7500</v>
      </c>
      <c r="M13" s="96" t="n">
        <v>1875</v>
      </c>
      <c r="N13" s="96" t="n">
        <v>750</v>
      </c>
      <c r="O13" s="96" t="n">
        <v>0</v>
      </c>
      <c r="P13" s="101" t="n">
        <f aca="false">IF(B13="","",SUM(L13:O13))</f>
        <v>10125</v>
      </c>
      <c r="Q13" s="101" t="n">
        <f aca="false">IF(B13="","",L13+IF(cfg_EOS_H="نعم",M13,0)+IF(cfg_EOS_T="نعم",N13,0)+IF(cfg_EOS_O="نعم",O13,0))</f>
        <v>10125</v>
      </c>
      <c r="R13" s="101" t="n">
        <f aca="false">IF(B13="","",L13+IF(cfg_LV_H="نعم",M13,0)+IF(cfg_LV_T="نعم",N13,0)+IF(cfg_LV_O="نعم",O13,0))</f>
        <v>10125</v>
      </c>
      <c r="S13" s="101" t="n">
        <f aca="false">IF(B13="","",MIN(cfg_G_CAP,L13+M13))</f>
        <v>9375</v>
      </c>
      <c r="T13" s="98"/>
      <c r="U13" s="79" t="s">
        <v>164</v>
      </c>
      <c r="V13" s="96" t="n">
        <v>0</v>
      </c>
      <c r="W13" s="98" t="n">
        <v>12</v>
      </c>
      <c r="X13" s="96"/>
      <c r="Y13" s="96"/>
      <c r="Z13" s="96" t="n">
        <v>2400</v>
      </c>
      <c r="AA13" s="96"/>
      <c r="AB13" s="101" t="n">
        <f aca="false">IF(B13="","",IF(X13&lt;&gt;"",X13,IF(E13="غير سعودي",cfg_IQ,0))+IF(Y13&lt;&gt;"",Y13,IF(E13="غير سعودي",cfg_WP,0))+IF(Z13&lt;&gt;"",Z13,cfg_MED)+N(AA13))</f>
        <v>2400</v>
      </c>
      <c r="AC13" s="99" t="n">
        <v>6</v>
      </c>
      <c r="AD13" s="96" t="n">
        <v>0</v>
      </c>
      <c r="AE13" s="94"/>
      <c r="AF13" s="79"/>
      <c r="AG13" s="102" t="str">
        <f aca="false">IF(B13="","",IF(AND(AE13&lt;&gt;"",AE13&lt;=cfg_VAL_DATE),"✖ منتهي الخدمة",IF(H13&gt;cfg_VAL_DATE,"⏳ لم يباشر بعد","✔ على رأس العمل")))</f>
        <v>✔ على رأس العمل</v>
      </c>
      <c r="AH13" s="102" t="str">
        <f aca="false">IF(B13="","",IF(AG13&lt;&gt;"✔ على رأس العمل",AG13,IF(COUNTIFS('سجل الإجازات والحالات'!$B$6:$B$505,B13,'سجل الإجازات والحالات'!$E$6:$E$505,"&lt;="&amp;cfg_VAL_DATE,'سجل الإجازات والحالات'!$F$6:$F$505,"&gt;="&amp;cfg_VAL_DATE)&gt;0,"✈ "&amp;INDEX('سجل الإجازات والحالات'!$D$6:$D$505,MATCH(1,INDEX(('سجل الإجازات والحالات'!$B$6:$B$505=B13)*('سجل الإجازات والحالات'!$E$6:$E$505&lt;=cfg_VAL_DATE)*('سجل الإجازات والحالات'!$F$6:$F$505&gt;=cfg_VAL_DATE),0),0)),"✔ على رأس العمل")))</f>
        <v>✔ على رأس العمل</v>
      </c>
      <c r="AI13" s="79" t="s">
        <v>330</v>
      </c>
      <c r="AJ13" s="79" t="s">
        <v>355</v>
      </c>
      <c r="AK13" s="79"/>
    </row>
    <row r="14" customFormat="false" ht="15" hidden="false" customHeight="false" outlineLevel="0" collapsed="false">
      <c r="A14" s="93" t="n">
        <f aca="false">IF(B14="","",ROW()-5)</f>
        <v>9</v>
      </c>
      <c r="B14" s="79" t="s">
        <v>356</v>
      </c>
      <c r="C14" s="79" t="s">
        <v>357</v>
      </c>
      <c r="D14" s="79" t="s">
        <v>358</v>
      </c>
      <c r="E14" s="79" t="s">
        <v>115</v>
      </c>
      <c r="F14" s="79" t="s">
        <v>189</v>
      </c>
      <c r="G14" s="79" t="s">
        <v>359</v>
      </c>
      <c r="H14" s="94" t="n">
        <v>41869</v>
      </c>
      <c r="I14" s="95" t="s">
        <v>360</v>
      </c>
      <c r="J14" s="94" t="n">
        <v>46539</v>
      </c>
      <c r="K14" s="94" t="n">
        <v>46539</v>
      </c>
      <c r="L14" s="96" t="n">
        <v>6500</v>
      </c>
      <c r="M14" s="96" t="n">
        <v>1625</v>
      </c>
      <c r="N14" s="96" t="n">
        <v>650</v>
      </c>
      <c r="O14" s="96" t="n">
        <v>300</v>
      </c>
      <c r="P14" s="97" t="n">
        <f aca="false">IF(B14="","",SUM(L14:O14))</f>
        <v>9075</v>
      </c>
      <c r="Q14" s="97" t="n">
        <f aca="false">IF(B14="","",L14+IF(cfg_EOS_H="نعم",M14,0)+IF(cfg_EOS_T="نعم",N14,0)+IF(cfg_EOS_O="نعم",O14,0))</f>
        <v>8775</v>
      </c>
      <c r="R14" s="97" t="n">
        <f aca="false">IF(B14="","",L14+IF(cfg_LV_H="نعم",M14,0)+IF(cfg_LV_T="نعم",N14,0)+IF(cfg_LV_O="نعم",O14,0))</f>
        <v>8775</v>
      </c>
      <c r="S14" s="97" t="n">
        <f aca="false">IF(B14="","",MIN(cfg_G_CAP,L14+M14))</f>
        <v>8125</v>
      </c>
      <c r="T14" s="98" t="n">
        <v>30</v>
      </c>
      <c r="U14" s="79" t="s">
        <v>161</v>
      </c>
      <c r="V14" s="96" t="n">
        <v>2200</v>
      </c>
      <c r="W14" s="98" t="n">
        <v>24</v>
      </c>
      <c r="X14" s="96"/>
      <c r="Y14" s="96"/>
      <c r="Z14" s="96" t="n">
        <v>1800</v>
      </c>
      <c r="AA14" s="96"/>
      <c r="AB14" s="97" t="n">
        <f aca="false">IF(B14="","",IF(X14&lt;&gt;"",X14,IF(E14="غير سعودي",cfg_IQ,0))+IF(Y14&lt;&gt;"",Y14,IF(E14="غير سعودي",cfg_WP,0))+IF(Z14&lt;&gt;"",Z14,cfg_MED)+N(AA14))</f>
        <v>12050</v>
      </c>
      <c r="AC14" s="99" t="n">
        <v>35</v>
      </c>
      <c r="AD14" s="96" t="n">
        <v>2000</v>
      </c>
      <c r="AE14" s="94"/>
      <c r="AF14" s="79"/>
      <c r="AG14" s="80" t="str">
        <f aca="false">IF(B14="","",IF(AND(AE14&lt;&gt;"",AE14&lt;=cfg_VAL_DATE),"✖ منتهي الخدمة",IF(H14&gt;cfg_VAL_DATE,"⏳ لم يباشر بعد","✔ على رأس العمل")))</f>
        <v>✔ على رأس العمل</v>
      </c>
      <c r="AH14" s="80" t="str">
        <f aca="false">IF(B14="","",IF(AG14&lt;&gt;"✔ على رأس العمل",AG14,IF(COUNTIFS('سجل الإجازات والحالات'!$B$6:$B$505,B14,'سجل الإجازات والحالات'!$E$6:$E$505,"&lt;="&amp;cfg_VAL_DATE,'سجل الإجازات والحالات'!$F$6:$F$505,"&gt;="&amp;cfg_VAL_DATE)&gt;0,"✈ "&amp;INDEX('سجل الإجازات والحالات'!$D$6:$D$505,MATCH(1,INDEX(('سجل الإجازات والحالات'!$B$6:$B$505=B14)*('سجل الإجازات والحالات'!$E$6:$E$505&lt;=cfg_VAL_DATE)*('سجل الإجازات والحالات'!$F$6:$F$505&gt;=cfg_VAL_DATE),0),0)),"✔ على رأس العمل")))</f>
        <v>✔ على رأس العمل</v>
      </c>
      <c r="AI14" s="79" t="s">
        <v>311</v>
      </c>
      <c r="AJ14" s="79" t="s">
        <v>361</v>
      </c>
      <c r="AK14" s="79"/>
    </row>
    <row r="15" customFormat="false" ht="15" hidden="false" customHeight="false" outlineLevel="0" collapsed="false">
      <c r="A15" s="100" t="n">
        <f aca="false">IF(B15="","",ROW()-5)</f>
        <v>10</v>
      </c>
      <c r="B15" s="79" t="s">
        <v>362</v>
      </c>
      <c r="C15" s="79" t="s">
        <v>363</v>
      </c>
      <c r="D15" s="79" t="s">
        <v>327</v>
      </c>
      <c r="E15" s="79" t="s">
        <v>113</v>
      </c>
      <c r="F15" s="79" t="s">
        <v>182</v>
      </c>
      <c r="G15" s="79" t="s">
        <v>364</v>
      </c>
      <c r="H15" s="94" t="n">
        <v>46127</v>
      </c>
      <c r="I15" s="95" t="s">
        <v>365</v>
      </c>
      <c r="J15" s="94" t="n">
        <v>48580</v>
      </c>
      <c r="K15" s="94"/>
      <c r="L15" s="96" t="n">
        <v>9000</v>
      </c>
      <c r="M15" s="96" t="n">
        <v>2250</v>
      </c>
      <c r="N15" s="96" t="n">
        <v>900</v>
      </c>
      <c r="O15" s="96" t="n">
        <v>0</v>
      </c>
      <c r="P15" s="101" t="n">
        <f aca="false">IF(B15="","",SUM(L15:O15))</f>
        <v>12150</v>
      </c>
      <c r="Q15" s="101" t="n">
        <f aca="false">IF(B15="","",L15+IF(cfg_EOS_H="نعم",M15,0)+IF(cfg_EOS_T="نعم",N15,0)+IF(cfg_EOS_O="نعم",O15,0))</f>
        <v>12150</v>
      </c>
      <c r="R15" s="101" t="n">
        <f aca="false">IF(B15="","",L15+IF(cfg_LV_H="نعم",M15,0)+IF(cfg_LV_T="نعم",N15,0)+IF(cfg_LV_O="نعم",O15,0))</f>
        <v>12150</v>
      </c>
      <c r="S15" s="101" t="n">
        <f aca="false">IF(B15="","",MIN(cfg_G_CAP,L15+M15))</f>
        <v>11250</v>
      </c>
      <c r="T15" s="98"/>
      <c r="U15" s="79" t="s">
        <v>164</v>
      </c>
      <c r="V15" s="96" t="n">
        <v>0</v>
      </c>
      <c r="W15" s="98" t="n">
        <v>12</v>
      </c>
      <c r="X15" s="96"/>
      <c r="Y15" s="96"/>
      <c r="Z15" s="96" t="n">
        <v>2400</v>
      </c>
      <c r="AA15" s="96"/>
      <c r="AB15" s="101" t="n">
        <f aca="false">IF(B15="","",IF(X15&lt;&gt;"",X15,IF(E15="غير سعودي",cfg_IQ,0))+IF(Y15&lt;&gt;"",Y15,IF(E15="غير سعودي",cfg_WP,0))+IF(Z15&lt;&gt;"",Z15,cfg_MED)+N(AA15))</f>
        <v>2400</v>
      </c>
      <c r="AC15" s="99" t="n">
        <v>0</v>
      </c>
      <c r="AD15" s="96" t="n">
        <v>0</v>
      </c>
      <c r="AE15" s="94"/>
      <c r="AF15" s="79"/>
      <c r="AG15" s="102" t="str">
        <f aca="false">IF(B15="","",IF(AND(AE15&lt;&gt;"",AE15&lt;=cfg_VAL_DATE),"✖ منتهي الخدمة",IF(H15&gt;cfg_VAL_DATE,"⏳ لم يباشر بعد","✔ على رأس العمل")))</f>
        <v>✔ على رأس العمل</v>
      </c>
      <c r="AH15" s="102" t="str">
        <f aca="false">IF(B15="","",IF(AG15&lt;&gt;"✔ على رأس العمل",AG15,IF(COUNTIFS('سجل الإجازات والحالات'!$B$6:$B$505,B15,'سجل الإجازات والحالات'!$E$6:$E$505,"&lt;="&amp;cfg_VAL_DATE,'سجل الإجازات والحالات'!$F$6:$F$505,"&gt;="&amp;cfg_VAL_DATE)&gt;0,"✈ "&amp;INDEX('سجل الإجازات والحالات'!$D$6:$D$505,MATCH(1,INDEX(('سجل الإجازات والحالات'!$B$6:$B$505=B15)*('سجل الإجازات والحالات'!$E$6:$E$505&lt;=cfg_VAL_DATE)*('سجل الإجازات والحالات'!$F$6:$F$505&gt;=cfg_VAL_DATE),0),0)),"✔ على رأس العمل")))</f>
        <v>✔ على رأس العمل</v>
      </c>
      <c r="AI15" s="79" t="s">
        <v>317</v>
      </c>
      <c r="AJ15" s="79" t="s">
        <v>366</v>
      </c>
      <c r="AK15" s="79"/>
    </row>
    <row r="16" customFormat="false" ht="15" hidden="false" customHeight="false" outlineLevel="0" collapsed="false">
      <c r="A16" s="93" t="n">
        <f aca="false">IF(B16="","",ROW()-5)</f>
        <v>11</v>
      </c>
      <c r="B16" s="79" t="s">
        <v>367</v>
      </c>
      <c r="C16" s="79" t="s">
        <v>368</v>
      </c>
      <c r="D16" s="79" t="s">
        <v>369</v>
      </c>
      <c r="E16" s="79" t="s">
        <v>115</v>
      </c>
      <c r="F16" s="79" t="s">
        <v>189</v>
      </c>
      <c r="G16" s="79" t="s">
        <v>370</v>
      </c>
      <c r="H16" s="94" t="n">
        <v>43525</v>
      </c>
      <c r="I16" s="95" t="s">
        <v>371</v>
      </c>
      <c r="J16" s="94" t="n">
        <v>46481</v>
      </c>
      <c r="K16" s="94" t="n">
        <v>46481</v>
      </c>
      <c r="L16" s="96" t="n">
        <v>5000</v>
      </c>
      <c r="M16" s="96" t="n">
        <v>1250</v>
      </c>
      <c r="N16" s="96" t="n">
        <v>500</v>
      </c>
      <c r="O16" s="96" t="n">
        <v>0</v>
      </c>
      <c r="P16" s="97" t="n">
        <f aca="false">IF(B16="","",SUM(L16:O16))</f>
        <v>6750</v>
      </c>
      <c r="Q16" s="97" t="n">
        <f aca="false">IF(B16="","",L16+IF(cfg_EOS_H="نعم",M16,0)+IF(cfg_EOS_T="نعم",N16,0)+IF(cfg_EOS_O="نعم",O16,0))</f>
        <v>6750</v>
      </c>
      <c r="R16" s="97" t="n">
        <f aca="false">IF(B16="","",L16+IF(cfg_LV_H="نعم",M16,0)+IF(cfg_LV_T="نعم",N16,0)+IF(cfg_LV_O="نعم",O16,0))</f>
        <v>6750</v>
      </c>
      <c r="S16" s="97" t="n">
        <f aca="false">IF(B16="","",MIN(cfg_G_CAP,L16+M16))</f>
        <v>6250</v>
      </c>
      <c r="T16" s="98"/>
      <c r="U16" s="79" t="s">
        <v>161</v>
      </c>
      <c r="V16" s="96" t="n">
        <v>2600</v>
      </c>
      <c r="W16" s="98" t="n">
        <v>24</v>
      </c>
      <c r="X16" s="96"/>
      <c r="Y16" s="96"/>
      <c r="Z16" s="96" t="n">
        <v>1800</v>
      </c>
      <c r="AA16" s="96"/>
      <c r="AB16" s="97" t="n">
        <f aca="false">IF(B16="","",IF(X16&lt;&gt;"",X16,IF(E16="غير سعودي",cfg_IQ,0))+IF(Y16&lt;&gt;"",Y16,IF(E16="غير سعودي",cfg_WP,0))+IF(Z16&lt;&gt;"",Z16,cfg_MED)+N(AA16))</f>
        <v>12050</v>
      </c>
      <c r="AC16" s="99" t="n">
        <v>22</v>
      </c>
      <c r="AD16" s="96" t="n">
        <v>1800</v>
      </c>
      <c r="AE16" s="94" t="n">
        <v>46203</v>
      </c>
      <c r="AF16" s="79" t="s">
        <v>160</v>
      </c>
      <c r="AG16" s="80" t="str">
        <f aca="false">IF(B16="","",IF(AND(AE16&lt;&gt;"",AE16&lt;=cfg_VAL_DATE),"✖ منتهي الخدمة",IF(H16&gt;cfg_VAL_DATE,"⏳ لم يباشر بعد","✔ على رأس العمل")))</f>
        <v>✖ منتهي الخدمة</v>
      </c>
      <c r="AH16" s="80" t="str">
        <f aca="false">IF(B16="","",IF(AG16&lt;&gt;"✔ على رأس العمل",AG16,IF(COUNTIFS('سجل الإجازات والحالات'!$B$6:$B$505,B16,'سجل الإجازات والحالات'!$E$6:$E$505,"&lt;="&amp;cfg_VAL_DATE,'سجل الإجازات والحالات'!$F$6:$F$505,"&gt;="&amp;cfg_VAL_DATE)&gt;0,"✈ "&amp;INDEX('سجل الإجازات والحالات'!$D$6:$D$505,MATCH(1,INDEX(('سجل الإجازات والحالات'!$B$6:$B$505=B16)*('سجل الإجازات والحالات'!$E$6:$E$505&lt;=cfg_VAL_DATE)*('سجل الإجازات والحالات'!$F$6:$F$505&gt;=cfg_VAL_DATE),0),0)),"✔ على رأس العمل")))</f>
        <v>✖ منتهي الخدمة</v>
      </c>
      <c r="AI16" s="79" t="s">
        <v>311</v>
      </c>
      <c r="AJ16" s="79" t="s">
        <v>372</v>
      </c>
      <c r="AK16" s="79"/>
    </row>
    <row r="17" customFormat="false" ht="15" hidden="false" customHeight="false" outlineLevel="0" collapsed="false">
      <c r="A17" s="100" t="n">
        <f aca="false">IF(B17="","",ROW()-5)</f>
        <v>12</v>
      </c>
      <c r="B17" s="79" t="s">
        <v>373</v>
      </c>
      <c r="C17" s="79" t="s">
        <v>374</v>
      </c>
      <c r="D17" s="79" t="s">
        <v>113</v>
      </c>
      <c r="E17" s="79" t="s">
        <v>113</v>
      </c>
      <c r="F17" s="79" t="s">
        <v>195</v>
      </c>
      <c r="G17" s="79" t="s">
        <v>375</v>
      </c>
      <c r="H17" s="94" t="n">
        <v>44752</v>
      </c>
      <c r="I17" s="95" t="s">
        <v>376</v>
      </c>
      <c r="J17" s="94" t="n">
        <v>47464</v>
      </c>
      <c r="K17" s="94"/>
      <c r="L17" s="96" t="n">
        <v>12000</v>
      </c>
      <c r="M17" s="96" t="n">
        <v>3000</v>
      </c>
      <c r="N17" s="96" t="n">
        <v>1200</v>
      </c>
      <c r="O17" s="96" t="n">
        <v>1500</v>
      </c>
      <c r="P17" s="101" t="n">
        <f aca="false">IF(B17="","",SUM(L17:O17))</f>
        <v>17700</v>
      </c>
      <c r="Q17" s="101" t="n">
        <f aca="false">IF(B17="","",L17+IF(cfg_EOS_H="نعم",M17,0)+IF(cfg_EOS_T="نعم",N17,0)+IF(cfg_EOS_O="نعم",O17,0))</f>
        <v>16200</v>
      </c>
      <c r="R17" s="101" t="n">
        <f aca="false">IF(B17="","",L17+IF(cfg_LV_H="نعم",M17,0)+IF(cfg_LV_T="نعم",N17,0)+IF(cfg_LV_O="نعم",O17,0))</f>
        <v>16200</v>
      </c>
      <c r="S17" s="101" t="n">
        <f aca="false">IF(B17="","",MIN(cfg_G_CAP,L17+M17))</f>
        <v>15000</v>
      </c>
      <c r="T17" s="98"/>
      <c r="U17" s="79" t="s">
        <v>164</v>
      </c>
      <c r="V17" s="96" t="n">
        <v>0</v>
      </c>
      <c r="W17" s="98" t="n">
        <v>12</v>
      </c>
      <c r="X17" s="96"/>
      <c r="Y17" s="96"/>
      <c r="Z17" s="96" t="n">
        <v>2400</v>
      </c>
      <c r="AA17" s="96"/>
      <c r="AB17" s="101" t="n">
        <f aca="false">IF(B17="","",IF(X17&lt;&gt;"",X17,IF(E17="غير سعودي",cfg_IQ,0))+IF(Y17&lt;&gt;"",Y17,IF(E17="غير سعودي",cfg_WP,0))+IF(Z17&lt;&gt;"",Z17,cfg_MED)+N(AA17))</f>
        <v>2400</v>
      </c>
      <c r="AC17" s="99" t="n">
        <v>10</v>
      </c>
      <c r="AD17" s="96" t="n">
        <v>0</v>
      </c>
      <c r="AE17" s="94"/>
      <c r="AF17" s="79"/>
      <c r="AG17" s="102" t="str">
        <f aca="false">IF(B17="","",IF(AND(AE17&lt;&gt;"",AE17&lt;=cfg_VAL_DATE),"✖ منتهي الخدمة",IF(H17&gt;cfg_VAL_DATE,"⏳ لم يباشر بعد","✔ على رأس العمل")))</f>
        <v>✔ على رأس العمل</v>
      </c>
      <c r="AH17" s="102" t="str">
        <f aca="false">IF(B17="","",IF(AG17&lt;&gt;"✔ على رأس العمل",AG17,IF(COUNTIFS('سجل الإجازات والحالات'!$B$6:$B$505,B17,'سجل الإجازات والحالات'!$E$6:$E$505,"&lt;="&amp;cfg_VAL_DATE,'سجل الإجازات والحالات'!$F$6:$F$505,"&gt;="&amp;cfg_VAL_DATE)&gt;0,"✈ "&amp;INDEX('سجل الإجازات والحالات'!$D$6:$D$505,MATCH(1,INDEX(('سجل الإجازات والحالات'!$B$6:$B$505=B17)*('سجل الإجازات والحالات'!$E$6:$E$505&lt;=cfg_VAL_DATE)*('سجل الإجازات والحالات'!$F$6:$F$505&gt;=cfg_VAL_DATE),0),0)),"✔ على رأس العمل")))</f>
        <v>✔ على رأس العمل</v>
      </c>
      <c r="AI17" s="79" t="s">
        <v>348</v>
      </c>
      <c r="AJ17" s="79" t="s">
        <v>377</v>
      </c>
      <c r="AK17" s="79"/>
    </row>
    <row r="18" customFormat="false" ht="15" hidden="false" customHeight="false" outlineLevel="0" collapsed="false">
      <c r="A18" s="93" t="str">
        <f aca="false">IF(B18="","",ROW()-5)</f>
        <v/>
      </c>
      <c r="B18" s="79"/>
      <c r="C18" s="79"/>
      <c r="D18" s="79"/>
      <c r="E18" s="79"/>
      <c r="F18" s="79"/>
      <c r="G18" s="79"/>
      <c r="H18" s="94"/>
      <c r="I18" s="95"/>
      <c r="J18" s="94"/>
      <c r="K18" s="94"/>
      <c r="L18" s="96"/>
      <c r="M18" s="96"/>
      <c r="N18" s="96"/>
      <c r="O18" s="96"/>
      <c r="P18" s="97" t="str">
        <f aca="false">IF(B18="","",SUM(L18:O18))</f>
        <v/>
      </c>
      <c r="Q18" s="97" t="str">
        <f aca="false">IF(B18="","",L18+IF(cfg_EOS_H="نعم",M18,0)+IF(cfg_EOS_T="نعم",N18,0)+IF(cfg_EOS_O="نعم",O18,0))</f>
        <v/>
      </c>
      <c r="R18" s="97" t="str">
        <f aca="false">IF(B18="","",L18+IF(cfg_LV_H="نعم",M18,0)+IF(cfg_LV_T="نعم",N18,0)+IF(cfg_LV_O="نعم",O18,0))</f>
        <v/>
      </c>
      <c r="S18" s="97" t="str">
        <f aca="false">IF(B18="","",MIN(cfg_G_CAP,L18+M18))</f>
        <v/>
      </c>
      <c r="T18" s="98"/>
      <c r="U18" s="79"/>
      <c r="V18" s="96"/>
      <c r="W18" s="98"/>
      <c r="X18" s="96"/>
      <c r="Y18" s="96"/>
      <c r="Z18" s="96"/>
      <c r="AA18" s="96"/>
      <c r="AB18" s="97" t="str">
        <f aca="false">IF(B18="","",IF(X18&lt;&gt;"",X18,IF(E18="غير سعودي",cfg_IQ,0))+IF(Y18&lt;&gt;"",Y18,IF(E18="غير سعودي",cfg_WP,0))+IF(Z18&lt;&gt;"",Z18,cfg_MED)+N(AA18))</f>
        <v/>
      </c>
      <c r="AC18" s="99"/>
      <c r="AD18" s="96"/>
      <c r="AE18" s="94"/>
      <c r="AF18" s="79"/>
      <c r="AG18" s="80" t="str">
        <f aca="false">IF(B18="","",IF(AND(AE18&lt;&gt;"",AE18&lt;=cfg_VAL_DATE),"✖ منتهي الخدمة",IF(H18&gt;cfg_VAL_DATE,"⏳ لم يباشر بعد","✔ على رأس العمل")))</f>
        <v/>
      </c>
      <c r="AH18" s="80" t="str">
        <f aca="false">IF(B18="","",IF(AG18&lt;&gt;"✔ على رأس العمل",AG18,IF(COUNTIFS('سجل الإجازات والحالات'!$B$6:$B$505,B18,'سجل الإجازات والحالات'!$E$6:$E$505,"&lt;="&amp;cfg_VAL_DATE,'سجل الإجازات والحالات'!$F$6:$F$505,"&gt;="&amp;cfg_VAL_DATE)&gt;0,"✈ "&amp;INDEX('سجل الإجازات والحالات'!$D$6:$D$505,MATCH(1,INDEX(('سجل الإجازات والحالات'!$B$6:$B$505=B18)*('سجل الإجازات والحالات'!$E$6:$E$505&lt;=cfg_VAL_DATE)*('سجل الإجازات والحالات'!$F$6:$F$505&gt;=cfg_VAL_DATE),0),0)),"✔ على رأس العمل")))</f>
        <v/>
      </c>
      <c r="AI18" s="79"/>
      <c r="AJ18" s="79"/>
      <c r="AK18" s="79"/>
    </row>
    <row r="19" customFormat="false" ht="15" hidden="false" customHeight="false" outlineLevel="0" collapsed="false">
      <c r="A19" s="100" t="str">
        <f aca="false">IF(B19="","",ROW()-5)</f>
        <v/>
      </c>
      <c r="B19" s="79"/>
      <c r="C19" s="79"/>
      <c r="D19" s="79"/>
      <c r="E19" s="79"/>
      <c r="F19" s="79"/>
      <c r="G19" s="79"/>
      <c r="H19" s="94"/>
      <c r="I19" s="95"/>
      <c r="J19" s="94"/>
      <c r="K19" s="94"/>
      <c r="L19" s="96"/>
      <c r="M19" s="96"/>
      <c r="N19" s="96"/>
      <c r="O19" s="96"/>
      <c r="P19" s="101" t="str">
        <f aca="false">IF(B19="","",SUM(L19:O19))</f>
        <v/>
      </c>
      <c r="Q19" s="101" t="str">
        <f aca="false">IF(B19="","",L19+IF(cfg_EOS_H="نعم",M19,0)+IF(cfg_EOS_T="نعم",N19,0)+IF(cfg_EOS_O="نعم",O19,0))</f>
        <v/>
      </c>
      <c r="R19" s="101" t="str">
        <f aca="false">IF(B19="","",L19+IF(cfg_LV_H="نعم",M19,0)+IF(cfg_LV_T="نعم",N19,0)+IF(cfg_LV_O="نعم",O19,0))</f>
        <v/>
      </c>
      <c r="S19" s="101" t="str">
        <f aca="false">IF(B19="","",MIN(cfg_G_CAP,L19+M19))</f>
        <v/>
      </c>
      <c r="T19" s="98"/>
      <c r="U19" s="79"/>
      <c r="V19" s="96"/>
      <c r="W19" s="98"/>
      <c r="X19" s="96"/>
      <c r="Y19" s="96"/>
      <c r="Z19" s="96"/>
      <c r="AA19" s="96"/>
      <c r="AB19" s="101" t="str">
        <f aca="false">IF(B19="","",IF(X19&lt;&gt;"",X19,IF(E19="غير سعودي",cfg_IQ,0))+IF(Y19&lt;&gt;"",Y19,IF(E19="غير سعودي",cfg_WP,0))+IF(Z19&lt;&gt;"",Z19,cfg_MED)+N(AA19))</f>
        <v/>
      </c>
      <c r="AC19" s="99"/>
      <c r="AD19" s="96"/>
      <c r="AE19" s="94"/>
      <c r="AF19" s="79"/>
      <c r="AG19" s="102" t="str">
        <f aca="false">IF(B19="","",IF(AND(AE19&lt;&gt;"",AE19&lt;=cfg_VAL_DATE),"✖ منتهي الخدمة",IF(H19&gt;cfg_VAL_DATE,"⏳ لم يباشر بعد","✔ على رأس العمل")))</f>
        <v/>
      </c>
      <c r="AH19" s="102" t="str">
        <f aca="false">IF(B19="","",IF(AG19&lt;&gt;"✔ على رأس العمل",AG19,IF(COUNTIFS('سجل الإجازات والحالات'!$B$6:$B$505,B19,'سجل الإجازات والحالات'!$E$6:$E$505,"&lt;="&amp;cfg_VAL_DATE,'سجل الإجازات والحالات'!$F$6:$F$505,"&gt;="&amp;cfg_VAL_DATE)&gt;0,"✈ "&amp;INDEX('سجل الإجازات والحالات'!$D$6:$D$505,MATCH(1,INDEX(('سجل الإجازات والحالات'!$B$6:$B$505=B19)*('سجل الإجازات والحالات'!$E$6:$E$505&lt;=cfg_VAL_DATE)*('سجل الإجازات والحالات'!$F$6:$F$505&gt;=cfg_VAL_DATE),0),0)),"✔ على رأس العمل")))</f>
        <v/>
      </c>
      <c r="AI19" s="79"/>
      <c r="AJ19" s="79"/>
      <c r="AK19" s="79"/>
    </row>
    <row r="20" customFormat="false" ht="15" hidden="false" customHeight="false" outlineLevel="0" collapsed="false">
      <c r="A20" s="93" t="str">
        <f aca="false">IF(B20="","",ROW()-5)</f>
        <v/>
      </c>
      <c r="B20" s="79"/>
      <c r="C20" s="79"/>
      <c r="D20" s="79"/>
      <c r="E20" s="79"/>
      <c r="F20" s="79"/>
      <c r="G20" s="79"/>
      <c r="H20" s="94"/>
      <c r="I20" s="95"/>
      <c r="J20" s="94"/>
      <c r="K20" s="94"/>
      <c r="L20" s="96"/>
      <c r="M20" s="96"/>
      <c r="N20" s="96"/>
      <c r="O20" s="96"/>
      <c r="P20" s="97" t="str">
        <f aca="false">IF(B20="","",SUM(L20:O20))</f>
        <v/>
      </c>
      <c r="Q20" s="97" t="str">
        <f aca="false">IF(B20="","",L20+IF(cfg_EOS_H="نعم",M20,0)+IF(cfg_EOS_T="نعم",N20,0)+IF(cfg_EOS_O="نعم",O20,0))</f>
        <v/>
      </c>
      <c r="R20" s="97" t="str">
        <f aca="false">IF(B20="","",L20+IF(cfg_LV_H="نعم",M20,0)+IF(cfg_LV_T="نعم",N20,0)+IF(cfg_LV_O="نعم",O20,0))</f>
        <v/>
      </c>
      <c r="S20" s="97" t="str">
        <f aca="false">IF(B20="","",MIN(cfg_G_CAP,L20+M20))</f>
        <v/>
      </c>
      <c r="T20" s="98"/>
      <c r="U20" s="79"/>
      <c r="V20" s="96"/>
      <c r="W20" s="98"/>
      <c r="X20" s="96"/>
      <c r="Y20" s="96"/>
      <c r="Z20" s="96"/>
      <c r="AA20" s="96"/>
      <c r="AB20" s="97" t="str">
        <f aca="false">IF(B20="","",IF(X20&lt;&gt;"",X20,IF(E20="غير سعودي",cfg_IQ,0))+IF(Y20&lt;&gt;"",Y20,IF(E20="غير سعودي",cfg_WP,0))+IF(Z20&lt;&gt;"",Z20,cfg_MED)+N(AA20))</f>
        <v/>
      </c>
      <c r="AC20" s="99"/>
      <c r="AD20" s="96"/>
      <c r="AE20" s="94"/>
      <c r="AF20" s="79"/>
      <c r="AG20" s="80" t="str">
        <f aca="false">IF(B20="","",IF(AND(AE20&lt;&gt;"",AE20&lt;=cfg_VAL_DATE),"✖ منتهي الخدمة",IF(H20&gt;cfg_VAL_DATE,"⏳ لم يباشر بعد","✔ على رأس العمل")))</f>
        <v/>
      </c>
      <c r="AH20" s="80" t="str">
        <f aca="false">IF(B20="","",IF(AG20&lt;&gt;"✔ على رأس العمل",AG20,IF(COUNTIFS('سجل الإجازات والحالات'!$B$6:$B$505,B20,'سجل الإجازات والحالات'!$E$6:$E$505,"&lt;="&amp;cfg_VAL_DATE,'سجل الإجازات والحالات'!$F$6:$F$505,"&gt;="&amp;cfg_VAL_DATE)&gt;0,"✈ "&amp;INDEX('سجل الإجازات والحالات'!$D$6:$D$505,MATCH(1,INDEX(('سجل الإجازات والحالات'!$B$6:$B$505=B20)*('سجل الإجازات والحالات'!$E$6:$E$505&lt;=cfg_VAL_DATE)*('سجل الإجازات والحالات'!$F$6:$F$505&gt;=cfg_VAL_DATE),0),0)),"✔ على رأس العمل")))</f>
        <v/>
      </c>
      <c r="AI20" s="79"/>
      <c r="AJ20" s="79"/>
      <c r="AK20" s="79"/>
    </row>
    <row r="21" customFormat="false" ht="15" hidden="false" customHeight="false" outlineLevel="0" collapsed="false">
      <c r="A21" s="100" t="str">
        <f aca="false">IF(B21="","",ROW()-5)</f>
        <v/>
      </c>
      <c r="B21" s="79"/>
      <c r="C21" s="79"/>
      <c r="D21" s="79"/>
      <c r="E21" s="79"/>
      <c r="F21" s="79"/>
      <c r="G21" s="79"/>
      <c r="H21" s="94"/>
      <c r="I21" s="95"/>
      <c r="J21" s="94"/>
      <c r="K21" s="94"/>
      <c r="L21" s="96"/>
      <c r="M21" s="96"/>
      <c r="N21" s="96"/>
      <c r="O21" s="96"/>
      <c r="P21" s="101" t="str">
        <f aca="false">IF(B21="","",SUM(L21:O21))</f>
        <v/>
      </c>
      <c r="Q21" s="101" t="str">
        <f aca="false">IF(B21="","",L21+IF(cfg_EOS_H="نعم",M21,0)+IF(cfg_EOS_T="نعم",N21,0)+IF(cfg_EOS_O="نعم",O21,0))</f>
        <v/>
      </c>
      <c r="R21" s="101" t="str">
        <f aca="false">IF(B21="","",L21+IF(cfg_LV_H="نعم",M21,0)+IF(cfg_LV_T="نعم",N21,0)+IF(cfg_LV_O="نعم",O21,0))</f>
        <v/>
      </c>
      <c r="S21" s="101" t="str">
        <f aca="false">IF(B21="","",MIN(cfg_G_CAP,L21+M21))</f>
        <v/>
      </c>
      <c r="T21" s="98"/>
      <c r="U21" s="79"/>
      <c r="V21" s="96"/>
      <c r="W21" s="98"/>
      <c r="X21" s="96"/>
      <c r="Y21" s="96"/>
      <c r="Z21" s="96"/>
      <c r="AA21" s="96"/>
      <c r="AB21" s="101" t="str">
        <f aca="false">IF(B21="","",IF(X21&lt;&gt;"",X21,IF(E21="غير سعودي",cfg_IQ,0))+IF(Y21&lt;&gt;"",Y21,IF(E21="غير سعودي",cfg_WP,0))+IF(Z21&lt;&gt;"",Z21,cfg_MED)+N(AA21))</f>
        <v/>
      </c>
      <c r="AC21" s="99"/>
      <c r="AD21" s="96"/>
      <c r="AE21" s="94"/>
      <c r="AF21" s="79"/>
      <c r="AG21" s="102" t="str">
        <f aca="false">IF(B21="","",IF(AND(AE21&lt;&gt;"",AE21&lt;=cfg_VAL_DATE),"✖ منتهي الخدمة",IF(H21&gt;cfg_VAL_DATE,"⏳ لم يباشر بعد","✔ على رأس العمل")))</f>
        <v/>
      </c>
      <c r="AH21" s="102" t="str">
        <f aca="false">IF(B21="","",IF(AG21&lt;&gt;"✔ على رأس العمل",AG21,IF(COUNTIFS('سجل الإجازات والحالات'!$B$6:$B$505,B21,'سجل الإجازات والحالات'!$E$6:$E$505,"&lt;="&amp;cfg_VAL_DATE,'سجل الإجازات والحالات'!$F$6:$F$505,"&gt;="&amp;cfg_VAL_DATE)&gt;0,"✈ "&amp;INDEX('سجل الإجازات والحالات'!$D$6:$D$505,MATCH(1,INDEX(('سجل الإجازات والحالات'!$B$6:$B$505=B21)*('سجل الإجازات والحالات'!$E$6:$E$505&lt;=cfg_VAL_DATE)*('سجل الإجازات والحالات'!$F$6:$F$505&gt;=cfg_VAL_DATE),0),0)),"✔ على رأس العمل")))</f>
        <v/>
      </c>
      <c r="AI21" s="79"/>
      <c r="AJ21" s="79"/>
      <c r="AK21" s="79"/>
    </row>
    <row r="22" customFormat="false" ht="15" hidden="false" customHeight="false" outlineLevel="0" collapsed="false">
      <c r="A22" s="93" t="str">
        <f aca="false">IF(B22="","",ROW()-5)</f>
        <v/>
      </c>
      <c r="B22" s="79"/>
      <c r="C22" s="79"/>
      <c r="D22" s="79"/>
      <c r="E22" s="79"/>
      <c r="F22" s="79"/>
      <c r="G22" s="79"/>
      <c r="H22" s="94"/>
      <c r="I22" s="95"/>
      <c r="J22" s="94"/>
      <c r="K22" s="94"/>
      <c r="L22" s="96"/>
      <c r="M22" s="96"/>
      <c r="N22" s="96"/>
      <c r="O22" s="96"/>
      <c r="P22" s="97" t="str">
        <f aca="false">IF(B22="","",SUM(L22:O22))</f>
        <v/>
      </c>
      <c r="Q22" s="97" t="str">
        <f aca="false">IF(B22="","",L22+IF(cfg_EOS_H="نعم",M22,0)+IF(cfg_EOS_T="نعم",N22,0)+IF(cfg_EOS_O="نعم",O22,0))</f>
        <v/>
      </c>
      <c r="R22" s="97" t="str">
        <f aca="false">IF(B22="","",L22+IF(cfg_LV_H="نعم",M22,0)+IF(cfg_LV_T="نعم",N22,0)+IF(cfg_LV_O="نعم",O22,0))</f>
        <v/>
      </c>
      <c r="S22" s="97" t="str">
        <f aca="false">IF(B22="","",MIN(cfg_G_CAP,L22+M22))</f>
        <v/>
      </c>
      <c r="T22" s="98"/>
      <c r="U22" s="79"/>
      <c r="V22" s="96"/>
      <c r="W22" s="98"/>
      <c r="X22" s="96"/>
      <c r="Y22" s="96"/>
      <c r="Z22" s="96"/>
      <c r="AA22" s="96"/>
      <c r="AB22" s="97" t="str">
        <f aca="false">IF(B22="","",IF(X22&lt;&gt;"",X22,IF(E22="غير سعودي",cfg_IQ,0))+IF(Y22&lt;&gt;"",Y22,IF(E22="غير سعودي",cfg_WP,0))+IF(Z22&lt;&gt;"",Z22,cfg_MED)+N(AA22))</f>
        <v/>
      </c>
      <c r="AC22" s="99"/>
      <c r="AD22" s="96"/>
      <c r="AE22" s="94"/>
      <c r="AF22" s="79"/>
      <c r="AG22" s="80" t="str">
        <f aca="false">IF(B22="","",IF(AND(AE22&lt;&gt;"",AE22&lt;=cfg_VAL_DATE),"✖ منتهي الخدمة",IF(H22&gt;cfg_VAL_DATE,"⏳ لم يباشر بعد","✔ على رأس العمل")))</f>
        <v/>
      </c>
      <c r="AH22" s="80" t="str">
        <f aca="false">IF(B22="","",IF(AG22&lt;&gt;"✔ على رأس العمل",AG22,IF(COUNTIFS('سجل الإجازات والحالات'!$B$6:$B$505,B22,'سجل الإجازات والحالات'!$E$6:$E$505,"&lt;="&amp;cfg_VAL_DATE,'سجل الإجازات والحالات'!$F$6:$F$505,"&gt;="&amp;cfg_VAL_DATE)&gt;0,"✈ "&amp;INDEX('سجل الإجازات والحالات'!$D$6:$D$505,MATCH(1,INDEX(('سجل الإجازات والحالات'!$B$6:$B$505=B22)*('سجل الإجازات والحالات'!$E$6:$E$505&lt;=cfg_VAL_DATE)*('سجل الإجازات والحالات'!$F$6:$F$505&gt;=cfg_VAL_DATE),0),0)),"✔ على رأس العمل")))</f>
        <v/>
      </c>
      <c r="AI22" s="79"/>
      <c r="AJ22" s="79"/>
      <c r="AK22" s="79"/>
    </row>
    <row r="23" customFormat="false" ht="15" hidden="false" customHeight="false" outlineLevel="0" collapsed="false">
      <c r="A23" s="100" t="str">
        <f aca="false">IF(B23="","",ROW()-5)</f>
        <v/>
      </c>
      <c r="B23" s="79"/>
      <c r="C23" s="79"/>
      <c r="D23" s="79"/>
      <c r="E23" s="79"/>
      <c r="F23" s="79"/>
      <c r="G23" s="79"/>
      <c r="H23" s="94"/>
      <c r="I23" s="95"/>
      <c r="J23" s="94"/>
      <c r="K23" s="94"/>
      <c r="L23" s="96"/>
      <c r="M23" s="96"/>
      <c r="N23" s="96"/>
      <c r="O23" s="96"/>
      <c r="P23" s="101" t="str">
        <f aca="false">IF(B23="","",SUM(L23:O23))</f>
        <v/>
      </c>
      <c r="Q23" s="101" t="str">
        <f aca="false">IF(B23="","",L23+IF(cfg_EOS_H="نعم",M23,0)+IF(cfg_EOS_T="نعم",N23,0)+IF(cfg_EOS_O="نعم",O23,0))</f>
        <v/>
      </c>
      <c r="R23" s="101" t="str">
        <f aca="false">IF(B23="","",L23+IF(cfg_LV_H="نعم",M23,0)+IF(cfg_LV_T="نعم",N23,0)+IF(cfg_LV_O="نعم",O23,0))</f>
        <v/>
      </c>
      <c r="S23" s="101" t="str">
        <f aca="false">IF(B23="","",MIN(cfg_G_CAP,L23+M23))</f>
        <v/>
      </c>
      <c r="T23" s="98"/>
      <c r="U23" s="79"/>
      <c r="V23" s="96"/>
      <c r="W23" s="98"/>
      <c r="X23" s="96"/>
      <c r="Y23" s="96"/>
      <c r="Z23" s="96"/>
      <c r="AA23" s="96"/>
      <c r="AB23" s="101" t="str">
        <f aca="false">IF(B23="","",IF(X23&lt;&gt;"",X23,IF(E23="غير سعودي",cfg_IQ,0))+IF(Y23&lt;&gt;"",Y23,IF(E23="غير سعودي",cfg_WP,0))+IF(Z23&lt;&gt;"",Z23,cfg_MED)+N(AA23))</f>
        <v/>
      </c>
      <c r="AC23" s="99"/>
      <c r="AD23" s="96"/>
      <c r="AE23" s="94"/>
      <c r="AF23" s="79"/>
      <c r="AG23" s="102" t="str">
        <f aca="false">IF(B23="","",IF(AND(AE23&lt;&gt;"",AE23&lt;=cfg_VAL_DATE),"✖ منتهي الخدمة",IF(H23&gt;cfg_VAL_DATE,"⏳ لم يباشر بعد","✔ على رأس العمل")))</f>
        <v/>
      </c>
      <c r="AH23" s="102" t="str">
        <f aca="false">IF(B23="","",IF(AG23&lt;&gt;"✔ على رأس العمل",AG23,IF(COUNTIFS('سجل الإجازات والحالات'!$B$6:$B$505,B23,'سجل الإجازات والحالات'!$E$6:$E$505,"&lt;="&amp;cfg_VAL_DATE,'سجل الإجازات والحالات'!$F$6:$F$505,"&gt;="&amp;cfg_VAL_DATE)&gt;0,"✈ "&amp;INDEX('سجل الإجازات والحالات'!$D$6:$D$505,MATCH(1,INDEX(('سجل الإجازات والحالات'!$B$6:$B$505=B23)*('سجل الإجازات والحالات'!$E$6:$E$505&lt;=cfg_VAL_DATE)*('سجل الإجازات والحالات'!$F$6:$F$505&gt;=cfg_VAL_DATE),0),0)),"✔ على رأس العمل")))</f>
        <v/>
      </c>
      <c r="AI23" s="79"/>
      <c r="AJ23" s="79"/>
      <c r="AK23" s="79"/>
    </row>
    <row r="24" customFormat="false" ht="15" hidden="false" customHeight="false" outlineLevel="0" collapsed="false">
      <c r="A24" s="93" t="str">
        <f aca="false">IF(B24="","",ROW()-5)</f>
        <v/>
      </c>
      <c r="B24" s="79"/>
      <c r="C24" s="79"/>
      <c r="D24" s="79"/>
      <c r="E24" s="79"/>
      <c r="F24" s="79"/>
      <c r="G24" s="79"/>
      <c r="H24" s="94"/>
      <c r="I24" s="95"/>
      <c r="J24" s="94"/>
      <c r="K24" s="94"/>
      <c r="L24" s="96"/>
      <c r="M24" s="96"/>
      <c r="N24" s="96"/>
      <c r="O24" s="96"/>
      <c r="P24" s="97" t="str">
        <f aca="false">IF(B24="","",SUM(L24:O24))</f>
        <v/>
      </c>
      <c r="Q24" s="97" t="str">
        <f aca="false">IF(B24="","",L24+IF(cfg_EOS_H="نعم",M24,0)+IF(cfg_EOS_T="نعم",N24,0)+IF(cfg_EOS_O="نعم",O24,0))</f>
        <v/>
      </c>
      <c r="R24" s="97" t="str">
        <f aca="false">IF(B24="","",L24+IF(cfg_LV_H="نعم",M24,0)+IF(cfg_LV_T="نعم",N24,0)+IF(cfg_LV_O="نعم",O24,0))</f>
        <v/>
      </c>
      <c r="S24" s="97" t="str">
        <f aca="false">IF(B24="","",MIN(cfg_G_CAP,L24+M24))</f>
        <v/>
      </c>
      <c r="T24" s="98"/>
      <c r="U24" s="79"/>
      <c r="V24" s="96"/>
      <c r="W24" s="98"/>
      <c r="X24" s="96"/>
      <c r="Y24" s="96"/>
      <c r="Z24" s="96"/>
      <c r="AA24" s="96"/>
      <c r="AB24" s="97" t="str">
        <f aca="false">IF(B24="","",IF(X24&lt;&gt;"",X24,IF(E24="غير سعودي",cfg_IQ,0))+IF(Y24&lt;&gt;"",Y24,IF(E24="غير سعودي",cfg_WP,0))+IF(Z24&lt;&gt;"",Z24,cfg_MED)+N(AA24))</f>
        <v/>
      </c>
      <c r="AC24" s="99"/>
      <c r="AD24" s="96"/>
      <c r="AE24" s="94"/>
      <c r="AF24" s="79"/>
      <c r="AG24" s="80" t="str">
        <f aca="false">IF(B24="","",IF(AND(AE24&lt;&gt;"",AE24&lt;=cfg_VAL_DATE),"✖ منتهي الخدمة",IF(H24&gt;cfg_VAL_DATE,"⏳ لم يباشر بعد","✔ على رأس العمل")))</f>
        <v/>
      </c>
      <c r="AH24" s="80" t="str">
        <f aca="false">IF(B24="","",IF(AG24&lt;&gt;"✔ على رأس العمل",AG24,IF(COUNTIFS('سجل الإجازات والحالات'!$B$6:$B$505,B24,'سجل الإجازات والحالات'!$E$6:$E$505,"&lt;="&amp;cfg_VAL_DATE,'سجل الإجازات والحالات'!$F$6:$F$505,"&gt;="&amp;cfg_VAL_DATE)&gt;0,"✈ "&amp;INDEX('سجل الإجازات والحالات'!$D$6:$D$505,MATCH(1,INDEX(('سجل الإجازات والحالات'!$B$6:$B$505=B24)*('سجل الإجازات والحالات'!$E$6:$E$505&lt;=cfg_VAL_DATE)*('سجل الإجازات والحالات'!$F$6:$F$505&gt;=cfg_VAL_DATE),0),0)),"✔ على رأس العمل")))</f>
        <v/>
      </c>
      <c r="AI24" s="79"/>
      <c r="AJ24" s="79"/>
      <c r="AK24" s="79"/>
    </row>
    <row r="25" customFormat="false" ht="15" hidden="false" customHeight="false" outlineLevel="0" collapsed="false">
      <c r="A25" s="100" t="str">
        <f aca="false">IF(B25="","",ROW()-5)</f>
        <v/>
      </c>
      <c r="B25" s="79"/>
      <c r="C25" s="79"/>
      <c r="D25" s="79"/>
      <c r="E25" s="79"/>
      <c r="F25" s="79"/>
      <c r="G25" s="79"/>
      <c r="H25" s="94"/>
      <c r="I25" s="95"/>
      <c r="J25" s="94"/>
      <c r="K25" s="94"/>
      <c r="L25" s="96"/>
      <c r="M25" s="96"/>
      <c r="N25" s="96"/>
      <c r="O25" s="96"/>
      <c r="P25" s="101" t="str">
        <f aca="false">IF(B25="","",SUM(L25:O25))</f>
        <v/>
      </c>
      <c r="Q25" s="101" t="str">
        <f aca="false">IF(B25="","",L25+IF(cfg_EOS_H="نعم",M25,0)+IF(cfg_EOS_T="نعم",N25,0)+IF(cfg_EOS_O="نعم",O25,0))</f>
        <v/>
      </c>
      <c r="R25" s="101" t="str">
        <f aca="false">IF(B25="","",L25+IF(cfg_LV_H="نعم",M25,0)+IF(cfg_LV_T="نعم",N25,0)+IF(cfg_LV_O="نعم",O25,0))</f>
        <v/>
      </c>
      <c r="S25" s="101" t="str">
        <f aca="false">IF(B25="","",MIN(cfg_G_CAP,L25+M25))</f>
        <v/>
      </c>
      <c r="T25" s="98"/>
      <c r="U25" s="79"/>
      <c r="V25" s="96"/>
      <c r="W25" s="98"/>
      <c r="X25" s="96"/>
      <c r="Y25" s="96"/>
      <c r="Z25" s="96"/>
      <c r="AA25" s="96"/>
      <c r="AB25" s="101" t="str">
        <f aca="false">IF(B25="","",IF(X25&lt;&gt;"",X25,IF(E25="غير سعودي",cfg_IQ,0))+IF(Y25&lt;&gt;"",Y25,IF(E25="غير سعودي",cfg_WP,0))+IF(Z25&lt;&gt;"",Z25,cfg_MED)+N(AA25))</f>
        <v/>
      </c>
      <c r="AC25" s="99"/>
      <c r="AD25" s="96"/>
      <c r="AE25" s="94"/>
      <c r="AF25" s="79"/>
      <c r="AG25" s="102" t="str">
        <f aca="false">IF(B25="","",IF(AND(AE25&lt;&gt;"",AE25&lt;=cfg_VAL_DATE),"✖ منتهي الخدمة",IF(H25&gt;cfg_VAL_DATE,"⏳ لم يباشر بعد","✔ على رأس العمل")))</f>
        <v/>
      </c>
      <c r="AH25" s="102" t="str">
        <f aca="false">IF(B25="","",IF(AG25&lt;&gt;"✔ على رأس العمل",AG25,IF(COUNTIFS('سجل الإجازات والحالات'!$B$6:$B$505,B25,'سجل الإجازات والحالات'!$E$6:$E$505,"&lt;="&amp;cfg_VAL_DATE,'سجل الإجازات والحالات'!$F$6:$F$505,"&gt;="&amp;cfg_VAL_DATE)&gt;0,"✈ "&amp;INDEX('سجل الإجازات والحالات'!$D$6:$D$505,MATCH(1,INDEX(('سجل الإجازات والحالات'!$B$6:$B$505=B25)*('سجل الإجازات والحالات'!$E$6:$E$505&lt;=cfg_VAL_DATE)*('سجل الإجازات والحالات'!$F$6:$F$505&gt;=cfg_VAL_DATE),0),0)),"✔ على رأس العمل")))</f>
        <v/>
      </c>
      <c r="AI25" s="79"/>
      <c r="AJ25" s="79"/>
      <c r="AK25" s="79"/>
    </row>
    <row r="26" customFormat="false" ht="15" hidden="false" customHeight="false" outlineLevel="0" collapsed="false">
      <c r="A26" s="93" t="str">
        <f aca="false">IF(B26="","",ROW()-5)</f>
        <v/>
      </c>
      <c r="B26" s="79"/>
      <c r="C26" s="79"/>
      <c r="D26" s="79"/>
      <c r="E26" s="79"/>
      <c r="F26" s="79"/>
      <c r="G26" s="79"/>
      <c r="H26" s="94"/>
      <c r="I26" s="95"/>
      <c r="J26" s="94"/>
      <c r="K26" s="94"/>
      <c r="L26" s="96"/>
      <c r="M26" s="96"/>
      <c r="N26" s="96"/>
      <c r="O26" s="96"/>
      <c r="P26" s="97" t="str">
        <f aca="false">IF(B26="","",SUM(L26:O26))</f>
        <v/>
      </c>
      <c r="Q26" s="97" t="str">
        <f aca="false">IF(B26="","",L26+IF(cfg_EOS_H="نعم",M26,0)+IF(cfg_EOS_T="نعم",N26,0)+IF(cfg_EOS_O="نعم",O26,0))</f>
        <v/>
      </c>
      <c r="R26" s="97" t="str">
        <f aca="false">IF(B26="","",L26+IF(cfg_LV_H="نعم",M26,0)+IF(cfg_LV_T="نعم",N26,0)+IF(cfg_LV_O="نعم",O26,0))</f>
        <v/>
      </c>
      <c r="S26" s="97" t="str">
        <f aca="false">IF(B26="","",MIN(cfg_G_CAP,L26+M26))</f>
        <v/>
      </c>
      <c r="T26" s="98"/>
      <c r="U26" s="79"/>
      <c r="V26" s="96"/>
      <c r="W26" s="98"/>
      <c r="X26" s="96"/>
      <c r="Y26" s="96"/>
      <c r="Z26" s="96"/>
      <c r="AA26" s="96"/>
      <c r="AB26" s="97" t="str">
        <f aca="false">IF(B26="","",IF(X26&lt;&gt;"",X26,IF(E26="غير سعودي",cfg_IQ,0))+IF(Y26&lt;&gt;"",Y26,IF(E26="غير سعودي",cfg_WP,0))+IF(Z26&lt;&gt;"",Z26,cfg_MED)+N(AA26))</f>
        <v/>
      </c>
      <c r="AC26" s="99"/>
      <c r="AD26" s="96"/>
      <c r="AE26" s="94"/>
      <c r="AF26" s="79"/>
      <c r="AG26" s="80" t="str">
        <f aca="false">IF(B26="","",IF(AND(AE26&lt;&gt;"",AE26&lt;=cfg_VAL_DATE),"✖ منتهي الخدمة",IF(H26&gt;cfg_VAL_DATE,"⏳ لم يباشر بعد","✔ على رأس العمل")))</f>
        <v/>
      </c>
      <c r="AH26" s="80" t="str">
        <f aca="false">IF(B26="","",IF(AG26&lt;&gt;"✔ على رأس العمل",AG26,IF(COUNTIFS('سجل الإجازات والحالات'!$B$6:$B$505,B26,'سجل الإجازات والحالات'!$E$6:$E$505,"&lt;="&amp;cfg_VAL_DATE,'سجل الإجازات والحالات'!$F$6:$F$505,"&gt;="&amp;cfg_VAL_DATE)&gt;0,"✈ "&amp;INDEX('سجل الإجازات والحالات'!$D$6:$D$505,MATCH(1,INDEX(('سجل الإجازات والحالات'!$B$6:$B$505=B26)*('سجل الإجازات والحالات'!$E$6:$E$505&lt;=cfg_VAL_DATE)*('سجل الإجازات والحالات'!$F$6:$F$505&gt;=cfg_VAL_DATE),0),0)),"✔ على رأس العمل")))</f>
        <v/>
      </c>
      <c r="AI26" s="79"/>
      <c r="AJ26" s="79"/>
      <c r="AK26" s="79"/>
    </row>
    <row r="27" customFormat="false" ht="15" hidden="false" customHeight="false" outlineLevel="0" collapsed="false">
      <c r="A27" s="100" t="str">
        <f aca="false">IF(B27="","",ROW()-5)</f>
        <v/>
      </c>
      <c r="B27" s="79"/>
      <c r="C27" s="79"/>
      <c r="D27" s="79"/>
      <c r="E27" s="79"/>
      <c r="F27" s="79"/>
      <c r="G27" s="79"/>
      <c r="H27" s="94"/>
      <c r="I27" s="95"/>
      <c r="J27" s="94"/>
      <c r="K27" s="94"/>
      <c r="L27" s="96"/>
      <c r="M27" s="96"/>
      <c r="N27" s="96"/>
      <c r="O27" s="96"/>
      <c r="P27" s="101" t="str">
        <f aca="false">IF(B27="","",SUM(L27:O27))</f>
        <v/>
      </c>
      <c r="Q27" s="101" t="str">
        <f aca="false">IF(B27="","",L27+IF(cfg_EOS_H="نعم",M27,0)+IF(cfg_EOS_T="نعم",N27,0)+IF(cfg_EOS_O="نعم",O27,0))</f>
        <v/>
      </c>
      <c r="R27" s="101" t="str">
        <f aca="false">IF(B27="","",L27+IF(cfg_LV_H="نعم",M27,0)+IF(cfg_LV_T="نعم",N27,0)+IF(cfg_LV_O="نعم",O27,0))</f>
        <v/>
      </c>
      <c r="S27" s="101" t="str">
        <f aca="false">IF(B27="","",MIN(cfg_G_CAP,L27+M27))</f>
        <v/>
      </c>
      <c r="T27" s="98"/>
      <c r="U27" s="79"/>
      <c r="V27" s="96"/>
      <c r="W27" s="98"/>
      <c r="X27" s="96"/>
      <c r="Y27" s="96"/>
      <c r="Z27" s="96"/>
      <c r="AA27" s="96"/>
      <c r="AB27" s="101" t="str">
        <f aca="false">IF(B27="","",IF(X27&lt;&gt;"",X27,IF(E27="غير سعودي",cfg_IQ,0))+IF(Y27&lt;&gt;"",Y27,IF(E27="غير سعودي",cfg_WP,0))+IF(Z27&lt;&gt;"",Z27,cfg_MED)+N(AA27))</f>
        <v/>
      </c>
      <c r="AC27" s="99"/>
      <c r="AD27" s="96"/>
      <c r="AE27" s="94"/>
      <c r="AF27" s="79"/>
      <c r="AG27" s="102" t="str">
        <f aca="false">IF(B27="","",IF(AND(AE27&lt;&gt;"",AE27&lt;=cfg_VAL_DATE),"✖ منتهي الخدمة",IF(H27&gt;cfg_VAL_DATE,"⏳ لم يباشر بعد","✔ على رأس العمل")))</f>
        <v/>
      </c>
      <c r="AH27" s="102" t="str">
        <f aca="false">IF(B27="","",IF(AG27&lt;&gt;"✔ على رأس العمل",AG27,IF(COUNTIFS('سجل الإجازات والحالات'!$B$6:$B$505,B27,'سجل الإجازات والحالات'!$E$6:$E$505,"&lt;="&amp;cfg_VAL_DATE,'سجل الإجازات والحالات'!$F$6:$F$505,"&gt;="&amp;cfg_VAL_DATE)&gt;0,"✈ "&amp;INDEX('سجل الإجازات والحالات'!$D$6:$D$505,MATCH(1,INDEX(('سجل الإجازات والحالات'!$B$6:$B$505=B27)*('سجل الإجازات والحالات'!$E$6:$E$505&lt;=cfg_VAL_DATE)*('سجل الإجازات والحالات'!$F$6:$F$505&gt;=cfg_VAL_DATE),0),0)),"✔ على رأس العمل")))</f>
        <v/>
      </c>
      <c r="AI27" s="79"/>
      <c r="AJ27" s="79"/>
      <c r="AK27" s="79"/>
    </row>
    <row r="28" customFormat="false" ht="15" hidden="false" customHeight="false" outlineLevel="0" collapsed="false">
      <c r="A28" s="93" t="str">
        <f aca="false">IF(B28="","",ROW()-5)</f>
        <v/>
      </c>
      <c r="B28" s="79"/>
      <c r="C28" s="79"/>
      <c r="D28" s="79"/>
      <c r="E28" s="79"/>
      <c r="F28" s="79"/>
      <c r="G28" s="79"/>
      <c r="H28" s="94"/>
      <c r="I28" s="95"/>
      <c r="J28" s="94"/>
      <c r="K28" s="94"/>
      <c r="L28" s="96"/>
      <c r="M28" s="96"/>
      <c r="N28" s="96"/>
      <c r="O28" s="96"/>
      <c r="P28" s="97" t="str">
        <f aca="false">IF(B28="","",SUM(L28:O28))</f>
        <v/>
      </c>
      <c r="Q28" s="97" t="str">
        <f aca="false">IF(B28="","",L28+IF(cfg_EOS_H="نعم",M28,0)+IF(cfg_EOS_T="نعم",N28,0)+IF(cfg_EOS_O="نعم",O28,0))</f>
        <v/>
      </c>
      <c r="R28" s="97" t="str">
        <f aca="false">IF(B28="","",L28+IF(cfg_LV_H="نعم",M28,0)+IF(cfg_LV_T="نعم",N28,0)+IF(cfg_LV_O="نعم",O28,0))</f>
        <v/>
      </c>
      <c r="S28" s="97" t="str">
        <f aca="false">IF(B28="","",MIN(cfg_G_CAP,L28+M28))</f>
        <v/>
      </c>
      <c r="T28" s="98"/>
      <c r="U28" s="79"/>
      <c r="V28" s="96"/>
      <c r="W28" s="98"/>
      <c r="X28" s="96"/>
      <c r="Y28" s="96"/>
      <c r="Z28" s="96"/>
      <c r="AA28" s="96"/>
      <c r="AB28" s="97" t="str">
        <f aca="false">IF(B28="","",IF(X28&lt;&gt;"",X28,IF(E28="غير سعودي",cfg_IQ,0))+IF(Y28&lt;&gt;"",Y28,IF(E28="غير سعودي",cfg_WP,0))+IF(Z28&lt;&gt;"",Z28,cfg_MED)+N(AA28))</f>
        <v/>
      </c>
      <c r="AC28" s="99"/>
      <c r="AD28" s="96"/>
      <c r="AE28" s="94"/>
      <c r="AF28" s="79"/>
      <c r="AG28" s="80" t="str">
        <f aca="false">IF(B28="","",IF(AND(AE28&lt;&gt;"",AE28&lt;=cfg_VAL_DATE),"✖ منتهي الخدمة",IF(H28&gt;cfg_VAL_DATE,"⏳ لم يباشر بعد","✔ على رأس العمل")))</f>
        <v/>
      </c>
      <c r="AH28" s="80" t="str">
        <f aca="false">IF(B28="","",IF(AG28&lt;&gt;"✔ على رأس العمل",AG28,IF(COUNTIFS('سجل الإجازات والحالات'!$B$6:$B$505,B28,'سجل الإجازات والحالات'!$E$6:$E$505,"&lt;="&amp;cfg_VAL_DATE,'سجل الإجازات والحالات'!$F$6:$F$505,"&gt;="&amp;cfg_VAL_DATE)&gt;0,"✈ "&amp;INDEX('سجل الإجازات والحالات'!$D$6:$D$505,MATCH(1,INDEX(('سجل الإجازات والحالات'!$B$6:$B$505=B28)*('سجل الإجازات والحالات'!$E$6:$E$505&lt;=cfg_VAL_DATE)*('سجل الإجازات والحالات'!$F$6:$F$505&gt;=cfg_VAL_DATE),0),0)),"✔ على رأس العمل")))</f>
        <v/>
      </c>
      <c r="AI28" s="79"/>
      <c r="AJ28" s="79"/>
      <c r="AK28" s="79"/>
    </row>
    <row r="29" customFormat="false" ht="15" hidden="false" customHeight="false" outlineLevel="0" collapsed="false">
      <c r="A29" s="100" t="str">
        <f aca="false">IF(B29="","",ROW()-5)</f>
        <v/>
      </c>
      <c r="B29" s="79"/>
      <c r="C29" s="79"/>
      <c r="D29" s="79"/>
      <c r="E29" s="79"/>
      <c r="F29" s="79"/>
      <c r="G29" s="79"/>
      <c r="H29" s="94"/>
      <c r="I29" s="95"/>
      <c r="J29" s="94"/>
      <c r="K29" s="94"/>
      <c r="L29" s="96"/>
      <c r="M29" s="96"/>
      <c r="N29" s="96"/>
      <c r="O29" s="96"/>
      <c r="P29" s="101" t="str">
        <f aca="false">IF(B29="","",SUM(L29:O29))</f>
        <v/>
      </c>
      <c r="Q29" s="101" t="str">
        <f aca="false">IF(B29="","",L29+IF(cfg_EOS_H="نعم",M29,0)+IF(cfg_EOS_T="نعم",N29,0)+IF(cfg_EOS_O="نعم",O29,0))</f>
        <v/>
      </c>
      <c r="R29" s="101" t="str">
        <f aca="false">IF(B29="","",L29+IF(cfg_LV_H="نعم",M29,0)+IF(cfg_LV_T="نعم",N29,0)+IF(cfg_LV_O="نعم",O29,0))</f>
        <v/>
      </c>
      <c r="S29" s="101" t="str">
        <f aca="false">IF(B29="","",MIN(cfg_G_CAP,L29+M29))</f>
        <v/>
      </c>
      <c r="T29" s="98"/>
      <c r="U29" s="79"/>
      <c r="V29" s="96"/>
      <c r="W29" s="98"/>
      <c r="X29" s="96"/>
      <c r="Y29" s="96"/>
      <c r="Z29" s="96"/>
      <c r="AA29" s="96"/>
      <c r="AB29" s="101" t="str">
        <f aca="false">IF(B29="","",IF(X29&lt;&gt;"",X29,IF(E29="غير سعودي",cfg_IQ,0))+IF(Y29&lt;&gt;"",Y29,IF(E29="غير سعودي",cfg_WP,0))+IF(Z29&lt;&gt;"",Z29,cfg_MED)+N(AA29))</f>
        <v/>
      </c>
      <c r="AC29" s="99"/>
      <c r="AD29" s="96"/>
      <c r="AE29" s="94"/>
      <c r="AF29" s="79"/>
      <c r="AG29" s="102" t="str">
        <f aca="false">IF(B29="","",IF(AND(AE29&lt;&gt;"",AE29&lt;=cfg_VAL_DATE),"✖ منتهي الخدمة",IF(H29&gt;cfg_VAL_DATE,"⏳ لم يباشر بعد","✔ على رأس العمل")))</f>
        <v/>
      </c>
      <c r="AH29" s="102" t="str">
        <f aca="false">IF(B29="","",IF(AG29&lt;&gt;"✔ على رأس العمل",AG29,IF(COUNTIFS('سجل الإجازات والحالات'!$B$6:$B$505,B29,'سجل الإجازات والحالات'!$E$6:$E$505,"&lt;="&amp;cfg_VAL_DATE,'سجل الإجازات والحالات'!$F$6:$F$505,"&gt;="&amp;cfg_VAL_DATE)&gt;0,"✈ "&amp;INDEX('سجل الإجازات والحالات'!$D$6:$D$505,MATCH(1,INDEX(('سجل الإجازات والحالات'!$B$6:$B$505=B29)*('سجل الإجازات والحالات'!$E$6:$E$505&lt;=cfg_VAL_DATE)*('سجل الإجازات والحالات'!$F$6:$F$505&gt;=cfg_VAL_DATE),0),0)),"✔ على رأس العمل")))</f>
        <v/>
      </c>
      <c r="AI29" s="79"/>
      <c r="AJ29" s="79"/>
      <c r="AK29" s="79"/>
    </row>
    <row r="30" customFormat="false" ht="15" hidden="false" customHeight="false" outlineLevel="0" collapsed="false">
      <c r="A30" s="93" t="str">
        <f aca="false">IF(B30="","",ROW()-5)</f>
        <v/>
      </c>
      <c r="B30" s="79"/>
      <c r="C30" s="79"/>
      <c r="D30" s="79"/>
      <c r="E30" s="79"/>
      <c r="F30" s="79"/>
      <c r="G30" s="79"/>
      <c r="H30" s="94"/>
      <c r="I30" s="95"/>
      <c r="J30" s="94"/>
      <c r="K30" s="94"/>
      <c r="L30" s="96"/>
      <c r="M30" s="96"/>
      <c r="N30" s="96"/>
      <c r="O30" s="96"/>
      <c r="P30" s="97" t="str">
        <f aca="false">IF(B30="","",SUM(L30:O30))</f>
        <v/>
      </c>
      <c r="Q30" s="97" t="str">
        <f aca="false">IF(B30="","",L30+IF(cfg_EOS_H="نعم",M30,0)+IF(cfg_EOS_T="نعم",N30,0)+IF(cfg_EOS_O="نعم",O30,0))</f>
        <v/>
      </c>
      <c r="R30" s="97" t="str">
        <f aca="false">IF(B30="","",L30+IF(cfg_LV_H="نعم",M30,0)+IF(cfg_LV_T="نعم",N30,0)+IF(cfg_LV_O="نعم",O30,0))</f>
        <v/>
      </c>
      <c r="S30" s="97" t="str">
        <f aca="false">IF(B30="","",MIN(cfg_G_CAP,L30+M30))</f>
        <v/>
      </c>
      <c r="T30" s="98"/>
      <c r="U30" s="79"/>
      <c r="V30" s="96"/>
      <c r="W30" s="98"/>
      <c r="X30" s="96"/>
      <c r="Y30" s="96"/>
      <c r="Z30" s="96"/>
      <c r="AA30" s="96"/>
      <c r="AB30" s="97" t="str">
        <f aca="false">IF(B30="","",IF(X30&lt;&gt;"",X30,IF(E30="غير سعودي",cfg_IQ,0))+IF(Y30&lt;&gt;"",Y30,IF(E30="غير سعودي",cfg_WP,0))+IF(Z30&lt;&gt;"",Z30,cfg_MED)+N(AA30))</f>
        <v/>
      </c>
      <c r="AC30" s="99"/>
      <c r="AD30" s="96"/>
      <c r="AE30" s="94"/>
      <c r="AF30" s="79"/>
      <c r="AG30" s="80" t="str">
        <f aca="false">IF(B30="","",IF(AND(AE30&lt;&gt;"",AE30&lt;=cfg_VAL_DATE),"✖ منتهي الخدمة",IF(H30&gt;cfg_VAL_DATE,"⏳ لم يباشر بعد","✔ على رأس العمل")))</f>
        <v/>
      </c>
      <c r="AH30" s="80" t="str">
        <f aca="false">IF(B30="","",IF(AG30&lt;&gt;"✔ على رأس العمل",AG30,IF(COUNTIFS('سجل الإجازات والحالات'!$B$6:$B$505,B30,'سجل الإجازات والحالات'!$E$6:$E$505,"&lt;="&amp;cfg_VAL_DATE,'سجل الإجازات والحالات'!$F$6:$F$505,"&gt;="&amp;cfg_VAL_DATE)&gt;0,"✈ "&amp;INDEX('سجل الإجازات والحالات'!$D$6:$D$505,MATCH(1,INDEX(('سجل الإجازات والحالات'!$B$6:$B$505=B30)*('سجل الإجازات والحالات'!$E$6:$E$505&lt;=cfg_VAL_DATE)*('سجل الإجازات والحالات'!$F$6:$F$505&gt;=cfg_VAL_DATE),0),0)),"✔ على رأس العمل")))</f>
        <v/>
      </c>
      <c r="AI30" s="79"/>
      <c r="AJ30" s="79"/>
      <c r="AK30" s="79"/>
    </row>
    <row r="31" customFormat="false" ht="15" hidden="false" customHeight="false" outlineLevel="0" collapsed="false">
      <c r="A31" s="100" t="str">
        <f aca="false">IF(B31="","",ROW()-5)</f>
        <v/>
      </c>
      <c r="B31" s="79"/>
      <c r="C31" s="79"/>
      <c r="D31" s="79"/>
      <c r="E31" s="79"/>
      <c r="F31" s="79"/>
      <c r="G31" s="79"/>
      <c r="H31" s="94"/>
      <c r="I31" s="95"/>
      <c r="J31" s="94"/>
      <c r="K31" s="94"/>
      <c r="L31" s="96"/>
      <c r="M31" s="96"/>
      <c r="N31" s="96"/>
      <c r="O31" s="96"/>
      <c r="P31" s="101" t="str">
        <f aca="false">IF(B31="","",SUM(L31:O31))</f>
        <v/>
      </c>
      <c r="Q31" s="101" t="str">
        <f aca="false">IF(B31="","",L31+IF(cfg_EOS_H="نعم",M31,0)+IF(cfg_EOS_T="نعم",N31,0)+IF(cfg_EOS_O="نعم",O31,0))</f>
        <v/>
      </c>
      <c r="R31" s="101" t="str">
        <f aca="false">IF(B31="","",L31+IF(cfg_LV_H="نعم",M31,0)+IF(cfg_LV_T="نعم",N31,0)+IF(cfg_LV_O="نعم",O31,0))</f>
        <v/>
      </c>
      <c r="S31" s="101" t="str">
        <f aca="false">IF(B31="","",MIN(cfg_G_CAP,L31+M31))</f>
        <v/>
      </c>
      <c r="T31" s="98"/>
      <c r="U31" s="79"/>
      <c r="V31" s="96"/>
      <c r="W31" s="98"/>
      <c r="X31" s="96"/>
      <c r="Y31" s="96"/>
      <c r="Z31" s="96"/>
      <c r="AA31" s="96"/>
      <c r="AB31" s="101" t="str">
        <f aca="false">IF(B31="","",IF(X31&lt;&gt;"",X31,IF(E31="غير سعودي",cfg_IQ,0))+IF(Y31&lt;&gt;"",Y31,IF(E31="غير سعودي",cfg_WP,0))+IF(Z31&lt;&gt;"",Z31,cfg_MED)+N(AA31))</f>
        <v/>
      </c>
      <c r="AC31" s="99"/>
      <c r="AD31" s="96"/>
      <c r="AE31" s="94"/>
      <c r="AF31" s="79"/>
      <c r="AG31" s="102" t="str">
        <f aca="false">IF(B31="","",IF(AND(AE31&lt;&gt;"",AE31&lt;=cfg_VAL_DATE),"✖ منتهي الخدمة",IF(H31&gt;cfg_VAL_DATE,"⏳ لم يباشر بعد","✔ على رأس العمل")))</f>
        <v/>
      </c>
      <c r="AH31" s="102" t="str">
        <f aca="false">IF(B31="","",IF(AG31&lt;&gt;"✔ على رأس العمل",AG31,IF(COUNTIFS('سجل الإجازات والحالات'!$B$6:$B$505,B31,'سجل الإجازات والحالات'!$E$6:$E$505,"&lt;="&amp;cfg_VAL_DATE,'سجل الإجازات والحالات'!$F$6:$F$505,"&gt;="&amp;cfg_VAL_DATE)&gt;0,"✈ "&amp;INDEX('سجل الإجازات والحالات'!$D$6:$D$505,MATCH(1,INDEX(('سجل الإجازات والحالات'!$B$6:$B$505=B31)*('سجل الإجازات والحالات'!$E$6:$E$505&lt;=cfg_VAL_DATE)*('سجل الإجازات والحالات'!$F$6:$F$505&gt;=cfg_VAL_DATE),0),0)),"✔ على رأس العمل")))</f>
        <v/>
      </c>
      <c r="AI31" s="79"/>
      <c r="AJ31" s="79"/>
      <c r="AK31" s="79"/>
    </row>
    <row r="32" customFormat="false" ht="15" hidden="false" customHeight="false" outlineLevel="0" collapsed="false">
      <c r="A32" s="93" t="str">
        <f aca="false">IF(B32="","",ROW()-5)</f>
        <v/>
      </c>
      <c r="B32" s="79"/>
      <c r="C32" s="79"/>
      <c r="D32" s="79"/>
      <c r="E32" s="79"/>
      <c r="F32" s="79"/>
      <c r="G32" s="79"/>
      <c r="H32" s="94"/>
      <c r="I32" s="95"/>
      <c r="J32" s="94"/>
      <c r="K32" s="94"/>
      <c r="L32" s="96"/>
      <c r="M32" s="96"/>
      <c r="N32" s="96"/>
      <c r="O32" s="96"/>
      <c r="P32" s="97" t="str">
        <f aca="false">IF(B32="","",SUM(L32:O32))</f>
        <v/>
      </c>
      <c r="Q32" s="97" t="str">
        <f aca="false">IF(B32="","",L32+IF(cfg_EOS_H="نعم",M32,0)+IF(cfg_EOS_T="نعم",N32,0)+IF(cfg_EOS_O="نعم",O32,0))</f>
        <v/>
      </c>
      <c r="R32" s="97" t="str">
        <f aca="false">IF(B32="","",L32+IF(cfg_LV_H="نعم",M32,0)+IF(cfg_LV_T="نعم",N32,0)+IF(cfg_LV_O="نعم",O32,0))</f>
        <v/>
      </c>
      <c r="S32" s="97" t="str">
        <f aca="false">IF(B32="","",MIN(cfg_G_CAP,L32+M32))</f>
        <v/>
      </c>
      <c r="T32" s="98"/>
      <c r="U32" s="79"/>
      <c r="V32" s="96"/>
      <c r="W32" s="98"/>
      <c r="X32" s="96"/>
      <c r="Y32" s="96"/>
      <c r="Z32" s="96"/>
      <c r="AA32" s="96"/>
      <c r="AB32" s="97" t="str">
        <f aca="false">IF(B32="","",IF(X32&lt;&gt;"",X32,IF(E32="غير سعودي",cfg_IQ,0))+IF(Y32&lt;&gt;"",Y32,IF(E32="غير سعودي",cfg_WP,0))+IF(Z32&lt;&gt;"",Z32,cfg_MED)+N(AA32))</f>
        <v/>
      </c>
      <c r="AC32" s="99"/>
      <c r="AD32" s="96"/>
      <c r="AE32" s="94"/>
      <c r="AF32" s="79"/>
      <c r="AG32" s="80" t="str">
        <f aca="false">IF(B32="","",IF(AND(AE32&lt;&gt;"",AE32&lt;=cfg_VAL_DATE),"✖ منتهي الخدمة",IF(H32&gt;cfg_VAL_DATE,"⏳ لم يباشر بعد","✔ على رأس العمل")))</f>
        <v/>
      </c>
      <c r="AH32" s="80" t="str">
        <f aca="false">IF(B32="","",IF(AG32&lt;&gt;"✔ على رأس العمل",AG32,IF(COUNTIFS('سجل الإجازات والحالات'!$B$6:$B$505,B32,'سجل الإجازات والحالات'!$E$6:$E$505,"&lt;="&amp;cfg_VAL_DATE,'سجل الإجازات والحالات'!$F$6:$F$505,"&gt;="&amp;cfg_VAL_DATE)&gt;0,"✈ "&amp;INDEX('سجل الإجازات والحالات'!$D$6:$D$505,MATCH(1,INDEX(('سجل الإجازات والحالات'!$B$6:$B$505=B32)*('سجل الإجازات والحالات'!$E$6:$E$505&lt;=cfg_VAL_DATE)*('سجل الإجازات والحالات'!$F$6:$F$505&gt;=cfg_VAL_DATE),0),0)),"✔ على رأس العمل")))</f>
        <v/>
      </c>
      <c r="AI32" s="79"/>
      <c r="AJ32" s="79"/>
      <c r="AK32" s="79"/>
    </row>
    <row r="33" customFormat="false" ht="15" hidden="false" customHeight="false" outlineLevel="0" collapsed="false">
      <c r="A33" s="100" t="str">
        <f aca="false">IF(B33="","",ROW()-5)</f>
        <v/>
      </c>
      <c r="B33" s="79"/>
      <c r="C33" s="79"/>
      <c r="D33" s="79"/>
      <c r="E33" s="79"/>
      <c r="F33" s="79"/>
      <c r="G33" s="79"/>
      <c r="H33" s="94"/>
      <c r="I33" s="95"/>
      <c r="J33" s="94"/>
      <c r="K33" s="94"/>
      <c r="L33" s="96"/>
      <c r="M33" s="96"/>
      <c r="N33" s="96"/>
      <c r="O33" s="96"/>
      <c r="P33" s="101" t="str">
        <f aca="false">IF(B33="","",SUM(L33:O33))</f>
        <v/>
      </c>
      <c r="Q33" s="101" t="str">
        <f aca="false">IF(B33="","",L33+IF(cfg_EOS_H="نعم",M33,0)+IF(cfg_EOS_T="نعم",N33,0)+IF(cfg_EOS_O="نعم",O33,0))</f>
        <v/>
      </c>
      <c r="R33" s="101" t="str">
        <f aca="false">IF(B33="","",L33+IF(cfg_LV_H="نعم",M33,0)+IF(cfg_LV_T="نعم",N33,0)+IF(cfg_LV_O="نعم",O33,0))</f>
        <v/>
      </c>
      <c r="S33" s="101" t="str">
        <f aca="false">IF(B33="","",MIN(cfg_G_CAP,L33+M33))</f>
        <v/>
      </c>
      <c r="T33" s="98"/>
      <c r="U33" s="79"/>
      <c r="V33" s="96"/>
      <c r="W33" s="98"/>
      <c r="X33" s="96"/>
      <c r="Y33" s="96"/>
      <c r="Z33" s="96"/>
      <c r="AA33" s="96"/>
      <c r="AB33" s="101" t="str">
        <f aca="false">IF(B33="","",IF(X33&lt;&gt;"",X33,IF(E33="غير سعودي",cfg_IQ,0))+IF(Y33&lt;&gt;"",Y33,IF(E33="غير سعودي",cfg_WP,0))+IF(Z33&lt;&gt;"",Z33,cfg_MED)+N(AA33))</f>
        <v/>
      </c>
      <c r="AC33" s="99"/>
      <c r="AD33" s="96"/>
      <c r="AE33" s="94"/>
      <c r="AF33" s="79"/>
      <c r="AG33" s="102" t="str">
        <f aca="false">IF(B33="","",IF(AND(AE33&lt;&gt;"",AE33&lt;=cfg_VAL_DATE),"✖ منتهي الخدمة",IF(H33&gt;cfg_VAL_DATE,"⏳ لم يباشر بعد","✔ على رأس العمل")))</f>
        <v/>
      </c>
      <c r="AH33" s="102" t="str">
        <f aca="false">IF(B33="","",IF(AG33&lt;&gt;"✔ على رأس العمل",AG33,IF(COUNTIFS('سجل الإجازات والحالات'!$B$6:$B$505,B33,'سجل الإجازات والحالات'!$E$6:$E$505,"&lt;="&amp;cfg_VAL_DATE,'سجل الإجازات والحالات'!$F$6:$F$505,"&gt;="&amp;cfg_VAL_DATE)&gt;0,"✈ "&amp;INDEX('سجل الإجازات والحالات'!$D$6:$D$505,MATCH(1,INDEX(('سجل الإجازات والحالات'!$B$6:$B$505=B33)*('سجل الإجازات والحالات'!$E$6:$E$505&lt;=cfg_VAL_DATE)*('سجل الإجازات والحالات'!$F$6:$F$505&gt;=cfg_VAL_DATE),0),0)),"✔ على رأس العمل")))</f>
        <v/>
      </c>
      <c r="AI33" s="79"/>
      <c r="AJ33" s="79"/>
      <c r="AK33" s="79"/>
    </row>
    <row r="34" customFormat="false" ht="15" hidden="false" customHeight="false" outlineLevel="0" collapsed="false">
      <c r="A34" s="93" t="str">
        <f aca="false">IF(B34="","",ROW()-5)</f>
        <v/>
      </c>
      <c r="B34" s="79"/>
      <c r="C34" s="79"/>
      <c r="D34" s="79"/>
      <c r="E34" s="79"/>
      <c r="F34" s="79"/>
      <c r="G34" s="79"/>
      <c r="H34" s="94"/>
      <c r="I34" s="95"/>
      <c r="J34" s="94"/>
      <c r="K34" s="94"/>
      <c r="L34" s="96"/>
      <c r="M34" s="96"/>
      <c r="N34" s="96"/>
      <c r="O34" s="96"/>
      <c r="P34" s="97" t="str">
        <f aca="false">IF(B34="","",SUM(L34:O34))</f>
        <v/>
      </c>
      <c r="Q34" s="97" t="str">
        <f aca="false">IF(B34="","",L34+IF(cfg_EOS_H="نعم",M34,0)+IF(cfg_EOS_T="نعم",N34,0)+IF(cfg_EOS_O="نعم",O34,0))</f>
        <v/>
      </c>
      <c r="R34" s="97" t="str">
        <f aca="false">IF(B34="","",L34+IF(cfg_LV_H="نعم",M34,0)+IF(cfg_LV_T="نعم",N34,0)+IF(cfg_LV_O="نعم",O34,0))</f>
        <v/>
      </c>
      <c r="S34" s="97" t="str">
        <f aca="false">IF(B34="","",MIN(cfg_G_CAP,L34+M34))</f>
        <v/>
      </c>
      <c r="T34" s="98"/>
      <c r="U34" s="79"/>
      <c r="V34" s="96"/>
      <c r="W34" s="98"/>
      <c r="X34" s="96"/>
      <c r="Y34" s="96"/>
      <c r="Z34" s="96"/>
      <c r="AA34" s="96"/>
      <c r="AB34" s="97" t="str">
        <f aca="false">IF(B34="","",IF(X34&lt;&gt;"",X34,IF(E34="غير سعودي",cfg_IQ,0))+IF(Y34&lt;&gt;"",Y34,IF(E34="غير سعودي",cfg_WP,0))+IF(Z34&lt;&gt;"",Z34,cfg_MED)+N(AA34))</f>
        <v/>
      </c>
      <c r="AC34" s="99"/>
      <c r="AD34" s="96"/>
      <c r="AE34" s="94"/>
      <c r="AF34" s="79"/>
      <c r="AG34" s="80" t="str">
        <f aca="false">IF(B34="","",IF(AND(AE34&lt;&gt;"",AE34&lt;=cfg_VAL_DATE),"✖ منتهي الخدمة",IF(H34&gt;cfg_VAL_DATE,"⏳ لم يباشر بعد","✔ على رأس العمل")))</f>
        <v/>
      </c>
      <c r="AH34" s="80" t="str">
        <f aca="false">IF(B34="","",IF(AG34&lt;&gt;"✔ على رأس العمل",AG34,IF(COUNTIFS('سجل الإجازات والحالات'!$B$6:$B$505,B34,'سجل الإجازات والحالات'!$E$6:$E$505,"&lt;="&amp;cfg_VAL_DATE,'سجل الإجازات والحالات'!$F$6:$F$505,"&gt;="&amp;cfg_VAL_DATE)&gt;0,"✈ "&amp;INDEX('سجل الإجازات والحالات'!$D$6:$D$505,MATCH(1,INDEX(('سجل الإجازات والحالات'!$B$6:$B$505=B34)*('سجل الإجازات والحالات'!$E$6:$E$505&lt;=cfg_VAL_DATE)*('سجل الإجازات والحالات'!$F$6:$F$505&gt;=cfg_VAL_DATE),0),0)),"✔ على رأس العمل")))</f>
        <v/>
      </c>
      <c r="AI34" s="79"/>
      <c r="AJ34" s="79"/>
      <c r="AK34" s="79"/>
    </row>
    <row r="35" customFormat="false" ht="15" hidden="false" customHeight="false" outlineLevel="0" collapsed="false">
      <c r="A35" s="100" t="str">
        <f aca="false">IF(B35="","",ROW()-5)</f>
        <v/>
      </c>
      <c r="B35" s="79"/>
      <c r="C35" s="79"/>
      <c r="D35" s="79"/>
      <c r="E35" s="79"/>
      <c r="F35" s="79"/>
      <c r="G35" s="79"/>
      <c r="H35" s="94"/>
      <c r="I35" s="95"/>
      <c r="J35" s="94"/>
      <c r="K35" s="94"/>
      <c r="L35" s="96"/>
      <c r="M35" s="96"/>
      <c r="N35" s="96"/>
      <c r="O35" s="96"/>
      <c r="P35" s="101" t="str">
        <f aca="false">IF(B35="","",SUM(L35:O35))</f>
        <v/>
      </c>
      <c r="Q35" s="101" t="str">
        <f aca="false">IF(B35="","",L35+IF(cfg_EOS_H="نعم",M35,0)+IF(cfg_EOS_T="نعم",N35,0)+IF(cfg_EOS_O="نعم",O35,0))</f>
        <v/>
      </c>
      <c r="R35" s="101" t="str">
        <f aca="false">IF(B35="","",L35+IF(cfg_LV_H="نعم",M35,0)+IF(cfg_LV_T="نعم",N35,0)+IF(cfg_LV_O="نعم",O35,0))</f>
        <v/>
      </c>
      <c r="S35" s="101" t="str">
        <f aca="false">IF(B35="","",MIN(cfg_G_CAP,L35+M35))</f>
        <v/>
      </c>
      <c r="T35" s="98"/>
      <c r="U35" s="79"/>
      <c r="V35" s="96"/>
      <c r="W35" s="98"/>
      <c r="X35" s="96"/>
      <c r="Y35" s="96"/>
      <c r="Z35" s="96"/>
      <c r="AA35" s="96"/>
      <c r="AB35" s="101" t="str">
        <f aca="false">IF(B35="","",IF(X35&lt;&gt;"",X35,IF(E35="غير سعودي",cfg_IQ,0))+IF(Y35&lt;&gt;"",Y35,IF(E35="غير سعودي",cfg_WP,0))+IF(Z35&lt;&gt;"",Z35,cfg_MED)+N(AA35))</f>
        <v/>
      </c>
      <c r="AC35" s="99"/>
      <c r="AD35" s="96"/>
      <c r="AE35" s="94"/>
      <c r="AF35" s="79"/>
      <c r="AG35" s="102" t="str">
        <f aca="false">IF(B35="","",IF(AND(AE35&lt;&gt;"",AE35&lt;=cfg_VAL_DATE),"✖ منتهي الخدمة",IF(H35&gt;cfg_VAL_DATE,"⏳ لم يباشر بعد","✔ على رأس العمل")))</f>
        <v/>
      </c>
      <c r="AH35" s="102" t="str">
        <f aca="false">IF(B35="","",IF(AG35&lt;&gt;"✔ على رأس العمل",AG35,IF(COUNTIFS('سجل الإجازات والحالات'!$B$6:$B$505,B35,'سجل الإجازات والحالات'!$E$6:$E$505,"&lt;="&amp;cfg_VAL_DATE,'سجل الإجازات والحالات'!$F$6:$F$505,"&gt;="&amp;cfg_VAL_DATE)&gt;0,"✈ "&amp;INDEX('سجل الإجازات والحالات'!$D$6:$D$505,MATCH(1,INDEX(('سجل الإجازات والحالات'!$B$6:$B$505=B35)*('سجل الإجازات والحالات'!$E$6:$E$505&lt;=cfg_VAL_DATE)*('سجل الإجازات والحالات'!$F$6:$F$505&gt;=cfg_VAL_DATE),0),0)),"✔ على رأس العمل")))</f>
        <v/>
      </c>
      <c r="AI35" s="79"/>
      <c r="AJ35" s="79"/>
      <c r="AK35" s="79"/>
    </row>
    <row r="36" customFormat="false" ht="15" hidden="false" customHeight="false" outlineLevel="0" collapsed="false">
      <c r="A36" s="93" t="str">
        <f aca="false">IF(B36="","",ROW()-5)</f>
        <v/>
      </c>
      <c r="B36" s="79"/>
      <c r="C36" s="79"/>
      <c r="D36" s="79"/>
      <c r="E36" s="79"/>
      <c r="F36" s="79"/>
      <c r="G36" s="79"/>
      <c r="H36" s="94"/>
      <c r="I36" s="95"/>
      <c r="J36" s="94"/>
      <c r="K36" s="94"/>
      <c r="L36" s="96"/>
      <c r="M36" s="96"/>
      <c r="N36" s="96"/>
      <c r="O36" s="96"/>
      <c r="P36" s="97" t="str">
        <f aca="false">IF(B36="","",SUM(L36:O36))</f>
        <v/>
      </c>
      <c r="Q36" s="97" t="str">
        <f aca="false">IF(B36="","",L36+IF(cfg_EOS_H="نعم",M36,0)+IF(cfg_EOS_T="نعم",N36,0)+IF(cfg_EOS_O="نعم",O36,0))</f>
        <v/>
      </c>
      <c r="R36" s="97" t="str">
        <f aca="false">IF(B36="","",L36+IF(cfg_LV_H="نعم",M36,0)+IF(cfg_LV_T="نعم",N36,0)+IF(cfg_LV_O="نعم",O36,0))</f>
        <v/>
      </c>
      <c r="S36" s="97" t="str">
        <f aca="false">IF(B36="","",MIN(cfg_G_CAP,L36+M36))</f>
        <v/>
      </c>
      <c r="T36" s="98"/>
      <c r="U36" s="79"/>
      <c r="V36" s="96"/>
      <c r="W36" s="98"/>
      <c r="X36" s="96"/>
      <c r="Y36" s="96"/>
      <c r="Z36" s="96"/>
      <c r="AA36" s="96"/>
      <c r="AB36" s="97" t="str">
        <f aca="false">IF(B36="","",IF(X36&lt;&gt;"",X36,IF(E36="غير سعودي",cfg_IQ,0))+IF(Y36&lt;&gt;"",Y36,IF(E36="غير سعودي",cfg_WP,0))+IF(Z36&lt;&gt;"",Z36,cfg_MED)+N(AA36))</f>
        <v/>
      </c>
      <c r="AC36" s="99"/>
      <c r="AD36" s="96"/>
      <c r="AE36" s="94"/>
      <c r="AF36" s="79"/>
      <c r="AG36" s="80" t="str">
        <f aca="false">IF(B36="","",IF(AND(AE36&lt;&gt;"",AE36&lt;=cfg_VAL_DATE),"✖ منتهي الخدمة",IF(H36&gt;cfg_VAL_DATE,"⏳ لم يباشر بعد","✔ على رأس العمل")))</f>
        <v/>
      </c>
      <c r="AH36" s="80" t="str">
        <f aca="false">IF(B36="","",IF(AG36&lt;&gt;"✔ على رأس العمل",AG36,IF(COUNTIFS('سجل الإجازات والحالات'!$B$6:$B$505,B36,'سجل الإجازات والحالات'!$E$6:$E$505,"&lt;="&amp;cfg_VAL_DATE,'سجل الإجازات والحالات'!$F$6:$F$505,"&gt;="&amp;cfg_VAL_DATE)&gt;0,"✈ "&amp;INDEX('سجل الإجازات والحالات'!$D$6:$D$505,MATCH(1,INDEX(('سجل الإجازات والحالات'!$B$6:$B$505=B36)*('سجل الإجازات والحالات'!$E$6:$E$505&lt;=cfg_VAL_DATE)*('سجل الإجازات والحالات'!$F$6:$F$505&gt;=cfg_VAL_DATE),0),0)),"✔ على رأس العمل")))</f>
        <v/>
      </c>
      <c r="AI36" s="79"/>
      <c r="AJ36" s="79"/>
      <c r="AK36" s="79"/>
    </row>
    <row r="37" customFormat="false" ht="15" hidden="false" customHeight="false" outlineLevel="0" collapsed="false">
      <c r="A37" s="100" t="str">
        <f aca="false">IF(B37="","",ROW()-5)</f>
        <v/>
      </c>
      <c r="B37" s="79"/>
      <c r="C37" s="79"/>
      <c r="D37" s="79"/>
      <c r="E37" s="79"/>
      <c r="F37" s="79"/>
      <c r="G37" s="79"/>
      <c r="H37" s="94"/>
      <c r="I37" s="95"/>
      <c r="J37" s="94"/>
      <c r="K37" s="94"/>
      <c r="L37" s="96"/>
      <c r="M37" s="96"/>
      <c r="N37" s="96"/>
      <c r="O37" s="96"/>
      <c r="P37" s="101" t="str">
        <f aca="false">IF(B37="","",SUM(L37:O37))</f>
        <v/>
      </c>
      <c r="Q37" s="101" t="str">
        <f aca="false">IF(B37="","",L37+IF(cfg_EOS_H="نعم",M37,0)+IF(cfg_EOS_T="نعم",N37,0)+IF(cfg_EOS_O="نعم",O37,0))</f>
        <v/>
      </c>
      <c r="R37" s="101" t="str">
        <f aca="false">IF(B37="","",L37+IF(cfg_LV_H="نعم",M37,0)+IF(cfg_LV_T="نعم",N37,0)+IF(cfg_LV_O="نعم",O37,0))</f>
        <v/>
      </c>
      <c r="S37" s="101" t="str">
        <f aca="false">IF(B37="","",MIN(cfg_G_CAP,L37+M37))</f>
        <v/>
      </c>
      <c r="T37" s="98"/>
      <c r="U37" s="79"/>
      <c r="V37" s="96"/>
      <c r="W37" s="98"/>
      <c r="X37" s="96"/>
      <c r="Y37" s="96"/>
      <c r="Z37" s="96"/>
      <c r="AA37" s="96"/>
      <c r="AB37" s="101" t="str">
        <f aca="false">IF(B37="","",IF(X37&lt;&gt;"",X37,IF(E37="غير سعودي",cfg_IQ,0))+IF(Y37&lt;&gt;"",Y37,IF(E37="غير سعودي",cfg_WP,0))+IF(Z37&lt;&gt;"",Z37,cfg_MED)+N(AA37))</f>
        <v/>
      </c>
      <c r="AC37" s="99"/>
      <c r="AD37" s="96"/>
      <c r="AE37" s="94"/>
      <c r="AF37" s="79"/>
      <c r="AG37" s="102" t="str">
        <f aca="false">IF(B37="","",IF(AND(AE37&lt;&gt;"",AE37&lt;=cfg_VAL_DATE),"✖ منتهي الخدمة",IF(H37&gt;cfg_VAL_DATE,"⏳ لم يباشر بعد","✔ على رأس العمل")))</f>
        <v/>
      </c>
      <c r="AH37" s="102" t="str">
        <f aca="false">IF(B37="","",IF(AG37&lt;&gt;"✔ على رأس العمل",AG37,IF(COUNTIFS('سجل الإجازات والحالات'!$B$6:$B$505,B37,'سجل الإجازات والحالات'!$E$6:$E$505,"&lt;="&amp;cfg_VAL_DATE,'سجل الإجازات والحالات'!$F$6:$F$505,"&gt;="&amp;cfg_VAL_DATE)&gt;0,"✈ "&amp;INDEX('سجل الإجازات والحالات'!$D$6:$D$505,MATCH(1,INDEX(('سجل الإجازات والحالات'!$B$6:$B$505=B37)*('سجل الإجازات والحالات'!$E$6:$E$505&lt;=cfg_VAL_DATE)*('سجل الإجازات والحالات'!$F$6:$F$505&gt;=cfg_VAL_DATE),0),0)),"✔ على رأس العمل")))</f>
        <v/>
      </c>
      <c r="AI37" s="79"/>
      <c r="AJ37" s="79"/>
      <c r="AK37" s="79"/>
    </row>
    <row r="38" customFormat="false" ht="15" hidden="false" customHeight="false" outlineLevel="0" collapsed="false">
      <c r="A38" s="93" t="str">
        <f aca="false">IF(B38="","",ROW()-5)</f>
        <v/>
      </c>
      <c r="B38" s="79"/>
      <c r="C38" s="79"/>
      <c r="D38" s="79"/>
      <c r="E38" s="79"/>
      <c r="F38" s="79"/>
      <c r="G38" s="79"/>
      <c r="H38" s="94"/>
      <c r="I38" s="95"/>
      <c r="J38" s="94"/>
      <c r="K38" s="94"/>
      <c r="L38" s="96"/>
      <c r="M38" s="96"/>
      <c r="N38" s="96"/>
      <c r="O38" s="96"/>
      <c r="P38" s="97" t="str">
        <f aca="false">IF(B38="","",SUM(L38:O38))</f>
        <v/>
      </c>
      <c r="Q38" s="97" t="str">
        <f aca="false">IF(B38="","",L38+IF(cfg_EOS_H="نعم",M38,0)+IF(cfg_EOS_T="نعم",N38,0)+IF(cfg_EOS_O="نعم",O38,0))</f>
        <v/>
      </c>
      <c r="R38" s="97" t="str">
        <f aca="false">IF(B38="","",L38+IF(cfg_LV_H="نعم",M38,0)+IF(cfg_LV_T="نعم",N38,0)+IF(cfg_LV_O="نعم",O38,0))</f>
        <v/>
      </c>
      <c r="S38" s="97" t="str">
        <f aca="false">IF(B38="","",MIN(cfg_G_CAP,L38+M38))</f>
        <v/>
      </c>
      <c r="T38" s="98"/>
      <c r="U38" s="79"/>
      <c r="V38" s="96"/>
      <c r="W38" s="98"/>
      <c r="X38" s="96"/>
      <c r="Y38" s="96"/>
      <c r="Z38" s="96"/>
      <c r="AA38" s="96"/>
      <c r="AB38" s="97" t="str">
        <f aca="false">IF(B38="","",IF(X38&lt;&gt;"",X38,IF(E38="غير سعودي",cfg_IQ,0))+IF(Y38&lt;&gt;"",Y38,IF(E38="غير سعودي",cfg_WP,0))+IF(Z38&lt;&gt;"",Z38,cfg_MED)+N(AA38))</f>
        <v/>
      </c>
      <c r="AC38" s="99"/>
      <c r="AD38" s="96"/>
      <c r="AE38" s="94"/>
      <c r="AF38" s="79"/>
      <c r="AG38" s="80" t="str">
        <f aca="false">IF(B38="","",IF(AND(AE38&lt;&gt;"",AE38&lt;=cfg_VAL_DATE),"✖ منتهي الخدمة",IF(H38&gt;cfg_VAL_DATE,"⏳ لم يباشر بعد","✔ على رأس العمل")))</f>
        <v/>
      </c>
      <c r="AH38" s="80" t="str">
        <f aca="false">IF(B38="","",IF(AG38&lt;&gt;"✔ على رأس العمل",AG38,IF(COUNTIFS('سجل الإجازات والحالات'!$B$6:$B$505,B38,'سجل الإجازات والحالات'!$E$6:$E$505,"&lt;="&amp;cfg_VAL_DATE,'سجل الإجازات والحالات'!$F$6:$F$505,"&gt;="&amp;cfg_VAL_DATE)&gt;0,"✈ "&amp;INDEX('سجل الإجازات والحالات'!$D$6:$D$505,MATCH(1,INDEX(('سجل الإجازات والحالات'!$B$6:$B$505=B38)*('سجل الإجازات والحالات'!$E$6:$E$505&lt;=cfg_VAL_DATE)*('سجل الإجازات والحالات'!$F$6:$F$505&gt;=cfg_VAL_DATE),0),0)),"✔ على رأس العمل")))</f>
        <v/>
      </c>
      <c r="AI38" s="79"/>
      <c r="AJ38" s="79"/>
      <c r="AK38" s="79"/>
    </row>
    <row r="39" customFormat="false" ht="15" hidden="false" customHeight="false" outlineLevel="0" collapsed="false">
      <c r="A39" s="100" t="str">
        <f aca="false">IF(B39="","",ROW()-5)</f>
        <v/>
      </c>
      <c r="B39" s="79"/>
      <c r="C39" s="79"/>
      <c r="D39" s="79"/>
      <c r="E39" s="79"/>
      <c r="F39" s="79"/>
      <c r="G39" s="79"/>
      <c r="H39" s="94"/>
      <c r="I39" s="95"/>
      <c r="J39" s="94"/>
      <c r="K39" s="94"/>
      <c r="L39" s="96"/>
      <c r="M39" s="96"/>
      <c r="N39" s="96"/>
      <c r="O39" s="96"/>
      <c r="P39" s="101" t="str">
        <f aca="false">IF(B39="","",SUM(L39:O39))</f>
        <v/>
      </c>
      <c r="Q39" s="101" t="str">
        <f aca="false">IF(B39="","",L39+IF(cfg_EOS_H="نعم",M39,0)+IF(cfg_EOS_T="نعم",N39,0)+IF(cfg_EOS_O="نعم",O39,0))</f>
        <v/>
      </c>
      <c r="R39" s="101" t="str">
        <f aca="false">IF(B39="","",L39+IF(cfg_LV_H="نعم",M39,0)+IF(cfg_LV_T="نعم",N39,0)+IF(cfg_LV_O="نعم",O39,0))</f>
        <v/>
      </c>
      <c r="S39" s="101" t="str">
        <f aca="false">IF(B39="","",MIN(cfg_G_CAP,L39+M39))</f>
        <v/>
      </c>
      <c r="T39" s="98"/>
      <c r="U39" s="79"/>
      <c r="V39" s="96"/>
      <c r="W39" s="98"/>
      <c r="X39" s="96"/>
      <c r="Y39" s="96"/>
      <c r="Z39" s="96"/>
      <c r="AA39" s="96"/>
      <c r="AB39" s="101" t="str">
        <f aca="false">IF(B39="","",IF(X39&lt;&gt;"",X39,IF(E39="غير سعودي",cfg_IQ,0))+IF(Y39&lt;&gt;"",Y39,IF(E39="غير سعودي",cfg_WP,0))+IF(Z39&lt;&gt;"",Z39,cfg_MED)+N(AA39))</f>
        <v/>
      </c>
      <c r="AC39" s="99"/>
      <c r="AD39" s="96"/>
      <c r="AE39" s="94"/>
      <c r="AF39" s="79"/>
      <c r="AG39" s="102" t="str">
        <f aca="false">IF(B39="","",IF(AND(AE39&lt;&gt;"",AE39&lt;=cfg_VAL_DATE),"✖ منتهي الخدمة",IF(H39&gt;cfg_VAL_DATE,"⏳ لم يباشر بعد","✔ على رأس العمل")))</f>
        <v/>
      </c>
      <c r="AH39" s="102" t="str">
        <f aca="false">IF(B39="","",IF(AG39&lt;&gt;"✔ على رأس العمل",AG39,IF(COUNTIFS('سجل الإجازات والحالات'!$B$6:$B$505,B39,'سجل الإجازات والحالات'!$E$6:$E$505,"&lt;="&amp;cfg_VAL_DATE,'سجل الإجازات والحالات'!$F$6:$F$505,"&gt;="&amp;cfg_VAL_DATE)&gt;0,"✈ "&amp;INDEX('سجل الإجازات والحالات'!$D$6:$D$505,MATCH(1,INDEX(('سجل الإجازات والحالات'!$B$6:$B$505=B39)*('سجل الإجازات والحالات'!$E$6:$E$505&lt;=cfg_VAL_DATE)*('سجل الإجازات والحالات'!$F$6:$F$505&gt;=cfg_VAL_DATE),0),0)),"✔ على رأس العمل")))</f>
        <v/>
      </c>
      <c r="AI39" s="79"/>
      <c r="AJ39" s="79"/>
      <c r="AK39" s="79"/>
    </row>
    <row r="40" customFormat="false" ht="15" hidden="false" customHeight="false" outlineLevel="0" collapsed="false">
      <c r="A40" s="93" t="str">
        <f aca="false">IF(B40="","",ROW()-5)</f>
        <v/>
      </c>
      <c r="B40" s="79"/>
      <c r="C40" s="79"/>
      <c r="D40" s="79"/>
      <c r="E40" s="79"/>
      <c r="F40" s="79"/>
      <c r="G40" s="79"/>
      <c r="H40" s="94"/>
      <c r="I40" s="95"/>
      <c r="J40" s="94"/>
      <c r="K40" s="94"/>
      <c r="L40" s="96"/>
      <c r="M40" s="96"/>
      <c r="N40" s="96"/>
      <c r="O40" s="96"/>
      <c r="P40" s="97" t="str">
        <f aca="false">IF(B40="","",SUM(L40:O40))</f>
        <v/>
      </c>
      <c r="Q40" s="97" t="str">
        <f aca="false">IF(B40="","",L40+IF(cfg_EOS_H="نعم",M40,0)+IF(cfg_EOS_T="نعم",N40,0)+IF(cfg_EOS_O="نعم",O40,0))</f>
        <v/>
      </c>
      <c r="R40" s="97" t="str">
        <f aca="false">IF(B40="","",L40+IF(cfg_LV_H="نعم",M40,0)+IF(cfg_LV_T="نعم",N40,0)+IF(cfg_LV_O="نعم",O40,0))</f>
        <v/>
      </c>
      <c r="S40" s="97" t="str">
        <f aca="false">IF(B40="","",MIN(cfg_G_CAP,L40+M40))</f>
        <v/>
      </c>
      <c r="T40" s="98"/>
      <c r="U40" s="79"/>
      <c r="V40" s="96"/>
      <c r="W40" s="98"/>
      <c r="X40" s="96"/>
      <c r="Y40" s="96"/>
      <c r="Z40" s="96"/>
      <c r="AA40" s="96"/>
      <c r="AB40" s="97" t="str">
        <f aca="false">IF(B40="","",IF(X40&lt;&gt;"",X40,IF(E40="غير سعودي",cfg_IQ,0))+IF(Y40&lt;&gt;"",Y40,IF(E40="غير سعودي",cfg_WP,0))+IF(Z40&lt;&gt;"",Z40,cfg_MED)+N(AA40))</f>
        <v/>
      </c>
      <c r="AC40" s="99"/>
      <c r="AD40" s="96"/>
      <c r="AE40" s="94"/>
      <c r="AF40" s="79"/>
      <c r="AG40" s="80" t="str">
        <f aca="false">IF(B40="","",IF(AND(AE40&lt;&gt;"",AE40&lt;=cfg_VAL_DATE),"✖ منتهي الخدمة",IF(H40&gt;cfg_VAL_DATE,"⏳ لم يباشر بعد","✔ على رأس العمل")))</f>
        <v/>
      </c>
      <c r="AH40" s="80" t="str">
        <f aca="false">IF(B40="","",IF(AG40&lt;&gt;"✔ على رأس العمل",AG40,IF(COUNTIFS('سجل الإجازات والحالات'!$B$6:$B$505,B40,'سجل الإجازات والحالات'!$E$6:$E$505,"&lt;="&amp;cfg_VAL_DATE,'سجل الإجازات والحالات'!$F$6:$F$505,"&gt;="&amp;cfg_VAL_DATE)&gt;0,"✈ "&amp;INDEX('سجل الإجازات والحالات'!$D$6:$D$505,MATCH(1,INDEX(('سجل الإجازات والحالات'!$B$6:$B$505=B40)*('سجل الإجازات والحالات'!$E$6:$E$505&lt;=cfg_VAL_DATE)*('سجل الإجازات والحالات'!$F$6:$F$505&gt;=cfg_VAL_DATE),0),0)),"✔ على رأس العمل")))</f>
        <v/>
      </c>
      <c r="AI40" s="79"/>
      <c r="AJ40" s="79"/>
      <c r="AK40" s="79"/>
    </row>
    <row r="41" customFormat="false" ht="15" hidden="false" customHeight="false" outlineLevel="0" collapsed="false">
      <c r="A41" s="100" t="str">
        <f aca="false">IF(B41="","",ROW()-5)</f>
        <v/>
      </c>
      <c r="B41" s="79"/>
      <c r="C41" s="79"/>
      <c r="D41" s="79"/>
      <c r="E41" s="79"/>
      <c r="F41" s="79"/>
      <c r="G41" s="79"/>
      <c r="H41" s="94"/>
      <c r="I41" s="95"/>
      <c r="J41" s="94"/>
      <c r="K41" s="94"/>
      <c r="L41" s="96"/>
      <c r="M41" s="96"/>
      <c r="N41" s="96"/>
      <c r="O41" s="96"/>
      <c r="P41" s="101" t="str">
        <f aca="false">IF(B41="","",SUM(L41:O41))</f>
        <v/>
      </c>
      <c r="Q41" s="101" t="str">
        <f aca="false">IF(B41="","",L41+IF(cfg_EOS_H="نعم",M41,0)+IF(cfg_EOS_T="نعم",N41,0)+IF(cfg_EOS_O="نعم",O41,0))</f>
        <v/>
      </c>
      <c r="R41" s="101" t="str">
        <f aca="false">IF(B41="","",L41+IF(cfg_LV_H="نعم",M41,0)+IF(cfg_LV_T="نعم",N41,0)+IF(cfg_LV_O="نعم",O41,0))</f>
        <v/>
      </c>
      <c r="S41" s="101" t="str">
        <f aca="false">IF(B41="","",MIN(cfg_G_CAP,L41+M41))</f>
        <v/>
      </c>
      <c r="T41" s="98"/>
      <c r="U41" s="79"/>
      <c r="V41" s="96"/>
      <c r="W41" s="98"/>
      <c r="X41" s="96"/>
      <c r="Y41" s="96"/>
      <c r="Z41" s="96"/>
      <c r="AA41" s="96"/>
      <c r="AB41" s="101" t="str">
        <f aca="false">IF(B41="","",IF(X41&lt;&gt;"",X41,IF(E41="غير سعودي",cfg_IQ,0))+IF(Y41&lt;&gt;"",Y41,IF(E41="غير سعودي",cfg_WP,0))+IF(Z41&lt;&gt;"",Z41,cfg_MED)+N(AA41))</f>
        <v/>
      </c>
      <c r="AC41" s="99"/>
      <c r="AD41" s="96"/>
      <c r="AE41" s="94"/>
      <c r="AF41" s="79"/>
      <c r="AG41" s="102" t="str">
        <f aca="false">IF(B41="","",IF(AND(AE41&lt;&gt;"",AE41&lt;=cfg_VAL_DATE),"✖ منتهي الخدمة",IF(H41&gt;cfg_VAL_DATE,"⏳ لم يباشر بعد","✔ على رأس العمل")))</f>
        <v/>
      </c>
      <c r="AH41" s="102" t="str">
        <f aca="false">IF(B41="","",IF(AG41&lt;&gt;"✔ على رأس العمل",AG41,IF(COUNTIFS('سجل الإجازات والحالات'!$B$6:$B$505,B41,'سجل الإجازات والحالات'!$E$6:$E$505,"&lt;="&amp;cfg_VAL_DATE,'سجل الإجازات والحالات'!$F$6:$F$505,"&gt;="&amp;cfg_VAL_DATE)&gt;0,"✈ "&amp;INDEX('سجل الإجازات والحالات'!$D$6:$D$505,MATCH(1,INDEX(('سجل الإجازات والحالات'!$B$6:$B$505=B41)*('سجل الإجازات والحالات'!$E$6:$E$505&lt;=cfg_VAL_DATE)*('سجل الإجازات والحالات'!$F$6:$F$505&gt;=cfg_VAL_DATE),0),0)),"✔ على رأس العمل")))</f>
        <v/>
      </c>
      <c r="AI41" s="79"/>
      <c r="AJ41" s="79"/>
      <c r="AK41" s="79"/>
    </row>
    <row r="42" customFormat="false" ht="15" hidden="false" customHeight="false" outlineLevel="0" collapsed="false">
      <c r="A42" s="93" t="str">
        <f aca="false">IF(B42="","",ROW()-5)</f>
        <v/>
      </c>
      <c r="B42" s="79"/>
      <c r="C42" s="79"/>
      <c r="D42" s="79"/>
      <c r="E42" s="79"/>
      <c r="F42" s="79"/>
      <c r="G42" s="79"/>
      <c r="H42" s="94"/>
      <c r="I42" s="95"/>
      <c r="J42" s="94"/>
      <c r="K42" s="94"/>
      <c r="L42" s="96"/>
      <c r="M42" s="96"/>
      <c r="N42" s="96"/>
      <c r="O42" s="96"/>
      <c r="P42" s="97" t="str">
        <f aca="false">IF(B42="","",SUM(L42:O42))</f>
        <v/>
      </c>
      <c r="Q42" s="97" t="str">
        <f aca="false">IF(B42="","",L42+IF(cfg_EOS_H="نعم",M42,0)+IF(cfg_EOS_T="نعم",N42,0)+IF(cfg_EOS_O="نعم",O42,0))</f>
        <v/>
      </c>
      <c r="R42" s="97" t="str">
        <f aca="false">IF(B42="","",L42+IF(cfg_LV_H="نعم",M42,0)+IF(cfg_LV_T="نعم",N42,0)+IF(cfg_LV_O="نعم",O42,0))</f>
        <v/>
      </c>
      <c r="S42" s="97" t="str">
        <f aca="false">IF(B42="","",MIN(cfg_G_CAP,L42+M42))</f>
        <v/>
      </c>
      <c r="T42" s="98"/>
      <c r="U42" s="79"/>
      <c r="V42" s="96"/>
      <c r="W42" s="98"/>
      <c r="X42" s="96"/>
      <c r="Y42" s="96"/>
      <c r="Z42" s="96"/>
      <c r="AA42" s="96"/>
      <c r="AB42" s="97" t="str">
        <f aca="false">IF(B42="","",IF(X42&lt;&gt;"",X42,IF(E42="غير سعودي",cfg_IQ,0))+IF(Y42&lt;&gt;"",Y42,IF(E42="غير سعودي",cfg_WP,0))+IF(Z42&lt;&gt;"",Z42,cfg_MED)+N(AA42))</f>
        <v/>
      </c>
      <c r="AC42" s="99"/>
      <c r="AD42" s="96"/>
      <c r="AE42" s="94"/>
      <c r="AF42" s="79"/>
      <c r="AG42" s="80" t="str">
        <f aca="false">IF(B42="","",IF(AND(AE42&lt;&gt;"",AE42&lt;=cfg_VAL_DATE),"✖ منتهي الخدمة",IF(H42&gt;cfg_VAL_DATE,"⏳ لم يباشر بعد","✔ على رأس العمل")))</f>
        <v/>
      </c>
      <c r="AH42" s="80" t="str">
        <f aca="false">IF(B42="","",IF(AG42&lt;&gt;"✔ على رأس العمل",AG42,IF(COUNTIFS('سجل الإجازات والحالات'!$B$6:$B$505,B42,'سجل الإجازات والحالات'!$E$6:$E$505,"&lt;="&amp;cfg_VAL_DATE,'سجل الإجازات والحالات'!$F$6:$F$505,"&gt;="&amp;cfg_VAL_DATE)&gt;0,"✈ "&amp;INDEX('سجل الإجازات والحالات'!$D$6:$D$505,MATCH(1,INDEX(('سجل الإجازات والحالات'!$B$6:$B$505=B42)*('سجل الإجازات والحالات'!$E$6:$E$505&lt;=cfg_VAL_DATE)*('سجل الإجازات والحالات'!$F$6:$F$505&gt;=cfg_VAL_DATE),0),0)),"✔ على رأس العمل")))</f>
        <v/>
      </c>
      <c r="AI42" s="79"/>
      <c r="AJ42" s="79"/>
      <c r="AK42" s="79"/>
    </row>
    <row r="43" customFormat="false" ht="15" hidden="false" customHeight="false" outlineLevel="0" collapsed="false">
      <c r="A43" s="100" t="str">
        <f aca="false">IF(B43="","",ROW()-5)</f>
        <v/>
      </c>
      <c r="B43" s="79"/>
      <c r="C43" s="79"/>
      <c r="D43" s="79"/>
      <c r="E43" s="79"/>
      <c r="F43" s="79"/>
      <c r="G43" s="79"/>
      <c r="H43" s="94"/>
      <c r="I43" s="95"/>
      <c r="J43" s="94"/>
      <c r="K43" s="94"/>
      <c r="L43" s="96"/>
      <c r="M43" s="96"/>
      <c r="N43" s="96"/>
      <c r="O43" s="96"/>
      <c r="P43" s="101" t="str">
        <f aca="false">IF(B43="","",SUM(L43:O43))</f>
        <v/>
      </c>
      <c r="Q43" s="101" t="str">
        <f aca="false">IF(B43="","",L43+IF(cfg_EOS_H="نعم",M43,0)+IF(cfg_EOS_T="نعم",N43,0)+IF(cfg_EOS_O="نعم",O43,0))</f>
        <v/>
      </c>
      <c r="R43" s="101" t="str">
        <f aca="false">IF(B43="","",L43+IF(cfg_LV_H="نعم",M43,0)+IF(cfg_LV_T="نعم",N43,0)+IF(cfg_LV_O="نعم",O43,0))</f>
        <v/>
      </c>
      <c r="S43" s="101" t="str">
        <f aca="false">IF(B43="","",MIN(cfg_G_CAP,L43+M43))</f>
        <v/>
      </c>
      <c r="T43" s="98"/>
      <c r="U43" s="79"/>
      <c r="V43" s="96"/>
      <c r="W43" s="98"/>
      <c r="X43" s="96"/>
      <c r="Y43" s="96"/>
      <c r="Z43" s="96"/>
      <c r="AA43" s="96"/>
      <c r="AB43" s="101" t="str">
        <f aca="false">IF(B43="","",IF(X43&lt;&gt;"",X43,IF(E43="غير سعودي",cfg_IQ,0))+IF(Y43&lt;&gt;"",Y43,IF(E43="غير سعودي",cfg_WP,0))+IF(Z43&lt;&gt;"",Z43,cfg_MED)+N(AA43))</f>
        <v/>
      </c>
      <c r="AC43" s="99"/>
      <c r="AD43" s="96"/>
      <c r="AE43" s="94"/>
      <c r="AF43" s="79"/>
      <c r="AG43" s="102" t="str">
        <f aca="false">IF(B43="","",IF(AND(AE43&lt;&gt;"",AE43&lt;=cfg_VAL_DATE),"✖ منتهي الخدمة",IF(H43&gt;cfg_VAL_DATE,"⏳ لم يباشر بعد","✔ على رأس العمل")))</f>
        <v/>
      </c>
      <c r="AH43" s="102" t="str">
        <f aca="false">IF(B43="","",IF(AG43&lt;&gt;"✔ على رأس العمل",AG43,IF(COUNTIFS('سجل الإجازات والحالات'!$B$6:$B$505,B43,'سجل الإجازات والحالات'!$E$6:$E$505,"&lt;="&amp;cfg_VAL_DATE,'سجل الإجازات والحالات'!$F$6:$F$505,"&gt;="&amp;cfg_VAL_DATE)&gt;0,"✈ "&amp;INDEX('سجل الإجازات والحالات'!$D$6:$D$505,MATCH(1,INDEX(('سجل الإجازات والحالات'!$B$6:$B$505=B43)*('سجل الإجازات والحالات'!$E$6:$E$505&lt;=cfg_VAL_DATE)*('سجل الإجازات والحالات'!$F$6:$F$505&gt;=cfg_VAL_DATE),0),0)),"✔ على رأس العمل")))</f>
        <v/>
      </c>
      <c r="AI43" s="79"/>
      <c r="AJ43" s="79"/>
      <c r="AK43" s="79"/>
    </row>
    <row r="44" customFormat="false" ht="15" hidden="false" customHeight="false" outlineLevel="0" collapsed="false">
      <c r="A44" s="93" t="str">
        <f aca="false">IF(B44="","",ROW()-5)</f>
        <v/>
      </c>
      <c r="B44" s="79"/>
      <c r="C44" s="79"/>
      <c r="D44" s="79"/>
      <c r="E44" s="79"/>
      <c r="F44" s="79"/>
      <c r="G44" s="79"/>
      <c r="H44" s="94"/>
      <c r="I44" s="95"/>
      <c r="J44" s="94"/>
      <c r="K44" s="94"/>
      <c r="L44" s="96"/>
      <c r="M44" s="96"/>
      <c r="N44" s="96"/>
      <c r="O44" s="96"/>
      <c r="P44" s="97" t="str">
        <f aca="false">IF(B44="","",SUM(L44:O44))</f>
        <v/>
      </c>
      <c r="Q44" s="97" t="str">
        <f aca="false">IF(B44="","",L44+IF(cfg_EOS_H="نعم",M44,0)+IF(cfg_EOS_T="نعم",N44,0)+IF(cfg_EOS_O="نعم",O44,0))</f>
        <v/>
      </c>
      <c r="R44" s="97" t="str">
        <f aca="false">IF(B44="","",L44+IF(cfg_LV_H="نعم",M44,0)+IF(cfg_LV_T="نعم",N44,0)+IF(cfg_LV_O="نعم",O44,0))</f>
        <v/>
      </c>
      <c r="S44" s="97" t="str">
        <f aca="false">IF(B44="","",MIN(cfg_G_CAP,L44+M44))</f>
        <v/>
      </c>
      <c r="T44" s="98"/>
      <c r="U44" s="79"/>
      <c r="V44" s="96"/>
      <c r="W44" s="98"/>
      <c r="X44" s="96"/>
      <c r="Y44" s="96"/>
      <c r="Z44" s="96"/>
      <c r="AA44" s="96"/>
      <c r="AB44" s="97" t="str">
        <f aca="false">IF(B44="","",IF(X44&lt;&gt;"",X44,IF(E44="غير سعودي",cfg_IQ,0))+IF(Y44&lt;&gt;"",Y44,IF(E44="غير سعودي",cfg_WP,0))+IF(Z44&lt;&gt;"",Z44,cfg_MED)+N(AA44))</f>
        <v/>
      </c>
      <c r="AC44" s="99"/>
      <c r="AD44" s="96"/>
      <c r="AE44" s="94"/>
      <c r="AF44" s="79"/>
      <c r="AG44" s="80" t="str">
        <f aca="false">IF(B44="","",IF(AND(AE44&lt;&gt;"",AE44&lt;=cfg_VAL_DATE),"✖ منتهي الخدمة",IF(H44&gt;cfg_VAL_DATE,"⏳ لم يباشر بعد","✔ على رأس العمل")))</f>
        <v/>
      </c>
      <c r="AH44" s="80" t="str">
        <f aca="false">IF(B44="","",IF(AG44&lt;&gt;"✔ على رأس العمل",AG44,IF(COUNTIFS('سجل الإجازات والحالات'!$B$6:$B$505,B44,'سجل الإجازات والحالات'!$E$6:$E$505,"&lt;="&amp;cfg_VAL_DATE,'سجل الإجازات والحالات'!$F$6:$F$505,"&gt;="&amp;cfg_VAL_DATE)&gt;0,"✈ "&amp;INDEX('سجل الإجازات والحالات'!$D$6:$D$505,MATCH(1,INDEX(('سجل الإجازات والحالات'!$B$6:$B$505=B44)*('سجل الإجازات والحالات'!$E$6:$E$505&lt;=cfg_VAL_DATE)*('سجل الإجازات والحالات'!$F$6:$F$505&gt;=cfg_VAL_DATE),0),0)),"✔ على رأس العمل")))</f>
        <v/>
      </c>
      <c r="AI44" s="79"/>
      <c r="AJ44" s="79"/>
      <c r="AK44" s="79"/>
    </row>
    <row r="45" customFormat="false" ht="15" hidden="false" customHeight="false" outlineLevel="0" collapsed="false">
      <c r="A45" s="100" t="str">
        <f aca="false">IF(B45="","",ROW()-5)</f>
        <v/>
      </c>
      <c r="B45" s="79"/>
      <c r="C45" s="79"/>
      <c r="D45" s="79"/>
      <c r="E45" s="79"/>
      <c r="F45" s="79"/>
      <c r="G45" s="79"/>
      <c r="H45" s="94"/>
      <c r="I45" s="95"/>
      <c r="J45" s="94"/>
      <c r="K45" s="94"/>
      <c r="L45" s="96"/>
      <c r="M45" s="96"/>
      <c r="N45" s="96"/>
      <c r="O45" s="96"/>
      <c r="P45" s="101" t="str">
        <f aca="false">IF(B45="","",SUM(L45:O45))</f>
        <v/>
      </c>
      <c r="Q45" s="101" t="str">
        <f aca="false">IF(B45="","",L45+IF(cfg_EOS_H="نعم",M45,0)+IF(cfg_EOS_T="نعم",N45,0)+IF(cfg_EOS_O="نعم",O45,0))</f>
        <v/>
      </c>
      <c r="R45" s="101" t="str">
        <f aca="false">IF(B45="","",L45+IF(cfg_LV_H="نعم",M45,0)+IF(cfg_LV_T="نعم",N45,0)+IF(cfg_LV_O="نعم",O45,0))</f>
        <v/>
      </c>
      <c r="S45" s="101" t="str">
        <f aca="false">IF(B45="","",MIN(cfg_G_CAP,L45+M45))</f>
        <v/>
      </c>
      <c r="T45" s="98"/>
      <c r="U45" s="79"/>
      <c r="V45" s="96"/>
      <c r="W45" s="98"/>
      <c r="X45" s="96"/>
      <c r="Y45" s="96"/>
      <c r="Z45" s="96"/>
      <c r="AA45" s="96"/>
      <c r="AB45" s="101" t="str">
        <f aca="false">IF(B45="","",IF(X45&lt;&gt;"",X45,IF(E45="غير سعودي",cfg_IQ,0))+IF(Y45&lt;&gt;"",Y45,IF(E45="غير سعودي",cfg_WP,0))+IF(Z45&lt;&gt;"",Z45,cfg_MED)+N(AA45))</f>
        <v/>
      </c>
      <c r="AC45" s="99"/>
      <c r="AD45" s="96"/>
      <c r="AE45" s="94"/>
      <c r="AF45" s="79"/>
      <c r="AG45" s="102" t="str">
        <f aca="false">IF(B45="","",IF(AND(AE45&lt;&gt;"",AE45&lt;=cfg_VAL_DATE),"✖ منتهي الخدمة",IF(H45&gt;cfg_VAL_DATE,"⏳ لم يباشر بعد","✔ على رأس العمل")))</f>
        <v/>
      </c>
      <c r="AH45" s="102" t="str">
        <f aca="false">IF(B45="","",IF(AG45&lt;&gt;"✔ على رأس العمل",AG45,IF(COUNTIFS('سجل الإجازات والحالات'!$B$6:$B$505,B45,'سجل الإجازات والحالات'!$E$6:$E$505,"&lt;="&amp;cfg_VAL_DATE,'سجل الإجازات والحالات'!$F$6:$F$505,"&gt;="&amp;cfg_VAL_DATE)&gt;0,"✈ "&amp;INDEX('سجل الإجازات والحالات'!$D$6:$D$505,MATCH(1,INDEX(('سجل الإجازات والحالات'!$B$6:$B$505=B45)*('سجل الإجازات والحالات'!$E$6:$E$505&lt;=cfg_VAL_DATE)*('سجل الإجازات والحالات'!$F$6:$F$505&gt;=cfg_VAL_DATE),0),0)),"✔ على رأس العمل")))</f>
        <v/>
      </c>
      <c r="AI45" s="79"/>
      <c r="AJ45" s="79"/>
      <c r="AK45" s="79"/>
    </row>
    <row r="46" customFormat="false" ht="15" hidden="false" customHeight="false" outlineLevel="0" collapsed="false">
      <c r="A46" s="93" t="str">
        <f aca="false">IF(B46="","",ROW()-5)</f>
        <v/>
      </c>
      <c r="B46" s="79"/>
      <c r="C46" s="79"/>
      <c r="D46" s="79"/>
      <c r="E46" s="79"/>
      <c r="F46" s="79"/>
      <c r="G46" s="79"/>
      <c r="H46" s="94"/>
      <c r="I46" s="95"/>
      <c r="J46" s="94"/>
      <c r="K46" s="94"/>
      <c r="L46" s="96"/>
      <c r="M46" s="96"/>
      <c r="N46" s="96"/>
      <c r="O46" s="96"/>
      <c r="P46" s="97" t="str">
        <f aca="false">IF(B46="","",SUM(L46:O46))</f>
        <v/>
      </c>
      <c r="Q46" s="97" t="str">
        <f aca="false">IF(B46="","",L46+IF(cfg_EOS_H="نعم",M46,0)+IF(cfg_EOS_T="نعم",N46,0)+IF(cfg_EOS_O="نعم",O46,0))</f>
        <v/>
      </c>
      <c r="R46" s="97" t="str">
        <f aca="false">IF(B46="","",L46+IF(cfg_LV_H="نعم",M46,0)+IF(cfg_LV_T="نعم",N46,0)+IF(cfg_LV_O="نعم",O46,0))</f>
        <v/>
      </c>
      <c r="S46" s="97" t="str">
        <f aca="false">IF(B46="","",MIN(cfg_G_CAP,L46+M46))</f>
        <v/>
      </c>
      <c r="T46" s="98"/>
      <c r="U46" s="79"/>
      <c r="V46" s="96"/>
      <c r="W46" s="98"/>
      <c r="X46" s="96"/>
      <c r="Y46" s="96"/>
      <c r="Z46" s="96"/>
      <c r="AA46" s="96"/>
      <c r="AB46" s="97" t="str">
        <f aca="false">IF(B46="","",IF(X46&lt;&gt;"",X46,IF(E46="غير سعودي",cfg_IQ,0))+IF(Y46&lt;&gt;"",Y46,IF(E46="غير سعودي",cfg_WP,0))+IF(Z46&lt;&gt;"",Z46,cfg_MED)+N(AA46))</f>
        <v/>
      </c>
      <c r="AC46" s="99"/>
      <c r="AD46" s="96"/>
      <c r="AE46" s="94"/>
      <c r="AF46" s="79"/>
      <c r="AG46" s="80" t="str">
        <f aca="false">IF(B46="","",IF(AND(AE46&lt;&gt;"",AE46&lt;=cfg_VAL_DATE),"✖ منتهي الخدمة",IF(H46&gt;cfg_VAL_DATE,"⏳ لم يباشر بعد","✔ على رأس العمل")))</f>
        <v/>
      </c>
      <c r="AH46" s="80" t="str">
        <f aca="false">IF(B46="","",IF(AG46&lt;&gt;"✔ على رأس العمل",AG46,IF(COUNTIFS('سجل الإجازات والحالات'!$B$6:$B$505,B46,'سجل الإجازات والحالات'!$E$6:$E$505,"&lt;="&amp;cfg_VAL_DATE,'سجل الإجازات والحالات'!$F$6:$F$505,"&gt;="&amp;cfg_VAL_DATE)&gt;0,"✈ "&amp;INDEX('سجل الإجازات والحالات'!$D$6:$D$505,MATCH(1,INDEX(('سجل الإجازات والحالات'!$B$6:$B$505=B46)*('سجل الإجازات والحالات'!$E$6:$E$505&lt;=cfg_VAL_DATE)*('سجل الإجازات والحالات'!$F$6:$F$505&gt;=cfg_VAL_DATE),0),0)),"✔ على رأس العمل")))</f>
        <v/>
      </c>
      <c r="AI46" s="79"/>
      <c r="AJ46" s="79"/>
      <c r="AK46" s="79"/>
    </row>
    <row r="47" customFormat="false" ht="15" hidden="false" customHeight="false" outlineLevel="0" collapsed="false">
      <c r="A47" s="100" t="str">
        <f aca="false">IF(B47="","",ROW()-5)</f>
        <v/>
      </c>
      <c r="B47" s="79"/>
      <c r="C47" s="79"/>
      <c r="D47" s="79"/>
      <c r="E47" s="79"/>
      <c r="F47" s="79"/>
      <c r="G47" s="79"/>
      <c r="H47" s="94"/>
      <c r="I47" s="95"/>
      <c r="J47" s="94"/>
      <c r="K47" s="94"/>
      <c r="L47" s="96"/>
      <c r="M47" s="96"/>
      <c r="N47" s="96"/>
      <c r="O47" s="96"/>
      <c r="P47" s="101" t="str">
        <f aca="false">IF(B47="","",SUM(L47:O47))</f>
        <v/>
      </c>
      <c r="Q47" s="101" t="str">
        <f aca="false">IF(B47="","",L47+IF(cfg_EOS_H="نعم",M47,0)+IF(cfg_EOS_T="نعم",N47,0)+IF(cfg_EOS_O="نعم",O47,0))</f>
        <v/>
      </c>
      <c r="R47" s="101" t="str">
        <f aca="false">IF(B47="","",L47+IF(cfg_LV_H="نعم",M47,0)+IF(cfg_LV_T="نعم",N47,0)+IF(cfg_LV_O="نعم",O47,0))</f>
        <v/>
      </c>
      <c r="S47" s="101" t="str">
        <f aca="false">IF(B47="","",MIN(cfg_G_CAP,L47+M47))</f>
        <v/>
      </c>
      <c r="T47" s="98"/>
      <c r="U47" s="79"/>
      <c r="V47" s="96"/>
      <c r="W47" s="98"/>
      <c r="X47" s="96"/>
      <c r="Y47" s="96"/>
      <c r="Z47" s="96"/>
      <c r="AA47" s="96"/>
      <c r="AB47" s="101" t="str">
        <f aca="false">IF(B47="","",IF(X47&lt;&gt;"",X47,IF(E47="غير سعودي",cfg_IQ,0))+IF(Y47&lt;&gt;"",Y47,IF(E47="غير سعودي",cfg_WP,0))+IF(Z47&lt;&gt;"",Z47,cfg_MED)+N(AA47))</f>
        <v/>
      </c>
      <c r="AC47" s="99"/>
      <c r="AD47" s="96"/>
      <c r="AE47" s="94"/>
      <c r="AF47" s="79"/>
      <c r="AG47" s="102" t="str">
        <f aca="false">IF(B47="","",IF(AND(AE47&lt;&gt;"",AE47&lt;=cfg_VAL_DATE),"✖ منتهي الخدمة",IF(H47&gt;cfg_VAL_DATE,"⏳ لم يباشر بعد","✔ على رأس العمل")))</f>
        <v/>
      </c>
      <c r="AH47" s="102" t="str">
        <f aca="false">IF(B47="","",IF(AG47&lt;&gt;"✔ على رأس العمل",AG47,IF(COUNTIFS('سجل الإجازات والحالات'!$B$6:$B$505,B47,'سجل الإجازات والحالات'!$E$6:$E$505,"&lt;="&amp;cfg_VAL_DATE,'سجل الإجازات والحالات'!$F$6:$F$505,"&gt;="&amp;cfg_VAL_DATE)&gt;0,"✈ "&amp;INDEX('سجل الإجازات والحالات'!$D$6:$D$505,MATCH(1,INDEX(('سجل الإجازات والحالات'!$B$6:$B$505=B47)*('سجل الإجازات والحالات'!$E$6:$E$505&lt;=cfg_VAL_DATE)*('سجل الإجازات والحالات'!$F$6:$F$505&gt;=cfg_VAL_DATE),0),0)),"✔ على رأس العمل")))</f>
        <v/>
      </c>
      <c r="AI47" s="79"/>
      <c r="AJ47" s="79"/>
      <c r="AK47" s="79"/>
    </row>
    <row r="48" customFormat="false" ht="15" hidden="false" customHeight="false" outlineLevel="0" collapsed="false">
      <c r="A48" s="93" t="str">
        <f aca="false">IF(B48="","",ROW()-5)</f>
        <v/>
      </c>
      <c r="B48" s="79"/>
      <c r="C48" s="79"/>
      <c r="D48" s="79"/>
      <c r="E48" s="79"/>
      <c r="F48" s="79"/>
      <c r="G48" s="79"/>
      <c r="H48" s="94"/>
      <c r="I48" s="95"/>
      <c r="J48" s="94"/>
      <c r="K48" s="94"/>
      <c r="L48" s="96"/>
      <c r="M48" s="96"/>
      <c r="N48" s="96"/>
      <c r="O48" s="96"/>
      <c r="P48" s="97" t="str">
        <f aca="false">IF(B48="","",SUM(L48:O48))</f>
        <v/>
      </c>
      <c r="Q48" s="97" t="str">
        <f aca="false">IF(B48="","",L48+IF(cfg_EOS_H="نعم",M48,0)+IF(cfg_EOS_T="نعم",N48,0)+IF(cfg_EOS_O="نعم",O48,0))</f>
        <v/>
      </c>
      <c r="R48" s="97" t="str">
        <f aca="false">IF(B48="","",L48+IF(cfg_LV_H="نعم",M48,0)+IF(cfg_LV_T="نعم",N48,0)+IF(cfg_LV_O="نعم",O48,0))</f>
        <v/>
      </c>
      <c r="S48" s="97" t="str">
        <f aca="false">IF(B48="","",MIN(cfg_G_CAP,L48+M48))</f>
        <v/>
      </c>
      <c r="T48" s="98"/>
      <c r="U48" s="79"/>
      <c r="V48" s="96"/>
      <c r="W48" s="98"/>
      <c r="X48" s="96"/>
      <c r="Y48" s="96"/>
      <c r="Z48" s="96"/>
      <c r="AA48" s="96"/>
      <c r="AB48" s="97" t="str">
        <f aca="false">IF(B48="","",IF(X48&lt;&gt;"",X48,IF(E48="غير سعودي",cfg_IQ,0))+IF(Y48&lt;&gt;"",Y48,IF(E48="غير سعودي",cfg_WP,0))+IF(Z48&lt;&gt;"",Z48,cfg_MED)+N(AA48))</f>
        <v/>
      </c>
      <c r="AC48" s="99"/>
      <c r="AD48" s="96"/>
      <c r="AE48" s="94"/>
      <c r="AF48" s="79"/>
      <c r="AG48" s="80" t="str">
        <f aca="false">IF(B48="","",IF(AND(AE48&lt;&gt;"",AE48&lt;=cfg_VAL_DATE),"✖ منتهي الخدمة",IF(H48&gt;cfg_VAL_DATE,"⏳ لم يباشر بعد","✔ على رأس العمل")))</f>
        <v/>
      </c>
      <c r="AH48" s="80" t="str">
        <f aca="false">IF(B48="","",IF(AG48&lt;&gt;"✔ على رأس العمل",AG48,IF(COUNTIFS('سجل الإجازات والحالات'!$B$6:$B$505,B48,'سجل الإجازات والحالات'!$E$6:$E$505,"&lt;="&amp;cfg_VAL_DATE,'سجل الإجازات والحالات'!$F$6:$F$505,"&gt;="&amp;cfg_VAL_DATE)&gt;0,"✈ "&amp;INDEX('سجل الإجازات والحالات'!$D$6:$D$505,MATCH(1,INDEX(('سجل الإجازات والحالات'!$B$6:$B$505=B48)*('سجل الإجازات والحالات'!$E$6:$E$505&lt;=cfg_VAL_DATE)*('سجل الإجازات والحالات'!$F$6:$F$505&gt;=cfg_VAL_DATE),0),0)),"✔ على رأس العمل")))</f>
        <v/>
      </c>
      <c r="AI48" s="79"/>
      <c r="AJ48" s="79"/>
      <c r="AK48" s="79"/>
    </row>
    <row r="49" customFormat="false" ht="15" hidden="false" customHeight="false" outlineLevel="0" collapsed="false">
      <c r="A49" s="100" t="str">
        <f aca="false">IF(B49="","",ROW()-5)</f>
        <v/>
      </c>
      <c r="B49" s="79"/>
      <c r="C49" s="79"/>
      <c r="D49" s="79"/>
      <c r="E49" s="79"/>
      <c r="F49" s="79"/>
      <c r="G49" s="79"/>
      <c r="H49" s="94"/>
      <c r="I49" s="95"/>
      <c r="J49" s="94"/>
      <c r="K49" s="94"/>
      <c r="L49" s="96"/>
      <c r="M49" s="96"/>
      <c r="N49" s="96"/>
      <c r="O49" s="96"/>
      <c r="P49" s="101" t="str">
        <f aca="false">IF(B49="","",SUM(L49:O49))</f>
        <v/>
      </c>
      <c r="Q49" s="101" t="str">
        <f aca="false">IF(B49="","",L49+IF(cfg_EOS_H="نعم",M49,0)+IF(cfg_EOS_T="نعم",N49,0)+IF(cfg_EOS_O="نعم",O49,0))</f>
        <v/>
      </c>
      <c r="R49" s="101" t="str">
        <f aca="false">IF(B49="","",L49+IF(cfg_LV_H="نعم",M49,0)+IF(cfg_LV_T="نعم",N49,0)+IF(cfg_LV_O="نعم",O49,0))</f>
        <v/>
      </c>
      <c r="S49" s="101" t="str">
        <f aca="false">IF(B49="","",MIN(cfg_G_CAP,L49+M49))</f>
        <v/>
      </c>
      <c r="T49" s="98"/>
      <c r="U49" s="79"/>
      <c r="V49" s="96"/>
      <c r="W49" s="98"/>
      <c r="X49" s="96"/>
      <c r="Y49" s="96"/>
      <c r="Z49" s="96"/>
      <c r="AA49" s="96"/>
      <c r="AB49" s="101" t="str">
        <f aca="false">IF(B49="","",IF(X49&lt;&gt;"",X49,IF(E49="غير سعودي",cfg_IQ,0))+IF(Y49&lt;&gt;"",Y49,IF(E49="غير سعودي",cfg_WP,0))+IF(Z49&lt;&gt;"",Z49,cfg_MED)+N(AA49))</f>
        <v/>
      </c>
      <c r="AC49" s="99"/>
      <c r="AD49" s="96"/>
      <c r="AE49" s="94"/>
      <c r="AF49" s="79"/>
      <c r="AG49" s="102" t="str">
        <f aca="false">IF(B49="","",IF(AND(AE49&lt;&gt;"",AE49&lt;=cfg_VAL_DATE),"✖ منتهي الخدمة",IF(H49&gt;cfg_VAL_DATE,"⏳ لم يباشر بعد","✔ على رأس العمل")))</f>
        <v/>
      </c>
      <c r="AH49" s="102" t="str">
        <f aca="false">IF(B49="","",IF(AG49&lt;&gt;"✔ على رأس العمل",AG49,IF(COUNTIFS('سجل الإجازات والحالات'!$B$6:$B$505,B49,'سجل الإجازات والحالات'!$E$6:$E$505,"&lt;="&amp;cfg_VAL_DATE,'سجل الإجازات والحالات'!$F$6:$F$505,"&gt;="&amp;cfg_VAL_DATE)&gt;0,"✈ "&amp;INDEX('سجل الإجازات والحالات'!$D$6:$D$505,MATCH(1,INDEX(('سجل الإجازات والحالات'!$B$6:$B$505=B49)*('سجل الإجازات والحالات'!$E$6:$E$505&lt;=cfg_VAL_DATE)*('سجل الإجازات والحالات'!$F$6:$F$505&gt;=cfg_VAL_DATE),0),0)),"✔ على رأس العمل")))</f>
        <v/>
      </c>
      <c r="AI49" s="79"/>
      <c r="AJ49" s="79"/>
      <c r="AK49" s="79"/>
    </row>
    <row r="50" customFormat="false" ht="15" hidden="false" customHeight="false" outlineLevel="0" collapsed="false">
      <c r="A50" s="93" t="str">
        <f aca="false">IF(B50="","",ROW()-5)</f>
        <v/>
      </c>
      <c r="B50" s="79"/>
      <c r="C50" s="79"/>
      <c r="D50" s="79"/>
      <c r="E50" s="79"/>
      <c r="F50" s="79"/>
      <c r="G50" s="79"/>
      <c r="H50" s="94"/>
      <c r="I50" s="95"/>
      <c r="J50" s="94"/>
      <c r="K50" s="94"/>
      <c r="L50" s="96"/>
      <c r="M50" s="96"/>
      <c r="N50" s="96"/>
      <c r="O50" s="96"/>
      <c r="P50" s="97" t="str">
        <f aca="false">IF(B50="","",SUM(L50:O50))</f>
        <v/>
      </c>
      <c r="Q50" s="97" t="str">
        <f aca="false">IF(B50="","",L50+IF(cfg_EOS_H="نعم",M50,0)+IF(cfg_EOS_T="نعم",N50,0)+IF(cfg_EOS_O="نعم",O50,0))</f>
        <v/>
      </c>
      <c r="R50" s="97" t="str">
        <f aca="false">IF(B50="","",L50+IF(cfg_LV_H="نعم",M50,0)+IF(cfg_LV_T="نعم",N50,0)+IF(cfg_LV_O="نعم",O50,0))</f>
        <v/>
      </c>
      <c r="S50" s="97" t="str">
        <f aca="false">IF(B50="","",MIN(cfg_G_CAP,L50+M50))</f>
        <v/>
      </c>
      <c r="T50" s="98"/>
      <c r="U50" s="79"/>
      <c r="V50" s="96"/>
      <c r="W50" s="98"/>
      <c r="X50" s="96"/>
      <c r="Y50" s="96"/>
      <c r="Z50" s="96"/>
      <c r="AA50" s="96"/>
      <c r="AB50" s="97" t="str">
        <f aca="false">IF(B50="","",IF(X50&lt;&gt;"",X50,IF(E50="غير سعودي",cfg_IQ,0))+IF(Y50&lt;&gt;"",Y50,IF(E50="غير سعودي",cfg_WP,0))+IF(Z50&lt;&gt;"",Z50,cfg_MED)+N(AA50))</f>
        <v/>
      </c>
      <c r="AC50" s="99"/>
      <c r="AD50" s="96"/>
      <c r="AE50" s="94"/>
      <c r="AF50" s="79"/>
      <c r="AG50" s="80" t="str">
        <f aca="false">IF(B50="","",IF(AND(AE50&lt;&gt;"",AE50&lt;=cfg_VAL_DATE),"✖ منتهي الخدمة",IF(H50&gt;cfg_VAL_DATE,"⏳ لم يباشر بعد","✔ على رأس العمل")))</f>
        <v/>
      </c>
      <c r="AH50" s="80" t="str">
        <f aca="false">IF(B50="","",IF(AG50&lt;&gt;"✔ على رأس العمل",AG50,IF(COUNTIFS('سجل الإجازات والحالات'!$B$6:$B$505,B50,'سجل الإجازات والحالات'!$E$6:$E$505,"&lt;="&amp;cfg_VAL_DATE,'سجل الإجازات والحالات'!$F$6:$F$505,"&gt;="&amp;cfg_VAL_DATE)&gt;0,"✈ "&amp;INDEX('سجل الإجازات والحالات'!$D$6:$D$505,MATCH(1,INDEX(('سجل الإجازات والحالات'!$B$6:$B$505=B50)*('سجل الإجازات والحالات'!$E$6:$E$505&lt;=cfg_VAL_DATE)*('سجل الإجازات والحالات'!$F$6:$F$505&gt;=cfg_VAL_DATE),0),0)),"✔ على رأس العمل")))</f>
        <v/>
      </c>
      <c r="AI50" s="79"/>
      <c r="AJ50" s="79"/>
      <c r="AK50" s="79"/>
    </row>
    <row r="51" customFormat="false" ht="15" hidden="false" customHeight="false" outlineLevel="0" collapsed="false">
      <c r="A51" s="100" t="str">
        <f aca="false">IF(B51="","",ROW()-5)</f>
        <v/>
      </c>
      <c r="B51" s="79"/>
      <c r="C51" s="79"/>
      <c r="D51" s="79"/>
      <c r="E51" s="79"/>
      <c r="F51" s="79"/>
      <c r="G51" s="79"/>
      <c r="H51" s="94"/>
      <c r="I51" s="95"/>
      <c r="J51" s="94"/>
      <c r="K51" s="94"/>
      <c r="L51" s="96"/>
      <c r="M51" s="96"/>
      <c r="N51" s="96"/>
      <c r="O51" s="96"/>
      <c r="P51" s="101" t="str">
        <f aca="false">IF(B51="","",SUM(L51:O51))</f>
        <v/>
      </c>
      <c r="Q51" s="101" t="str">
        <f aca="false">IF(B51="","",L51+IF(cfg_EOS_H="نعم",M51,0)+IF(cfg_EOS_T="نعم",N51,0)+IF(cfg_EOS_O="نعم",O51,0))</f>
        <v/>
      </c>
      <c r="R51" s="101" t="str">
        <f aca="false">IF(B51="","",L51+IF(cfg_LV_H="نعم",M51,0)+IF(cfg_LV_T="نعم",N51,0)+IF(cfg_LV_O="نعم",O51,0))</f>
        <v/>
      </c>
      <c r="S51" s="101" t="str">
        <f aca="false">IF(B51="","",MIN(cfg_G_CAP,L51+M51))</f>
        <v/>
      </c>
      <c r="T51" s="98"/>
      <c r="U51" s="79"/>
      <c r="V51" s="96"/>
      <c r="W51" s="98"/>
      <c r="X51" s="96"/>
      <c r="Y51" s="96"/>
      <c r="Z51" s="96"/>
      <c r="AA51" s="96"/>
      <c r="AB51" s="101" t="str">
        <f aca="false">IF(B51="","",IF(X51&lt;&gt;"",X51,IF(E51="غير سعودي",cfg_IQ,0))+IF(Y51&lt;&gt;"",Y51,IF(E51="غير سعودي",cfg_WP,0))+IF(Z51&lt;&gt;"",Z51,cfg_MED)+N(AA51))</f>
        <v/>
      </c>
      <c r="AC51" s="99"/>
      <c r="AD51" s="96"/>
      <c r="AE51" s="94"/>
      <c r="AF51" s="79"/>
      <c r="AG51" s="102" t="str">
        <f aca="false">IF(B51="","",IF(AND(AE51&lt;&gt;"",AE51&lt;=cfg_VAL_DATE),"✖ منتهي الخدمة",IF(H51&gt;cfg_VAL_DATE,"⏳ لم يباشر بعد","✔ على رأس العمل")))</f>
        <v/>
      </c>
      <c r="AH51" s="102" t="str">
        <f aca="false">IF(B51="","",IF(AG51&lt;&gt;"✔ على رأس العمل",AG51,IF(COUNTIFS('سجل الإجازات والحالات'!$B$6:$B$505,B51,'سجل الإجازات والحالات'!$E$6:$E$505,"&lt;="&amp;cfg_VAL_DATE,'سجل الإجازات والحالات'!$F$6:$F$505,"&gt;="&amp;cfg_VAL_DATE)&gt;0,"✈ "&amp;INDEX('سجل الإجازات والحالات'!$D$6:$D$505,MATCH(1,INDEX(('سجل الإجازات والحالات'!$B$6:$B$505=B51)*('سجل الإجازات والحالات'!$E$6:$E$505&lt;=cfg_VAL_DATE)*('سجل الإجازات والحالات'!$F$6:$F$505&gt;=cfg_VAL_DATE),0),0)),"✔ على رأس العمل")))</f>
        <v/>
      </c>
      <c r="AI51" s="79"/>
      <c r="AJ51" s="79"/>
      <c r="AK51" s="79"/>
    </row>
    <row r="52" customFormat="false" ht="15" hidden="false" customHeight="false" outlineLevel="0" collapsed="false">
      <c r="A52" s="93" t="str">
        <f aca="false">IF(B52="","",ROW()-5)</f>
        <v/>
      </c>
      <c r="B52" s="79"/>
      <c r="C52" s="79"/>
      <c r="D52" s="79"/>
      <c r="E52" s="79"/>
      <c r="F52" s="79"/>
      <c r="G52" s="79"/>
      <c r="H52" s="94"/>
      <c r="I52" s="95"/>
      <c r="J52" s="94"/>
      <c r="K52" s="94"/>
      <c r="L52" s="96"/>
      <c r="M52" s="96"/>
      <c r="N52" s="96"/>
      <c r="O52" s="96"/>
      <c r="P52" s="97" t="str">
        <f aca="false">IF(B52="","",SUM(L52:O52))</f>
        <v/>
      </c>
      <c r="Q52" s="97" t="str">
        <f aca="false">IF(B52="","",L52+IF(cfg_EOS_H="نعم",M52,0)+IF(cfg_EOS_T="نعم",N52,0)+IF(cfg_EOS_O="نعم",O52,0))</f>
        <v/>
      </c>
      <c r="R52" s="97" t="str">
        <f aca="false">IF(B52="","",L52+IF(cfg_LV_H="نعم",M52,0)+IF(cfg_LV_T="نعم",N52,0)+IF(cfg_LV_O="نعم",O52,0))</f>
        <v/>
      </c>
      <c r="S52" s="97" t="str">
        <f aca="false">IF(B52="","",MIN(cfg_G_CAP,L52+M52))</f>
        <v/>
      </c>
      <c r="T52" s="98"/>
      <c r="U52" s="79"/>
      <c r="V52" s="96"/>
      <c r="W52" s="98"/>
      <c r="X52" s="96"/>
      <c r="Y52" s="96"/>
      <c r="Z52" s="96"/>
      <c r="AA52" s="96"/>
      <c r="AB52" s="97" t="str">
        <f aca="false">IF(B52="","",IF(X52&lt;&gt;"",X52,IF(E52="غير سعودي",cfg_IQ,0))+IF(Y52&lt;&gt;"",Y52,IF(E52="غير سعودي",cfg_WP,0))+IF(Z52&lt;&gt;"",Z52,cfg_MED)+N(AA52))</f>
        <v/>
      </c>
      <c r="AC52" s="99"/>
      <c r="AD52" s="96"/>
      <c r="AE52" s="94"/>
      <c r="AF52" s="79"/>
      <c r="AG52" s="80" t="str">
        <f aca="false">IF(B52="","",IF(AND(AE52&lt;&gt;"",AE52&lt;=cfg_VAL_DATE),"✖ منتهي الخدمة",IF(H52&gt;cfg_VAL_DATE,"⏳ لم يباشر بعد","✔ على رأس العمل")))</f>
        <v/>
      </c>
      <c r="AH52" s="80" t="str">
        <f aca="false">IF(B52="","",IF(AG52&lt;&gt;"✔ على رأس العمل",AG52,IF(COUNTIFS('سجل الإجازات والحالات'!$B$6:$B$505,B52,'سجل الإجازات والحالات'!$E$6:$E$505,"&lt;="&amp;cfg_VAL_DATE,'سجل الإجازات والحالات'!$F$6:$F$505,"&gt;="&amp;cfg_VAL_DATE)&gt;0,"✈ "&amp;INDEX('سجل الإجازات والحالات'!$D$6:$D$505,MATCH(1,INDEX(('سجل الإجازات والحالات'!$B$6:$B$505=B52)*('سجل الإجازات والحالات'!$E$6:$E$505&lt;=cfg_VAL_DATE)*('سجل الإجازات والحالات'!$F$6:$F$505&gt;=cfg_VAL_DATE),0),0)),"✔ على رأس العمل")))</f>
        <v/>
      </c>
      <c r="AI52" s="79"/>
      <c r="AJ52" s="79"/>
      <c r="AK52" s="79"/>
    </row>
    <row r="53" customFormat="false" ht="15" hidden="false" customHeight="false" outlineLevel="0" collapsed="false">
      <c r="A53" s="100" t="str">
        <f aca="false">IF(B53="","",ROW()-5)</f>
        <v/>
      </c>
      <c r="B53" s="79"/>
      <c r="C53" s="79"/>
      <c r="D53" s="79"/>
      <c r="E53" s="79"/>
      <c r="F53" s="79"/>
      <c r="G53" s="79"/>
      <c r="H53" s="94"/>
      <c r="I53" s="95"/>
      <c r="J53" s="94"/>
      <c r="K53" s="94"/>
      <c r="L53" s="96"/>
      <c r="M53" s="96"/>
      <c r="N53" s="96"/>
      <c r="O53" s="96"/>
      <c r="P53" s="101" t="str">
        <f aca="false">IF(B53="","",SUM(L53:O53))</f>
        <v/>
      </c>
      <c r="Q53" s="101" t="str">
        <f aca="false">IF(B53="","",L53+IF(cfg_EOS_H="نعم",M53,0)+IF(cfg_EOS_T="نعم",N53,0)+IF(cfg_EOS_O="نعم",O53,0))</f>
        <v/>
      </c>
      <c r="R53" s="101" t="str">
        <f aca="false">IF(B53="","",L53+IF(cfg_LV_H="نعم",M53,0)+IF(cfg_LV_T="نعم",N53,0)+IF(cfg_LV_O="نعم",O53,0))</f>
        <v/>
      </c>
      <c r="S53" s="101" t="str">
        <f aca="false">IF(B53="","",MIN(cfg_G_CAP,L53+M53))</f>
        <v/>
      </c>
      <c r="T53" s="98"/>
      <c r="U53" s="79"/>
      <c r="V53" s="96"/>
      <c r="W53" s="98"/>
      <c r="X53" s="96"/>
      <c r="Y53" s="96"/>
      <c r="Z53" s="96"/>
      <c r="AA53" s="96"/>
      <c r="AB53" s="101" t="str">
        <f aca="false">IF(B53="","",IF(X53&lt;&gt;"",X53,IF(E53="غير سعودي",cfg_IQ,0))+IF(Y53&lt;&gt;"",Y53,IF(E53="غير سعودي",cfg_WP,0))+IF(Z53&lt;&gt;"",Z53,cfg_MED)+N(AA53))</f>
        <v/>
      </c>
      <c r="AC53" s="99"/>
      <c r="AD53" s="96"/>
      <c r="AE53" s="94"/>
      <c r="AF53" s="79"/>
      <c r="AG53" s="102" t="str">
        <f aca="false">IF(B53="","",IF(AND(AE53&lt;&gt;"",AE53&lt;=cfg_VAL_DATE),"✖ منتهي الخدمة",IF(H53&gt;cfg_VAL_DATE,"⏳ لم يباشر بعد","✔ على رأس العمل")))</f>
        <v/>
      </c>
      <c r="AH53" s="102" t="str">
        <f aca="false">IF(B53="","",IF(AG53&lt;&gt;"✔ على رأس العمل",AG53,IF(COUNTIFS('سجل الإجازات والحالات'!$B$6:$B$505,B53,'سجل الإجازات والحالات'!$E$6:$E$505,"&lt;="&amp;cfg_VAL_DATE,'سجل الإجازات والحالات'!$F$6:$F$505,"&gt;="&amp;cfg_VAL_DATE)&gt;0,"✈ "&amp;INDEX('سجل الإجازات والحالات'!$D$6:$D$505,MATCH(1,INDEX(('سجل الإجازات والحالات'!$B$6:$B$505=B53)*('سجل الإجازات والحالات'!$E$6:$E$505&lt;=cfg_VAL_DATE)*('سجل الإجازات والحالات'!$F$6:$F$505&gt;=cfg_VAL_DATE),0),0)),"✔ على رأس العمل")))</f>
        <v/>
      </c>
      <c r="AI53" s="79"/>
      <c r="AJ53" s="79"/>
      <c r="AK53" s="79"/>
    </row>
    <row r="54" customFormat="false" ht="15" hidden="false" customHeight="false" outlineLevel="0" collapsed="false">
      <c r="A54" s="93" t="str">
        <f aca="false">IF(B54="","",ROW()-5)</f>
        <v/>
      </c>
      <c r="B54" s="79"/>
      <c r="C54" s="79"/>
      <c r="D54" s="79"/>
      <c r="E54" s="79"/>
      <c r="F54" s="79"/>
      <c r="G54" s="79"/>
      <c r="H54" s="94"/>
      <c r="I54" s="95"/>
      <c r="J54" s="94"/>
      <c r="K54" s="94"/>
      <c r="L54" s="96"/>
      <c r="M54" s="96"/>
      <c r="N54" s="96"/>
      <c r="O54" s="96"/>
      <c r="P54" s="97" t="str">
        <f aca="false">IF(B54="","",SUM(L54:O54))</f>
        <v/>
      </c>
      <c r="Q54" s="97" t="str">
        <f aca="false">IF(B54="","",L54+IF(cfg_EOS_H="نعم",M54,0)+IF(cfg_EOS_T="نعم",N54,0)+IF(cfg_EOS_O="نعم",O54,0))</f>
        <v/>
      </c>
      <c r="R54" s="97" t="str">
        <f aca="false">IF(B54="","",L54+IF(cfg_LV_H="نعم",M54,0)+IF(cfg_LV_T="نعم",N54,0)+IF(cfg_LV_O="نعم",O54,0))</f>
        <v/>
      </c>
      <c r="S54" s="97" t="str">
        <f aca="false">IF(B54="","",MIN(cfg_G_CAP,L54+M54))</f>
        <v/>
      </c>
      <c r="T54" s="98"/>
      <c r="U54" s="79"/>
      <c r="V54" s="96"/>
      <c r="W54" s="98"/>
      <c r="X54" s="96"/>
      <c r="Y54" s="96"/>
      <c r="Z54" s="96"/>
      <c r="AA54" s="96"/>
      <c r="AB54" s="97" t="str">
        <f aca="false">IF(B54="","",IF(X54&lt;&gt;"",X54,IF(E54="غير سعودي",cfg_IQ,0))+IF(Y54&lt;&gt;"",Y54,IF(E54="غير سعودي",cfg_WP,0))+IF(Z54&lt;&gt;"",Z54,cfg_MED)+N(AA54))</f>
        <v/>
      </c>
      <c r="AC54" s="99"/>
      <c r="AD54" s="96"/>
      <c r="AE54" s="94"/>
      <c r="AF54" s="79"/>
      <c r="AG54" s="80" t="str">
        <f aca="false">IF(B54="","",IF(AND(AE54&lt;&gt;"",AE54&lt;=cfg_VAL_DATE),"✖ منتهي الخدمة",IF(H54&gt;cfg_VAL_DATE,"⏳ لم يباشر بعد","✔ على رأس العمل")))</f>
        <v/>
      </c>
      <c r="AH54" s="80" t="str">
        <f aca="false">IF(B54="","",IF(AG54&lt;&gt;"✔ على رأس العمل",AG54,IF(COUNTIFS('سجل الإجازات والحالات'!$B$6:$B$505,B54,'سجل الإجازات والحالات'!$E$6:$E$505,"&lt;="&amp;cfg_VAL_DATE,'سجل الإجازات والحالات'!$F$6:$F$505,"&gt;="&amp;cfg_VAL_DATE)&gt;0,"✈ "&amp;INDEX('سجل الإجازات والحالات'!$D$6:$D$505,MATCH(1,INDEX(('سجل الإجازات والحالات'!$B$6:$B$505=B54)*('سجل الإجازات والحالات'!$E$6:$E$505&lt;=cfg_VAL_DATE)*('سجل الإجازات والحالات'!$F$6:$F$505&gt;=cfg_VAL_DATE),0),0)),"✔ على رأس العمل")))</f>
        <v/>
      </c>
      <c r="AI54" s="79"/>
      <c r="AJ54" s="79"/>
      <c r="AK54" s="79"/>
    </row>
    <row r="55" customFormat="false" ht="15" hidden="false" customHeight="false" outlineLevel="0" collapsed="false">
      <c r="A55" s="100" t="str">
        <f aca="false">IF(B55="","",ROW()-5)</f>
        <v/>
      </c>
      <c r="B55" s="79"/>
      <c r="C55" s="79"/>
      <c r="D55" s="79"/>
      <c r="E55" s="79"/>
      <c r="F55" s="79"/>
      <c r="G55" s="79"/>
      <c r="H55" s="94"/>
      <c r="I55" s="95"/>
      <c r="J55" s="94"/>
      <c r="K55" s="94"/>
      <c r="L55" s="96"/>
      <c r="M55" s="96"/>
      <c r="N55" s="96"/>
      <c r="O55" s="96"/>
      <c r="P55" s="101" t="str">
        <f aca="false">IF(B55="","",SUM(L55:O55))</f>
        <v/>
      </c>
      <c r="Q55" s="101" t="str">
        <f aca="false">IF(B55="","",L55+IF(cfg_EOS_H="نعم",M55,0)+IF(cfg_EOS_T="نعم",N55,0)+IF(cfg_EOS_O="نعم",O55,0))</f>
        <v/>
      </c>
      <c r="R55" s="101" t="str">
        <f aca="false">IF(B55="","",L55+IF(cfg_LV_H="نعم",M55,0)+IF(cfg_LV_T="نعم",N55,0)+IF(cfg_LV_O="نعم",O55,0))</f>
        <v/>
      </c>
      <c r="S55" s="101" t="str">
        <f aca="false">IF(B55="","",MIN(cfg_G_CAP,L55+M55))</f>
        <v/>
      </c>
      <c r="T55" s="98"/>
      <c r="U55" s="79"/>
      <c r="V55" s="96"/>
      <c r="W55" s="98"/>
      <c r="X55" s="96"/>
      <c r="Y55" s="96"/>
      <c r="Z55" s="96"/>
      <c r="AA55" s="96"/>
      <c r="AB55" s="101" t="str">
        <f aca="false">IF(B55="","",IF(X55&lt;&gt;"",X55,IF(E55="غير سعودي",cfg_IQ,0))+IF(Y55&lt;&gt;"",Y55,IF(E55="غير سعودي",cfg_WP,0))+IF(Z55&lt;&gt;"",Z55,cfg_MED)+N(AA55))</f>
        <v/>
      </c>
      <c r="AC55" s="99"/>
      <c r="AD55" s="96"/>
      <c r="AE55" s="94"/>
      <c r="AF55" s="79"/>
      <c r="AG55" s="102" t="str">
        <f aca="false">IF(B55="","",IF(AND(AE55&lt;&gt;"",AE55&lt;=cfg_VAL_DATE),"✖ منتهي الخدمة",IF(H55&gt;cfg_VAL_DATE,"⏳ لم يباشر بعد","✔ على رأس العمل")))</f>
        <v/>
      </c>
      <c r="AH55" s="102" t="str">
        <f aca="false">IF(B55="","",IF(AG55&lt;&gt;"✔ على رأس العمل",AG55,IF(COUNTIFS('سجل الإجازات والحالات'!$B$6:$B$505,B55,'سجل الإجازات والحالات'!$E$6:$E$505,"&lt;="&amp;cfg_VAL_DATE,'سجل الإجازات والحالات'!$F$6:$F$505,"&gt;="&amp;cfg_VAL_DATE)&gt;0,"✈ "&amp;INDEX('سجل الإجازات والحالات'!$D$6:$D$505,MATCH(1,INDEX(('سجل الإجازات والحالات'!$B$6:$B$505=B55)*('سجل الإجازات والحالات'!$E$6:$E$505&lt;=cfg_VAL_DATE)*('سجل الإجازات والحالات'!$F$6:$F$505&gt;=cfg_VAL_DATE),0),0)),"✔ على رأس العمل")))</f>
        <v/>
      </c>
      <c r="AI55" s="79"/>
      <c r="AJ55" s="79"/>
      <c r="AK55" s="79"/>
    </row>
    <row r="56" customFormat="false" ht="15" hidden="false" customHeight="false" outlineLevel="0" collapsed="false">
      <c r="A56" s="93" t="str">
        <f aca="false">IF(B56="","",ROW()-5)</f>
        <v/>
      </c>
      <c r="B56" s="79"/>
      <c r="C56" s="79"/>
      <c r="D56" s="79"/>
      <c r="E56" s="79"/>
      <c r="F56" s="79"/>
      <c r="G56" s="79"/>
      <c r="H56" s="94"/>
      <c r="I56" s="95"/>
      <c r="J56" s="94"/>
      <c r="K56" s="94"/>
      <c r="L56" s="96"/>
      <c r="M56" s="96"/>
      <c r="N56" s="96"/>
      <c r="O56" s="96"/>
      <c r="P56" s="97" t="str">
        <f aca="false">IF(B56="","",SUM(L56:O56))</f>
        <v/>
      </c>
      <c r="Q56" s="97" t="str">
        <f aca="false">IF(B56="","",L56+IF(cfg_EOS_H="نعم",M56,0)+IF(cfg_EOS_T="نعم",N56,0)+IF(cfg_EOS_O="نعم",O56,0))</f>
        <v/>
      </c>
      <c r="R56" s="97" t="str">
        <f aca="false">IF(B56="","",L56+IF(cfg_LV_H="نعم",M56,0)+IF(cfg_LV_T="نعم",N56,0)+IF(cfg_LV_O="نعم",O56,0))</f>
        <v/>
      </c>
      <c r="S56" s="97" t="str">
        <f aca="false">IF(B56="","",MIN(cfg_G_CAP,L56+M56))</f>
        <v/>
      </c>
      <c r="T56" s="98"/>
      <c r="U56" s="79"/>
      <c r="V56" s="96"/>
      <c r="W56" s="98"/>
      <c r="X56" s="96"/>
      <c r="Y56" s="96"/>
      <c r="Z56" s="96"/>
      <c r="AA56" s="96"/>
      <c r="AB56" s="97" t="str">
        <f aca="false">IF(B56="","",IF(X56&lt;&gt;"",X56,IF(E56="غير سعودي",cfg_IQ,0))+IF(Y56&lt;&gt;"",Y56,IF(E56="غير سعودي",cfg_WP,0))+IF(Z56&lt;&gt;"",Z56,cfg_MED)+N(AA56))</f>
        <v/>
      </c>
      <c r="AC56" s="99"/>
      <c r="AD56" s="96"/>
      <c r="AE56" s="94"/>
      <c r="AF56" s="79"/>
      <c r="AG56" s="80" t="str">
        <f aca="false">IF(B56="","",IF(AND(AE56&lt;&gt;"",AE56&lt;=cfg_VAL_DATE),"✖ منتهي الخدمة",IF(H56&gt;cfg_VAL_DATE,"⏳ لم يباشر بعد","✔ على رأس العمل")))</f>
        <v/>
      </c>
      <c r="AH56" s="80" t="str">
        <f aca="false">IF(B56="","",IF(AG56&lt;&gt;"✔ على رأس العمل",AG56,IF(COUNTIFS('سجل الإجازات والحالات'!$B$6:$B$505,B56,'سجل الإجازات والحالات'!$E$6:$E$505,"&lt;="&amp;cfg_VAL_DATE,'سجل الإجازات والحالات'!$F$6:$F$505,"&gt;="&amp;cfg_VAL_DATE)&gt;0,"✈ "&amp;INDEX('سجل الإجازات والحالات'!$D$6:$D$505,MATCH(1,INDEX(('سجل الإجازات والحالات'!$B$6:$B$505=B56)*('سجل الإجازات والحالات'!$E$6:$E$505&lt;=cfg_VAL_DATE)*('سجل الإجازات والحالات'!$F$6:$F$505&gt;=cfg_VAL_DATE),0),0)),"✔ على رأس العمل")))</f>
        <v/>
      </c>
      <c r="AI56" s="79"/>
      <c r="AJ56" s="79"/>
      <c r="AK56" s="79"/>
    </row>
    <row r="57" customFormat="false" ht="15" hidden="false" customHeight="false" outlineLevel="0" collapsed="false">
      <c r="A57" s="100" t="str">
        <f aca="false">IF(B57="","",ROW()-5)</f>
        <v/>
      </c>
      <c r="B57" s="79"/>
      <c r="C57" s="79"/>
      <c r="D57" s="79"/>
      <c r="E57" s="79"/>
      <c r="F57" s="79"/>
      <c r="G57" s="79"/>
      <c r="H57" s="94"/>
      <c r="I57" s="95"/>
      <c r="J57" s="94"/>
      <c r="K57" s="94"/>
      <c r="L57" s="96"/>
      <c r="M57" s="96"/>
      <c r="N57" s="96"/>
      <c r="O57" s="96"/>
      <c r="P57" s="101" t="str">
        <f aca="false">IF(B57="","",SUM(L57:O57))</f>
        <v/>
      </c>
      <c r="Q57" s="101" t="str">
        <f aca="false">IF(B57="","",L57+IF(cfg_EOS_H="نعم",M57,0)+IF(cfg_EOS_T="نعم",N57,0)+IF(cfg_EOS_O="نعم",O57,0))</f>
        <v/>
      </c>
      <c r="R57" s="101" t="str">
        <f aca="false">IF(B57="","",L57+IF(cfg_LV_H="نعم",M57,0)+IF(cfg_LV_T="نعم",N57,0)+IF(cfg_LV_O="نعم",O57,0))</f>
        <v/>
      </c>
      <c r="S57" s="101" t="str">
        <f aca="false">IF(B57="","",MIN(cfg_G_CAP,L57+M57))</f>
        <v/>
      </c>
      <c r="T57" s="98"/>
      <c r="U57" s="79"/>
      <c r="V57" s="96"/>
      <c r="W57" s="98"/>
      <c r="X57" s="96"/>
      <c r="Y57" s="96"/>
      <c r="Z57" s="96"/>
      <c r="AA57" s="96"/>
      <c r="AB57" s="101" t="str">
        <f aca="false">IF(B57="","",IF(X57&lt;&gt;"",X57,IF(E57="غير سعودي",cfg_IQ,0))+IF(Y57&lt;&gt;"",Y57,IF(E57="غير سعودي",cfg_WP,0))+IF(Z57&lt;&gt;"",Z57,cfg_MED)+N(AA57))</f>
        <v/>
      </c>
      <c r="AC57" s="99"/>
      <c r="AD57" s="96"/>
      <c r="AE57" s="94"/>
      <c r="AF57" s="79"/>
      <c r="AG57" s="102" t="str">
        <f aca="false">IF(B57="","",IF(AND(AE57&lt;&gt;"",AE57&lt;=cfg_VAL_DATE),"✖ منتهي الخدمة",IF(H57&gt;cfg_VAL_DATE,"⏳ لم يباشر بعد","✔ على رأس العمل")))</f>
        <v/>
      </c>
      <c r="AH57" s="102" t="str">
        <f aca="false">IF(B57="","",IF(AG57&lt;&gt;"✔ على رأس العمل",AG57,IF(COUNTIFS('سجل الإجازات والحالات'!$B$6:$B$505,B57,'سجل الإجازات والحالات'!$E$6:$E$505,"&lt;="&amp;cfg_VAL_DATE,'سجل الإجازات والحالات'!$F$6:$F$505,"&gt;="&amp;cfg_VAL_DATE)&gt;0,"✈ "&amp;INDEX('سجل الإجازات والحالات'!$D$6:$D$505,MATCH(1,INDEX(('سجل الإجازات والحالات'!$B$6:$B$505=B57)*('سجل الإجازات والحالات'!$E$6:$E$505&lt;=cfg_VAL_DATE)*('سجل الإجازات والحالات'!$F$6:$F$505&gt;=cfg_VAL_DATE),0),0)),"✔ على رأس العمل")))</f>
        <v/>
      </c>
      <c r="AI57" s="79"/>
      <c r="AJ57" s="79"/>
      <c r="AK57" s="79"/>
    </row>
    <row r="58" customFormat="false" ht="15" hidden="false" customHeight="false" outlineLevel="0" collapsed="false">
      <c r="A58" s="93" t="str">
        <f aca="false">IF(B58="","",ROW()-5)</f>
        <v/>
      </c>
      <c r="B58" s="79"/>
      <c r="C58" s="79"/>
      <c r="D58" s="79"/>
      <c r="E58" s="79"/>
      <c r="F58" s="79"/>
      <c r="G58" s="79"/>
      <c r="H58" s="94"/>
      <c r="I58" s="95"/>
      <c r="J58" s="94"/>
      <c r="K58" s="94"/>
      <c r="L58" s="96"/>
      <c r="M58" s="96"/>
      <c r="N58" s="96"/>
      <c r="O58" s="96"/>
      <c r="P58" s="97" t="str">
        <f aca="false">IF(B58="","",SUM(L58:O58))</f>
        <v/>
      </c>
      <c r="Q58" s="97" t="str">
        <f aca="false">IF(B58="","",L58+IF(cfg_EOS_H="نعم",M58,0)+IF(cfg_EOS_T="نعم",N58,0)+IF(cfg_EOS_O="نعم",O58,0))</f>
        <v/>
      </c>
      <c r="R58" s="97" t="str">
        <f aca="false">IF(B58="","",L58+IF(cfg_LV_H="نعم",M58,0)+IF(cfg_LV_T="نعم",N58,0)+IF(cfg_LV_O="نعم",O58,0))</f>
        <v/>
      </c>
      <c r="S58" s="97" t="str">
        <f aca="false">IF(B58="","",MIN(cfg_G_CAP,L58+M58))</f>
        <v/>
      </c>
      <c r="T58" s="98"/>
      <c r="U58" s="79"/>
      <c r="V58" s="96"/>
      <c r="W58" s="98"/>
      <c r="X58" s="96"/>
      <c r="Y58" s="96"/>
      <c r="Z58" s="96"/>
      <c r="AA58" s="96"/>
      <c r="AB58" s="97" t="str">
        <f aca="false">IF(B58="","",IF(X58&lt;&gt;"",X58,IF(E58="غير سعودي",cfg_IQ,0))+IF(Y58&lt;&gt;"",Y58,IF(E58="غير سعودي",cfg_WP,0))+IF(Z58&lt;&gt;"",Z58,cfg_MED)+N(AA58))</f>
        <v/>
      </c>
      <c r="AC58" s="99"/>
      <c r="AD58" s="96"/>
      <c r="AE58" s="94"/>
      <c r="AF58" s="79"/>
      <c r="AG58" s="80" t="str">
        <f aca="false">IF(B58="","",IF(AND(AE58&lt;&gt;"",AE58&lt;=cfg_VAL_DATE),"✖ منتهي الخدمة",IF(H58&gt;cfg_VAL_DATE,"⏳ لم يباشر بعد","✔ على رأس العمل")))</f>
        <v/>
      </c>
      <c r="AH58" s="80" t="str">
        <f aca="false">IF(B58="","",IF(AG58&lt;&gt;"✔ على رأس العمل",AG58,IF(COUNTIFS('سجل الإجازات والحالات'!$B$6:$B$505,B58,'سجل الإجازات والحالات'!$E$6:$E$505,"&lt;="&amp;cfg_VAL_DATE,'سجل الإجازات والحالات'!$F$6:$F$505,"&gt;="&amp;cfg_VAL_DATE)&gt;0,"✈ "&amp;INDEX('سجل الإجازات والحالات'!$D$6:$D$505,MATCH(1,INDEX(('سجل الإجازات والحالات'!$B$6:$B$505=B58)*('سجل الإجازات والحالات'!$E$6:$E$505&lt;=cfg_VAL_DATE)*('سجل الإجازات والحالات'!$F$6:$F$505&gt;=cfg_VAL_DATE),0),0)),"✔ على رأس العمل")))</f>
        <v/>
      </c>
      <c r="AI58" s="79"/>
      <c r="AJ58" s="79"/>
      <c r="AK58" s="79"/>
    </row>
    <row r="59" customFormat="false" ht="15" hidden="false" customHeight="false" outlineLevel="0" collapsed="false">
      <c r="A59" s="100" t="str">
        <f aca="false">IF(B59="","",ROW()-5)</f>
        <v/>
      </c>
      <c r="B59" s="79"/>
      <c r="C59" s="79"/>
      <c r="D59" s="79"/>
      <c r="E59" s="79"/>
      <c r="F59" s="79"/>
      <c r="G59" s="79"/>
      <c r="H59" s="94"/>
      <c r="I59" s="95"/>
      <c r="J59" s="94"/>
      <c r="K59" s="94"/>
      <c r="L59" s="96"/>
      <c r="M59" s="96"/>
      <c r="N59" s="96"/>
      <c r="O59" s="96"/>
      <c r="P59" s="101" t="str">
        <f aca="false">IF(B59="","",SUM(L59:O59))</f>
        <v/>
      </c>
      <c r="Q59" s="101" t="str">
        <f aca="false">IF(B59="","",L59+IF(cfg_EOS_H="نعم",M59,0)+IF(cfg_EOS_T="نعم",N59,0)+IF(cfg_EOS_O="نعم",O59,0))</f>
        <v/>
      </c>
      <c r="R59" s="101" t="str">
        <f aca="false">IF(B59="","",L59+IF(cfg_LV_H="نعم",M59,0)+IF(cfg_LV_T="نعم",N59,0)+IF(cfg_LV_O="نعم",O59,0))</f>
        <v/>
      </c>
      <c r="S59" s="101" t="str">
        <f aca="false">IF(B59="","",MIN(cfg_G_CAP,L59+M59))</f>
        <v/>
      </c>
      <c r="T59" s="98"/>
      <c r="U59" s="79"/>
      <c r="V59" s="96"/>
      <c r="W59" s="98"/>
      <c r="X59" s="96"/>
      <c r="Y59" s="96"/>
      <c r="Z59" s="96"/>
      <c r="AA59" s="96"/>
      <c r="AB59" s="101" t="str">
        <f aca="false">IF(B59="","",IF(X59&lt;&gt;"",X59,IF(E59="غير سعودي",cfg_IQ,0))+IF(Y59&lt;&gt;"",Y59,IF(E59="غير سعودي",cfg_WP,0))+IF(Z59&lt;&gt;"",Z59,cfg_MED)+N(AA59))</f>
        <v/>
      </c>
      <c r="AC59" s="99"/>
      <c r="AD59" s="96"/>
      <c r="AE59" s="94"/>
      <c r="AF59" s="79"/>
      <c r="AG59" s="102" t="str">
        <f aca="false">IF(B59="","",IF(AND(AE59&lt;&gt;"",AE59&lt;=cfg_VAL_DATE),"✖ منتهي الخدمة",IF(H59&gt;cfg_VAL_DATE,"⏳ لم يباشر بعد","✔ على رأس العمل")))</f>
        <v/>
      </c>
      <c r="AH59" s="102" t="str">
        <f aca="false">IF(B59="","",IF(AG59&lt;&gt;"✔ على رأس العمل",AG59,IF(COUNTIFS('سجل الإجازات والحالات'!$B$6:$B$505,B59,'سجل الإجازات والحالات'!$E$6:$E$505,"&lt;="&amp;cfg_VAL_DATE,'سجل الإجازات والحالات'!$F$6:$F$505,"&gt;="&amp;cfg_VAL_DATE)&gt;0,"✈ "&amp;INDEX('سجل الإجازات والحالات'!$D$6:$D$505,MATCH(1,INDEX(('سجل الإجازات والحالات'!$B$6:$B$505=B59)*('سجل الإجازات والحالات'!$E$6:$E$505&lt;=cfg_VAL_DATE)*('سجل الإجازات والحالات'!$F$6:$F$505&gt;=cfg_VAL_DATE),0),0)),"✔ على رأس العمل")))</f>
        <v/>
      </c>
      <c r="AI59" s="79"/>
      <c r="AJ59" s="79"/>
      <c r="AK59" s="79"/>
    </row>
    <row r="60" customFormat="false" ht="15" hidden="false" customHeight="false" outlineLevel="0" collapsed="false">
      <c r="A60" s="93" t="str">
        <f aca="false">IF(B60="","",ROW()-5)</f>
        <v/>
      </c>
      <c r="B60" s="79"/>
      <c r="C60" s="79"/>
      <c r="D60" s="79"/>
      <c r="E60" s="79"/>
      <c r="F60" s="79"/>
      <c r="G60" s="79"/>
      <c r="H60" s="94"/>
      <c r="I60" s="95"/>
      <c r="J60" s="94"/>
      <c r="K60" s="94"/>
      <c r="L60" s="96"/>
      <c r="M60" s="96"/>
      <c r="N60" s="96"/>
      <c r="O60" s="96"/>
      <c r="P60" s="97" t="str">
        <f aca="false">IF(B60="","",SUM(L60:O60))</f>
        <v/>
      </c>
      <c r="Q60" s="97" t="str">
        <f aca="false">IF(B60="","",L60+IF(cfg_EOS_H="نعم",M60,0)+IF(cfg_EOS_T="نعم",N60,0)+IF(cfg_EOS_O="نعم",O60,0))</f>
        <v/>
      </c>
      <c r="R60" s="97" t="str">
        <f aca="false">IF(B60="","",L60+IF(cfg_LV_H="نعم",M60,0)+IF(cfg_LV_T="نعم",N60,0)+IF(cfg_LV_O="نعم",O60,0))</f>
        <v/>
      </c>
      <c r="S60" s="97" t="str">
        <f aca="false">IF(B60="","",MIN(cfg_G_CAP,L60+M60))</f>
        <v/>
      </c>
      <c r="T60" s="98"/>
      <c r="U60" s="79"/>
      <c r="V60" s="96"/>
      <c r="W60" s="98"/>
      <c r="X60" s="96"/>
      <c r="Y60" s="96"/>
      <c r="Z60" s="96"/>
      <c r="AA60" s="96"/>
      <c r="AB60" s="97" t="str">
        <f aca="false">IF(B60="","",IF(X60&lt;&gt;"",X60,IF(E60="غير سعودي",cfg_IQ,0))+IF(Y60&lt;&gt;"",Y60,IF(E60="غير سعودي",cfg_WP,0))+IF(Z60&lt;&gt;"",Z60,cfg_MED)+N(AA60))</f>
        <v/>
      </c>
      <c r="AC60" s="99"/>
      <c r="AD60" s="96"/>
      <c r="AE60" s="94"/>
      <c r="AF60" s="79"/>
      <c r="AG60" s="80" t="str">
        <f aca="false">IF(B60="","",IF(AND(AE60&lt;&gt;"",AE60&lt;=cfg_VAL_DATE),"✖ منتهي الخدمة",IF(H60&gt;cfg_VAL_DATE,"⏳ لم يباشر بعد","✔ على رأس العمل")))</f>
        <v/>
      </c>
      <c r="AH60" s="80" t="str">
        <f aca="false">IF(B60="","",IF(AG60&lt;&gt;"✔ على رأس العمل",AG60,IF(COUNTIFS('سجل الإجازات والحالات'!$B$6:$B$505,B60,'سجل الإجازات والحالات'!$E$6:$E$505,"&lt;="&amp;cfg_VAL_DATE,'سجل الإجازات والحالات'!$F$6:$F$505,"&gt;="&amp;cfg_VAL_DATE)&gt;0,"✈ "&amp;INDEX('سجل الإجازات والحالات'!$D$6:$D$505,MATCH(1,INDEX(('سجل الإجازات والحالات'!$B$6:$B$505=B60)*('سجل الإجازات والحالات'!$E$6:$E$505&lt;=cfg_VAL_DATE)*('سجل الإجازات والحالات'!$F$6:$F$505&gt;=cfg_VAL_DATE),0),0)),"✔ على رأس العمل")))</f>
        <v/>
      </c>
      <c r="AI60" s="79"/>
      <c r="AJ60" s="79"/>
      <c r="AK60" s="79"/>
    </row>
    <row r="61" customFormat="false" ht="15" hidden="false" customHeight="false" outlineLevel="0" collapsed="false">
      <c r="A61" s="100" t="str">
        <f aca="false">IF(B61="","",ROW()-5)</f>
        <v/>
      </c>
      <c r="B61" s="79"/>
      <c r="C61" s="79"/>
      <c r="D61" s="79"/>
      <c r="E61" s="79"/>
      <c r="F61" s="79"/>
      <c r="G61" s="79"/>
      <c r="H61" s="94"/>
      <c r="I61" s="95"/>
      <c r="J61" s="94"/>
      <c r="K61" s="94"/>
      <c r="L61" s="96"/>
      <c r="M61" s="96"/>
      <c r="N61" s="96"/>
      <c r="O61" s="96"/>
      <c r="P61" s="101" t="str">
        <f aca="false">IF(B61="","",SUM(L61:O61))</f>
        <v/>
      </c>
      <c r="Q61" s="101" t="str">
        <f aca="false">IF(B61="","",L61+IF(cfg_EOS_H="نعم",M61,0)+IF(cfg_EOS_T="نعم",N61,0)+IF(cfg_EOS_O="نعم",O61,0))</f>
        <v/>
      </c>
      <c r="R61" s="101" t="str">
        <f aca="false">IF(B61="","",L61+IF(cfg_LV_H="نعم",M61,0)+IF(cfg_LV_T="نعم",N61,0)+IF(cfg_LV_O="نعم",O61,0))</f>
        <v/>
      </c>
      <c r="S61" s="101" t="str">
        <f aca="false">IF(B61="","",MIN(cfg_G_CAP,L61+M61))</f>
        <v/>
      </c>
      <c r="T61" s="98"/>
      <c r="U61" s="79"/>
      <c r="V61" s="96"/>
      <c r="W61" s="98"/>
      <c r="X61" s="96"/>
      <c r="Y61" s="96"/>
      <c r="Z61" s="96"/>
      <c r="AA61" s="96"/>
      <c r="AB61" s="101" t="str">
        <f aca="false">IF(B61="","",IF(X61&lt;&gt;"",X61,IF(E61="غير سعودي",cfg_IQ,0))+IF(Y61&lt;&gt;"",Y61,IF(E61="غير سعودي",cfg_WP,0))+IF(Z61&lt;&gt;"",Z61,cfg_MED)+N(AA61))</f>
        <v/>
      </c>
      <c r="AC61" s="99"/>
      <c r="AD61" s="96"/>
      <c r="AE61" s="94"/>
      <c r="AF61" s="79"/>
      <c r="AG61" s="102" t="str">
        <f aca="false">IF(B61="","",IF(AND(AE61&lt;&gt;"",AE61&lt;=cfg_VAL_DATE),"✖ منتهي الخدمة",IF(H61&gt;cfg_VAL_DATE,"⏳ لم يباشر بعد","✔ على رأس العمل")))</f>
        <v/>
      </c>
      <c r="AH61" s="102" t="str">
        <f aca="false">IF(B61="","",IF(AG61&lt;&gt;"✔ على رأس العمل",AG61,IF(COUNTIFS('سجل الإجازات والحالات'!$B$6:$B$505,B61,'سجل الإجازات والحالات'!$E$6:$E$505,"&lt;="&amp;cfg_VAL_DATE,'سجل الإجازات والحالات'!$F$6:$F$505,"&gt;="&amp;cfg_VAL_DATE)&gt;0,"✈ "&amp;INDEX('سجل الإجازات والحالات'!$D$6:$D$505,MATCH(1,INDEX(('سجل الإجازات والحالات'!$B$6:$B$505=B61)*('سجل الإجازات والحالات'!$E$6:$E$505&lt;=cfg_VAL_DATE)*('سجل الإجازات والحالات'!$F$6:$F$505&gt;=cfg_VAL_DATE),0),0)),"✔ على رأس العمل")))</f>
        <v/>
      </c>
      <c r="AI61" s="79"/>
      <c r="AJ61" s="79"/>
      <c r="AK61" s="79"/>
    </row>
    <row r="62" customFormat="false" ht="15" hidden="false" customHeight="false" outlineLevel="0" collapsed="false">
      <c r="A62" s="93" t="str">
        <f aca="false">IF(B62="","",ROW()-5)</f>
        <v/>
      </c>
      <c r="B62" s="79"/>
      <c r="C62" s="79"/>
      <c r="D62" s="79"/>
      <c r="E62" s="79"/>
      <c r="F62" s="79"/>
      <c r="G62" s="79"/>
      <c r="H62" s="94"/>
      <c r="I62" s="95"/>
      <c r="J62" s="94"/>
      <c r="K62" s="94"/>
      <c r="L62" s="96"/>
      <c r="M62" s="96"/>
      <c r="N62" s="96"/>
      <c r="O62" s="96"/>
      <c r="P62" s="97" t="str">
        <f aca="false">IF(B62="","",SUM(L62:O62))</f>
        <v/>
      </c>
      <c r="Q62" s="97" t="str">
        <f aca="false">IF(B62="","",L62+IF(cfg_EOS_H="نعم",M62,0)+IF(cfg_EOS_T="نعم",N62,0)+IF(cfg_EOS_O="نعم",O62,0))</f>
        <v/>
      </c>
      <c r="R62" s="97" t="str">
        <f aca="false">IF(B62="","",L62+IF(cfg_LV_H="نعم",M62,0)+IF(cfg_LV_T="نعم",N62,0)+IF(cfg_LV_O="نعم",O62,0))</f>
        <v/>
      </c>
      <c r="S62" s="97" t="str">
        <f aca="false">IF(B62="","",MIN(cfg_G_CAP,L62+M62))</f>
        <v/>
      </c>
      <c r="T62" s="98"/>
      <c r="U62" s="79"/>
      <c r="V62" s="96"/>
      <c r="W62" s="98"/>
      <c r="X62" s="96"/>
      <c r="Y62" s="96"/>
      <c r="Z62" s="96"/>
      <c r="AA62" s="96"/>
      <c r="AB62" s="97" t="str">
        <f aca="false">IF(B62="","",IF(X62&lt;&gt;"",X62,IF(E62="غير سعودي",cfg_IQ,0))+IF(Y62&lt;&gt;"",Y62,IF(E62="غير سعودي",cfg_WP,0))+IF(Z62&lt;&gt;"",Z62,cfg_MED)+N(AA62))</f>
        <v/>
      </c>
      <c r="AC62" s="99"/>
      <c r="AD62" s="96"/>
      <c r="AE62" s="94"/>
      <c r="AF62" s="79"/>
      <c r="AG62" s="80" t="str">
        <f aca="false">IF(B62="","",IF(AND(AE62&lt;&gt;"",AE62&lt;=cfg_VAL_DATE),"✖ منتهي الخدمة",IF(H62&gt;cfg_VAL_DATE,"⏳ لم يباشر بعد","✔ على رأس العمل")))</f>
        <v/>
      </c>
      <c r="AH62" s="80" t="str">
        <f aca="false">IF(B62="","",IF(AG62&lt;&gt;"✔ على رأس العمل",AG62,IF(COUNTIFS('سجل الإجازات والحالات'!$B$6:$B$505,B62,'سجل الإجازات والحالات'!$E$6:$E$505,"&lt;="&amp;cfg_VAL_DATE,'سجل الإجازات والحالات'!$F$6:$F$505,"&gt;="&amp;cfg_VAL_DATE)&gt;0,"✈ "&amp;INDEX('سجل الإجازات والحالات'!$D$6:$D$505,MATCH(1,INDEX(('سجل الإجازات والحالات'!$B$6:$B$505=B62)*('سجل الإجازات والحالات'!$E$6:$E$505&lt;=cfg_VAL_DATE)*('سجل الإجازات والحالات'!$F$6:$F$505&gt;=cfg_VAL_DATE),0),0)),"✔ على رأس العمل")))</f>
        <v/>
      </c>
      <c r="AI62" s="79"/>
      <c r="AJ62" s="79"/>
      <c r="AK62" s="79"/>
    </row>
    <row r="63" customFormat="false" ht="15" hidden="false" customHeight="false" outlineLevel="0" collapsed="false">
      <c r="A63" s="100" t="str">
        <f aca="false">IF(B63="","",ROW()-5)</f>
        <v/>
      </c>
      <c r="B63" s="79"/>
      <c r="C63" s="79"/>
      <c r="D63" s="79"/>
      <c r="E63" s="79"/>
      <c r="F63" s="79"/>
      <c r="G63" s="79"/>
      <c r="H63" s="94"/>
      <c r="I63" s="95"/>
      <c r="J63" s="94"/>
      <c r="K63" s="94"/>
      <c r="L63" s="96"/>
      <c r="M63" s="96"/>
      <c r="N63" s="96"/>
      <c r="O63" s="96"/>
      <c r="P63" s="101" t="str">
        <f aca="false">IF(B63="","",SUM(L63:O63))</f>
        <v/>
      </c>
      <c r="Q63" s="101" t="str">
        <f aca="false">IF(B63="","",L63+IF(cfg_EOS_H="نعم",M63,0)+IF(cfg_EOS_T="نعم",N63,0)+IF(cfg_EOS_O="نعم",O63,0))</f>
        <v/>
      </c>
      <c r="R63" s="101" t="str">
        <f aca="false">IF(B63="","",L63+IF(cfg_LV_H="نعم",M63,0)+IF(cfg_LV_T="نعم",N63,0)+IF(cfg_LV_O="نعم",O63,0))</f>
        <v/>
      </c>
      <c r="S63" s="101" t="str">
        <f aca="false">IF(B63="","",MIN(cfg_G_CAP,L63+M63))</f>
        <v/>
      </c>
      <c r="T63" s="98"/>
      <c r="U63" s="79"/>
      <c r="V63" s="96"/>
      <c r="W63" s="98"/>
      <c r="X63" s="96"/>
      <c r="Y63" s="96"/>
      <c r="Z63" s="96"/>
      <c r="AA63" s="96"/>
      <c r="AB63" s="101" t="str">
        <f aca="false">IF(B63="","",IF(X63&lt;&gt;"",X63,IF(E63="غير سعودي",cfg_IQ,0))+IF(Y63&lt;&gt;"",Y63,IF(E63="غير سعودي",cfg_WP,0))+IF(Z63&lt;&gt;"",Z63,cfg_MED)+N(AA63))</f>
        <v/>
      </c>
      <c r="AC63" s="99"/>
      <c r="AD63" s="96"/>
      <c r="AE63" s="94"/>
      <c r="AF63" s="79"/>
      <c r="AG63" s="102" t="str">
        <f aca="false">IF(B63="","",IF(AND(AE63&lt;&gt;"",AE63&lt;=cfg_VAL_DATE),"✖ منتهي الخدمة",IF(H63&gt;cfg_VAL_DATE,"⏳ لم يباشر بعد","✔ على رأس العمل")))</f>
        <v/>
      </c>
      <c r="AH63" s="102" t="str">
        <f aca="false">IF(B63="","",IF(AG63&lt;&gt;"✔ على رأس العمل",AG63,IF(COUNTIFS('سجل الإجازات والحالات'!$B$6:$B$505,B63,'سجل الإجازات والحالات'!$E$6:$E$505,"&lt;="&amp;cfg_VAL_DATE,'سجل الإجازات والحالات'!$F$6:$F$505,"&gt;="&amp;cfg_VAL_DATE)&gt;0,"✈ "&amp;INDEX('سجل الإجازات والحالات'!$D$6:$D$505,MATCH(1,INDEX(('سجل الإجازات والحالات'!$B$6:$B$505=B63)*('سجل الإجازات والحالات'!$E$6:$E$505&lt;=cfg_VAL_DATE)*('سجل الإجازات والحالات'!$F$6:$F$505&gt;=cfg_VAL_DATE),0),0)),"✔ على رأس العمل")))</f>
        <v/>
      </c>
      <c r="AI63" s="79"/>
      <c r="AJ63" s="79"/>
      <c r="AK63" s="79"/>
    </row>
    <row r="64" customFormat="false" ht="15" hidden="false" customHeight="false" outlineLevel="0" collapsed="false">
      <c r="A64" s="93" t="str">
        <f aca="false">IF(B64="","",ROW()-5)</f>
        <v/>
      </c>
      <c r="B64" s="79"/>
      <c r="C64" s="79"/>
      <c r="D64" s="79"/>
      <c r="E64" s="79"/>
      <c r="F64" s="79"/>
      <c r="G64" s="79"/>
      <c r="H64" s="94"/>
      <c r="I64" s="95"/>
      <c r="J64" s="94"/>
      <c r="K64" s="94"/>
      <c r="L64" s="96"/>
      <c r="M64" s="96"/>
      <c r="N64" s="96"/>
      <c r="O64" s="96"/>
      <c r="P64" s="97" t="str">
        <f aca="false">IF(B64="","",SUM(L64:O64))</f>
        <v/>
      </c>
      <c r="Q64" s="97" t="str">
        <f aca="false">IF(B64="","",L64+IF(cfg_EOS_H="نعم",M64,0)+IF(cfg_EOS_T="نعم",N64,0)+IF(cfg_EOS_O="نعم",O64,0))</f>
        <v/>
      </c>
      <c r="R64" s="97" t="str">
        <f aca="false">IF(B64="","",L64+IF(cfg_LV_H="نعم",M64,0)+IF(cfg_LV_T="نعم",N64,0)+IF(cfg_LV_O="نعم",O64,0))</f>
        <v/>
      </c>
      <c r="S64" s="97" t="str">
        <f aca="false">IF(B64="","",MIN(cfg_G_CAP,L64+M64))</f>
        <v/>
      </c>
      <c r="T64" s="98"/>
      <c r="U64" s="79"/>
      <c r="V64" s="96"/>
      <c r="W64" s="98"/>
      <c r="X64" s="96"/>
      <c r="Y64" s="96"/>
      <c r="Z64" s="96"/>
      <c r="AA64" s="96"/>
      <c r="AB64" s="97" t="str">
        <f aca="false">IF(B64="","",IF(X64&lt;&gt;"",X64,IF(E64="غير سعودي",cfg_IQ,0))+IF(Y64&lt;&gt;"",Y64,IF(E64="غير سعودي",cfg_WP,0))+IF(Z64&lt;&gt;"",Z64,cfg_MED)+N(AA64))</f>
        <v/>
      </c>
      <c r="AC64" s="99"/>
      <c r="AD64" s="96"/>
      <c r="AE64" s="94"/>
      <c r="AF64" s="79"/>
      <c r="AG64" s="80" t="str">
        <f aca="false">IF(B64="","",IF(AND(AE64&lt;&gt;"",AE64&lt;=cfg_VAL_DATE),"✖ منتهي الخدمة",IF(H64&gt;cfg_VAL_DATE,"⏳ لم يباشر بعد","✔ على رأس العمل")))</f>
        <v/>
      </c>
      <c r="AH64" s="80" t="str">
        <f aca="false">IF(B64="","",IF(AG64&lt;&gt;"✔ على رأس العمل",AG64,IF(COUNTIFS('سجل الإجازات والحالات'!$B$6:$B$505,B64,'سجل الإجازات والحالات'!$E$6:$E$505,"&lt;="&amp;cfg_VAL_DATE,'سجل الإجازات والحالات'!$F$6:$F$505,"&gt;="&amp;cfg_VAL_DATE)&gt;0,"✈ "&amp;INDEX('سجل الإجازات والحالات'!$D$6:$D$505,MATCH(1,INDEX(('سجل الإجازات والحالات'!$B$6:$B$505=B64)*('سجل الإجازات والحالات'!$E$6:$E$505&lt;=cfg_VAL_DATE)*('سجل الإجازات والحالات'!$F$6:$F$505&gt;=cfg_VAL_DATE),0),0)),"✔ على رأس العمل")))</f>
        <v/>
      </c>
      <c r="AI64" s="79"/>
      <c r="AJ64" s="79"/>
      <c r="AK64" s="79"/>
    </row>
    <row r="65" customFormat="false" ht="15" hidden="false" customHeight="false" outlineLevel="0" collapsed="false">
      <c r="A65" s="100" t="str">
        <f aca="false">IF(B65="","",ROW()-5)</f>
        <v/>
      </c>
      <c r="B65" s="79"/>
      <c r="C65" s="79"/>
      <c r="D65" s="79"/>
      <c r="E65" s="79"/>
      <c r="F65" s="79"/>
      <c r="G65" s="79"/>
      <c r="H65" s="94"/>
      <c r="I65" s="95"/>
      <c r="J65" s="94"/>
      <c r="K65" s="94"/>
      <c r="L65" s="96"/>
      <c r="M65" s="96"/>
      <c r="N65" s="96"/>
      <c r="O65" s="96"/>
      <c r="P65" s="101" t="str">
        <f aca="false">IF(B65="","",SUM(L65:O65))</f>
        <v/>
      </c>
      <c r="Q65" s="101" t="str">
        <f aca="false">IF(B65="","",L65+IF(cfg_EOS_H="نعم",M65,0)+IF(cfg_EOS_T="نعم",N65,0)+IF(cfg_EOS_O="نعم",O65,0))</f>
        <v/>
      </c>
      <c r="R65" s="101" t="str">
        <f aca="false">IF(B65="","",L65+IF(cfg_LV_H="نعم",M65,0)+IF(cfg_LV_T="نعم",N65,0)+IF(cfg_LV_O="نعم",O65,0))</f>
        <v/>
      </c>
      <c r="S65" s="101" t="str">
        <f aca="false">IF(B65="","",MIN(cfg_G_CAP,L65+M65))</f>
        <v/>
      </c>
      <c r="T65" s="98"/>
      <c r="U65" s="79"/>
      <c r="V65" s="96"/>
      <c r="W65" s="98"/>
      <c r="X65" s="96"/>
      <c r="Y65" s="96"/>
      <c r="Z65" s="96"/>
      <c r="AA65" s="96"/>
      <c r="AB65" s="101" t="str">
        <f aca="false">IF(B65="","",IF(X65&lt;&gt;"",X65,IF(E65="غير سعودي",cfg_IQ,0))+IF(Y65&lt;&gt;"",Y65,IF(E65="غير سعودي",cfg_WP,0))+IF(Z65&lt;&gt;"",Z65,cfg_MED)+N(AA65))</f>
        <v/>
      </c>
      <c r="AC65" s="99"/>
      <c r="AD65" s="96"/>
      <c r="AE65" s="94"/>
      <c r="AF65" s="79"/>
      <c r="AG65" s="102" t="str">
        <f aca="false">IF(B65="","",IF(AND(AE65&lt;&gt;"",AE65&lt;=cfg_VAL_DATE),"✖ منتهي الخدمة",IF(H65&gt;cfg_VAL_DATE,"⏳ لم يباشر بعد","✔ على رأس العمل")))</f>
        <v/>
      </c>
      <c r="AH65" s="102" t="str">
        <f aca="false">IF(B65="","",IF(AG65&lt;&gt;"✔ على رأس العمل",AG65,IF(COUNTIFS('سجل الإجازات والحالات'!$B$6:$B$505,B65,'سجل الإجازات والحالات'!$E$6:$E$505,"&lt;="&amp;cfg_VAL_DATE,'سجل الإجازات والحالات'!$F$6:$F$505,"&gt;="&amp;cfg_VAL_DATE)&gt;0,"✈ "&amp;INDEX('سجل الإجازات والحالات'!$D$6:$D$505,MATCH(1,INDEX(('سجل الإجازات والحالات'!$B$6:$B$505=B65)*('سجل الإجازات والحالات'!$E$6:$E$505&lt;=cfg_VAL_DATE)*('سجل الإجازات والحالات'!$F$6:$F$505&gt;=cfg_VAL_DATE),0),0)),"✔ على رأس العمل")))</f>
        <v/>
      </c>
      <c r="AI65" s="79"/>
      <c r="AJ65" s="79"/>
      <c r="AK65" s="79"/>
    </row>
    <row r="66" customFormat="false" ht="15" hidden="false" customHeight="false" outlineLevel="0" collapsed="false">
      <c r="A66" s="93" t="str">
        <f aca="false">IF(B66="","",ROW()-5)</f>
        <v/>
      </c>
      <c r="B66" s="79"/>
      <c r="C66" s="79"/>
      <c r="D66" s="79"/>
      <c r="E66" s="79"/>
      <c r="F66" s="79"/>
      <c r="G66" s="79"/>
      <c r="H66" s="94"/>
      <c r="I66" s="95"/>
      <c r="J66" s="94"/>
      <c r="K66" s="94"/>
      <c r="L66" s="96"/>
      <c r="M66" s="96"/>
      <c r="N66" s="96"/>
      <c r="O66" s="96"/>
      <c r="P66" s="97" t="str">
        <f aca="false">IF(B66="","",SUM(L66:O66))</f>
        <v/>
      </c>
      <c r="Q66" s="97" t="str">
        <f aca="false">IF(B66="","",L66+IF(cfg_EOS_H="نعم",M66,0)+IF(cfg_EOS_T="نعم",N66,0)+IF(cfg_EOS_O="نعم",O66,0))</f>
        <v/>
      </c>
      <c r="R66" s="97" t="str">
        <f aca="false">IF(B66="","",L66+IF(cfg_LV_H="نعم",M66,0)+IF(cfg_LV_T="نعم",N66,0)+IF(cfg_LV_O="نعم",O66,0))</f>
        <v/>
      </c>
      <c r="S66" s="97" t="str">
        <f aca="false">IF(B66="","",MIN(cfg_G_CAP,L66+M66))</f>
        <v/>
      </c>
      <c r="T66" s="98"/>
      <c r="U66" s="79"/>
      <c r="V66" s="96"/>
      <c r="W66" s="98"/>
      <c r="X66" s="96"/>
      <c r="Y66" s="96"/>
      <c r="Z66" s="96"/>
      <c r="AA66" s="96"/>
      <c r="AB66" s="97" t="str">
        <f aca="false">IF(B66="","",IF(X66&lt;&gt;"",X66,IF(E66="غير سعودي",cfg_IQ,0))+IF(Y66&lt;&gt;"",Y66,IF(E66="غير سعودي",cfg_WP,0))+IF(Z66&lt;&gt;"",Z66,cfg_MED)+N(AA66))</f>
        <v/>
      </c>
      <c r="AC66" s="99"/>
      <c r="AD66" s="96"/>
      <c r="AE66" s="94"/>
      <c r="AF66" s="79"/>
      <c r="AG66" s="80" t="str">
        <f aca="false">IF(B66="","",IF(AND(AE66&lt;&gt;"",AE66&lt;=cfg_VAL_DATE),"✖ منتهي الخدمة",IF(H66&gt;cfg_VAL_DATE,"⏳ لم يباشر بعد","✔ على رأس العمل")))</f>
        <v/>
      </c>
      <c r="AH66" s="80" t="str">
        <f aca="false">IF(B66="","",IF(AG66&lt;&gt;"✔ على رأس العمل",AG66,IF(COUNTIFS('سجل الإجازات والحالات'!$B$6:$B$505,B66,'سجل الإجازات والحالات'!$E$6:$E$505,"&lt;="&amp;cfg_VAL_DATE,'سجل الإجازات والحالات'!$F$6:$F$505,"&gt;="&amp;cfg_VAL_DATE)&gt;0,"✈ "&amp;INDEX('سجل الإجازات والحالات'!$D$6:$D$505,MATCH(1,INDEX(('سجل الإجازات والحالات'!$B$6:$B$505=B66)*('سجل الإجازات والحالات'!$E$6:$E$505&lt;=cfg_VAL_DATE)*('سجل الإجازات والحالات'!$F$6:$F$505&gt;=cfg_VAL_DATE),0),0)),"✔ على رأس العمل")))</f>
        <v/>
      </c>
      <c r="AI66" s="79"/>
      <c r="AJ66" s="79"/>
      <c r="AK66" s="79"/>
    </row>
    <row r="67" customFormat="false" ht="15" hidden="false" customHeight="false" outlineLevel="0" collapsed="false">
      <c r="A67" s="100" t="str">
        <f aca="false">IF(B67="","",ROW()-5)</f>
        <v/>
      </c>
      <c r="B67" s="79"/>
      <c r="C67" s="79"/>
      <c r="D67" s="79"/>
      <c r="E67" s="79"/>
      <c r="F67" s="79"/>
      <c r="G67" s="79"/>
      <c r="H67" s="94"/>
      <c r="I67" s="95"/>
      <c r="J67" s="94"/>
      <c r="K67" s="94"/>
      <c r="L67" s="96"/>
      <c r="M67" s="96"/>
      <c r="N67" s="96"/>
      <c r="O67" s="96"/>
      <c r="P67" s="101" t="str">
        <f aca="false">IF(B67="","",SUM(L67:O67))</f>
        <v/>
      </c>
      <c r="Q67" s="101" t="str">
        <f aca="false">IF(B67="","",L67+IF(cfg_EOS_H="نعم",M67,0)+IF(cfg_EOS_T="نعم",N67,0)+IF(cfg_EOS_O="نعم",O67,0))</f>
        <v/>
      </c>
      <c r="R67" s="101" t="str">
        <f aca="false">IF(B67="","",L67+IF(cfg_LV_H="نعم",M67,0)+IF(cfg_LV_T="نعم",N67,0)+IF(cfg_LV_O="نعم",O67,0))</f>
        <v/>
      </c>
      <c r="S67" s="101" t="str">
        <f aca="false">IF(B67="","",MIN(cfg_G_CAP,L67+M67))</f>
        <v/>
      </c>
      <c r="T67" s="98"/>
      <c r="U67" s="79"/>
      <c r="V67" s="96"/>
      <c r="W67" s="98"/>
      <c r="X67" s="96"/>
      <c r="Y67" s="96"/>
      <c r="Z67" s="96"/>
      <c r="AA67" s="96"/>
      <c r="AB67" s="101" t="str">
        <f aca="false">IF(B67="","",IF(X67&lt;&gt;"",X67,IF(E67="غير سعودي",cfg_IQ,0))+IF(Y67&lt;&gt;"",Y67,IF(E67="غير سعودي",cfg_WP,0))+IF(Z67&lt;&gt;"",Z67,cfg_MED)+N(AA67))</f>
        <v/>
      </c>
      <c r="AC67" s="99"/>
      <c r="AD67" s="96"/>
      <c r="AE67" s="94"/>
      <c r="AF67" s="79"/>
      <c r="AG67" s="102" t="str">
        <f aca="false">IF(B67="","",IF(AND(AE67&lt;&gt;"",AE67&lt;=cfg_VAL_DATE),"✖ منتهي الخدمة",IF(H67&gt;cfg_VAL_DATE,"⏳ لم يباشر بعد","✔ على رأس العمل")))</f>
        <v/>
      </c>
      <c r="AH67" s="102" t="str">
        <f aca="false">IF(B67="","",IF(AG67&lt;&gt;"✔ على رأس العمل",AG67,IF(COUNTIFS('سجل الإجازات والحالات'!$B$6:$B$505,B67,'سجل الإجازات والحالات'!$E$6:$E$505,"&lt;="&amp;cfg_VAL_DATE,'سجل الإجازات والحالات'!$F$6:$F$505,"&gt;="&amp;cfg_VAL_DATE)&gt;0,"✈ "&amp;INDEX('سجل الإجازات والحالات'!$D$6:$D$505,MATCH(1,INDEX(('سجل الإجازات والحالات'!$B$6:$B$505=B67)*('سجل الإجازات والحالات'!$E$6:$E$505&lt;=cfg_VAL_DATE)*('سجل الإجازات والحالات'!$F$6:$F$505&gt;=cfg_VAL_DATE),0),0)),"✔ على رأس العمل")))</f>
        <v/>
      </c>
      <c r="AI67" s="79"/>
      <c r="AJ67" s="79"/>
      <c r="AK67" s="79"/>
    </row>
    <row r="68" customFormat="false" ht="15" hidden="false" customHeight="false" outlineLevel="0" collapsed="false">
      <c r="A68" s="93" t="str">
        <f aca="false">IF(B68="","",ROW()-5)</f>
        <v/>
      </c>
      <c r="B68" s="79"/>
      <c r="C68" s="79"/>
      <c r="D68" s="79"/>
      <c r="E68" s="79"/>
      <c r="F68" s="79"/>
      <c r="G68" s="79"/>
      <c r="H68" s="94"/>
      <c r="I68" s="95"/>
      <c r="J68" s="94"/>
      <c r="K68" s="94"/>
      <c r="L68" s="96"/>
      <c r="M68" s="96"/>
      <c r="N68" s="96"/>
      <c r="O68" s="96"/>
      <c r="P68" s="97" t="str">
        <f aca="false">IF(B68="","",SUM(L68:O68))</f>
        <v/>
      </c>
      <c r="Q68" s="97" t="str">
        <f aca="false">IF(B68="","",L68+IF(cfg_EOS_H="نعم",M68,0)+IF(cfg_EOS_T="نعم",N68,0)+IF(cfg_EOS_O="نعم",O68,0))</f>
        <v/>
      </c>
      <c r="R68" s="97" t="str">
        <f aca="false">IF(B68="","",L68+IF(cfg_LV_H="نعم",M68,0)+IF(cfg_LV_T="نعم",N68,0)+IF(cfg_LV_O="نعم",O68,0))</f>
        <v/>
      </c>
      <c r="S68" s="97" t="str">
        <f aca="false">IF(B68="","",MIN(cfg_G_CAP,L68+M68))</f>
        <v/>
      </c>
      <c r="T68" s="98"/>
      <c r="U68" s="79"/>
      <c r="V68" s="96"/>
      <c r="W68" s="98"/>
      <c r="X68" s="96"/>
      <c r="Y68" s="96"/>
      <c r="Z68" s="96"/>
      <c r="AA68" s="96"/>
      <c r="AB68" s="97" t="str">
        <f aca="false">IF(B68="","",IF(X68&lt;&gt;"",X68,IF(E68="غير سعودي",cfg_IQ,0))+IF(Y68&lt;&gt;"",Y68,IF(E68="غير سعودي",cfg_WP,0))+IF(Z68&lt;&gt;"",Z68,cfg_MED)+N(AA68))</f>
        <v/>
      </c>
      <c r="AC68" s="99"/>
      <c r="AD68" s="96"/>
      <c r="AE68" s="94"/>
      <c r="AF68" s="79"/>
      <c r="AG68" s="80" t="str">
        <f aca="false">IF(B68="","",IF(AND(AE68&lt;&gt;"",AE68&lt;=cfg_VAL_DATE),"✖ منتهي الخدمة",IF(H68&gt;cfg_VAL_DATE,"⏳ لم يباشر بعد","✔ على رأس العمل")))</f>
        <v/>
      </c>
      <c r="AH68" s="80" t="str">
        <f aca="false">IF(B68="","",IF(AG68&lt;&gt;"✔ على رأس العمل",AG68,IF(COUNTIFS('سجل الإجازات والحالات'!$B$6:$B$505,B68,'سجل الإجازات والحالات'!$E$6:$E$505,"&lt;="&amp;cfg_VAL_DATE,'سجل الإجازات والحالات'!$F$6:$F$505,"&gt;="&amp;cfg_VAL_DATE)&gt;0,"✈ "&amp;INDEX('سجل الإجازات والحالات'!$D$6:$D$505,MATCH(1,INDEX(('سجل الإجازات والحالات'!$B$6:$B$505=B68)*('سجل الإجازات والحالات'!$E$6:$E$505&lt;=cfg_VAL_DATE)*('سجل الإجازات والحالات'!$F$6:$F$505&gt;=cfg_VAL_DATE),0),0)),"✔ على رأس العمل")))</f>
        <v/>
      </c>
      <c r="AI68" s="79"/>
      <c r="AJ68" s="79"/>
      <c r="AK68" s="79"/>
    </row>
    <row r="69" customFormat="false" ht="15" hidden="false" customHeight="false" outlineLevel="0" collapsed="false">
      <c r="A69" s="100" t="str">
        <f aca="false">IF(B69="","",ROW()-5)</f>
        <v/>
      </c>
      <c r="B69" s="79"/>
      <c r="C69" s="79"/>
      <c r="D69" s="79"/>
      <c r="E69" s="79"/>
      <c r="F69" s="79"/>
      <c r="G69" s="79"/>
      <c r="H69" s="94"/>
      <c r="I69" s="95"/>
      <c r="J69" s="94"/>
      <c r="K69" s="94"/>
      <c r="L69" s="96"/>
      <c r="M69" s="96"/>
      <c r="N69" s="96"/>
      <c r="O69" s="96"/>
      <c r="P69" s="101" t="str">
        <f aca="false">IF(B69="","",SUM(L69:O69))</f>
        <v/>
      </c>
      <c r="Q69" s="101" t="str">
        <f aca="false">IF(B69="","",L69+IF(cfg_EOS_H="نعم",M69,0)+IF(cfg_EOS_T="نعم",N69,0)+IF(cfg_EOS_O="نعم",O69,0))</f>
        <v/>
      </c>
      <c r="R69" s="101" t="str">
        <f aca="false">IF(B69="","",L69+IF(cfg_LV_H="نعم",M69,0)+IF(cfg_LV_T="نعم",N69,0)+IF(cfg_LV_O="نعم",O69,0))</f>
        <v/>
      </c>
      <c r="S69" s="101" t="str">
        <f aca="false">IF(B69="","",MIN(cfg_G_CAP,L69+M69))</f>
        <v/>
      </c>
      <c r="T69" s="98"/>
      <c r="U69" s="79"/>
      <c r="V69" s="96"/>
      <c r="W69" s="98"/>
      <c r="X69" s="96"/>
      <c r="Y69" s="96"/>
      <c r="Z69" s="96"/>
      <c r="AA69" s="96"/>
      <c r="AB69" s="101" t="str">
        <f aca="false">IF(B69="","",IF(X69&lt;&gt;"",X69,IF(E69="غير سعودي",cfg_IQ,0))+IF(Y69&lt;&gt;"",Y69,IF(E69="غير سعودي",cfg_WP,0))+IF(Z69&lt;&gt;"",Z69,cfg_MED)+N(AA69))</f>
        <v/>
      </c>
      <c r="AC69" s="99"/>
      <c r="AD69" s="96"/>
      <c r="AE69" s="94"/>
      <c r="AF69" s="79"/>
      <c r="AG69" s="102" t="str">
        <f aca="false">IF(B69="","",IF(AND(AE69&lt;&gt;"",AE69&lt;=cfg_VAL_DATE),"✖ منتهي الخدمة",IF(H69&gt;cfg_VAL_DATE,"⏳ لم يباشر بعد","✔ على رأس العمل")))</f>
        <v/>
      </c>
      <c r="AH69" s="102" t="str">
        <f aca="false">IF(B69="","",IF(AG69&lt;&gt;"✔ على رأس العمل",AG69,IF(COUNTIFS('سجل الإجازات والحالات'!$B$6:$B$505,B69,'سجل الإجازات والحالات'!$E$6:$E$505,"&lt;="&amp;cfg_VAL_DATE,'سجل الإجازات والحالات'!$F$6:$F$505,"&gt;="&amp;cfg_VAL_DATE)&gt;0,"✈ "&amp;INDEX('سجل الإجازات والحالات'!$D$6:$D$505,MATCH(1,INDEX(('سجل الإجازات والحالات'!$B$6:$B$505=B69)*('سجل الإجازات والحالات'!$E$6:$E$505&lt;=cfg_VAL_DATE)*('سجل الإجازات والحالات'!$F$6:$F$505&gt;=cfg_VAL_DATE),0),0)),"✔ على رأس العمل")))</f>
        <v/>
      </c>
      <c r="AI69" s="79"/>
      <c r="AJ69" s="79"/>
      <c r="AK69" s="79"/>
    </row>
    <row r="70" customFormat="false" ht="15" hidden="false" customHeight="false" outlineLevel="0" collapsed="false">
      <c r="A70" s="93" t="str">
        <f aca="false">IF(B70="","",ROW()-5)</f>
        <v/>
      </c>
      <c r="B70" s="79"/>
      <c r="C70" s="79"/>
      <c r="D70" s="79"/>
      <c r="E70" s="79"/>
      <c r="F70" s="79"/>
      <c r="G70" s="79"/>
      <c r="H70" s="94"/>
      <c r="I70" s="95"/>
      <c r="J70" s="94"/>
      <c r="K70" s="94"/>
      <c r="L70" s="96"/>
      <c r="M70" s="96"/>
      <c r="N70" s="96"/>
      <c r="O70" s="96"/>
      <c r="P70" s="97" t="str">
        <f aca="false">IF(B70="","",SUM(L70:O70))</f>
        <v/>
      </c>
      <c r="Q70" s="97" t="str">
        <f aca="false">IF(B70="","",L70+IF(cfg_EOS_H="نعم",M70,0)+IF(cfg_EOS_T="نعم",N70,0)+IF(cfg_EOS_O="نعم",O70,0))</f>
        <v/>
      </c>
      <c r="R70" s="97" t="str">
        <f aca="false">IF(B70="","",L70+IF(cfg_LV_H="نعم",M70,0)+IF(cfg_LV_T="نعم",N70,0)+IF(cfg_LV_O="نعم",O70,0))</f>
        <v/>
      </c>
      <c r="S70" s="97" t="str">
        <f aca="false">IF(B70="","",MIN(cfg_G_CAP,L70+M70))</f>
        <v/>
      </c>
      <c r="T70" s="98"/>
      <c r="U70" s="79"/>
      <c r="V70" s="96"/>
      <c r="W70" s="98"/>
      <c r="X70" s="96"/>
      <c r="Y70" s="96"/>
      <c r="Z70" s="96"/>
      <c r="AA70" s="96"/>
      <c r="AB70" s="97" t="str">
        <f aca="false">IF(B70="","",IF(X70&lt;&gt;"",X70,IF(E70="غير سعودي",cfg_IQ,0))+IF(Y70&lt;&gt;"",Y70,IF(E70="غير سعودي",cfg_WP,0))+IF(Z70&lt;&gt;"",Z70,cfg_MED)+N(AA70))</f>
        <v/>
      </c>
      <c r="AC70" s="99"/>
      <c r="AD70" s="96"/>
      <c r="AE70" s="94"/>
      <c r="AF70" s="79"/>
      <c r="AG70" s="80" t="str">
        <f aca="false">IF(B70="","",IF(AND(AE70&lt;&gt;"",AE70&lt;=cfg_VAL_DATE),"✖ منتهي الخدمة",IF(H70&gt;cfg_VAL_DATE,"⏳ لم يباشر بعد","✔ على رأس العمل")))</f>
        <v/>
      </c>
      <c r="AH70" s="80" t="str">
        <f aca="false">IF(B70="","",IF(AG70&lt;&gt;"✔ على رأس العمل",AG70,IF(COUNTIFS('سجل الإجازات والحالات'!$B$6:$B$505,B70,'سجل الإجازات والحالات'!$E$6:$E$505,"&lt;="&amp;cfg_VAL_DATE,'سجل الإجازات والحالات'!$F$6:$F$505,"&gt;="&amp;cfg_VAL_DATE)&gt;0,"✈ "&amp;INDEX('سجل الإجازات والحالات'!$D$6:$D$505,MATCH(1,INDEX(('سجل الإجازات والحالات'!$B$6:$B$505=B70)*('سجل الإجازات والحالات'!$E$6:$E$505&lt;=cfg_VAL_DATE)*('سجل الإجازات والحالات'!$F$6:$F$505&gt;=cfg_VAL_DATE),0),0)),"✔ على رأس العمل")))</f>
        <v/>
      </c>
      <c r="AI70" s="79"/>
      <c r="AJ70" s="79"/>
      <c r="AK70" s="79"/>
    </row>
    <row r="71" customFormat="false" ht="15" hidden="false" customHeight="false" outlineLevel="0" collapsed="false">
      <c r="A71" s="100" t="str">
        <f aca="false">IF(B71="","",ROW()-5)</f>
        <v/>
      </c>
      <c r="B71" s="79"/>
      <c r="C71" s="79"/>
      <c r="D71" s="79"/>
      <c r="E71" s="79"/>
      <c r="F71" s="79"/>
      <c r="G71" s="79"/>
      <c r="H71" s="94"/>
      <c r="I71" s="95"/>
      <c r="J71" s="94"/>
      <c r="K71" s="94"/>
      <c r="L71" s="96"/>
      <c r="M71" s="96"/>
      <c r="N71" s="96"/>
      <c r="O71" s="96"/>
      <c r="P71" s="101" t="str">
        <f aca="false">IF(B71="","",SUM(L71:O71))</f>
        <v/>
      </c>
      <c r="Q71" s="101" t="str">
        <f aca="false">IF(B71="","",L71+IF(cfg_EOS_H="نعم",M71,0)+IF(cfg_EOS_T="نعم",N71,0)+IF(cfg_EOS_O="نعم",O71,0))</f>
        <v/>
      </c>
      <c r="R71" s="101" t="str">
        <f aca="false">IF(B71="","",L71+IF(cfg_LV_H="نعم",M71,0)+IF(cfg_LV_T="نعم",N71,0)+IF(cfg_LV_O="نعم",O71,0))</f>
        <v/>
      </c>
      <c r="S71" s="101" t="str">
        <f aca="false">IF(B71="","",MIN(cfg_G_CAP,L71+M71))</f>
        <v/>
      </c>
      <c r="T71" s="98"/>
      <c r="U71" s="79"/>
      <c r="V71" s="96"/>
      <c r="W71" s="98"/>
      <c r="X71" s="96"/>
      <c r="Y71" s="96"/>
      <c r="Z71" s="96"/>
      <c r="AA71" s="96"/>
      <c r="AB71" s="101" t="str">
        <f aca="false">IF(B71="","",IF(X71&lt;&gt;"",X71,IF(E71="غير سعودي",cfg_IQ,0))+IF(Y71&lt;&gt;"",Y71,IF(E71="غير سعودي",cfg_WP,0))+IF(Z71&lt;&gt;"",Z71,cfg_MED)+N(AA71))</f>
        <v/>
      </c>
      <c r="AC71" s="99"/>
      <c r="AD71" s="96"/>
      <c r="AE71" s="94"/>
      <c r="AF71" s="79"/>
      <c r="AG71" s="102" t="str">
        <f aca="false">IF(B71="","",IF(AND(AE71&lt;&gt;"",AE71&lt;=cfg_VAL_DATE),"✖ منتهي الخدمة",IF(H71&gt;cfg_VAL_DATE,"⏳ لم يباشر بعد","✔ على رأس العمل")))</f>
        <v/>
      </c>
      <c r="AH71" s="102" t="str">
        <f aca="false">IF(B71="","",IF(AG71&lt;&gt;"✔ على رأس العمل",AG71,IF(COUNTIFS('سجل الإجازات والحالات'!$B$6:$B$505,B71,'سجل الإجازات والحالات'!$E$6:$E$505,"&lt;="&amp;cfg_VAL_DATE,'سجل الإجازات والحالات'!$F$6:$F$505,"&gt;="&amp;cfg_VAL_DATE)&gt;0,"✈ "&amp;INDEX('سجل الإجازات والحالات'!$D$6:$D$505,MATCH(1,INDEX(('سجل الإجازات والحالات'!$B$6:$B$505=B71)*('سجل الإجازات والحالات'!$E$6:$E$505&lt;=cfg_VAL_DATE)*('سجل الإجازات والحالات'!$F$6:$F$505&gt;=cfg_VAL_DATE),0),0)),"✔ على رأس العمل")))</f>
        <v/>
      </c>
      <c r="AI71" s="79"/>
      <c r="AJ71" s="79"/>
      <c r="AK71" s="79"/>
    </row>
    <row r="72" customFormat="false" ht="15" hidden="false" customHeight="false" outlineLevel="0" collapsed="false">
      <c r="A72" s="93" t="str">
        <f aca="false">IF(B72="","",ROW()-5)</f>
        <v/>
      </c>
      <c r="B72" s="79"/>
      <c r="C72" s="79"/>
      <c r="D72" s="79"/>
      <c r="E72" s="79"/>
      <c r="F72" s="79"/>
      <c r="G72" s="79"/>
      <c r="H72" s="94"/>
      <c r="I72" s="95"/>
      <c r="J72" s="94"/>
      <c r="K72" s="94"/>
      <c r="L72" s="96"/>
      <c r="M72" s="96"/>
      <c r="N72" s="96"/>
      <c r="O72" s="96"/>
      <c r="P72" s="97" t="str">
        <f aca="false">IF(B72="","",SUM(L72:O72))</f>
        <v/>
      </c>
      <c r="Q72" s="97" t="str">
        <f aca="false">IF(B72="","",L72+IF(cfg_EOS_H="نعم",M72,0)+IF(cfg_EOS_T="نعم",N72,0)+IF(cfg_EOS_O="نعم",O72,0))</f>
        <v/>
      </c>
      <c r="R72" s="97" t="str">
        <f aca="false">IF(B72="","",L72+IF(cfg_LV_H="نعم",M72,0)+IF(cfg_LV_T="نعم",N72,0)+IF(cfg_LV_O="نعم",O72,0))</f>
        <v/>
      </c>
      <c r="S72" s="97" t="str">
        <f aca="false">IF(B72="","",MIN(cfg_G_CAP,L72+M72))</f>
        <v/>
      </c>
      <c r="T72" s="98"/>
      <c r="U72" s="79"/>
      <c r="V72" s="96"/>
      <c r="W72" s="98"/>
      <c r="X72" s="96"/>
      <c r="Y72" s="96"/>
      <c r="Z72" s="96"/>
      <c r="AA72" s="96"/>
      <c r="AB72" s="97" t="str">
        <f aca="false">IF(B72="","",IF(X72&lt;&gt;"",X72,IF(E72="غير سعودي",cfg_IQ,0))+IF(Y72&lt;&gt;"",Y72,IF(E72="غير سعودي",cfg_WP,0))+IF(Z72&lt;&gt;"",Z72,cfg_MED)+N(AA72))</f>
        <v/>
      </c>
      <c r="AC72" s="99"/>
      <c r="AD72" s="96"/>
      <c r="AE72" s="94"/>
      <c r="AF72" s="79"/>
      <c r="AG72" s="80" t="str">
        <f aca="false">IF(B72="","",IF(AND(AE72&lt;&gt;"",AE72&lt;=cfg_VAL_DATE),"✖ منتهي الخدمة",IF(H72&gt;cfg_VAL_DATE,"⏳ لم يباشر بعد","✔ على رأس العمل")))</f>
        <v/>
      </c>
      <c r="AH72" s="80" t="str">
        <f aca="false">IF(B72="","",IF(AG72&lt;&gt;"✔ على رأس العمل",AG72,IF(COUNTIFS('سجل الإجازات والحالات'!$B$6:$B$505,B72,'سجل الإجازات والحالات'!$E$6:$E$505,"&lt;="&amp;cfg_VAL_DATE,'سجل الإجازات والحالات'!$F$6:$F$505,"&gt;="&amp;cfg_VAL_DATE)&gt;0,"✈ "&amp;INDEX('سجل الإجازات والحالات'!$D$6:$D$505,MATCH(1,INDEX(('سجل الإجازات والحالات'!$B$6:$B$505=B72)*('سجل الإجازات والحالات'!$E$6:$E$505&lt;=cfg_VAL_DATE)*('سجل الإجازات والحالات'!$F$6:$F$505&gt;=cfg_VAL_DATE),0),0)),"✔ على رأس العمل")))</f>
        <v/>
      </c>
      <c r="AI72" s="79"/>
      <c r="AJ72" s="79"/>
      <c r="AK72" s="79"/>
    </row>
    <row r="73" customFormat="false" ht="15" hidden="false" customHeight="false" outlineLevel="0" collapsed="false">
      <c r="A73" s="100" t="str">
        <f aca="false">IF(B73="","",ROW()-5)</f>
        <v/>
      </c>
      <c r="B73" s="79"/>
      <c r="C73" s="79"/>
      <c r="D73" s="79"/>
      <c r="E73" s="79"/>
      <c r="F73" s="79"/>
      <c r="G73" s="79"/>
      <c r="H73" s="94"/>
      <c r="I73" s="95"/>
      <c r="J73" s="94"/>
      <c r="K73" s="94"/>
      <c r="L73" s="96"/>
      <c r="M73" s="96"/>
      <c r="N73" s="96"/>
      <c r="O73" s="96"/>
      <c r="P73" s="101" t="str">
        <f aca="false">IF(B73="","",SUM(L73:O73))</f>
        <v/>
      </c>
      <c r="Q73" s="101" t="str">
        <f aca="false">IF(B73="","",L73+IF(cfg_EOS_H="نعم",M73,0)+IF(cfg_EOS_T="نعم",N73,0)+IF(cfg_EOS_O="نعم",O73,0))</f>
        <v/>
      </c>
      <c r="R73" s="101" t="str">
        <f aca="false">IF(B73="","",L73+IF(cfg_LV_H="نعم",M73,0)+IF(cfg_LV_T="نعم",N73,0)+IF(cfg_LV_O="نعم",O73,0))</f>
        <v/>
      </c>
      <c r="S73" s="101" t="str">
        <f aca="false">IF(B73="","",MIN(cfg_G_CAP,L73+M73))</f>
        <v/>
      </c>
      <c r="T73" s="98"/>
      <c r="U73" s="79"/>
      <c r="V73" s="96"/>
      <c r="W73" s="98"/>
      <c r="X73" s="96"/>
      <c r="Y73" s="96"/>
      <c r="Z73" s="96"/>
      <c r="AA73" s="96"/>
      <c r="AB73" s="101" t="str">
        <f aca="false">IF(B73="","",IF(X73&lt;&gt;"",X73,IF(E73="غير سعودي",cfg_IQ,0))+IF(Y73&lt;&gt;"",Y73,IF(E73="غير سعودي",cfg_WP,0))+IF(Z73&lt;&gt;"",Z73,cfg_MED)+N(AA73))</f>
        <v/>
      </c>
      <c r="AC73" s="99"/>
      <c r="AD73" s="96"/>
      <c r="AE73" s="94"/>
      <c r="AF73" s="79"/>
      <c r="AG73" s="102" t="str">
        <f aca="false">IF(B73="","",IF(AND(AE73&lt;&gt;"",AE73&lt;=cfg_VAL_DATE),"✖ منتهي الخدمة",IF(H73&gt;cfg_VAL_DATE,"⏳ لم يباشر بعد","✔ على رأس العمل")))</f>
        <v/>
      </c>
      <c r="AH73" s="102" t="str">
        <f aca="false">IF(B73="","",IF(AG73&lt;&gt;"✔ على رأس العمل",AG73,IF(COUNTIFS('سجل الإجازات والحالات'!$B$6:$B$505,B73,'سجل الإجازات والحالات'!$E$6:$E$505,"&lt;="&amp;cfg_VAL_DATE,'سجل الإجازات والحالات'!$F$6:$F$505,"&gt;="&amp;cfg_VAL_DATE)&gt;0,"✈ "&amp;INDEX('سجل الإجازات والحالات'!$D$6:$D$505,MATCH(1,INDEX(('سجل الإجازات والحالات'!$B$6:$B$505=B73)*('سجل الإجازات والحالات'!$E$6:$E$505&lt;=cfg_VAL_DATE)*('سجل الإجازات والحالات'!$F$6:$F$505&gt;=cfg_VAL_DATE),0),0)),"✔ على رأس العمل")))</f>
        <v/>
      </c>
      <c r="AI73" s="79"/>
      <c r="AJ73" s="79"/>
      <c r="AK73" s="79"/>
    </row>
    <row r="74" customFormat="false" ht="15" hidden="false" customHeight="false" outlineLevel="0" collapsed="false">
      <c r="A74" s="93" t="str">
        <f aca="false">IF(B74="","",ROW()-5)</f>
        <v/>
      </c>
      <c r="B74" s="79"/>
      <c r="C74" s="79"/>
      <c r="D74" s="79"/>
      <c r="E74" s="79"/>
      <c r="F74" s="79"/>
      <c r="G74" s="79"/>
      <c r="H74" s="94"/>
      <c r="I74" s="95"/>
      <c r="J74" s="94"/>
      <c r="K74" s="94"/>
      <c r="L74" s="96"/>
      <c r="M74" s="96"/>
      <c r="N74" s="96"/>
      <c r="O74" s="96"/>
      <c r="P74" s="97" t="str">
        <f aca="false">IF(B74="","",SUM(L74:O74))</f>
        <v/>
      </c>
      <c r="Q74" s="97" t="str">
        <f aca="false">IF(B74="","",L74+IF(cfg_EOS_H="نعم",M74,0)+IF(cfg_EOS_T="نعم",N74,0)+IF(cfg_EOS_O="نعم",O74,0))</f>
        <v/>
      </c>
      <c r="R74" s="97" t="str">
        <f aca="false">IF(B74="","",L74+IF(cfg_LV_H="نعم",M74,0)+IF(cfg_LV_T="نعم",N74,0)+IF(cfg_LV_O="نعم",O74,0))</f>
        <v/>
      </c>
      <c r="S74" s="97" t="str">
        <f aca="false">IF(B74="","",MIN(cfg_G_CAP,L74+M74))</f>
        <v/>
      </c>
      <c r="T74" s="98"/>
      <c r="U74" s="79"/>
      <c r="V74" s="96"/>
      <c r="W74" s="98"/>
      <c r="X74" s="96"/>
      <c r="Y74" s="96"/>
      <c r="Z74" s="96"/>
      <c r="AA74" s="96"/>
      <c r="AB74" s="97" t="str">
        <f aca="false">IF(B74="","",IF(X74&lt;&gt;"",X74,IF(E74="غير سعودي",cfg_IQ,0))+IF(Y74&lt;&gt;"",Y74,IF(E74="غير سعودي",cfg_WP,0))+IF(Z74&lt;&gt;"",Z74,cfg_MED)+N(AA74))</f>
        <v/>
      </c>
      <c r="AC74" s="99"/>
      <c r="AD74" s="96"/>
      <c r="AE74" s="94"/>
      <c r="AF74" s="79"/>
      <c r="AG74" s="80" t="str">
        <f aca="false">IF(B74="","",IF(AND(AE74&lt;&gt;"",AE74&lt;=cfg_VAL_DATE),"✖ منتهي الخدمة",IF(H74&gt;cfg_VAL_DATE,"⏳ لم يباشر بعد","✔ على رأس العمل")))</f>
        <v/>
      </c>
      <c r="AH74" s="80" t="str">
        <f aca="false">IF(B74="","",IF(AG74&lt;&gt;"✔ على رأس العمل",AG74,IF(COUNTIFS('سجل الإجازات والحالات'!$B$6:$B$505,B74,'سجل الإجازات والحالات'!$E$6:$E$505,"&lt;="&amp;cfg_VAL_DATE,'سجل الإجازات والحالات'!$F$6:$F$505,"&gt;="&amp;cfg_VAL_DATE)&gt;0,"✈ "&amp;INDEX('سجل الإجازات والحالات'!$D$6:$D$505,MATCH(1,INDEX(('سجل الإجازات والحالات'!$B$6:$B$505=B74)*('سجل الإجازات والحالات'!$E$6:$E$505&lt;=cfg_VAL_DATE)*('سجل الإجازات والحالات'!$F$6:$F$505&gt;=cfg_VAL_DATE),0),0)),"✔ على رأس العمل")))</f>
        <v/>
      </c>
      <c r="AI74" s="79"/>
      <c r="AJ74" s="79"/>
      <c r="AK74" s="79"/>
    </row>
    <row r="75" customFormat="false" ht="15" hidden="false" customHeight="false" outlineLevel="0" collapsed="false">
      <c r="A75" s="100" t="str">
        <f aca="false">IF(B75="","",ROW()-5)</f>
        <v/>
      </c>
      <c r="B75" s="79"/>
      <c r="C75" s="79"/>
      <c r="D75" s="79"/>
      <c r="E75" s="79"/>
      <c r="F75" s="79"/>
      <c r="G75" s="79"/>
      <c r="H75" s="94"/>
      <c r="I75" s="95"/>
      <c r="J75" s="94"/>
      <c r="K75" s="94"/>
      <c r="L75" s="96"/>
      <c r="M75" s="96"/>
      <c r="N75" s="96"/>
      <c r="O75" s="96"/>
      <c r="P75" s="101" t="str">
        <f aca="false">IF(B75="","",SUM(L75:O75))</f>
        <v/>
      </c>
      <c r="Q75" s="101" t="str">
        <f aca="false">IF(B75="","",L75+IF(cfg_EOS_H="نعم",M75,0)+IF(cfg_EOS_T="نعم",N75,0)+IF(cfg_EOS_O="نعم",O75,0))</f>
        <v/>
      </c>
      <c r="R75" s="101" t="str">
        <f aca="false">IF(B75="","",L75+IF(cfg_LV_H="نعم",M75,0)+IF(cfg_LV_T="نعم",N75,0)+IF(cfg_LV_O="نعم",O75,0))</f>
        <v/>
      </c>
      <c r="S75" s="101" t="str">
        <f aca="false">IF(B75="","",MIN(cfg_G_CAP,L75+M75))</f>
        <v/>
      </c>
      <c r="T75" s="98"/>
      <c r="U75" s="79"/>
      <c r="V75" s="96"/>
      <c r="W75" s="98"/>
      <c r="X75" s="96"/>
      <c r="Y75" s="96"/>
      <c r="Z75" s="96"/>
      <c r="AA75" s="96"/>
      <c r="AB75" s="101" t="str">
        <f aca="false">IF(B75="","",IF(X75&lt;&gt;"",X75,IF(E75="غير سعودي",cfg_IQ,0))+IF(Y75&lt;&gt;"",Y75,IF(E75="غير سعودي",cfg_WP,0))+IF(Z75&lt;&gt;"",Z75,cfg_MED)+N(AA75))</f>
        <v/>
      </c>
      <c r="AC75" s="99"/>
      <c r="AD75" s="96"/>
      <c r="AE75" s="94"/>
      <c r="AF75" s="79"/>
      <c r="AG75" s="102" t="str">
        <f aca="false">IF(B75="","",IF(AND(AE75&lt;&gt;"",AE75&lt;=cfg_VAL_DATE),"✖ منتهي الخدمة",IF(H75&gt;cfg_VAL_DATE,"⏳ لم يباشر بعد","✔ على رأس العمل")))</f>
        <v/>
      </c>
      <c r="AH75" s="102" t="str">
        <f aca="false">IF(B75="","",IF(AG75&lt;&gt;"✔ على رأس العمل",AG75,IF(COUNTIFS('سجل الإجازات والحالات'!$B$6:$B$505,B75,'سجل الإجازات والحالات'!$E$6:$E$505,"&lt;="&amp;cfg_VAL_DATE,'سجل الإجازات والحالات'!$F$6:$F$505,"&gt;="&amp;cfg_VAL_DATE)&gt;0,"✈ "&amp;INDEX('سجل الإجازات والحالات'!$D$6:$D$505,MATCH(1,INDEX(('سجل الإجازات والحالات'!$B$6:$B$505=B75)*('سجل الإجازات والحالات'!$E$6:$E$505&lt;=cfg_VAL_DATE)*('سجل الإجازات والحالات'!$F$6:$F$505&gt;=cfg_VAL_DATE),0),0)),"✔ على رأس العمل")))</f>
        <v/>
      </c>
      <c r="AI75" s="79"/>
      <c r="AJ75" s="79"/>
      <c r="AK75" s="79"/>
    </row>
    <row r="76" customFormat="false" ht="15" hidden="false" customHeight="false" outlineLevel="0" collapsed="false">
      <c r="A76" s="93" t="str">
        <f aca="false">IF(B76="","",ROW()-5)</f>
        <v/>
      </c>
      <c r="B76" s="79"/>
      <c r="C76" s="79"/>
      <c r="D76" s="79"/>
      <c r="E76" s="79"/>
      <c r="F76" s="79"/>
      <c r="G76" s="79"/>
      <c r="H76" s="94"/>
      <c r="I76" s="95"/>
      <c r="J76" s="94"/>
      <c r="K76" s="94"/>
      <c r="L76" s="96"/>
      <c r="M76" s="96"/>
      <c r="N76" s="96"/>
      <c r="O76" s="96"/>
      <c r="P76" s="97" t="str">
        <f aca="false">IF(B76="","",SUM(L76:O76))</f>
        <v/>
      </c>
      <c r="Q76" s="97" t="str">
        <f aca="false">IF(B76="","",L76+IF(cfg_EOS_H="نعم",M76,0)+IF(cfg_EOS_T="نعم",N76,0)+IF(cfg_EOS_O="نعم",O76,0))</f>
        <v/>
      </c>
      <c r="R76" s="97" t="str">
        <f aca="false">IF(B76="","",L76+IF(cfg_LV_H="نعم",M76,0)+IF(cfg_LV_T="نعم",N76,0)+IF(cfg_LV_O="نعم",O76,0))</f>
        <v/>
      </c>
      <c r="S76" s="97" t="str">
        <f aca="false">IF(B76="","",MIN(cfg_G_CAP,L76+M76))</f>
        <v/>
      </c>
      <c r="T76" s="98"/>
      <c r="U76" s="79"/>
      <c r="V76" s="96"/>
      <c r="W76" s="98"/>
      <c r="X76" s="96"/>
      <c r="Y76" s="96"/>
      <c r="Z76" s="96"/>
      <c r="AA76" s="96"/>
      <c r="AB76" s="97" t="str">
        <f aca="false">IF(B76="","",IF(X76&lt;&gt;"",X76,IF(E76="غير سعودي",cfg_IQ,0))+IF(Y76&lt;&gt;"",Y76,IF(E76="غير سعودي",cfg_WP,0))+IF(Z76&lt;&gt;"",Z76,cfg_MED)+N(AA76))</f>
        <v/>
      </c>
      <c r="AC76" s="99"/>
      <c r="AD76" s="96"/>
      <c r="AE76" s="94"/>
      <c r="AF76" s="79"/>
      <c r="AG76" s="80" t="str">
        <f aca="false">IF(B76="","",IF(AND(AE76&lt;&gt;"",AE76&lt;=cfg_VAL_DATE),"✖ منتهي الخدمة",IF(H76&gt;cfg_VAL_DATE,"⏳ لم يباشر بعد","✔ على رأس العمل")))</f>
        <v/>
      </c>
      <c r="AH76" s="80" t="str">
        <f aca="false">IF(B76="","",IF(AG76&lt;&gt;"✔ على رأس العمل",AG76,IF(COUNTIFS('سجل الإجازات والحالات'!$B$6:$B$505,B76,'سجل الإجازات والحالات'!$E$6:$E$505,"&lt;="&amp;cfg_VAL_DATE,'سجل الإجازات والحالات'!$F$6:$F$505,"&gt;="&amp;cfg_VAL_DATE)&gt;0,"✈ "&amp;INDEX('سجل الإجازات والحالات'!$D$6:$D$505,MATCH(1,INDEX(('سجل الإجازات والحالات'!$B$6:$B$505=B76)*('سجل الإجازات والحالات'!$E$6:$E$505&lt;=cfg_VAL_DATE)*('سجل الإجازات والحالات'!$F$6:$F$505&gt;=cfg_VAL_DATE),0),0)),"✔ على رأس العمل")))</f>
        <v/>
      </c>
      <c r="AI76" s="79"/>
      <c r="AJ76" s="79"/>
      <c r="AK76" s="79"/>
    </row>
    <row r="77" customFormat="false" ht="15" hidden="false" customHeight="false" outlineLevel="0" collapsed="false">
      <c r="A77" s="100" t="str">
        <f aca="false">IF(B77="","",ROW()-5)</f>
        <v/>
      </c>
      <c r="B77" s="79"/>
      <c r="C77" s="79"/>
      <c r="D77" s="79"/>
      <c r="E77" s="79"/>
      <c r="F77" s="79"/>
      <c r="G77" s="79"/>
      <c r="H77" s="94"/>
      <c r="I77" s="95"/>
      <c r="J77" s="94"/>
      <c r="K77" s="94"/>
      <c r="L77" s="96"/>
      <c r="M77" s="96"/>
      <c r="N77" s="96"/>
      <c r="O77" s="96"/>
      <c r="P77" s="101" t="str">
        <f aca="false">IF(B77="","",SUM(L77:O77))</f>
        <v/>
      </c>
      <c r="Q77" s="101" t="str">
        <f aca="false">IF(B77="","",L77+IF(cfg_EOS_H="نعم",M77,0)+IF(cfg_EOS_T="نعم",N77,0)+IF(cfg_EOS_O="نعم",O77,0))</f>
        <v/>
      </c>
      <c r="R77" s="101" t="str">
        <f aca="false">IF(B77="","",L77+IF(cfg_LV_H="نعم",M77,0)+IF(cfg_LV_T="نعم",N77,0)+IF(cfg_LV_O="نعم",O77,0))</f>
        <v/>
      </c>
      <c r="S77" s="101" t="str">
        <f aca="false">IF(B77="","",MIN(cfg_G_CAP,L77+M77))</f>
        <v/>
      </c>
      <c r="T77" s="98"/>
      <c r="U77" s="79"/>
      <c r="V77" s="96"/>
      <c r="W77" s="98"/>
      <c r="X77" s="96"/>
      <c r="Y77" s="96"/>
      <c r="Z77" s="96"/>
      <c r="AA77" s="96"/>
      <c r="AB77" s="101" t="str">
        <f aca="false">IF(B77="","",IF(X77&lt;&gt;"",X77,IF(E77="غير سعودي",cfg_IQ,0))+IF(Y77&lt;&gt;"",Y77,IF(E77="غير سعودي",cfg_WP,0))+IF(Z77&lt;&gt;"",Z77,cfg_MED)+N(AA77))</f>
        <v/>
      </c>
      <c r="AC77" s="99"/>
      <c r="AD77" s="96"/>
      <c r="AE77" s="94"/>
      <c r="AF77" s="79"/>
      <c r="AG77" s="102" t="str">
        <f aca="false">IF(B77="","",IF(AND(AE77&lt;&gt;"",AE77&lt;=cfg_VAL_DATE),"✖ منتهي الخدمة",IF(H77&gt;cfg_VAL_DATE,"⏳ لم يباشر بعد","✔ على رأس العمل")))</f>
        <v/>
      </c>
      <c r="AH77" s="102" t="str">
        <f aca="false">IF(B77="","",IF(AG77&lt;&gt;"✔ على رأس العمل",AG77,IF(COUNTIFS('سجل الإجازات والحالات'!$B$6:$B$505,B77,'سجل الإجازات والحالات'!$E$6:$E$505,"&lt;="&amp;cfg_VAL_DATE,'سجل الإجازات والحالات'!$F$6:$F$505,"&gt;="&amp;cfg_VAL_DATE)&gt;0,"✈ "&amp;INDEX('سجل الإجازات والحالات'!$D$6:$D$505,MATCH(1,INDEX(('سجل الإجازات والحالات'!$B$6:$B$505=B77)*('سجل الإجازات والحالات'!$E$6:$E$505&lt;=cfg_VAL_DATE)*('سجل الإجازات والحالات'!$F$6:$F$505&gt;=cfg_VAL_DATE),0),0)),"✔ على رأس العمل")))</f>
        <v/>
      </c>
      <c r="AI77" s="79"/>
      <c r="AJ77" s="79"/>
      <c r="AK77" s="79"/>
    </row>
    <row r="78" customFormat="false" ht="15" hidden="false" customHeight="false" outlineLevel="0" collapsed="false">
      <c r="A78" s="93" t="str">
        <f aca="false">IF(B78="","",ROW()-5)</f>
        <v/>
      </c>
      <c r="B78" s="79"/>
      <c r="C78" s="79"/>
      <c r="D78" s="79"/>
      <c r="E78" s="79"/>
      <c r="F78" s="79"/>
      <c r="G78" s="79"/>
      <c r="H78" s="94"/>
      <c r="I78" s="95"/>
      <c r="J78" s="94"/>
      <c r="K78" s="94"/>
      <c r="L78" s="96"/>
      <c r="M78" s="96"/>
      <c r="N78" s="96"/>
      <c r="O78" s="96"/>
      <c r="P78" s="97" t="str">
        <f aca="false">IF(B78="","",SUM(L78:O78))</f>
        <v/>
      </c>
      <c r="Q78" s="97" t="str">
        <f aca="false">IF(B78="","",L78+IF(cfg_EOS_H="نعم",M78,0)+IF(cfg_EOS_T="نعم",N78,0)+IF(cfg_EOS_O="نعم",O78,0))</f>
        <v/>
      </c>
      <c r="R78" s="97" t="str">
        <f aca="false">IF(B78="","",L78+IF(cfg_LV_H="نعم",M78,0)+IF(cfg_LV_T="نعم",N78,0)+IF(cfg_LV_O="نعم",O78,0))</f>
        <v/>
      </c>
      <c r="S78" s="97" t="str">
        <f aca="false">IF(B78="","",MIN(cfg_G_CAP,L78+M78))</f>
        <v/>
      </c>
      <c r="T78" s="98"/>
      <c r="U78" s="79"/>
      <c r="V78" s="96"/>
      <c r="W78" s="98"/>
      <c r="X78" s="96"/>
      <c r="Y78" s="96"/>
      <c r="Z78" s="96"/>
      <c r="AA78" s="96"/>
      <c r="AB78" s="97" t="str">
        <f aca="false">IF(B78="","",IF(X78&lt;&gt;"",X78,IF(E78="غير سعودي",cfg_IQ,0))+IF(Y78&lt;&gt;"",Y78,IF(E78="غير سعودي",cfg_WP,0))+IF(Z78&lt;&gt;"",Z78,cfg_MED)+N(AA78))</f>
        <v/>
      </c>
      <c r="AC78" s="99"/>
      <c r="AD78" s="96"/>
      <c r="AE78" s="94"/>
      <c r="AF78" s="79"/>
      <c r="AG78" s="80" t="str">
        <f aca="false">IF(B78="","",IF(AND(AE78&lt;&gt;"",AE78&lt;=cfg_VAL_DATE),"✖ منتهي الخدمة",IF(H78&gt;cfg_VAL_DATE,"⏳ لم يباشر بعد","✔ على رأس العمل")))</f>
        <v/>
      </c>
      <c r="AH78" s="80" t="str">
        <f aca="false">IF(B78="","",IF(AG78&lt;&gt;"✔ على رأس العمل",AG78,IF(COUNTIFS('سجل الإجازات والحالات'!$B$6:$B$505,B78,'سجل الإجازات والحالات'!$E$6:$E$505,"&lt;="&amp;cfg_VAL_DATE,'سجل الإجازات والحالات'!$F$6:$F$505,"&gt;="&amp;cfg_VAL_DATE)&gt;0,"✈ "&amp;INDEX('سجل الإجازات والحالات'!$D$6:$D$505,MATCH(1,INDEX(('سجل الإجازات والحالات'!$B$6:$B$505=B78)*('سجل الإجازات والحالات'!$E$6:$E$505&lt;=cfg_VAL_DATE)*('سجل الإجازات والحالات'!$F$6:$F$505&gt;=cfg_VAL_DATE),0),0)),"✔ على رأس العمل")))</f>
        <v/>
      </c>
      <c r="AI78" s="79"/>
      <c r="AJ78" s="79"/>
      <c r="AK78" s="79"/>
    </row>
    <row r="79" customFormat="false" ht="15" hidden="false" customHeight="false" outlineLevel="0" collapsed="false">
      <c r="A79" s="100" t="str">
        <f aca="false">IF(B79="","",ROW()-5)</f>
        <v/>
      </c>
      <c r="B79" s="79"/>
      <c r="C79" s="79"/>
      <c r="D79" s="79"/>
      <c r="E79" s="79"/>
      <c r="F79" s="79"/>
      <c r="G79" s="79"/>
      <c r="H79" s="94"/>
      <c r="I79" s="95"/>
      <c r="J79" s="94"/>
      <c r="K79" s="94"/>
      <c r="L79" s="96"/>
      <c r="M79" s="96"/>
      <c r="N79" s="96"/>
      <c r="O79" s="96"/>
      <c r="P79" s="101" t="str">
        <f aca="false">IF(B79="","",SUM(L79:O79))</f>
        <v/>
      </c>
      <c r="Q79" s="101" t="str">
        <f aca="false">IF(B79="","",L79+IF(cfg_EOS_H="نعم",M79,0)+IF(cfg_EOS_T="نعم",N79,0)+IF(cfg_EOS_O="نعم",O79,0))</f>
        <v/>
      </c>
      <c r="R79" s="101" t="str">
        <f aca="false">IF(B79="","",L79+IF(cfg_LV_H="نعم",M79,0)+IF(cfg_LV_T="نعم",N79,0)+IF(cfg_LV_O="نعم",O79,0))</f>
        <v/>
      </c>
      <c r="S79" s="101" t="str">
        <f aca="false">IF(B79="","",MIN(cfg_G_CAP,L79+M79))</f>
        <v/>
      </c>
      <c r="T79" s="98"/>
      <c r="U79" s="79"/>
      <c r="V79" s="96"/>
      <c r="W79" s="98"/>
      <c r="X79" s="96"/>
      <c r="Y79" s="96"/>
      <c r="Z79" s="96"/>
      <c r="AA79" s="96"/>
      <c r="AB79" s="101" t="str">
        <f aca="false">IF(B79="","",IF(X79&lt;&gt;"",X79,IF(E79="غير سعودي",cfg_IQ,0))+IF(Y79&lt;&gt;"",Y79,IF(E79="غير سعودي",cfg_WP,0))+IF(Z79&lt;&gt;"",Z79,cfg_MED)+N(AA79))</f>
        <v/>
      </c>
      <c r="AC79" s="99"/>
      <c r="AD79" s="96"/>
      <c r="AE79" s="94"/>
      <c r="AF79" s="79"/>
      <c r="AG79" s="102" t="str">
        <f aca="false">IF(B79="","",IF(AND(AE79&lt;&gt;"",AE79&lt;=cfg_VAL_DATE),"✖ منتهي الخدمة",IF(H79&gt;cfg_VAL_DATE,"⏳ لم يباشر بعد","✔ على رأس العمل")))</f>
        <v/>
      </c>
      <c r="AH79" s="102" t="str">
        <f aca="false">IF(B79="","",IF(AG79&lt;&gt;"✔ على رأس العمل",AG79,IF(COUNTIFS('سجل الإجازات والحالات'!$B$6:$B$505,B79,'سجل الإجازات والحالات'!$E$6:$E$505,"&lt;="&amp;cfg_VAL_DATE,'سجل الإجازات والحالات'!$F$6:$F$505,"&gt;="&amp;cfg_VAL_DATE)&gt;0,"✈ "&amp;INDEX('سجل الإجازات والحالات'!$D$6:$D$505,MATCH(1,INDEX(('سجل الإجازات والحالات'!$B$6:$B$505=B79)*('سجل الإجازات والحالات'!$E$6:$E$505&lt;=cfg_VAL_DATE)*('سجل الإجازات والحالات'!$F$6:$F$505&gt;=cfg_VAL_DATE),0),0)),"✔ على رأس العمل")))</f>
        <v/>
      </c>
      <c r="AI79" s="79"/>
      <c r="AJ79" s="79"/>
      <c r="AK79" s="79"/>
    </row>
    <row r="80" customFormat="false" ht="15" hidden="false" customHeight="false" outlineLevel="0" collapsed="false">
      <c r="A80" s="93" t="str">
        <f aca="false">IF(B80="","",ROW()-5)</f>
        <v/>
      </c>
      <c r="B80" s="79"/>
      <c r="C80" s="79"/>
      <c r="D80" s="79"/>
      <c r="E80" s="79"/>
      <c r="F80" s="79"/>
      <c r="G80" s="79"/>
      <c r="H80" s="94"/>
      <c r="I80" s="95"/>
      <c r="J80" s="94"/>
      <c r="K80" s="94"/>
      <c r="L80" s="96"/>
      <c r="M80" s="96"/>
      <c r="N80" s="96"/>
      <c r="O80" s="96"/>
      <c r="P80" s="97" t="str">
        <f aca="false">IF(B80="","",SUM(L80:O80))</f>
        <v/>
      </c>
      <c r="Q80" s="97" t="str">
        <f aca="false">IF(B80="","",L80+IF(cfg_EOS_H="نعم",M80,0)+IF(cfg_EOS_T="نعم",N80,0)+IF(cfg_EOS_O="نعم",O80,0))</f>
        <v/>
      </c>
      <c r="R80" s="97" t="str">
        <f aca="false">IF(B80="","",L80+IF(cfg_LV_H="نعم",M80,0)+IF(cfg_LV_T="نعم",N80,0)+IF(cfg_LV_O="نعم",O80,0))</f>
        <v/>
      </c>
      <c r="S80" s="97" t="str">
        <f aca="false">IF(B80="","",MIN(cfg_G_CAP,L80+M80))</f>
        <v/>
      </c>
      <c r="T80" s="98"/>
      <c r="U80" s="79"/>
      <c r="V80" s="96"/>
      <c r="W80" s="98"/>
      <c r="X80" s="96"/>
      <c r="Y80" s="96"/>
      <c r="Z80" s="96"/>
      <c r="AA80" s="96"/>
      <c r="AB80" s="97" t="str">
        <f aca="false">IF(B80="","",IF(X80&lt;&gt;"",X80,IF(E80="غير سعودي",cfg_IQ,0))+IF(Y80&lt;&gt;"",Y80,IF(E80="غير سعودي",cfg_WP,0))+IF(Z80&lt;&gt;"",Z80,cfg_MED)+N(AA80))</f>
        <v/>
      </c>
      <c r="AC80" s="99"/>
      <c r="AD80" s="96"/>
      <c r="AE80" s="94"/>
      <c r="AF80" s="79"/>
      <c r="AG80" s="80" t="str">
        <f aca="false">IF(B80="","",IF(AND(AE80&lt;&gt;"",AE80&lt;=cfg_VAL_DATE),"✖ منتهي الخدمة",IF(H80&gt;cfg_VAL_DATE,"⏳ لم يباشر بعد","✔ على رأس العمل")))</f>
        <v/>
      </c>
      <c r="AH80" s="80" t="str">
        <f aca="false">IF(B80="","",IF(AG80&lt;&gt;"✔ على رأس العمل",AG80,IF(COUNTIFS('سجل الإجازات والحالات'!$B$6:$B$505,B80,'سجل الإجازات والحالات'!$E$6:$E$505,"&lt;="&amp;cfg_VAL_DATE,'سجل الإجازات والحالات'!$F$6:$F$505,"&gt;="&amp;cfg_VAL_DATE)&gt;0,"✈ "&amp;INDEX('سجل الإجازات والحالات'!$D$6:$D$505,MATCH(1,INDEX(('سجل الإجازات والحالات'!$B$6:$B$505=B80)*('سجل الإجازات والحالات'!$E$6:$E$505&lt;=cfg_VAL_DATE)*('سجل الإجازات والحالات'!$F$6:$F$505&gt;=cfg_VAL_DATE),0),0)),"✔ على رأس العمل")))</f>
        <v/>
      </c>
      <c r="AI80" s="79"/>
      <c r="AJ80" s="79"/>
      <c r="AK80" s="79"/>
    </row>
    <row r="81" customFormat="false" ht="15" hidden="false" customHeight="false" outlineLevel="0" collapsed="false">
      <c r="A81" s="100" t="str">
        <f aca="false">IF(B81="","",ROW()-5)</f>
        <v/>
      </c>
      <c r="B81" s="79"/>
      <c r="C81" s="79"/>
      <c r="D81" s="79"/>
      <c r="E81" s="79"/>
      <c r="F81" s="79"/>
      <c r="G81" s="79"/>
      <c r="H81" s="94"/>
      <c r="I81" s="95"/>
      <c r="J81" s="94"/>
      <c r="K81" s="94"/>
      <c r="L81" s="96"/>
      <c r="M81" s="96"/>
      <c r="N81" s="96"/>
      <c r="O81" s="96"/>
      <c r="P81" s="101" t="str">
        <f aca="false">IF(B81="","",SUM(L81:O81))</f>
        <v/>
      </c>
      <c r="Q81" s="101" t="str">
        <f aca="false">IF(B81="","",L81+IF(cfg_EOS_H="نعم",M81,0)+IF(cfg_EOS_T="نعم",N81,0)+IF(cfg_EOS_O="نعم",O81,0))</f>
        <v/>
      </c>
      <c r="R81" s="101" t="str">
        <f aca="false">IF(B81="","",L81+IF(cfg_LV_H="نعم",M81,0)+IF(cfg_LV_T="نعم",N81,0)+IF(cfg_LV_O="نعم",O81,0))</f>
        <v/>
      </c>
      <c r="S81" s="101" t="str">
        <f aca="false">IF(B81="","",MIN(cfg_G_CAP,L81+M81))</f>
        <v/>
      </c>
      <c r="T81" s="98"/>
      <c r="U81" s="79"/>
      <c r="V81" s="96"/>
      <c r="W81" s="98"/>
      <c r="X81" s="96"/>
      <c r="Y81" s="96"/>
      <c r="Z81" s="96"/>
      <c r="AA81" s="96"/>
      <c r="AB81" s="101" t="str">
        <f aca="false">IF(B81="","",IF(X81&lt;&gt;"",X81,IF(E81="غير سعودي",cfg_IQ,0))+IF(Y81&lt;&gt;"",Y81,IF(E81="غير سعودي",cfg_WP,0))+IF(Z81&lt;&gt;"",Z81,cfg_MED)+N(AA81))</f>
        <v/>
      </c>
      <c r="AC81" s="99"/>
      <c r="AD81" s="96"/>
      <c r="AE81" s="94"/>
      <c r="AF81" s="79"/>
      <c r="AG81" s="102" t="str">
        <f aca="false">IF(B81="","",IF(AND(AE81&lt;&gt;"",AE81&lt;=cfg_VAL_DATE),"✖ منتهي الخدمة",IF(H81&gt;cfg_VAL_DATE,"⏳ لم يباشر بعد","✔ على رأس العمل")))</f>
        <v/>
      </c>
      <c r="AH81" s="102" t="str">
        <f aca="false">IF(B81="","",IF(AG81&lt;&gt;"✔ على رأس العمل",AG81,IF(COUNTIFS('سجل الإجازات والحالات'!$B$6:$B$505,B81,'سجل الإجازات والحالات'!$E$6:$E$505,"&lt;="&amp;cfg_VAL_DATE,'سجل الإجازات والحالات'!$F$6:$F$505,"&gt;="&amp;cfg_VAL_DATE)&gt;0,"✈ "&amp;INDEX('سجل الإجازات والحالات'!$D$6:$D$505,MATCH(1,INDEX(('سجل الإجازات والحالات'!$B$6:$B$505=B81)*('سجل الإجازات والحالات'!$E$6:$E$505&lt;=cfg_VAL_DATE)*('سجل الإجازات والحالات'!$F$6:$F$505&gt;=cfg_VAL_DATE),0),0)),"✔ على رأس العمل")))</f>
        <v/>
      </c>
      <c r="AI81" s="79"/>
      <c r="AJ81" s="79"/>
      <c r="AK81" s="79"/>
    </row>
    <row r="82" customFormat="false" ht="15" hidden="false" customHeight="false" outlineLevel="0" collapsed="false">
      <c r="A82" s="93" t="str">
        <f aca="false">IF(B82="","",ROW()-5)</f>
        <v/>
      </c>
      <c r="B82" s="79"/>
      <c r="C82" s="79"/>
      <c r="D82" s="79"/>
      <c r="E82" s="79"/>
      <c r="F82" s="79"/>
      <c r="G82" s="79"/>
      <c r="H82" s="94"/>
      <c r="I82" s="95"/>
      <c r="J82" s="94"/>
      <c r="K82" s="94"/>
      <c r="L82" s="96"/>
      <c r="M82" s="96"/>
      <c r="N82" s="96"/>
      <c r="O82" s="96"/>
      <c r="P82" s="97" t="str">
        <f aca="false">IF(B82="","",SUM(L82:O82))</f>
        <v/>
      </c>
      <c r="Q82" s="97" t="str">
        <f aca="false">IF(B82="","",L82+IF(cfg_EOS_H="نعم",M82,0)+IF(cfg_EOS_T="نعم",N82,0)+IF(cfg_EOS_O="نعم",O82,0))</f>
        <v/>
      </c>
      <c r="R82" s="97" t="str">
        <f aca="false">IF(B82="","",L82+IF(cfg_LV_H="نعم",M82,0)+IF(cfg_LV_T="نعم",N82,0)+IF(cfg_LV_O="نعم",O82,0))</f>
        <v/>
      </c>
      <c r="S82" s="97" t="str">
        <f aca="false">IF(B82="","",MIN(cfg_G_CAP,L82+M82))</f>
        <v/>
      </c>
      <c r="T82" s="98"/>
      <c r="U82" s="79"/>
      <c r="V82" s="96"/>
      <c r="W82" s="98"/>
      <c r="X82" s="96"/>
      <c r="Y82" s="96"/>
      <c r="Z82" s="96"/>
      <c r="AA82" s="96"/>
      <c r="AB82" s="97" t="str">
        <f aca="false">IF(B82="","",IF(X82&lt;&gt;"",X82,IF(E82="غير سعودي",cfg_IQ,0))+IF(Y82&lt;&gt;"",Y82,IF(E82="غير سعودي",cfg_WP,0))+IF(Z82&lt;&gt;"",Z82,cfg_MED)+N(AA82))</f>
        <v/>
      </c>
      <c r="AC82" s="99"/>
      <c r="AD82" s="96"/>
      <c r="AE82" s="94"/>
      <c r="AF82" s="79"/>
      <c r="AG82" s="80" t="str">
        <f aca="false">IF(B82="","",IF(AND(AE82&lt;&gt;"",AE82&lt;=cfg_VAL_DATE),"✖ منتهي الخدمة",IF(H82&gt;cfg_VAL_DATE,"⏳ لم يباشر بعد","✔ على رأس العمل")))</f>
        <v/>
      </c>
      <c r="AH82" s="80" t="str">
        <f aca="false">IF(B82="","",IF(AG82&lt;&gt;"✔ على رأس العمل",AG82,IF(COUNTIFS('سجل الإجازات والحالات'!$B$6:$B$505,B82,'سجل الإجازات والحالات'!$E$6:$E$505,"&lt;="&amp;cfg_VAL_DATE,'سجل الإجازات والحالات'!$F$6:$F$505,"&gt;="&amp;cfg_VAL_DATE)&gt;0,"✈ "&amp;INDEX('سجل الإجازات والحالات'!$D$6:$D$505,MATCH(1,INDEX(('سجل الإجازات والحالات'!$B$6:$B$505=B82)*('سجل الإجازات والحالات'!$E$6:$E$505&lt;=cfg_VAL_DATE)*('سجل الإجازات والحالات'!$F$6:$F$505&gt;=cfg_VAL_DATE),0),0)),"✔ على رأس العمل")))</f>
        <v/>
      </c>
      <c r="AI82" s="79"/>
      <c r="AJ82" s="79"/>
      <c r="AK82" s="79"/>
    </row>
    <row r="83" customFormat="false" ht="15" hidden="false" customHeight="false" outlineLevel="0" collapsed="false">
      <c r="A83" s="100" t="str">
        <f aca="false">IF(B83="","",ROW()-5)</f>
        <v/>
      </c>
      <c r="B83" s="79"/>
      <c r="C83" s="79"/>
      <c r="D83" s="79"/>
      <c r="E83" s="79"/>
      <c r="F83" s="79"/>
      <c r="G83" s="79"/>
      <c r="H83" s="94"/>
      <c r="I83" s="95"/>
      <c r="J83" s="94"/>
      <c r="K83" s="94"/>
      <c r="L83" s="96"/>
      <c r="M83" s="96"/>
      <c r="N83" s="96"/>
      <c r="O83" s="96"/>
      <c r="P83" s="101" t="str">
        <f aca="false">IF(B83="","",SUM(L83:O83))</f>
        <v/>
      </c>
      <c r="Q83" s="101" t="str">
        <f aca="false">IF(B83="","",L83+IF(cfg_EOS_H="نعم",M83,0)+IF(cfg_EOS_T="نعم",N83,0)+IF(cfg_EOS_O="نعم",O83,0))</f>
        <v/>
      </c>
      <c r="R83" s="101" t="str">
        <f aca="false">IF(B83="","",L83+IF(cfg_LV_H="نعم",M83,0)+IF(cfg_LV_T="نعم",N83,0)+IF(cfg_LV_O="نعم",O83,0))</f>
        <v/>
      </c>
      <c r="S83" s="101" t="str">
        <f aca="false">IF(B83="","",MIN(cfg_G_CAP,L83+M83))</f>
        <v/>
      </c>
      <c r="T83" s="98"/>
      <c r="U83" s="79"/>
      <c r="V83" s="96"/>
      <c r="W83" s="98"/>
      <c r="X83" s="96"/>
      <c r="Y83" s="96"/>
      <c r="Z83" s="96"/>
      <c r="AA83" s="96"/>
      <c r="AB83" s="101" t="str">
        <f aca="false">IF(B83="","",IF(X83&lt;&gt;"",X83,IF(E83="غير سعودي",cfg_IQ,0))+IF(Y83&lt;&gt;"",Y83,IF(E83="غير سعودي",cfg_WP,0))+IF(Z83&lt;&gt;"",Z83,cfg_MED)+N(AA83))</f>
        <v/>
      </c>
      <c r="AC83" s="99"/>
      <c r="AD83" s="96"/>
      <c r="AE83" s="94"/>
      <c r="AF83" s="79"/>
      <c r="AG83" s="102" t="str">
        <f aca="false">IF(B83="","",IF(AND(AE83&lt;&gt;"",AE83&lt;=cfg_VAL_DATE),"✖ منتهي الخدمة",IF(H83&gt;cfg_VAL_DATE,"⏳ لم يباشر بعد","✔ على رأس العمل")))</f>
        <v/>
      </c>
      <c r="AH83" s="102" t="str">
        <f aca="false">IF(B83="","",IF(AG83&lt;&gt;"✔ على رأس العمل",AG83,IF(COUNTIFS('سجل الإجازات والحالات'!$B$6:$B$505,B83,'سجل الإجازات والحالات'!$E$6:$E$505,"&lt;="&amp;cfg_VAL_DATE,'سجل الإجازات والحالات'!$F$6:$F$505,"&gt;="&amp;cfg_VAL_DATE)&gt;0,"✈ "&amp;INDEX('سجل الإجازات والحالات'!$D$6:$D$505,MATCH(1,INDEX(('سجل الإجازات والحالات'!$B$6:$B$505=B83)*('سجل الإجازات والحالات'!$E$6:$E$505&lt;=cfg_VAL_DATE)*('سجل الإجازات والحالات'!$F$6:$F$505&gt;=cfg_VAL_DATE),0),0)),"✔ على رأس العمل")))</f>
        <v/>
      </c>
      <c r="AI83" s="79"/>
      <c r="AJ83" s="79"/>
      <c r="AK83" s="79"/>
    </row>
    <row r="84" customFormat="false" ht="15" hidden="false" customHeight="false" outlineLevel="0" collapsed="false">
      <c r="A84" s="93" t="str">
        <f aca="false">IF(B84="","",ROW()-5)</f>
        <v/>
      </c>
      <c r="B84" s="79"/>
      <c r="C84" s="79"/>
      <c r="D84" s="79"/>
      <c r="E84" s="79"/>
      <c r="F84" s="79"/>
      <c r="G84" s="79"/>
      <c r="H84" s="94"/>
      <c r="I84" s="95"/>
      <c r="J84" s="94"/>
      <c r="K84" s="94"/>
      <c r="L84" s="96"/>
      <c r="M84" s="96"/>
      <c r="N84" s="96"/>
      <c r="O84" s="96"/>
      <c r="P84" s="97" t="str">
        <f aca="false">IF(B84="","",SUM(L84:O84))</f>
        <v/>
      </c>
      <c r="Q84" s="97" t="str">
        <f aca="false">IF(B84="","",L84+IF(cfg_EOS_H="نعم",M84,0)+IF(cfg_EOS_T="نعم",N84,0)+IF(cfg_EOS_O="نعم",O84,0))</f>
        <v/>
      </c>
      <c r="R84" s="97" t="str">
        <f aca="false">IF(B84="","",L84+IF(cfg_LV_H="نعم",M84,0)+IF(cfg_LV_T="نعم",N84,0)+IF(cfg_LV_O="نعم",O84,0))</f>
        <v/>
      </c>
      <c r="S84" s="97" t="str">
        <f aca="false">IF(B84="","",MIN(cfg_G_CAP,L84+M84))</f>
        <v/>
      </c>
      <c r="T84" s="98"/>
      <c r="U84" s="79"/>
      <c r="V84" s="96"/>
      <c r="W84" s="98"/>
      <c r="X84" s="96"/>
      <c r="Y84" s="96"/>
      <c r="Z84" s="96"/>
      <c r="AA84" s="96"/>
      <c r="AB84" s="97" t="str">
        <f aca="false">IF(B84="","",IF(X84&lt;&gt;"",X84,IF(E84="غير سعودي",cfg_IQ,0))+IF(Y84&lt;&gt;"",Y84,IF(E84="غير سعودي",cfg_WP,0))+IF(Z84&lt;&gt;"",Z84,cfg_MED)+N(AA84))</f>
        <v/>
      </c>
      <c r="AC84" s="99"/>
      <c r="AD84" s="96"/>
      <c r="AE84" s="94"/>
      <c r="AF84" s="79"/>
      <c r="AG84" s="80" t="str">
        <f aca="false">IF(B84="","",IF(AND(AE84&lt;&gt;"",AE84&lt;=cfg_VAL_DATE),"✖ منتهي الخدمة",IF(H84&gt;cfg_VAL_DATE,"⏳ لم يباشر بعد","✔ على رأس العمل")))</f>
        <v/>
      </c>
      <c r="AH84" s="80" t="str">
        <f aca="false">IF(B84="","",IF(AG84&lt;&gt;"✔ على رأس العمل",AG84,IF(COUNTIFS('سجل الإجازات والحالات'!$B$6:$B$505,B84,'سجل الإجازات والحالات'!$E$6:$E$505,"&lt;="&amp;cfg_VAL_DATE,'سجل الإجازات والحالات'!$F$6:$F$505,"&gt;="&amp;cfg_VAL_DATE)&gt;0,"✈ "&amp;INDEX('سجل الإجازات والحالات'!$D$6:$D$505,MATCH(1,INDEX(('سجل الإجازات والحالات'!$B$6:$B$505=B84)*('سجل الإجازات والحالات'!$E$6:$E$505&lt;=cfg_VAL_DATE)*('سجل الإجازات والحالات'!$F$6:$F$505&gt;=cfg_VAL_DATE),0),0)),"✔ على رأس العمل")))</f>
        <v/>
      </c>
      <c r="AI84" s="79"/>
      <c r="AJ84" s="79"/>
      <c r="AK84" s="79"/>
    </row>
    <row r="85" customFormat="false" ht="15" hidden="false" customHeight="false" outlineLevel="0" collapsed="false">
      <c r="A85" s="100" t="str">
        <f aca="false">IF(B85="","",ROW()-5)</f>
        <v/>
      </c>
      <c r="B85" s="79"/>
      <c r="C85" s="79"/>
      <c r="D85" s="79"/>
      <c r="E85" s="79"/>
      <c r="F85" s="79"/>
      <c r="G85" s="79"/>
      <c r="H85" s="94"/>
      <c r="I85" s="95"/>
      <c r="J85" s="94"/>
      <c r="K85" s="94"/>
      <c r="L85" s="96"/>
      <c r="M85" s="96"/>
      <c r="N85" s="96"/>
      <c r="O85" s="96"/>
      <c r="P85" s="101" t="str">
        <f aca="false">IF(B85="","",SUM(L85:O85))</f>
        <v/>
      </c>
      <c r="Q85" s="101" t="str">
        <f aca="false">IF(B85="","",L85+IF(cfg_EOS_H="نعم",M85,0)+IF(cfg_EOS_T="نعم",N85,0)+IF(cfg_EOS_O="نعم",O85,0))</f>
        <v/>
      </c>
      <c r="R85" s="101" t="str">
        <f aca="false">IF(B85="","",L85+IF(cfg_LV_H="نعم",M85,0)+IF(cfg_LV_T="نعم",N85,0)+IF(cfg_LV_O="نعم",O85,0))</f>
        <v/>
      </c>
      <c r="S85" s="101" t="str">
        <f aca="false">IF(B85="","",MIN(cfg_G_CAP,L85+M85))</f>
        <v/>
      </c>
      <c r="T85" s="98"/>
      <c r="U85" s="79"/>
      <c r="V85" s="96"/>
      <c r="W85" s="98"/>
      <c r="X85" s="96"/>
      <c r="Y85" s="96"/>
      <c r="Z85" s="96"/>
      <c r="AA85" s="96"/>
      <c r="AB85" s="101" t="str">
        <f aca="false">IF(B85="","",IF(X85&lt;&gt;"",X85,IF(E85="غير سعودي",cfg_IQ,0))+IF(Y85&lt;&gt;"",Y85,IF(E85="غير سعودي",cfg_WP,0))+IF(Z85&lt;&gt;"",Z85,cfg_MED)+N(AA85))</f>
        <v/>
      </c>
      <c r="AC85" s="99"/>
      <c r="AD85" s="96"/>
      <c r="AE85" s="94"/>
      <c r="AF85" s="79"/>
      <c r="AG85" s="102" t="str">
        <f aca="false">IF(B85="","",IF(AND(AE85&lt;&gt;"",AE85&lt;=cfg_VAL_DATE),"✖ منتهي الخدمة",IF(H85&gt;cfg_VAL_DATE,"⏳ لم يباشر بعد","✔ على رأس العمل")))</f>
        <v/>
      </c>
      <c r="AH85" s="102" t="str">
        <f aca="false">IF(B85="","",IF(AG85&lt;&gt;"✔ على رأس العمل",AG85,IF(COUNTIFS('سجل الإجازات والحالات'!$B$6:$B$505,B85,'سجل الإجازات والحالات'!$E$6:$E$505,"&lt;="&amp;cfg_VAL_DATE,'سجل الإجازات والحالات'!$F$6:$F$505,"&gt;="&amp;cfg_VAL_DATE)&gt;0,"✈ "&amp;INDEX('سجل الإجازات والحالات'!$D$6:$D$505,MATCH(1,INDEX(('سجل الإجازات والحالات'!$B$6:$B$505=B85)*('سجل الإجازات والحالات'!$E$6:$E$505&lt;=cfg_VAL_DATE)*('سجل الإجازات والحالات'!$F$6:$F$505&gt;=cfg_VAL_DATE),0),0)),"✔ على رأس العمل")))</f>
        <v/>
      </c>
      <c r="AI85" s="79"/>
      <c r="AJ85" s="79"/>
      <c r="AK85" s="79"/>
    </row>
    <row r="86" customFormat="false" ht="15" hidden="false" customHeight="false" outlineLevel="0" collapsed="false">
      <c r="A86" s="93" t="str">
        <f aca="false">IF(B86="","",ROW()-5)</f>
        <v/>
      </c>
      <c r="B86" s="79"/>
      <c r="C86" s="79"/>
      <c r="D86" s="79"/>
      <c r="E86" s="79"/>
      <c r="F86" s="79"/>
      <c r="G86" s="79"/>
      <c r="H86" s="94"/>
      <c r="I86" s="95"/>
      <c r="J86" s="94"/>
      <c r="K86" s="94"/>
      <c r="L86" s="96"/>
      <c r="M86" s="96"/>
      <c r="N86" s="96"/>
      <c r="O86" s="96"/>
      <c r="P86" s="97" t="str">
        <f aca="false">IF(B86="","",SUM(L86:O86))</f>
        <v/>
      </c>
      <c r="Q86" s="97" t="str">
        <f aca="false">IF(B86="","",L86+IF(cfg_EOS_H="نعم",M86,0)+IF(cfg_EOS_T="نعم",N86,0)+IF(cfg_EOS_O="نعم",O86,0))</f>
        <v/>
      </c>
      <c r="R86" s="97" t="str">
        <f aca="false">IF(B86="","",L86+IF(cfg_LV_H="نعم",M86,0)+IF(cfg_LV_T="نعم",N86,0)+IF(cfg_LV_O="نعم",O86,0))</f>
        <v/>
      </c>
      <c r="S86" s="97" t="str">
        <f aca="false">IF(B86="","",MIN(cfg_G_CAP,L86+M86))</f>
        <v/>
      </c>
      <c r="T86" s="98"/>
      <c r="U86" s="79"/>
      <c r="V86" s="96"/>
      <c r="W86" s="98"/>
      <c r="X86" s="96"/>
      <c r="Y86" s="96"/>
      <c r="Z86" s="96"/>
      <c r="AA86" s="96"/>
      <c r="AB86" s="97" t="str">
        <f aca="false">IF(B86="","",IF(X86&lt;&gt;"",X86,IF(E86="غير سعودي",cfg_IQ,0))+IF(Y86&lt;&gt;"",Y86,IF(E86="غير سعودي",cfg_WP,0))+IF(Z86&lt;&gt;"",Z86,cfg_MED)+N(AA86))</f>
        <v/>
      </c>
      <c r="AC86" s="99"/>
      <c r="AD86" s="96"/>
      <c r="AE86" s="94"/>
      <c r="AF86" s="79"/>
      <c r="AG86" s="80" t="str">
        <f aca="false">IF(B86="","",IF(AND(AE86&lt;&gt;"",AE86&lt;=cfg_VAL_DATE),"✖ منتهي الخدمة",IF(H86&gt;cfg_VAL_DATE,"⏳ لم يباشر بعد","✔ على رأس العمل")))</f>
        <v/>
      </c>
      <c r="AH86" s="80" t="str">
        <f aca="false">IF(B86="","",IF(AG86&lt;&gt;"✔ على رأس العمل",AG86,IF(COUNTIFS('سجل الإجازات والحالات'!$B$6:$B$505,B86,'سجل الإجازات والحالات'!$E$6:$E$505,"&lt;="&amp;cfg_VAL_DATE,'سجل الإجازات والحالات'!$F$6:$F$505,"&gt;="&amp;cfg_VAL_DATE)&gt;0,"✈ "&amp;INDEX('سجل الإجازات والحالات'!$D$6:$D$505,MATCH(1,INDEX(('سجل الإجازات والحالات'!$B$6:$B$505=B86)*('سجل الإجازات والحالات'!$E$6:$E$505&lt;=cfg_VAL_DATE)*('سجل الإجازات والحالات'!$F$6:$F$505&gt;=cfg_VAL_DATE),0),0)),"✔ على رأس العمل")))</f>
        <v/>
      </c>
      <c r="AI86" s="79"/>
      <c r="AJ86" s="79"/>
      <c r="AK86" s="79"/>
    </row>
    <row r="87" customFormat="false" ht="15" hidden="false" customHeight="false" outlineLevel="0" collapsed="false">
      <c r="A87" s="100" t="str">
        <f aca="false">IF(B87="","",ROW()-5)</f>
        <v/>
      </c>
      <c r="B87" s="79"/>
      <c r="C87" s="79"/>
      <c r="D87" s="79"/>
      <c r="E87" s="79"/>
      <c r="F87" s="79"/>
      <c r="G87" s="79"/>
      <c r="H87" s="94"/>
      <c r="I87" s="95"/>
      <c r="J87" s="94"/>
      <c r="K87" s="94"/>
      <c r="L87" s="96"/>
      <c r="M87" s="96"/>
      <c r="N87" s="96"/>
      <c r="O87" s="96"/>
      <c r="P87" s="101" t="str">
        <f aca="false">IF(B87="","",SUM(L87:O87))</f>
        <v/>
      </c>
      <c r="Q87" s="101" t="str">
        <f aca="false">IF(B87="","",L87+IF(cfg_EOS_H="نعم",M87,0)+IF(cfg_EOS_T="نعم",N87,0)+IF(cfg_EOS_O="نعم",O87,0))</f>
        <v/>
      </c>
      <c r="R87" s="101" t="str">
        <f aca="false">IF(B87="","",L87+IF(cfg_LV_H="نعم",M87,0)+IF(cfg_LV_T="نعم",N87,0)+IF(cfg_LV_O="نعم",O87,0))</f>
        <v/>
      </c>
      <c r="S87" s="101" t="str">
        <f aca="false">IF(B87="","",MIN(cfg_G_CAP,L87+M87))</f>
        <v/>
      </c>
      <c r="T87" s="98"/>
      <c r="U87" s="79"/>
      <c r="V87" s="96"/>
      <c r="W87" s="98"/>
      <c r="X87" s="96"/>
      <c r="Y87" s="96"/>
      <c r="Z87" s="96"/>
      <c r="AA87" s="96"/>
      <c r="AB87" s="101" t="str">
        <f aca="false">IF(B87="","",IF(X87&lt;&gt;"",X87,IF(E87="غير سعودي",cfg_IQ,0))+IF(Y87&lt;&gt;"",Y87,IF(E87="غير سعودي",cfg_WP,0))+IF(Z87&lt;&gt;"",Z87,cfg_MED)+N(AA87))</f>
        <v/>
      </c>
      <c r="AC87" s="99"/>
      <c r="AD87" s="96"/>
      <c r="AE87" s="94"/>
      <c r="AF87" s="79"/>
      <c r="AG87" s="102" t="str">
        <f aca="false">IF(B87="","",IF(AND(AE87&lt;&gt;"",AE87&lt;=cfg_VAL_DATE),"✖ منتهي الخدمة",IF(H87&gt;cfg_VAL_DATE,"⏳ لم يباشر بعد","✔ على رأس العمل")))</f>
        <v/>
      </c>
      <c r="AH87" s="102" t="str">
        <f aca="false">IF(B87="","",IF(AG87&lt;&gt;"✔ على رأس العمل",AG87,IF(COUNTIFS('سجل الإجازات والحالات'!$B$6:$B$505,B87,'سجل الإجازات والحالات'!$E$6:$E$505,"&lt;="&amp;cfg_VAL_DATE,'سجل الإجازات والحالات'!$F$6:$F$505,"&gt;="&amp;cfg_VAL_DATE)&gt;0,"✈ "&amp;INDEX('سجل الإجازات والحالات'!$D$6:$D$505,MATCH(1,INDEX(('سجل الإجازات والحالات'!$B$6:$B$505=B87)*('سجل الإجازات والحالات'!$E$6:$E$505&lt;=cfg_VAL_DATE)*('سجل الإجازات والحالات'!$F$6:$F$505&gt;=cfg_VAL_DATE),0),0)),"✔ على رأس العمل")))</f>
        <v/>
      </c>
      <c r="AI87" s="79"/>
      <c r="AJ87" s="79"/>
      <c r="AK87" s="79"/>
    </row>
    <row r="88" customFormat="false" ht="15" hidden="false" customHeight="false" outlineLevel="0" collapsed="false">
      <c r="A88" s="93" t="str">
        <f aca="false">IF(B88="","",ROW()-5)</f>
        <v/>
      </c>
      <c r="B88" s="79"/>
      <c r="C88" s="79"/>
      <c r="D88" s="79"/>
      <c r="E88" s="79"/>
      <c r="F88" s="79"/>
      <c r="G88" s="79"/>
      <c r="H88" s="94"/>
      <c r="I88" s="95"/>
      <c r="J88" s="94"/>
      <c r="K88" s="94"/>
      <c r="L88" s="96"/>
      <c r="M88" s="96"/>
      <c r="N88" s="96"/>
      <c r="O88" s="96"/>
      <c r="P88" s="97" t="str">
        <f aca="false">IF(B88="","",SUM(L88:O88))</f>
        <v/>
      </c>
      <c r="Q88" s="97" t="str">
        <f aca="false">IF(B88="","",L88+IF(cfg_EOS_H="نعم",M88,0)+IF(cfg_EOS_T="نعم",N88,0)+IF(cfg_EOS_O="نعم",O88,0))</f>
        <v/>
      </c>
      <c r="R88" s="97" t="str">
        <f aca="false">IF(B88="","",L88+IF(cfg_LV_H="نعم",M88,0)+IF(cfg_LV_T="نعم",N88,0)+IF(cfg_LV_O="نعم",O88,0))</f>
        <v/>
      </c>
      <c r="S88" s="97" t="str">
        <f aca="false">IF(B88="","",MIN(cfg_G_CAP,L88+M88))</f>
        <v/>
      </c>
      <c r="T88" s="98"/>
      <c r="U88" s="79"/>
      <c r="V88" s="96"/>
      <c r="W88" s="98"/>
      <c r="X88" s="96"/>
      <c r="Y88" s="96"/>
      <c r="Z88" s="96"/>
      <c r="AA88" s="96"/>
      <c r="AB88" s="97" t="str">
        <f aca="false">IF(B88="","",IF(X88&lt;&gt;"",X88,IF(E88="غير سعودي",cfg_IQ,0))+IF(Y88&lt;&gt;"",Y88,IF(E88="غير سعودي",cfg_WP,0))+IF(Z88&lt;&gt;"",Z88,cfg_MED)+N(AA88))</f>
        <v/>
      </c>
      <c r="AC88" s="99"/>
      <c r="AD88" s="96"/>
      <c r="AE88" s="94"/>
      <c r="AF88" s="79"/>
      <c r="AG88" s="80" t="str">
        <f aca="false">IF(B88="","",IF(AND(AE88&lt;&gt;"",AE88&lt;=cfg_VAL_DATE),"✖ منتهي الخدمة",IF(H88&gt;cfg_VAL_DATE,"⏳ لم يباشر بعد","✔ على رأس العمل")))</f>
        <v/>
      </c>
      <c r="AH88" s="80" t="str">
        <f aca="false">IF(B88="","",IF(AG88&lt;&gt;"✔ على رأس العمل",AG88,IF(COUNTIFS('سجل الإجازات والحالات'!$B$6:$B$505,B88,'سجل الإجازات والحالات'!$E$6:$E$505,"&lt;="&amp;cfg_VAL_DATE,'سجل الإجازات والحالات'!$F$6:$F$505,"&gt;="&amp;cfg_VAL_DATE)&gt;0,"✈ "&amp;INDEX('سجل الإجازات والحالات'!$D$6:$D$505,MATCH(1,INDEX(('سجل الإجازات والحالات'!$B$6:$B$505=B88)*('سجل الإجازات والحالات'!$E$6:$E$505&lt;=cfg_VAL_DATE)*('سجل الإجازات والحالات'!$F$6:$F$505&gt;=cfg_VAL_DATE),0),0)),"✔ على رأس العمل")))</f>
        <v/>
      </c>
      <c r="AI88" s="79"/>
      <c r="AJ88" s="79"/>
      <c r="AK88" s="79"/>
    </row>
    <row r="89" customFormat="false" ht="15" hidden="false" customHeight="false" outlineLevel="0" collapsed="false">
      <c r="A89" s="100" t="str">
        <f aca="false">IF(B89="","",ROW()-5)</f>
        <v/>
      </c>
      <c r="B89" s="79"/>
      <c r="C89" s="79"/>
      <c r="D89" s="79"/>
      <c r="E89" s="79"/>
      <c r="F89" s="79"/>
      <c r="G89" s="79"/>
      <c r="H89" s="94"/>
      <c r="I89" s="95"/>
      <c r="J89" s="94"/>
      <c r="K89" s="94"/>
      <c r="L89" s="96"/>
      <c r="M89" s="96"/>
      <c r="N89" s="96"/>
      <c r="O89" s="96"/>
      <c r="P89" s="101" t="str">
        <f aca="false">IF(B89="","",SUM(L89:O89))</f>
        <v/>
      </c>
      <c r="Q89" s="101" t="str">
        <f aca="false">IF(B89="","",L89+IF(cfg_EOS_H="نعم",M89,0)+IF(cfg_EOS_T="نعم",N89,0)+IF(cfg_EOS_O="نعم",O89,0))</f>
        <v/>
      </c>
      <c r="R89" s="101" t="str">
        <f aca="false">IF(B89="","",L89+IF(cfg_LV_H="نعم",M89,0)+IF(cfg_LV_T="نعم",N89,0)+IF(cfg_LV_O="نعم",O89,0))</f>
        <v/>
      </c>
      <c r="S89" s="101" t="str">
        <f aca="false">IF(B89="","",MIN(cfg_G_CAP,L89+M89))</f>
        <v/>
      </c>
      <c r="T89" s="98"/>
      <c r="U89" s="79"/>
      <c r="V89" s="96"/>
      <c r="W89" s="98"/>
      <c r="X89" s="96"/>
      <c r="Y89" s="96"/>
      <c r="Z89" s="96"/>
      <c r="AA89" s="96"/>
      <c r="AB89" s="101" t="str">
        <f aca="false">IF(B89="","",IF(X89&lt;&gt;"",X89,IF(E89="غير سعودي",cfg_IQ,0))+IF(Y89&lt;&gt;"",Y89,IF(E89="غير سعودي",cfg_WP,0))+IF(Z89&lt;&gt;"",Z89,cfg_MED)+N(AA89))</f>
        <v/>
      </c>
      <c r="AC89" s="99"/>
      <c r="AD89" s="96"/>
      <c r="AE89" s="94"/>
      <c r="AF89" s="79"/>
      <c r="AG89" s="102" t="str">
        <f aca="false">IF(B89="","",IF(AND(AE89&lt;&gt;"",AE89&lt;=cfg_VAL_DATE),"✖ منتهي الخدمة",IF(H89&gt;cfg_VAL_DATE,"⏳ لم يباشر بعد","✔ على رأس العمل")))</f>
        <v/>
      </c>
      <c r="AH89" s="102" t="str">
        <f aca="false">IF(B89="","",IF(AG89&lt;&gt;"✔ على رأس العمل",AG89,IF(COUNTIFS('سجل الإجازات والحالات'!$B$6:$B$505,B89,'سجل الإجازات والحالات'!$E$6:$E$505,"&lt;="&amp;cfg_VAL_DATE,'سجل الإجازات والحالات'!$F$6:$F$505,"&gt;="&amp;cfg_VAL_DATE)&gt;0,"✈ "&amp;INDEX('سجل الإجازات والحالات'!$D$6:$D$505,MATCH(1,INDEX(('سجل الإجازات والحالات'!$B$6:$B$505=B89)*('سجل الإجازات والحالات'!$E$6:$E$505&lt;=cfg_VAL_DATE)*('سجل الإجازات والحالات'!$F$6:$F$505&gt;=cfg_VAL_DATE),0),0)),"✔ على رأس العمل")))</f>
        <v/>
      </c>
      <c r="AI89" s="79"/>
      <c r="AJ89" s="79"/>
      <c r="AK89" s="79"/>
    </row>
    <row r="90" customFormat="false" ht="15" hidden="false" customHeight="false" outlineLevel="0" collapsed="false">
      <c r="A90" s="93" t="str">
        <f aca="false">IF(B90="","",ROW()-5)</f>
        <v/>
      </c>
      <c r="B90" s="79"/>
      <c r="C90" s="79"/>
      <c r="D90" s="79"/>
      <c r="E90" s="79"/>
      <c r="F90" s="79"/>
      <c r="G90" s="79"/>
      <c r="H90" s="94"/>
      <c r="I90" s="95"/>
      <c r="J90" s="94"/>
      <c r="K90" s="94"/>
      <c r="L90" s="96"/>
      <c r="M90" s="96"/>
      <c r="N90" s="96"/>
      <c r="O90" s="96"/>
      <c r="P90" s="97" t="str">
        <f aca="false">IF(B90="","",SUM(L90:O90))</f>
        <v/>
      </c>
      <c r="Q90" s="97" t="str">
        <f aca="false">IF(B90="","",L90+IF(cfg_EOS_H="نعم",M90,0)+IF(cfg_EOS_T="نعم",N90,0)+IF(cfg_EOS_O="نعم",O90,0))</f>
        <v/>
      </c>
      <c r="R90" s="97" t="str">
        <f aca="false">IF(B90="","",L90+IF(cfg_LV_H="نعم",M90,0)+IF(cfg_LV_T="نعم",N90,0)+IF(cfg_LV_O="نعم",O90,0))</f>
        <v/>
      </c>
      <c r="S90" s="97" t="str">
        <f aca="false">IF(B90="","",MIN(cfg_G_CAP,L90+M90))</f>
        <v/>
      </c>
      <c r="T90" s="98"/>
      <c r="U90" s="79"/>
      <c r="V90" s="96"/>
      <c r="W90" s="98"/>
      <c r="X90" s="96"/>
      <c r="Y90" s="96"/>
      <c r="Z90" s="96"/>
      <c r="AA90" s="96"/>
      <c r="AB90" s="97" t="str">
        <f aca="false">IF(B90="","",IF(X90&lt;&gt;"",X90,IF(E90="غير سعودي",cfg_IQ,0))+IF(Y90&lt;&gt;"",Y90,IF(E90="غير سعودي",cfg_WP,0))+IF(Z90&lt;&gt;"",Z90,cfg_MED)+N(AA90))</f>
        <v/>
      </c>
      <c r="AC90" s="99"/>
      <c r="AD90" s="96"/>
      <c r="AE90" s="94"/>
      <c r="AF90" s="79"/>
      <c r="AG90" s="80" t="str">
        <f aca="false">IF(B90="","",IF(AND(AE90&lt;&gt;"",AE90&lt;=cfg_VAL_DATE),"✖ منتهي الخدمة",IF(H90&gt;cfg_VAL_DATE,"⏳ لم يباشر بعد","✔ على رأس العمل")))</f>
        <v/>
      </c>
      <c r="AH90" s="80" t="str">
        <f aca="false">IF(B90="","",IF(AG90&lt;&gt;"✔ على رأس العمل",AG90,IF(COUNTIFS('سجل الإجازات والحالات'!$B$6:$B$505,B90,'سجل الإجازات والحالات'!$E$6:$E$505,"&lt;="&amp;cfg_VAL_DATE,'سجل الإجازات والحالات'!$F$6:$F$505,"&gt;="&amp;cfg_VAL_DATE)&gt;0,"✈ "&amp;INDEX('سجل الإجازات والحالات'!$D$6:$D$505,MATCH(1,INDEX(('سجل الإجازات والحالات'!$B$6:$B$505=B90)*('سجل الإجازات والحالات'!$E$6:$E$505&lt;=cfg_VAL_DATE)*('سجل الإجازات والحالات'!$F$6:$F$505&gt;=cfg_VAL_DATE),0),0)),"✔ على رأس العمل")))</f>
        <v/>
      </c>
      <c r="AI90" s="79"/>
      <c r="AJ90" s="79"/>
      <c r="AK90" s="79"/>
    </row>
    <row r="91" customFormat="false" ht="15" hidden="false" customHeight="false" outlineLevel="0" collapsed="false">
      <c r="A91" s="100" t="str">
        <f aca="false">IF(B91="","",ROW()-5)</f>
        <v/>
      </c>
      <c r="B91" s="79"/>
      <c r="C91" s="79"/>
      <c r="D91" s="79"/>
      <c r="E91" s="79"/>
      <c r="F91" s="79"/>
      <c r="G91" s="79"/>
      <c r="H91" s="94"/>
      <c r="I91" s="95"/>
      <c r="J91" s="94"/>
      <c r="K91" s="94"/>
      <c r="L91" s="96"/>
      <c r="M91" s="96"/>
      <c r="N91" s="96"/>
      <c r="O91" s="96"/>
      <c r="P91" s="101" t="str">
        <f aca="false">IF(B91="","",SUM(L91:O91))</f>
        <v/>
      </c>
      <c r="Q91" s="101" t="str">
        <f aca="false">IF(B91="","",L91+IF(cfg_EOS_H="نعم",M91,0)+IF(cfg_EOS_T="نعم",N91,0)+IF(cfg_EOS_O="نعم",O91,0))</f>
        <v/>
      </c>
      <c r="R91" s="101" t="str">
        <f aca="false">IF(B91="","",L91+IF(cfg_LV_H="نعم",M91,0)+IF(cfg_LV_T="نعم",N91,0)+IF(cfg_LV_O="نعم",O91,0))</f>
        <v/>
      </c>
      <c r="S91" s="101" t="str">
        <f aca="false">IF(B91="","",MIN(cfg_G_CAP,L91+M91))</f>
        <v/>
      </c>
      <c r="T91" s="98"/>
      <c r="U91" s="79"/>
      <c r="V91" s="96"/>
      <c r="W91" s="98"/>
      <c r="X91" s="96"/>
      <c r="Y91" s="96"/>
      <c r="Z91" s="96"/>
      <c r="AA91" s="96"/>
      <c r="AB91" s="101" t="str">
        <f aca="false">IF(B91="","",IF(X91&lt;&gt;"",X91,IF(E91="غير سعودي",cfg_IQ,0))+IF(Y91&lt;&gt;"",Y91,IF(E91="غير سعودي",cfg_WP,0))+IF(Z91&lt;&gt;"",Z91,cfg_MED)+N(AA91))</f>
        <v/>
      </c>
      <c r="AC91" s="99"/>
      <c r="AD91" s="96"/>
      <c r="AE91" s="94"/>
      <c r="AF91" s="79"/>
      <c r="AG91" s="102" t="str">
        <f aca="false">IF(B91="","",IF(AND(AE91&lt;&gt;"",AE91&lt;=cfg_VAL_DATE),"✖ منتهي الخدمة",IF(H91&gt;cfg_VAL_DATE,"⏳ لم يباشر بعد","✔ على رأس العمل")))</f>
        <v/>
      </c>
      <c r="AH91" s="102" t="str">
        <f aca="false">IF(B91="","",IF(AG91&lt;&gt;"✔ على رأس العمل",AG91,IF(COUNTIFS('سجل الإجازات والحالات'!$B$6:$B$505,B91,'سجل الإجازات والحالات'!$E$6:$E$505,"&lt;="&amp;cfg_VAL_DATE,'سجل الإجازات والحالات'!$F$6:$F$505,"&gt;="&amp;cfg_VAL_DATE)&gt;0,"✈ "&amp;INDEX('سجل الإجازات والحالات'!$D$6:$D$505,MATCH(1,INDEX(('سجل الإجازات والحالات'!$B$6:$B$505=B91)*('سجل الإجازات والحالات'!$E$6:$E$505&lt;=cfg_VAL_DATE)*('سجل الإجازات والحالات'!$F$6:$F$505&gt;=cfg_VAL_DATE),0),0)),"✔ على رأس العمل")))</f>
        <v/>
      </c>
      <c r="AI91" s="79"/>
      <c r="AJ91" s="79"/>
      <c r="AK91" s="79"/>
    </row>
    <row r="92" customFormat="false" ht="15" hidden="false" customHeight="false" outlineLevel="0" collapsed="false">
      <c r="A92" s="93" t="str">
        <f aca="false">IF(B92="","",ROW()-5)</f>
        <v/>
      </c>
      <c r="B92" s="79"/>
      <c r="C92" s="79"/>
      <c r="D92" s="79"/>
      <c r="E92" s="79"/>
      <c r="F92" s="79"/>
      <c r="G92" s="79"/>
      <c r="H92" s="94"/>
      <c r="I92" s="95"/>
      <c r="J92" s="94"/>
      <c r="K92" s="94"/>
      <c r="L92" s="96"/>
      <c r="M92" s="96"/>
      <c r="N92" s="96"/>
      <c r="O92" s="96"/>
      <c r="P92" s="97" t="str">
        <f aca="false">IF(B92="","",SUM(L92:O92))</f>
        <v/>
      </c>
      <c r="Q92" s="97" t="str">
        <f aca="false">IF(B92="","",L92+IF(cfg_EOS_H="نعم",M92,0)+IF(cfg_EOS_T="نعم",N92,0)+IF(cfg_EOS_O="نعم",O92,0))</f>
        <v/>
      </c>
      <c r="R92" s="97" t="str">
        <f aca="false">IF(B92="","",L92+IF(cfg_LV_H="نعم",M92,0)+IF(cfg_LV_T="نعم",N92,0)+IF(cfg_LV_O="نعم",O92,0))</f>
        <v/>
      </c>
      <c r="S92" s="97" t="str">
        <f aca="false">IF(B92="","",MIN(cfg_G_CAP,L92+M92))</f>
        <v/>
      </c>
      <c r="T92" s="98"/>
      <c r="U92" s="79"/>
      <c r="V92" s="96"/>
      <c r="W92" s="98"/>
      <c r="X92" s="96"/>
      <c r="Y92" s="96"/>
      <c r="Z92" s="96"/>
      <c r="AA92" s="96"/>
      <c r="AB92" s="97" t="str">
        <f aca="false">IF(B92="","",IF(X92&lt;&gt;"",X92,IF(E92="غير سعودي",cfg_IQ,0))+IF(Y92&lt;&gt;"",Y92,IF(E92="غير سعودي",cfg_WP,0))+IF(Z92&lt;&gt;"",Z92,cfg_MED)+N(AA92))</f>
        <v/>
      </c>
      <c r="AC92" s="99"/>
      <c r="AD92" s="96"/>
      <c r="AE92" s="94"/>
      <c r="AF92" s="79"/>
      <c r="AG92" s="80" t="str">
        <f aca="false">IF(B92="","",IF(AND(AE92&lt;&gt;"",AE92&lt;=cfg_VAL_DATE),"✖ منتهي الخدمة",IF(H92&gt;cfg_VAL_DATE,"⏳ لم يباشر بعد","✔ على رأس العمل")))</f>
        <v/>
      </c>
      <c r="AH92" s="80" t="str">
        <f aca="false">IF(B92="","",IF(AG92&lt;&gt;"✔ على رأس العمل",AG92,IF(COUNTIFS('سجل الإجازات والحالات'!$B$6:$B$505,B92,'سجل الإجازات والحالات'!$E$6:$E$505,"&lt;="&amp;cfg_VAL_DATE,'سجل الإجازات والحالات'!$F$6:$F$505,"&gt;="&amp;cfg_VAL_DATE)&gt;0,"✈ "&amp;INDEX('سجل الإجازات والحالات'!$D$6:$D$505,MATCH(1,INDEX(('سجل الإجازات والحالات'!$B$6:$B$505=B92)*('سجل الإجازات والحالات'!$E$6:$E$505&lt;=cfg_VAL_DATE)*('سجل الإجازات والحالات'!$F$6:$F$505&gt;=cfg_VAL_DATE),0),0)),"✔ على رأس العمل")))</f>
        <v/>
      </c>
      <c r="AI92" s="79"/>
      <c r="AJ92" s="79"/>
      <c r="AK92" s="79"/>
    </row>
    <row r="93" customFormat="false" ht="15" hidden="false" customHeight="false" outlineLevel="0" collapsed="false">
      <c r="A93" s="100" t="str">
        <f aca="false">IF(B93="","",ROW()-5)</f>
        <v/>
      </c>
      <c r="B93" s="79"/>
      <c r="C93" s="79"/>
      <c r="D93" s="79"/>
      <c r="E93" s="79"/>
      <c r="F93" s="79"/>
      <c r="G93" s="79"/>
      <c r="H93" s="94"/>
      <c r="I93" s="95"/>
      <c r="J93" s="94"/>
      <c r="K93" s="94"/>
      <c r="L93" s="96"/>
      <c r="M93" s="96"/>
      <c r="N93" s="96"/>
      <c r="O93" s="96"/>
      <c r="P93" s="101" t="str">
        <f aca="false">IF(B93="","",SUM(L93:O93))</f>
        <v/>
      </c>
      <c r="Q93" s="101" t="str">
        <f aca="false">IF(B93="","",L93+IF(cfg_EOS_H="نعم",M93,0)+IF(cfg_EOS_T="نعم",N93,0)+IF(cfg_EOS_O="نعم",O93,0))</f>
        <v/>
      </c>
      <c r="R93" s="101" t="str">
        <f aca="false">IF(B93="","",L93+IF(cfg_LV_H="نعم",M93,0)+IF(cfg_LV_T="نعم",N93,0)+IF(cfg_LV_O="نعم",O93,0))</f>
        <v/>
      </c>
      <c r="S93" s="101" t="str">
        <f aca="false">IF(B93="","",MIN(cfg_G_CAP,L93+M93))</f>
        <v/>
      </c>
      <c r="T93" s="98"/>
      <c r="U93" s="79"/>
      <c r="V93" s="96"/>
      <c r="W93" s="98"/>
      <c r="X93" s="96"/>
      <c r="Y93" s="96"/>
      <c r="Z93" s="96"/>
      <c r="AA93" s="96"/>
      <c r="AB93" s="101" t="str">
        <f aca="false">IF(B93="","",IF(X93&lt;&gt;"",X93,IF(E93="غير سعودي",cfg_IQ,0))+IF(Y93&lt;&gt;"",Y93,IF(E93="غير سعودي",cfg_WP,0))+IF(Z93&lt;&gt;"",Z93,cfg_MED)+N(AA93))</f>
        <v/>
      </c>
      <c r="AC93" s="99"/>
      <c r="AD93" s="96"/>
      <c r="AE93" s="94"/>
      <c r="AF93" s="79"/>
      <c r="AG93" s="102" t="str">
        <f aca="false">IF(B93="","",IF(AND(AE93&lt;&gt;"",AE93&lt;=cfg_VAL_DATE),"✖ منتهي الخدمة",IF(H93&gt;cfg_VAL_DATE,"⏳ لم يباشر بعد","✔ على رأس العمل")))</f>
        <v/>
      </c>
      <c r="AH93" s="102" t="str">
        <f aca="false">IF(B93="","",IF(AG93&lt;&gt;"✔ على رأس العمل",AG93,IF(COUNTIFS('سجل الإجازات والحالات'!$B$6:$B$505,B93,'سجل الإجازات والحالات'!$E$6:$E$505,"&lt;="&amp;cfg_VAL_DATE,'سجل الإجازات والحالات'!$F$6:$F$505,"&gt;="&amp;cfg_VAL_DATE)&gt;0,"✈ "&amp;INDEX('سجل الإجازات والحالات'!$D$6:$D$505,MATCH(1,INDEX(('سجل الإجازات والحالات'!$B$6:$B$505=B93)*('سجل الإجازات والحالات'!$E$6:$E$505&lt;=cfg_VAL_DATE)*('سجل الإجازات والحالات'!$F$6:$F$505&gt;=cfg_VAL_DATE),0),0)),"✔ على رأس العمل")))</f>
        <v/>
      </c>
      <c r="AI93" s="79"/>
      <c r="AJ93" s="79"/>
      <c r="AK93" s="79"/>
    </row>
    <row r="94" customFormat="false" ht="15" hidden="false" customHeight="false" outlineLevel="0" collapsed="false">
      <c r="A94" s="93" t="str">
        <f aca="false">IF(B94="","",ROW()-5)</f>
        <v/>
      </c>
      <c r="B94" s="79"/>
      <c r="C94" s="79"/>
      <c r="D94" s="79"/>
      <c r="E94" s="79"/>
      <c r="F94" s="79"/>
      <c r="G94" s="79"/>
      <c r="H94" s="94"/>
      <c r="I94" s="95"/>
      <c r="J94" s="94"/>
      <c r="K94" s="94"/>
      <c r="L94" s="96"/>
      <c r="M94" s="96"/>
      <c r="N94" s="96"/>
      <c r="O94" s="96"/>
      <c r="P94" s="97" t="str">
        <f aca="false">IF(B94="","",SUM(L94:O94))</f>
        <v/>
      </c>
      <c r="Q94" s="97" t="str">
        <f aca="false">IF(B94="","",L94+IF(cfg_EOS_H="نعم",M94,0)+IF(cfg_EOS_T="نعم",N94,0)+IF(cfg_EOS_O="نعم",O94,0))</f>
        <v/>
      </c>
      <c r="R94" s="97" t="str">
        <f aca="false">IF(B94="","",L94+IF(cfg_LV_H="نعم",M94,0)+IF(cfg_LV_T="نعم",N94,0)+IF(cfg_LV_O="نعم",O94,0))</f>
        <v/>
      </c>
      <c r="S94" s="97" t="str">
        <f aca="false">IF(B94="","",MIN(cfg_G_CAP,L94+M94))</f>
        <v/>
      </c>
      <c r="T94" s="98"/>
      <c r="U94" s="79"/>
      <c r="V94" s="96"/>
      <c r="W94" s="98"/>
      <c r="X94" s="96"/>
      <c r="Y94" s="96"/>
      <c r="Z94" s="96"/>
      <c r="AA94" s="96"/>
      <c r="AB94" s="97" t="str">
        <f aca="false">IF(B94="","",IF(X94&lt;&gt;"",X94,IF(E94="غير سعودي",cfg_IQ,0))+IF(Y94&lt;&gt;"",Y94,IF(E94="غير سعودي",cfg_WP,0))+IF(Z94&lt;&gt;"",Z94,cfg_MED)+N(AA94))</f>
        <v/>
      </c>
      <c r="AC94" s="99"/>
      <c r="AD94" s="96"/>
      <c r="AE94" s="94"/>
      <c r="AF94" s="79"/>
      <c r="AG94" s="80" t="str">
        <f aca="false">IF(B94="","",IF(AND(AE94&lt;&gt;"",AE94&lt;=cfg_VAL_DATE),"✖ منتهي الخدمة",IF(H94&gt;cfg_VAL_DATE,"⏳ لم يباشر بعد","✔ على رأس العمل")))</f>
        <v/>
      </c>
      <c r="AH94" s="80" t="str">
        <f aca="false">IF(B94="","",IF(AG94&lt;&gt;"✔ على رأس العمل",AG94,IF(COUNTIFS('سجل الإجازات والحالات'!$B$6:$B$505,B94,'سجل الإجازات والحالات'!$E$6:$E$505,"&lt;="&amp;cfg_VAL_DATE,'سجل الإجازات والحالات'!$F$6:$F$505,"&gt;="&amp;cfg_VAL_DATE)&gt;0,"✈ "&amp;INDEX('سجل الإجازات والحالات'!$D$6:$D$505,MATCH(1,INDEX(('سجل الإجازات والحالات'!$B$6:$B$505=B94)*('سجل الإجازات والحالات'!$E$6:$E$505&lt;=cfg_VAL_DATE)*('سجل الإجازات والحالات'!$F$6:$F$505&gt;=cfg_VAL_DATE),0),0)),"✔ على رأس العمل")))</f>
        <v/>
      </c>
      <c r="AI94" s="79"/>
      <c r="AJ94" s="79"/>
      <c r="AK94" s="79"/>
    </row>
    <row r="95" customFormat="false" ht="15" hidden="false" customHeight="false" outlineLevel="0" collapsed="false">
      <c r="A95" s="100" t="str">
        <f aca="false">IF(B95="","",ROW()-5)</f>
        <v/>
      </c>
      <c r="B95" s="79"/>
      <c r="C95" s="79"/>
      <c r="D95" s="79"/>
      <c r="E95" s="79"/>
      <c r="F95" s="79"/>
      <c r="G95" s="79"/>
      <c r="H95" s="94"/>
      <c r="I95" s="95"/>
      <c r="J95" s="94"/>
      <c r="K95" s="94"/>
      <c r="L95" s="96"/>
      <c r="M95" s="96"/>
      <c r="N95" s="96"/>
      <c r="O95" s="96"/>
      <c r="P95" s="101" t="str">
        <f aca="false">IF(B95="","",SUM(L95:O95))</f>
        <v/>
      </c>
      <c r="Q95" s="101" t="str">
        <f aca="false">IF(B95="","",L95+IF(cfg_EOS_H="نعم",M95,0)+IF(cfg_EOS_T="نعم",N95,0)+IF(cfg_EOS_O="نعم",O95,0))</f>
        <v/>
      </c>
      <c r="R95" s="101" t="str">
        <f aca="false">IF(B95="","",L95+IF(cfg_LV_H="نعم",M95,0)+IF(cfg_LV_T="نعم",N95,0)+IF(cfg_LV_O="نعم",O95,0))</f>
        <v/>
      </c>
      <c r="S95" s="101" t="str">
        <f aca="false">IF(B95="","",MIN(cfg_G_CAP,L95+M95))</f>
        <v/>
      </c>
      <c r="T95" s="98"/>
      <c r="U95" s="79"/>
      <c r="V95" s="96"/>
      <c r="W95" s="98"/>
      <c r="X95" s="96"/>
      <c r="Y95" s="96"/>
      <c r="Z95" s="96"/>
      <c r="AA95" s="96"/>
      <c r="AB95" s="101" t="str">
        <f aca="false">IF(B95="","",IF(X95&lt;&gt;"",X95,IF(E95="غير سعودي",cfg_IQ,0))+IF(Y95&lt;&gt;"",Y95,IF(E95="غير سعودي",cfg_WP,0))+IF(Z95&lt;&gt;"",Z95,cfg_MED)+N(AA95))</f>
        <v/>
      </c>
      <c r="AC95" s="99"/>
      <c r="AD95" s="96"/>
      <c r="AE95" s="94"/>
      <c r="AF95" s="79"/>
      <c r="AG95" s="102" t="str">
        <f aca="false">IF(B95="","",IF(AND(AE95&lt;&gt;"",AE95&lt;=cfg_VAL_DATE),"✖ منتهي الخدمة",IF(H95&gt;cfg_VAL_DATE,"⏳ لم يباشر بعد","✔ على رأس العمل")))</f>
        <v/>
      </c>
      <c r="AH95" s="102" t="str">
        <f aca="false">IF(B95="","",IF(AG95&lt;&gt;"✔ على رأس العمل",AG95,IF(COUNTIFS('سجل الإجازات والحالات'!$B$6:$B$505,B95,'سجل الإجازات والحالات'!$E$6:$E$505,"&lt;="&amp;cfg_VAL_DATE,'سجل الإجازات والحالات'!$F$6:$F$505,"&gt;="&amp;cfg_VAL_DATE)&gt;0,"✈ "&amp;INDEX('سجل الإجازات والحالات'!$D$6:$D$505,MATCH(1,INDEX(('سجل الإجازات والحالات'!$B$6:$B$505=B95)*('سجل الإجازات والحالات'!$E$6:$E$505&lt;=cfg_VAL_DATE)*('سجل الإجازات والحالات'!$F$6:$F$505&gt;=cfg_VAL_DATE),0),0)),"✔ على رأس العمل")))</f>
        <v/>
      </c>
      <c r="AI95" s="79"/>
      <c r="AJ95" s="79"/>
      <c r="AK95" s="79"/>
    </row>
    <row r="96" customFormat="false" ht="15" hidden="false" customHeight="false" outlineLevel="0" collapsed="false">
      <c r="A96" s="93" t="str">
        <f aca="false">IF(B96="","",ROW()-5)</f>
        <v/>
      </c>
      <c r="B96" s="79"/>
      <c r="C96" s="79"/>
      <c r="D96" s="79"/>
      <c r="E96" s="79"/>
      <c r="F96" s="79"/>
      <c r="G96" s="79"/>
      <c r="H96" s="94"/>
      <c r="I96" s="95"/>
      <c r="J96" s="94"/>
      <c r="K96" s="94"/>
      <c r="L96" s="96"/>
      <c r="M96" s="96"/>
      <c r="N96" s="96"/>
      <c r="O96" s="96"/>
      <c r="P96" s="97" t="str">
        <f aca="false">IF(B96="","",SUM(L96:O96))</f>
        <v/>
      </c>
      <c r="Q96" s="97" t="str">
        <f aca="false">IF(B96="","",L96+IF(cfg_EOS_H="نعم",M96,0)+IF(cfg_EOS_T="نعم",N96,0)+IF(cfg_EOS_O="نعم",O96,0))</f>
        <v/>
      </c>
      <c r="R96" s="97" t="str">
        <f aca="false">IF(B96="","",L96+IF(cfg_LV_H="نعم",M96,0)+IF(cfg_LV_T="نعم",N96,0)+IF(cfg_LV_O="نعم",O96,0))</f>
        <v/>
      </c>
      <c r="S96" s="97" t="str">
        <f aca="false">IF(B96="","",MIN(cfg_G_CAP,L96+M96))</f>
        <v/>
      </c>
      <c r="T96" s="98"/>
      <c r="U96" s="79"/>
      <c r="V96" s="96"/>
      <c r="W96" s="98"/>
      <c r="X96" s="96"/>
      <c r="Y96" s="96"/>
      <c r="Z96" s="96"/>
      <c r="AA96" s="96"/>
      <c r="AB96" s="97" t="str">
        <f aca="false">IF(B96="","",IF(X96&lt;&gt;"",X96,IF(E96="غير سعودي",cfg_IQ,0))+IF(Y96&lt;&gt;"",Y96,IF(E96="غير سعودي",cfg_WP,0))+IF(Z96&lt;&gt;"",Z96,cfg_MED)+N(AA96))</f>
        <v/>
      </c>
      <c r="AC96" s="99"/>
      <c r="AD96" s="96"/>
      <c r="AE96" s="94"/>
      <c r="AF96" s="79"/>
      <c r="AG96" s="80" t="str">
        <f aca="false">IF(B96="","",IF(AND(AE96&lt;&gt;"",AE96&lt;=cfg_VAL_DATE),"✖ منتهي الخدمة",IF(H96&gt;cfg_VAL_DATE,"⏳ لم يباشر بعد","✔ على رأس العمل")))</f>
        <v/>
      </c>
      <c r="AH96" s="80" t="str">
        <f aca="false">IF(B96="","",IF(AG96&lt;&gt;"✔ على رأس العمل",AG96,IF(COUNTIFS('سجل الإجازات والحالات'!$B$6:$B$505,B96,'سجل الإجازات والحالات'!$E$6:$E$505,"&lt;="&amp;cfg_VAL_DATE,'سجل الإجازات والحالات'!$F$6:$F$505,"&gt;="&amp;cfg_VAL_DATE)&gt;0,"✈ "&amp;INDEX('سجل الإجازات والحالات'!$D$6:$D$505,MATCH(1,INDEX(('سجل الإجازات والحالات'!$B$6:$B$505=B96)*('سجل الإجازات والحالات'!$E$6:$E$505&lt;=cfg_VAL_DATE)*('سجل الإجازات والحالات'!$F$6:$F$505&gt;=cfg_VAL_DATE),0),0)),"✔ على رأس العمل")))</f>
        <v/>
      </c>
      <c r="AI96" s="79"/>
      <c r="AJ96" s="79"/>
      <c r="AK96" s="79"/>
    </row>
    <row r="97" customFormat="false" ht="15" hidden="false" customHeight="false" outlineLevel="0" collapsed="false">
      <c r="A97" s="100" t="str">
        <f aca="false">IF(B97="","",ROW()-5)</f>
        <v/>
      </c>
      <c r="B97" s="79"/>
      <c r="C97" s="79"/>
      <c r="D97" s="79"/>
      <c r="E97" s="79"/>
      <c r="F97" s="79"/>
      <c r="G97" s="79"/>
      <c r="H97" s="94"/>
      <c r="I97" s="95"/>
      <c r="J97" s="94"/>
      <c r="K97" s="94"/>
      <c r="L97" s="96"/>
      <c r="M97" s="96"/>
      <c r="N97" s="96"/>
      <c r="O97" s="96"/>
      <c r="P97" s="101" t="str">
        <f aca="false">IF(B97="","",SUM(L97:O97))</f>
        <v/>
      </c>
      <c r="Q97" s="101" t="str">
        <f aca="false">IF(B97="","",L97+IF(cfg_EOS_H="نعم",M97,0)+IF(cfg_EOS_T="نعم",N97,0)+IF(cfg_EOS_O="نعم",O97,0))</f>
        <v/>
      </c>
      <c r="R97" s="101" t="str">
        <f aca="false">IF(B97="","",L97+IF(cfg_LV_H="نعم",M97,0)+IF(cfg_LV_T="نعم",N97,0)+IF(cfg_LV_O="نعم",O97,0))</f>
        <v/>
      </c>
      <c r="S97" s="101" t="str">
        <f aca="false">IF(B97="","",MIN(cfg_G_CAP,L97+M97))</f>
        <v/>
      </c>
      <c r="T97" s="98"/>
      <c r="U97" s="79"/>
      <c r="V97" s="96"/>
      <c r="W97" s="98"/>
      <c r="X97" s="96"/>
      <c r="Y97" s="96"/>
      <c r="Z97" s="96"/>
      <c r="AA97" s="96"/>
      <c r="AB97" s="101" t="str">
        <f aca="false">IF(B97="","",IF(X97&lt;&gt;"",X97,IF(E97="غير سعودي",cfg_IQ,0))+IF(Y97&lt;&gt;"",Y97,IF(E97="غير سعودي",cfg_WP,0))+IF(Z97&lt;&gt;"",Z97,cfg_MED)+N(AA97))</f>
        <v/>
      </c>
      <c r="AC97" s="99"/>
      <c r="AD97" s="96"/>
      <c r="AE97" s="94"/>
      <c r="AF97" s="79"/>
      <c r="AG97" s="102" t="str">
        <f aca="false">IF(B97="","",IF(AND(AE97&lt;&gt;"",AE97&lt;=cfg_VAL_DATE),"✖ منتهي الخدمة",IF(H97&gt;cfg_VAL_DATE,"⏳ لم يباشر بعد","✔ على رأس العمل")))</f>
        <v/>
      </c>
      <c r="AH97" s="102" t="str">
        <f aca="false">IF(B97="","",IF(AG97&lt;&gt;"✔ على رأس العمل",AG97,IF(COUNTIFS('سجل الإجازات والحالات'!$B$6:$B$505,B97,'سجل الإجازات والحالات'!$E$6:$E$505,"&lt;="&amp;cfg_VAL_DATE,'سجل الإجازات والحالات'!$F$6:$F$505,"&gt;="&amp;cfg_VAL_DATE)&gt;0,"✈ "&amp;INDEX('سجل الإجازات والحالات'!$D$6:$D$505,MATCH(1,INDEX(('سجل الإجازات والحالات'!$B$6:$B$505=B97)*('سجل الإجازات والحالات'!$E$6:$E$505&lt;=cfg_VAL_DATE)*('سجل الإجازات والحالات'!$F$6:$F$505&gt;=cfg_VAL_DATE),0),0)),"✔ على رأس العمل")))</f>
        <v/>
      </c>
      <c r="AI97" s="79"/>
      <c r="AJ97" s="79"/>
      <c r="AK97" s="79"/>
    </row>
    <row r="98" customFormat="false" ht="15" hidden="false" customHeight="false" outlineLevel="0" collapsed="false">
      <c r="A98" s="93" t="str">
        <f aca="false">IF(B98="","",ROW()-5)</f>
        <v/>
      </c>
      <c r="B98" s="79"/>
      <c r="C98" s="79"/>
      <c r="D98" s="79"/>
      <c r="E98" s="79"/>
      <c r="F98" s="79"/>
      <c r="G98" s="79"/>
      <c r="H98" s="94"/>
      <c r="I98" s="95"/>
      <c r="J98" s="94"/>
      <c r="K98" s="94"/>
      <c r="L98" s="96"/>
      <c r="M98" s="96"/>
      <c r="N98" s="96"/>
      <c r="O98" s="96"/>
      <c r="P98" s="97" t="str">
        <f aca="false">IF(B98="","",SUM(L98:O98))</f>
        <v/>
      </c>
      <c r="Q98" s="97" t="str">
        <f aca="false">IF(B98="","",L98+IF(cfg_EOS_H="نعم",M98,0)+IF(cfg_EOS_T="نعم",N98,0)+IF(cfg_EOS_O="نعم",O98,0))</f>
        <v/>
      </c>
      <c r="R98" s="97" t="str">
        <f aca="false">IF(B98="","",L98+IF(cfg_LV_H="نعم",M98,0)+IF(cfg_LV_T="نعم",N98,0)+IF(cfg_LV_O="نعم",O98,0))</f>
        <v/>
      </c>
      <c r="S98" s="97" t="str">
        <f aca="false">IF(B98="","",MIN(cfg_G_CAP,L98+M98))</f>
        <v/>
      </c>
      <c r="T98" s="98"/>
      <c r="U98" s="79"/>
      <c r="V98" s="96"/>
      <c r="W98" s="98"/>
      <c r="X98" s="96"/>
      <c r="Y98" s="96"/>
      <c r="Z98" s="96"/>
      <c r="AA98" s="96"/>
      <c r="AB98" s="97" t="str">
        <f aca="false">IF(B98="","",IF(X98&lt;&gt;"",X98,IF(E98="غير سعودي",cfg_IQ,0))+IF(Y98&lt;&gt;"",Y98,IF(E98="غير سعودي",cfg_WP,0))+IF(Z98&lt;&gt;"",Z98,cfg_MED)+N(AA98))</f>
        <v/>
      </c>
      <c r="AC98" s="99"/>
      <c r="AD98" s="96"/>
      <c r="AE98" s="94"/>
      <c r="AF98" s="79"/>
      <c r="AG98" s="80" t="str">
        <f aca="false">IF(B98="","",IF(AND(AE98&lt;&gt;"",AE98&lt;=cfg_VAL_DATE),"✖ منتهي الخدمة",IF(H98&gt;cfg_VAL_DATE,"⏳ لم يباشر بعد","✔ على رأس العمل")))</f>
        <v/>
      </c>
      <c r="AH98" s="80" t="str">
        <f aca="false">IF(B98="","",IF(AG98&lt;&gt;"✔ على رأس العمل",AG98,IF(COUNTIFS('سجل الإجازات والحالات'!$B$6:$B$505,B98,'سجل الإجازات والحالات'!$E$6:$E$505,"&lt;="&amp;cfg_VAL_DATE,'سجل الإجازات والحالات'!$F$6:$F$505,"&gt;="&amp;cfg_VAL_DATE)&gt;0,"✈ "&amp;INDEX('سجل الإجازات والحالات'!$D$6:$D$505,MATCH(1,INDEX(('سجل الإجازات والحالات'!$B$6:$B$505=B98)*('سجل الإجازات والحالات'!$E$6:$E$505&lt;=cfg_VAL_DATE)*('سجل الإجازات والحالات'!$F$6:$F$505&gt;=cfg_VAL_DATE),0),0)),"✔ على رأس العمل")))</f>
        <v/>
      </c>
      <c r="AI98" s="79"/>
      <c r="AJ98" s="79"/>
      <c r="AK98" s="79"/>
    </row>
    <row r="99" customFormat="false" ht="15" hidden="false" customHeight="false" outlineLevel="0" collapsed="false">
      <c r="A99" s="100" t="str">
        <f aca="false">IF(B99="","",ROW()-5)</f>
        <v/>
      </c>
      <c r="B99" s="79"/>
      <c r="C99" s="79"/>
      <c r="D99" s="79"/>
      <c r="E99" s="79"/>
      <c r="F99" s="79"/>
      <c r="G99" s="79"/>
      <c r="H99" s="94"/>
      <c r="I99" s="95"/>
      <c r="J99" s="94"/>
      <c r="K99" s="94"/>
      <c r="L99" s="96"/>
      <c r="M99" s="96"/>
      <c r="N99" s="96"/>
      <c r="O99" s="96"/>
      <c r="P99" s="101" t="str">
        <f aca="false">IF(B99="","",SUM(L99:O99))</f>
        <v/>
      </c>
      <c r="Q99" s="101" t="str">
        <f aca="false">IF(B99="","",L99+IF(cfg_EOS_H="نعم",M99,0)+IF(cfg_EOS_T="نعم",N99,0)+IF(cfg_EOS_O="نعم",O99,0))</f>
        <v/>
      </c>
      <c r="R99" s="101" t="str">
        <f aca="false">IF(B99="","",L99+IF(cfg_LV_H="نعم",M99,0)+IF(cfg_LV_T="نعم",N99,0)+IF(cfg_LV_O="نعم",O99,0))</f>
        <v/>
      </c>
      <c r="S99" s="101" t="str">
        <f aca="false">IF(B99="","",MIN(cfg_G_CAP,L99+M99))</f>
        <v/>
      </c>
      <c r="T99" s="98"/>
      <c r="U99" s="79"/>
      <c r="V99" s="96"/>
      <c r="W99" s="98"/>
      <c r="X99" s="96"/>
      <c r="Y99" s="96"/>
      <c r="Z99" s="96"/>
      <c r="AA99" s="96"/>
      <c r="AB99" s="101" t="str">
        <f aca="false">IF(B99="","",IF(X99&lt;&gt;"",X99,IF(E99="غير سعودي",cfg_IQ,0))+IF(Y99&lt;&gt;"",Y99,IF(E99="غير سعودي",cfg_WP,0))+IF(Z99&lt;&gt;"",Z99,cfg_MED)+N(AA99))</f>
        <v/>
      </c>
      <c r="AC99" s="99"/>
      <c r="AD99" s="96"/>
      <c r="AE99" s="94"/>
      <c r="AF99" s="79"/>
      <c r="AG99" s="102" t="str">
        <f aca="false">IF(B99="","",IF(AND(AE99&lt;&gt;"",AE99&lt;=cfg_VAL_DATE),"✖ منتهي الخدمة",IF(H99&gt;cfg_VAL_DATE,"⏳ لم يباشر بعد","✔ على رأس العمل")))</f>
        <v/>
      </c>
      <c r="AH99" s="102" t="str">
        <f aca="false">IF(B99="","",IF(AG99&lt;&gt;"✔ على رأس العمل",AG99,IF(COUNTIFS('سجل الإجازات والحالات'!$B$6:$B$505,B99,'سجل الإجازات والحالات'!$E$6:$E$505,"&lt;="&amp;cfg_VAL_DATE,'سجل الإجازات والحالات'!$F$6:$F$505,"&gt;="&amp;cfg_VAL_DATE)&gt;0,"✈ "&amp;INDEX('سجل الإجازات والحالات'!$D$6:$D$505,MATCH(1,INDEX(('سجل الإجازات والحالات'!$B$6:$B$505=B99)*('سجل الإجازات والحالات'!$E$6:$E$505&lt;=cfg_VAL_DATE)*('سجل الإجازات والحالات'!$F$6:$F$505&gt;=cfg_VAL_DATE),0),0)),"✔ على رأس العمل")))</f>
        <v/>
      </c>
      <c r="AI99" s="79"/>
      <c r="AJ99" s="79"/>
      <c r="AK99" s="79"/>
    </row>
    <row r="100" customFormat="false" ht="15" hidden="false" customHeight="false" outlineLevel="0" collapsed="false">
      <c r="A100" s="93" t="str">
        <f aca="false">IF(B100="","",ROW()-5)</f>
        <v/>
      </c>
      <c r="B100" s="79"/>
      <c r="C100" s="79"/>
      <c r="D100" s="79"/>
      <c r="E100" s="79"/>
      <c r="F100" s="79"/>
      <c r="G100" s="79"/>
      <c r="H100" s="94"/>
      <c r="I100" s="95"/>
      <c r="J100" s="94"/>
      <c r="K100" s="94"/>
      <c r="L100" s="96"/>
      <c r="M100" s="96"/>
      <c r="N100" s="96"/>
      <c r="O100" s="96"/>
      <c r="P100" s="97" t="str">
        <f aca="false">IF(B100="","",SUM(L100:O100))</f>
        <v/>
      </c>
      <c r="Q100" s="97" t="str">
        <f aca="false">IF(B100="","",L100+IF(cfg_EOS_H="نعم",M100,0)+IF(cfg_EOS_T="نعم",N100,0)+IF(cfg_EOS_O="نعم",O100,0))</f>
        <v/>
      </c>
      <c r="R100" s="97" t="str">
        <f aca="false">IF(B100="","",L100+IF(cfg_LV_H="نعم",M100,0)+IF(cfg_LV_T="نعم",N100,0)+IF(cfg_LV_O="نعم",O100,0))</f>
        <v/>
      </c>
      <c r="S100" s="97" t="str">
        <f aca="false">IF(B100="","",MIN(cfg_G_CAP,L100+M100))</f>
        <v/>
      </c>
      <c r="T100" s="98"/>
      <c r="U100" s="79"/>
      <c r="V100" s="96"/>
      <c r="W100" s="98"/>
      <c r="X100" s="96"/>
      <c r="Y100" s="96"/>
      <c r="Z100" s="96"/>
      <c r="AA100" s="96"/>
      <c r="AB100" s="97" t="str">
        <f aca="false">IF(B100="","",IF(X100&lt;&gt;"",X100,IF(E100="غير سعودي",cfg_IQ,0))+IF(Y100&lt;&gt;"",Y100,IF(E100="غير سعودي",cfg_WP,0))+IF(Z100&lt;&gt;"",Z100,cfg_MED)+N(AA100))</f>
        <v/>
      </c>
      <c r="AC100" s="99"/>
      <c r="AD100" s="96"/>
      <c r="AE100" s="94"/>
      <c r="AF100" s="79"/>
      <c r="AG100" s="80" t="str">
        <f aca="false">IF(B100="","",IF(AND(AE100&lt;&gt;"",AE100&lt;=cfg_VAL_DATE),"✖ منتهي الخدمة",IF(H100&gt;cfg_VAL_DATE,"⏳ لم يباشر بعد","✔ على رأس العمل")))</f>
        <v/>
      </c>
      <c r="AH100" s="80" t="str">
        <f aca="false">IF(B100="","",IF(AG100&lt;&gt;"✔ على رأس العمل",AG100,IF(COUNTIFS('سجل الإجازات والحالات'!$B$6:$B$505,B100,'سجل الإجازات والحالات'!$E$6:$E$505,"&lt;="&amp;cfg_VAL_DATE,'سجل الإجازات والحالات'!$F$6:$F$505,"&gt;="&amp;cfg_VAL_DATE)&gt;0,"✈ "&amp;INDEX('سجل الإجازات والحالات'!$D$6:$D$505,MATCH(1,INDEX(('سجل الإجازات والحالات'!$B$6:$B$505=B100)*('سجل الإجازات والحالات'!$E$6:$E$505&lt;=cfg_VAL_DATE)*('سجل الإجازات والحالات'!$F$6:$F$505&gt;=cfg_VAL_DATE),0),0)),"✔ على رأس العمل")))</f>
        <v/>
      </c>
      <c r="AI100" s="79"/>
      <c r="AJ100" s="79"/>
      <c r="AK100" s="79"/>
    </row>
    <row r="101" customFormat="false" ht="15" hidden="false" customHeight="false" outlineLevel="0" collapsed="false">
      <c r="A101" s="100" t="str">
        <f aca="false">IF(B101="","",ROW()-5)</f>
        <v/>
      </c>
      <c r="B101" s="79"/>
      <c r="C101" s="79"/>
      <c r="D101" s="79"/>
      <c r="E101" s="79"/>
      <c r="F101" s="79"/>
      <c r="G101" s="79"/>
      <c r="H101" s="94"/>
      <c r="I101" s="95"/>
      <c r="J101" s="94"/>
      <c r="K101" s="94"/>
      <c r="L101" s="96"/>
      <c r="M101" s="96"/>
      <c r="N101" s="96"/>
      <c r="O101" s="96"/>
      <c r="P101" s="101" t="str">
        <f aca="false">IF(B101="","",SUM(L101:O101))</f>
        <v/>
      </c>
      <c r="Q101" s="101" t="str">
        <f aca="false">IF(B101="","",L101+IF(cfg_EOS_H="نعم",M101,0)+IF(cfg_EOS_T="نعم",N101,0)+IF(cfg_EOS_O="نعم",O101,0))</f>
        <v/>
      </c>
      <c r="R101" s="101" t="str">
        <f aca="false">IF(B101="","",L101+IF(cfg_LV_H="نعم",M101,0)+IF(cfg_LV_T="نعم",N101,0)+IF(cfg_LV_O="نعم",O101,0))</f>
        <v/>
      </c>
      <c r="S101" s="101" t="str">
        <f aca="false">IF(B101="","",MIN(cfg_G_CAP,L101+M101))</f>
        <v/>
      </c>
      <c r="T101" s="98"/>
      <c r="U101" s="79"/>
      <c r="V101" s="96"/>
      <c r="W101" s="98"/>
      <c r="X101" s="96"/>
      <c r="Y101" s="96"/>
      <c r="Z101" s="96"/>
      <c r="AA101" s="96"/>
      <c r="AB101" s="101" t="str">
        <f aca="false">IF(B101="","",IF(X101&lt;&gt;"",X101,IF(E101="غير سعودي",cfg_IQ,0))+IF(Y101&lt;&gt;"",Y101,IF(E101="غير سعودي",cfg_WP,0))+IF(Z101&lt;&gt;"",Z101,cfg_MED)+N(AA101))</f>
        <v/>
      </c>
      <c r="AC101" s="99"/>
      <c r="AD101" s="96"/>
      <c r="AE101" s="94"/>
      <c r="AF101" s="79"/>
      <c r="AG101" s="102" t="str">
        <f aca="false">IF(B101="","",IF(AND(AE101&lt;&gt;"",AE101&lt;=cfg_VAL_DATE),"✖ منتهي الخدمة",IF(H101&gt;cfg_VAL_DATE,"⏳ لم يباشر بعد","✔ على رأس العمل")))</f>
        <v/>
      </c>
      <c r="AH101" s="102" t="str">
        <f aca="false">IF(B101="","",IF(AG101&lt;&gt;"✔ على رأس العمل",AG101,IF(COUNTIFS('سجل الإجازات والحالات'!$B$6:$B$505,B101,'سجل الإجازات والحالات'!$E$6:$E$505,"&lt;="&amp;cfg_VAL_DATE,'سجل الإجازات والحالات'!$F$6:$F$505,"&gt;="&amp;cfg_VAL_DATE)&gt;0,"✈ "&amp;INDEX('سجل الإجازات والحالات'!$D$6:$D$505,MATCH(1,INDEX(('سجل الإجازات والحالات'!$B$6:$B$505=B101)*('سجل الإجازات والحالات'!$E$6:$E$505&lt;=cfg_VAL_DATE)*('سجل الإجازات والحالات'!$F$6:$F$505&gt;=cfg_VAL_DATE),0),0)),"✔ على رأس العمل")))</f>
        <v/>
      </c>
      <c r="AI101" s="79"/>
      <c r="AJ101" s="79"/>
      <c r="AK101" s="79"/>
    </row>
    <row r="102" customFormat="false" ht="15" hidden="false" customHeight="false" outlineLevel="0" collapsed="false">
      <c r="A102" s="93" t="str">
        <f aca="false">IF(B102="","",ROW()-5)</f>
        <v/>
      </c>
      <c r="B102" s="79"/>
      <c r="C102" s="79"/>
      <c r="D102" s="79"/>
      <c r="E102" s="79"/>
      <c r="F102" s="79"/>
      <c r="G102" s="79"/>
      <c r="H102" s="94"/>
      <c r="I102" s="95"/>
      <c r="J102" s="94"/>
      <c r="K102" s="94"/>
      <c r="L102" s="96"/>
      <c r="M102" s="96"/>
      <c r="N102" s="96"/>
      <c r="O102" s="96"/>
      <c r="P102" s="97" t="str">
        <f aca="false">IF(B102="","",SUM(L102:O102))</f>
        <v/>
      </c>
      <c r="Q102" s="97" t="str">
        <f aca="false">IF(B102="","",L102+IF(cfg_EOS_H="نعم",M102,0)+IF(cfg_EOS_T="نعم",N102,0)+IF(cfg_EOS_O="نعم",O102,0))</f>
        <v/>
      </c>
      <c r="R102" s="97" t="str">
        <f aca="false">IF(B102="","",L102+IF(cfg_LV_H="نعم",M102,0)+IF(cfg_LV_T="نعم",N102,0)+IF(cfg_LV_O="نعم",O102,0))</f>
        <v/>
      </c>
      <c r="S102" s="97" t="str">
        <f aca="false">IF(B102="","",MIN(cfg_G_CAP,L102+M102))</f>
        <v/>
      </c>
      <c r="T102" s="98"/>
      <c r="U102" s="79"/>
      <c r="V102" s="96"/>
      <c r="W102" s="98"/>
      <c r="X102" s="96"/>
      <c r="Y102" s="96"/>
      <c r="Z102" s="96"/>
      <c r="AA102" s="96"/>
      <c r="AB102" s="97" t="str">
        <f aca="false">IF(B102="","",IF(X102&lt;&gt;"",X102,IF(E102="غير سعودي",cfg_IQ,0))+IF(Y102&lt;&gt;"",Y102,IF(E102="غير سعودي",cfg_WP,0))+IF(Z102&lt;&gt;"",Z102,cfg_MED)+N(AA102))</f>
        <v/>
      </c>
      <c r="AC102" s="99"/>
      <c r="AD102" s="96"/>
      <c r="AE102" s="94"/>
      <c r="AF102" s="79"/>
      <c r="AG102" s="80" t="str">
        <f aca="false">IF(B102="","",IF(AND(AE102&lt;&gt;"",AE102&lt;=cfg_VAL_DATE),"✖ منتهي الخدمة",IF(H102&gt;cfg_VAL_DATE,"⏳ لم يباشر بعد","✔ على رأس العمل")))</f>
        <v/>
      </c>
      <c r="AH102" s="80" t="str">
        <f aca="false">IF(B102="","",IF(AG102&lt;&gt;"✔ على رأس العمل",AG102,IF(COUNTIFS('سجل الإجازات والحالات'!$B$6:$B$505,B102,'سجل الإجازات والحالات'!$E$6:$E$505,"&lt;="&amp;cfg_VAL_DATE,'سجل الإجازات والحالات'!$F$6:$F$505,"&gt;="&amp;cfg_VAL_DATE)&gt;0,"✈ "&amp;INDEX('سجل الإجازات والحالات'!$D$6:$D$505,MATCH(1,INDEX(('سجل الإجازات والحالات'!$B$6:$B$505=B102)*('سجل الإجازات والحالات'!$E$6:$E$505&lt;=cfg_VAL_DATE)*('سجل الإجازات والحالات'!$F$6:$F$505&gt;=cfg_VAL_DATE),0),0)),"✔ على رأس العمل")))</f>
        <v/>
      </c>
      <c r="AI102" s="79"/>
      <c r="AJ102" s="79"/>
      <c r="AK102" s="79"/>
    </row>
    <row r="103" customFormat="false" ht="15" hidden="false" customHeight="false" outlineLevel="0" collapsed="false">
      <c r="A103" s="100" t="str">
        <f aca="false">IF(B103="","",ROW()-5)</f>
        <v/>
      </c>
      <c r="B103" s="79"/>
      <c r="C103" s="79"/>
      <c r="D103" s="79"/>
      <c r="E103" s="79"/>
      <c r="F103" s="79"/>
      <c r="G103" s="79"/>
      <c r="H103" s="94"/>
      <c r="I103" s="95"/>
      <c r="J103" s="94"/>
      <c r="K103" s="94"/>
      <c r="L103" s="96"/>
      <c r="M103" s="96"/>
      <c r="N103" s="96"/>
      <c r="O103" s="96"/>
      <c r="P103" s="101" t="str">
        <f aca="false">IF(B103="","",SUM(L103:O103))</f>
        <v/>
      </c>
      <c r="Q103" s="101" t="str">
        <f aca="false">IF(B103="","",L103+IF(cfg_EOS_H="نعم",M103,0)+IF(cfg_EOS_T="نعم",N103,0)+IF(cfg_EOS_O="نعم",O103,0))</f>
        <v/>
      </c>
      <c r="R103" s="101" t="str">
        <f aca="false">IF(B103="","",L103+IF(cfg_LV_H="نعم",M103,0)+IF(cfg_LV_T="نعم",N103,0)+IF(cfg_LV_O="نعم",O103,0))</f>
        <v/>
      </c>
      <c r="S103" s="101" t="str">
        <f aca="false">IF(B103="","",MIN(cfg_G_CAP,L103+M103))</f>
        <v/>
      </c>
      <c r="T103" s="98"/>
      <c r="U103" s="79"/>
      <c r="V103" s="96"/>
      <c r="W103" s="98"/>
      <c r="X103" s="96"/>
      <c r="Y103" s="96"/>
      <c r="Z103" s="96"/>
      <c r="AA103" s="96"/>
      <c r="AB103" s="101" t="str">
        <f aca="false">IF(B103="","",IF(X103&lt;&gt;"",X103,IF(E103="غير سعودي",cfg_IQ,0))+IF(Y103&lt;&gt;"",Y103,IF(E103="غير سعودي",cfg_WP,0))+IF(Z103&lt;&gt;"",Z103,cfg_MED)+N(AA103))</f>
        <v/>
      </c>
      <c r="AC103" s="99"/>
      <c r="AD103" s="96"/>
      <c r="AE103" s="94"/>
      <c r="AF103" s="79"/>
      <c r="AG103" s="102" t="str">
        <f aca="false">IF(B103="","",IF(AND(AE103&lt;&gt;"",AE103&lt;=cfg_VAL_DATE),"✖ منتهي الخدمة",IF(H103&gt;cfg_VAL_DATE,"⏳ لم يباشر بعد","✔ على رأس العمل")))</f>
        <v/>
      </c>
      <c r="AH103" s="102" t="str">
        <f aca="false">IF(B103="","",IF(AG103&lt;&gt;"✔ على رأس العمل",AG103,IF(COUNTIFS('سجل الإجازات والحالات'!$B$6:$B$505,B103,'سجل الإجازات والحالات'!$E$6:$E$505,"&lt;="&amp;cfg_VAL_DATE,'سجل الإجازات والحالات'!$F$6:$F$505,"&gt;="&amp;cfg_VAL_DATE)&gt;0,"✈ "&amp;INDEX('سجل الإجازات والحالات'!$D$6:$D$505,MATCH(1,INDEX(('سجل الإجازات والحالات'!$B$6:$B$505=B103)*('سجل الإجازات والحالات'!$E$6:$E$505&lt;=cfg_VAL_DATE)*('سجل الإجازات والحالات'!$F$6:$F$505&gt;=cfg_VAL_DATE),0),0)),"✔ على رأس العمل")))</f>
        <v/>
      </c>
      <c r="AI103" s="79"/>
      <c r="AJ103" s="79"/>
      <c r="AK103" s="79"/>
    </row>
    <row r="104" customFormat="false" ht="15" hidden="false" customHeight="false" outlineLevel="0" collapsed="false">
      <c r="A104" s="93" t="str">
        <f aca="false">IF(B104="","",ROW()-5)</f>
        <v/>
      </c>
      <c r="B104" s="79"/>
      <c r="C104" s="79"/>
      <c r="D104" s="79"/>
      <c r="E104" s="79"/>
      <c r="F104" s="79"/>
      <c r="G104" s="79"/>
      <c r="H104" s="94"/>
      <c r="I104" s="95"/>
      <c r="J104" s="94"/>
      <c r="K104" s="94"/>
      <c r="L104" s="96"/>
      <c r="M104" s="96"/>
      <c r="N104" s="96"/>
      <c r="O104" s="96"/>
      <c r="P104" s="97" t="str">
        <f aca="false">IF(B104="","",SUM(L104:O104))</f>
        <v/>
      </c>
      <c r="Q104" s="97" t="str">
        <f aca="false">IF(B104="","",L104+IF(cfg_EOS_H="نعم",M104,0)+IF(cfg_EOS_T="نعم",N104,0)+IF(cfg_EOS_O="نعم",O104,0))</f>
        <v/>
      </c>
      <c r="R104" s="97" t="str">
        <f aca="false">IF(B104="","",L104+IF(cfg_LV_H="نعم",M104,0)+IF(cfg_LV_T="نعم",N104,0)+IF(cfg_LV_O="نعم",O104,0))</f>
        <v/>
      </c>
      <c r="S104" s="97" t="str">
        <f aca="false">IF(B104="","",MIN(cfg_G_CAP,L104+M104))</f>
        <v/>
      </c>
      <c r="T104" s="98"/>
      <c r="U104" s="79"/>
      <c r="V104" s="96"/>
      <c r="W104" s="98"/>
      <c r="X104" s="96"/>
      <c r="Y104" s="96"/>
      <c r="Z104" s="96"/>
      <c r="AA104" s="96"/>
      <c r="AB104" s="97" t="str">
        <f aca="false">IF(B104="","",IF(X104&lt;&gt;"",X104,IF(E104="غير سعودي",cfg_IQ,0))+IF(Y104&lt;&gt;"",Y104,IF(E104="غير سعودي",cfg_WP,0))+IF(Z104&lt;&gt;"",Z104,cfg_MED)+N(AA104))</f>
        <v/>
      </c>
      <c r="AC104" s="99"/>
      <c r="AD104" s="96"/>
      <c r="AE104" s="94"/>
      <c r="AF104" s="79"/>
      <c r="AG104" s="80" t="str">
        <f aca="false">IF(B104="","",IF(AND(AE104&lt;&gt;"",AE104&lt;=cfg_VAL_DATE),"✖ منتهي الخدمة",IF(H104&gt;cfg_VAL_DATE,"⏳ لم يباشر بعد","✔ على رأس العمل")))</f>
        <v/>
      </c>
      <c r="AH104" s="80" t="str">
        <f aca="false">IF(B104="","",IF(AG104&lt;&gt;"✔ على رأس العمل",AG104,IF(COUNTIFS('سجل الإجازات والحالات'!$B$6:$B$505,B104,'سجل الإجازات والحالات'!$E$6:$E$505,"&lt;="&amp;cfg_VAL_DATE,'سجل الإجازات والحالات'!$F$6:$F$505,"&gt;="&amp;cfg_VAL_DATE)&gt;0,"✈ "&amp;INDEX('سجل الإجازات والحالات'!$D$6:$D$505,MATCH(1,INDEX(('سجل الإجازات والحالات'!$B$6:$B$505=B104)*('سجل الإجازات والحالات'!$E$6:$E$505&lt;=cfg_VAL_DATE)*('سجل الإجازات والحالات'!$F$6:$F$505&gt;=cfg_VAL_DATE),0),0)),"✔ على رأس العمل")))</f>
        <v/>
      </c>
      <c r="AI104" s="79"/>
      <c r="AJ104" s="79"/>
      <c r="AK104" s="79"/>
    </row>
    <row r="105" customFormat="false" ht="15" hidden="false" customHeight="false" outlineLevel="0" collapsed="false">
      <c r="A105" s="100" t="str">
        <f aca="false">IF(B105="","",ROW()-5)</f>
        <v/>
      </c>
      <c r="B105" s="79"/>
      <c r="C105" s="79"/>
      <c r="D105" s="79"/>
      <c r="E105" s="79"/>
      <c r="F105" s="79"/>
      <c r="G105" s="79"/>
      <c r="H105" s="94"/>
      <c r="I105" s="95"/>
      <c r="J105" s="94"/>
      <c r="K105" s="94"/>
      <c r="L105" s="96"/>
      <c r="M105" s="96"/>
      <c r="N105" s="96"/>
      <c r="O105" s="96"/>
      <c r="P105" s="101" t="str">
        <f aca="false">IF(B105="","",SUM(L105:O105))</f>
        <v/>
      </c>
      <c r="Q105" s="101" t="str">
        <f aca="false">IF(B105="","",L105+IF(cfg_EOS_H="نعم",M105,0)+IF(cfg_EOS_T="نعم",N105,0)+IF(cfg_EOS_O="نعم",O105,0))</f>
        <v/>
      </c>
      <c r="R105" s="101" t="str">
        <f aca="false">IF(B105="","",L105+IF(cfg_LV_H="نعم",M105,0)+IF(cfg_LV_T="نعم",N105,0)+IF(cfg_LV_O="نعم",O105,0))</f>
        <v/>
      </c>
      <c r="S105" s="101" t="str">
        <f aca="false">IF(B105="","",MIN(cfg_G_CAP,L105+M105))</f>
        <v/>
      </c>
      <c r="T105" s="98"/>
      <c r="U105" s="79"/>
      <c r="V105" s="96"/>
      <c r="W105" s="98"/>
      <c r="X105" s="96"/>
      <c r="Y105" s="96"/>
      <c r="Z105" s="96"/>
      <c r="AA105" s="96"/>
      <c r="AB105" s="101" t="str">
        <f aca="false">IF(B105="","",IF(X105&lt;&gt;"",X105,IF(E105="غير سعودي",cfg_IQ,0))+IF(Y105&lt;&gt;"",Y105,IF(E105="غير سعودي",cfg_WP,0))+IF(Z105&lt;&gt;"",Z105,cfg_MED)+N(AA105))</f>
        <v/>
      </c>
      <c r="AC105" s="99"/>
      <c r="AD105" s="96"/>
      <c r="AE105" s="94"/>
      <c r="AF105" s="79"/>
      <c r="AG105" s="102" t="str">
        <f aca="false">IF(B105="","",IF(AND(AE105&lt;&gt;"",AE105&lt;=cfg_VAL_DATE),"✖ منتهي الخدمة",IF(H105&gt;cfg_VAL_DATE,"⏳ لم يباشر بعد","✔ على رأس العمل")))</f>
        <v/>
      </c>
      <c r="AH105" s="102" t="str">
        <f aca="false">IF(B105="","",IF(AG105&lt;&gt;"✔ على رأس العمل",AG105,IF(COUNTIFS('سجل الإجازات والحالات'!$B$6:$B$505,B105,'سجل الإجازات والحالات'!$E$6:$E$505,"&lt;="&amp;cfg_VAL_DATE,'سجل الإجازات والحالات'!$F$6:$F$505,"&gt;="&amp;cfg_VAL_DATE)&gt;0,"✈ "&amp;INDEX('سجل الإجازات والحالات'!$D$6:$D$505,MATCH(1,INDEX(('سجل الإجازات والحالات'!$B$6:$B$505=B105)*('سجل الإجازات والحالات'!$E$6:$E$505&lt;=cfg_VAL_DATE)*('سجل الإجازات والحالات'!$F$6:$F$505&gt;=cfg_VAL_DATE),0),0)),"✔ على رأس العمل")))</f>
        <v/>
      </c>
      <c r="AI105" s="79"/>
      <c r="AJ105" s="79"/>
      <c r="AK105" s="79"/>
    </row>
    <row r="106" customFormat="false" ht="24" hidden="false" customHeight="true" outlineLevel="0" collapsed="false">
      <c r="A106" s="103"/>
      <c r="B106" s="103" t="str">
        <f aca="false">COUNTA(B6:B105)&amp;" موظف"</f>
        <v>12 موظف</v>
      </c>
      <c r="C106" s="103" t="s">
        <v>127</v>
      </c>
      <c r="D106" s="103"/>
      <c r="E106" s="103"/>
      <c r="F106" s="103"/>
      <c r="G106" s="103"/>
      <c r="H106" s="103"/>
      <c r="I106" s="103"/>
      <c r="J106" s="103"/>
      <c r="K106" s="103"/>
      <c r="L106" s="103" t="n">
        <f aca="false">SUM(L6:L105)</f>
        <v>141500</v>
      </c>
      <c r="M106" s="103" t="n">
        <f aca="false">SUM(M6:M105)</f>
        <v>35375</v>
      </c>
      <c r="N106" s="103" t="n">
        <f aca="false">SUM(N6:N105)</f>
        <v>14150</v>
      </c>
      <c r="O106" s="103" t="n">
        <f aca="false">SUM(O6:O105)</f>
        <v>10300</v>
      </c>
      <c r="P106" s="103" t="n">
        <f aca="false">SUM(P6:P105)</f>
        <v>201325</v>
      </c>
      <c r="Q106" s="103" t="n">
        <f aca="false">SUM(Q6:Q105)</f>
        <v>191025</v>
      </c>
      <c r="R106" s="103" t="n">
        <f aca="false">SUM(R6:R105)</f>
        <v>191025</v>
      </c>
      <c r="S106" s="103" t="n">
        <f aca="false">SUM(S6:S105)</f>
        <v>176875</v>
      </c>
      <c r="T106" s="103"/>
      <c r="U106" s="103"/>
      <c r="V106" s="103" t="n">
        <f aca="false">SUM(V6:V105)</f>
        <v>15300</v>
      </c>
      <c r="W106" s="103"/>
      <c r="X106" s="103"/>
      <c r="Y106" s="103"/>
      <c r="Z106" s="103"/>
      <c r="AA106" s="103"/>
      <c r="AB106" s="103" t="n">
        <f aca="false">SUM(AB6:AB105)</f>
        <v>89650</v>
      </c>
      <c r="AC106" s="103"/>
      <c r="AD106" s="103" t="n">
        <f aca="false">SUM(AD6:AD105)</f>
        <v>8700</v>
      </c>
      <c r="AE106" s="103"/>
      <c r="AF106" s="103"/>
      <c r="AG106" s="103"/>
      <c r="AH106" s="103"/>
      <c r="AI106" s="103"/>
      <c r="AJ106" s="103"/>
      <c r="AK106" s="103"/>
    </row>
  </sheetData>
  <autoFilter ref="A5:AK105"/>
  <mergeCells count="2">
    <mergeCell ref="A1:AH1"/>
    <mergeCell ref="A2:AH2"/>
  </mergeCells>
  <conditionalFormatting sqref="AG6:AH105">
    <cfRule type="expression" priority="2" aboveAverage="0" equalAverage="0" bottom="0" percent="0" rank="0" text="" dxfId="0">
      <formula>ISNUMBER(SEARCH("✔",AG6))</formula>
    </cfRule>
    <cfRule type="expression" priority="3" aboveAverage="0" equalAverage="0" bottom="0" percent="0" rank="0" text="" dxfId="1">
      <formula>ISNUMBER(SEARCH("✖",AG6))</formula>
    </cfRule>
    <cfRule type="expression" priority="4" aboveAverage="0" equalAverage="0" bottom="0" percent="0" rank="0" text="" dxfId="2">
      <formula>ISNUMBER(SEARCH("⚠",AG6))</formula>
    </cfRule>
    <cfRule type="expression" priority="5" aboveAverage="0" equalAverage="0" bottom="0" percent="0" rank="0" text="" dxfId="3">
      <formula>ISNUMBER(SEARCH("✈",AG6))</formula>
    </cfRule>
    <cfRule type="expression" priority="6" aboveAverage="0" equalAverage="0" bottom="0" percent="0" rank="0" text="" dxfId="1">
      <formula>ISNUMBER(SEARCH("⛔",AG6))</formula>
    </cfRule>
    <cfRule type="expression" priority="7" aboveAverage="0" equalAverage="0" bottom="0" percent="0" rank="0" text="" dxfId="0">
      <formula>ISNUMBER(SEARCH("🌴",AG6))</formula>
    </cfRule>
    <cfRule type="expression" priority="8" aboveAverage="0" equalAverage="0" bottom="0" percent="0" rank="0" text="" dxfId="4">
      <formula>ISNUMBER(SEARCH("⏳",AG6))</formula>
    </cfRule>
  </conditionalFormatting>
  <conditionalFormatting sqref="J6:J105">
    <cfRule type="expression" priority="9" aboveAverage="0" equalAverage="0" bottom="0" percent="0" rank="0" text="" dxfId="1">
      <formula>AND(J6&lt;&gt;"",J6&lt;=cfg_TRACK+cfg_ALERT)</formula>
    </cfRule>
  </conditionalFormatting>
  <conditionalFormatting sqref="K6:K105">
    <cfRule type="expression" priority="10" aboveAverage="0" equalAverage="0" bottom="0" percent="0" rank="0" text="" dxfId="1">
      <formula>AND(K6&lt;&gt;"",K6&lt;=cfg_TRACK+cfg_ALERT)</formula>
    </cfRule>
  </conditionalFormatting>
  <conditionalFormatting sqref="AF6:AF105">
    <cfRule type="expression" priority="11" aboveAverage="0" equalAverage="0" bottom="0" percent="0" rank="0" text="" dxfId="18">
      <formula>AND(AE6&lt;&gt;"",AF6="")</formula>
    </cfRule>
  </conditionalFormatting>
  <dataValidations count="8">
    <dataValidation allowBlank="true" error="من فضلك اختر قيمة من القائمة المنسدلة." errorStyle="stop" errorTitle="قيمة غير مسموحة" operator="between" prompt="سعودي / غير سعودي — تحدد نسب التأمينات ورسوم الإقامة." promptTitle="فئة التأمينات" showDropDown="false" showErrorMessage="true" showInputMessage="true" sqref="E6:E105" type="list">
      <formula1>L_CAT</formula1>
      <formula2>0</formula2>
    </dataValidation>
    <dataValidation allowBlank="true" error="من فضلك اختر قيمة من القائمة المنسدلة." errorStyle="stop" errorTitle="قيمة غير مسموحة" operator="between" prompt="اختر القسم (تُضاف الأقسام من ورقة الإعدادات)." promptTitle="القسم" showDropDown="false" showErrorMessage="true" showInputMessage="true" sqref="F6:F105" type="list">
      <formula1>L_DEPT</formula1>
      <formula2>0</formula2>
    </dataValidation>
    <dataValidation allowBlank="true" error="من فضلك اختر قيمة من القائمة المنسدلة." errorStyle="stop" errorTitle="قيمة غير مسموحة" operator="between" showDropDown="false" showErrorMessage="true" showInputMessage="false" sqref="U6:U105" type="list">
      <formula1>L_YN</formula1>
      <formula2>0</formula2>
    </dataValidation>
    <dataValidation allowBlank="true" error="من فضلك اختر قيمة من القائمة المنسدلة." errorStyle="stop" errorTitle="قيمة غير مسموحة" operator="between" prompt="يحدد نسبة الاستحقاق (الاستقالة وفق المادة 85)." promptTitle="سبب انتهاء الخدمة" showDropDown="false" showErrorMessage="true" showInputMessage="true" sqref="AF6:AF105" type="list">
      <formula1>L_REASON</formula1>
      <formula2>0</formula2>
    </dataValidation>
    <dataValidation allowBlank="true" error="من فضلك اختر قيمة من القائمة المنسدلة." errorStyle="stop" errorTitle="قيمة غير مسموحة" operator="between" prompt="12 = تذكرة سنوية، 24 = كل سنتين." promptTitle="دورية التذكرة" showDropDown="false" showErrorMessage="true" showInputMessage="true" sqref="W6:W105" type="list">
      <formula1>"12,24"</formula1>
      <formula2>0</formula2>
    </dataValidation>
    <dataValidation allowBlank="false" error="الرقم الوظيفي مستخدم من قبل. كل موظف له رقم فريد." errorStyle="stop" errorTitle="رقم مكرر" operator="between" showDropDown="false" showErrorMessage="true" showInputMessage="false" sqref="B6:B105" type="custom">
      <formula1>COUNTIF($B$6:$B$105,B6)=1</formula1>
      <formula2>0</formula2>
    </dataValidation>
    <dataValidation allowBlank="true" error="القيمة المدخلة خارج النطاق المسموح." errorStyle="stop" errorTitle="قيمة غير صحيحة" operator="greaterThanOrEqual" showDropDown="false" showErrorMessage="true" showInputMessage="false" sqref="L6:O105 X6:AA105" type="decimal">
      <formula1>0</formula1>
      <formula2>0</formula2>
    </dataValidation>
    <dataValidation allowBlank="true" error="أدخل تاريخاً صحيحاً بالصيغة yyyy/mm/dd" errorStyle="stop" errorTitle="تاريخ غير صحيح" operator="greaterThan" showDropDown="false" showErrorMessage="true" showInputMessage="false" sqref="H6:H105 J6:K105 AE6:AE105" type="date">
      <formula1>1</formula1>
      <formula2>0</formula2>
    </dataValidation>
  </dataValidations>
  <hyperlinks>
    <hyperlink ref="B3" location="'الرئيسية'!A1" display="🏠 الرئيسية"/>
    <hyperlink ref="C3" location="'لوحة التحكم'!A1" display="📊 لوحة التحكم"/>
    <hyperlink ref="E3" location="'الإعدادات'!A1" display="⚙ الإعدادات"/>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J3" location="'الملخص الشهري'!A1" display="📅 الملخص الشهري"/>
    <hyperlink ref="L3" location="'قيود الرواتب'!A1" display="🧾 القيود"/>
    <hyperlink ref="M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BE505"/>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24"/>
    <col collapsed="false" customWidth="true" hidden="false" outlineLevel="0" max="4" min="4" style="0" width="30"/>
    <col collapsed="false" customWidth="true" hidden="false" outlineLevel="0" max="6" min="5" style="0" width="12"/>
    <col collapsed="false" customWidth="true" hidden="false" outlineLevel="0" max="7" min="7" style="0" width="8"/>
    <col collapsed="false" customWidth="true" hidden="false" outlineLevel="0" max="10" min="8" style="0" width="9"/>
    <col collapsed="false" customWidth="true" hidden="false" outlineLevel="0" max="12" min="11" style="0" width="8"/>
    <col collapsed="false" customWidth="true" hidden="false" outlineLevel="0" max="13" min="13" style="0" width="7"/>
    <col collapsed="false" customWidth="true" hidden="false" outlineLevel="0" max="14" min="14" style="0" width="12"/>
    <col collapsed="false" customWidth="true" hidden="false" outlineLevel="0" max="15" min="15" style="0" width="7"/>
    <col collapsed="false" customWidth="true" hidden="false" outlineLevel="0" max="16" min="16" style="0" width="22"/>
    <col collapsed="false" customWidth="true" hidden="false" outlineLevel="0" max="17" min="17" style="0" width="28"/>
    <col collapsed="false" customWidth="true" hidden="false" outlineLevel="0" max="19" min="18" style="0" width="9"/>
    <col collapsed="false" customWidth="true" hidden="false" outlineLevel="0" max="20" min="20" style="0" width="10"/>
    <col collapsed="false" customWidth="true" hidden="false" outlineLevel="0" max="21" min="21" style="0" width="2"/>
    <col collapsed="false" customWidth="true" hidden="false" outlineLevel="0" max="57" min="22" style="0" width="6"/>
  </cols>
  <sheetData>
    <row r="1" customFormat="false" ht="37.5" hidden="false" customHeight="true" outlineLevel="0" collapsed="false">
      <c r="A1" s="1" t="s">
        <v>378</v>
      </c>
      <c r="B1" s="1"/>
      <c r="C1" s="1"/>
      <c r="D1" s="1"/>
      <c r="E1" s="1"/>
      <c r="F1" s="1"/>
      <c r="G1" s="1"/>
      <c r="H1" s="1"/>
      <c r="I1" s="1"/>
      <c r="J1" s="1"/>
      <c r="K1" s="1"/>
      <c r="L1" s="1"/>
      <c r="M1" s="1"/>
      <c r="N1" s="1"/>
      <c r="O1" s="1"/>
      <c r="P1" s="1"/>
      <c r="Q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row>
    <row r="3" customFormat="false" ht="25.5" hidden="false" customHeight="true" outlineLevel="0" collapsed="false">
      <c r="A3" s="25" t="s">
        <v>80</v>
      </c>
      <c r="B3" s="12" t="s">
        <v>138</v>
      </c>
      <c r="C3" s="26" t="s">
        <v>81</v>
      </c>
      <c r="D3" s="26" t="s">
        <v>82</v>
      </c>
      <c r="E3" s="26" t="s">
        <v>84</v>
      </c>
      <c r="F3" s="28" t="s">
        <v>85</v>
      </c>
      <c r="G3" s="26" t="s">
        <v>39</v>
      </c>
      <c r="H3" s="26" t="s">
        <v>139</v>
      </c>
      <c r="I3" s="26" t="s">
        <v>140</v>
      </c>
    </row>
    <row r="4" customFormat="false" ht="18" hidden="false" customHeight="true" outlineLevel="0" collapsed="false">
      <c r="V4" s="104" t="s">
        <v>379</v>
      </c>
      <c r="W4" s="104"/>
      <c r="X4" s="104"/>
      <c r="Y4" s="104"/>
      <c r="Z4" s="104"/>
      <c r="AA4" s="104"/>
      <c r="AB4" s="104"/>
      <c r="AC4" s="104"/>
      <c r="AD4" s="104"/>
      <c r="AE4" s="104"/>
      <c r="AF4" s="104"/>
      <c r="AG4" s="104"/>
      <c r="AH4" s="105" t="s">
        <v>380</v>
      </c>
      <c r="AI4" s="105"/>
      <c r="AJ4" s="105"/>
      <c r="AK4" s="105"/>
      <c r="AL4" s="105"/>
      <c r="AM4" s="105"/>
      <c r="AN4" s="105"/>
      <c r="AO4" s="105"/>
      <c r="AP4" s="105"/>
      <c r="AQ4" s="105"/>
      <c r="AR4" s="105"/>
      <c r="AS4" s="105"/>
      <c r="AT4" s="106" t="s">
        <v>381</v>
      </c>
      <c r="AU4" s="106"/>
      <c r="AV4" s="106"/>
      <c r="AW4" s="106"/>
      <c r="AX4" s="106"/>
      <c r="AY4" s="106"/>
      <c r="AZ4" s="106"/>
      <c r="BA4" s="106"/>
      <c r="BB4" s="106"/>
      <c r="BC4" s="106"/>
      <c r="BD4" s="106"/>
      <c r="BE4" s="106"/>
    </row>
    <row r="5" customFormat="false" ht="61.5" hidden="false" customHeight="true" outlineLevel="0" collapsed="false">
      <c r="A5" s="55" t="s">
        <v>272</v>
      </c>
      <c r="B5" s="55" t="s">
        <v>273</v>
      </c>
      <c r="C5" s="55" t="s">
        <v>382</v>
      </c>
      <c r="D5" s="55" t="s">
        <v>150</v>
      </c>
      <c r="E5" s="55" t="s">
        <v>383</v>
      </c>
      <c r="F5" s="55" t="s">
        <v>384</v>
      </c>
      <c r="G5" s="55" t="s">
        <v>385</v>
      </c>
      <c r="H5" s="55" t="s">
        <v>386</v>
      </c>
      <c r="I5" s="55" t="s">
        <v>387</v>
      </c>
      <c r="J5" s="55" t="s">
        <v>388</v>
      </c>
      <c r="K5" s="55" t="s">
        <v>389</v>
      </c>
      <c r="L5" s="55" t="s">
        <v>390</v>
      </c>
      <c r="M5" s="55" t="s">
        <v>391</v>
      </c>
      <c r="N5" s="55" t="s">
        <v>392</v>
      </c>
      <c r="O5" s="55" t="s">
        <v>393</v>
      </c>
      <c r="P5" s="55" t="s">
        <v>394</v>
      </c>
      <c r="Q5" s="55" t="s">
        <v>306</v>
      </c>
      <c r="R5" s="55" t="s">
        <v>395</v>
      </c>
      <c r="S5" s="55" t="s">
        <v>396</v>
      </c>
      <c r="T5" s="55" t="s">
        <v>397</v>
      </c>
      <c r="V5" s="107" t="s">
        <v>162</v>
      </c>
      <c r="W5" s="107" t="s">
        <v>170</v>
      </c>
      <c r="X5" s="107" t="s">
        <v>177</v>
      </c>
      <c r="Y5" s="107" t="s">
        <v>184</v>
      </c>
      <c r="Z5" s="107" t="s">
        <v>191</v>
      </c>
      <c r="AA5" s="107" t="s">
        <v>196</v>
      </c>
      <c r="AB5" s="107" t="s">
        <v>201</v>
      </c>
      <c r="AC5" s="107" t="s">
        <v>206</v>
      </c>
      <c r="AD5" s="107" t="s">
        <v>211</v>
      </c>
      <c r="AE5" s="107" t="s">
        <v>216</v>
      </c>
      <c r="AF5" s="107" t="s">
        <v>220</v>
      </c>
      <c r="AG5" s="107" t="s">
        <v>223</v>
      </c>
      <c r="AH5" s="108" t="s">
        <v>162</v>
      </c>
      <c r="AI5" s="108" t="s">
        <v>170</v>
      </c>
      <c r="AJ5" s="108" t="s">
        <v>177</v>
      </c>
      <c r="AK5" s="108" t="s">
        <v>184</v>
      </c>
      <c r="AL5" s="108" t="s">
        <v>191</v>
      </c>
      <c r="AM5" s="108" t="s">
        <v>196</v>
      </c>
      <c r="AN5" s="108" t="s">
        <v>201</v>
      </c>
      <c r="AO5" s="108" t="s">
        <v>206</v>
      </c>
      <c r="AP5" s="108" t="s">
        <v>211</v>
      </c>
      <c r="AQ5" s="108" t="s">
        <v>216</v>
      </c>
      <c r="AR5" s="108" t="s">
        <v>220</v>
      </c>
      <c r="AS5" s="108" t="s">
        <v>223</v>
      </c>
      <c r="AT5" s="109" t="s">
        <v>162</v>
      </c>
      <c r="AU5" s="109" t="s">
        <v>170</v>
      </c>
      <c r="AV5" s="109" t="s">
        <v>177</v>
      </c>
      <c r="AW5" s="109" t="s">
        <v>184</v>
      </c>
      <c r="AX5" s="109" t="s">
        <v>191</v>
      </c>
      <c r="AY5" s="109" t="s">
        <v>196</v>
      </c>
      <c r="AZ5" s="109" t="s">
        <v>201</v>
      </c>
      <c r="BA5" s="109" t="s">
        <v>206</v>
      </c>
      <c r="BB5" s="109" t="s">
        <v>211</v>
      </c>
      <c r="BC5" s="109" t="s">
        <v>216</v>
      </c>
      <c r="BD5" s="109" t="s">
        <v>220</v>
      </c>
      <c r="BE5" s="109" t="s">
        <v>223</v>
      </c>
    </row>
    <row r="6" customFormat="false" ht="15" hidden="false" customHeight="false" outlineLevel="0" collapsed="false">
      <c r="A6" s="93" t="n">
        <f aca="false">IF(B6="","",ROW()-5)</f>
        <v>1</v>
      </c>
      <c r="B6" s="79" t="s">
        <v>307</v>
      </c>
      <c r="C6" s="80" t="str">
        <f aca="false">IF(B6="","",IFERROR(INDEX(الموظفون!$C$6:$C$105,MATCH(B6,الموظفون!$B$6:$B$105,0)),"✖ رقم غير موجود"))</f>
        <v>عبدالله محمد العتيبي</v>
      </c>
      <c r="D6" s="79" t="s">
        <v>163</v>
      </c>
      <c r="E6" s="94" t="n">
        <v>46089</v>
      </c>
      <c r="F6" s="94" t="n">
        <v>46098</v>
      </c>
      <c r="G6" s="57" t="n">
        <f aca="false">IF(OR($B6="",$E6="",$F6=""),"",MAX(0,F6-E6+1))</f>
        <v>10</v>
      </c>
      <c r="H6" s="58" t="n">
        <f aca="false">IF(D6="","",IFERROR(VLOOKUP(D6,cfg_LT,2,FALSE()),1))</f>
        <v>1</v>
      </c>
      <c r="I6" s="82"/>
      <c r="J6" s="58" t="n">
        <f aca="false">IF(D6="","",IF(I6&lt;&gt;"",I6,H6))</f>
        <v>1</v>
      </c>
      <c r="K6" s="80" t="str">
        <f aca="false">IF(D6="","",IFERROR(VLOOKUP($D6,cfg_LT,3,FALSE()),""))</f>
        <v>نعم</v>
      </c>
      <c r="L6" s="80" t="str">
        <f aca="false">IF(D6="","",IFERROR(VLOOKUP($D6,cfg_LT,4,FALSE()),""))</f>
        <v>نعم</v>
      </c>
      <c r="M6" s="80" t="str">
        <f aca="false">IF(D6="","",IFERROR(VLOOKUP($D6,cfg_LT,5,FALSE()),""))</f>
        <v>لا</v>
      </c>
      <c r="N6" s="97" t="n">
        <f aca="false">IF(OR(OR($B6="",$E6="",$F6=""),M6&lt;&gt;"نعم"),0,G6*J6*IFERROR(INDEX(الموظفون!$R$6:$R$105,MATCH(B6,الموظفون!$B$6:$B$105,0)),0)/cfg_DAYS_M)</f>
        <v>0</v>
      </c>
      <c r="O6" s="93" t="str">
        <f aca="false">IF(OR(OR($B6="",$E6="",$F6=""),M6&lt;&gt;"نعم"),"",IF(YEAR(E6)=cfg_FY,MONTH(E6),""))</f>
        <v/>
      </c>
      <c r="P6" s="80" t="str">
        <f aca="false">IF(B6="","",IF(OR(D6="",E6="",F6=""),"⚠ أكمل النوع والتواريخ",IF(F6&lt;E6,"✖ النهاية قبل البداية",IF(COUNTIFS($B$6:$B$505,B6,$E$6:$E$505,"&lt;="&amp;F6,$F$6:$F$505,"&gt;="&amp;E6)&gt;1,"⚠ تداخل مع سجل آخر",IF(E6&gt;cfg_VAL_DATE,"⏳ قادمة",IF(F6&lt;cfg_VAL_DATE,"✔ منتهية","✈ جارية في تاريخ التقرير"))))))</f>
        <v>✔ منتهية</v>
      </c>
      <c r="Q6" s="79" t="s">
        <v>398</v>
      </c>
      <c r="R6" s="57" t="n">
        <f aca="false">IF(OR(OR($B6="",$E6="",$F6=""),L6&lt;&gt;"لا"),0,MAX(0,MIN(F6,cfg_Y_START-1)-E6+1))</f>
        <v>0</v>
      </c>
      <c r="S6" s="57" t="n">
        <f aca="false">IF(OR(OR($B6="",$E6="",$F6=""),L6&lt;&gt;"لا"),0,MAX(0,MIN(F6,cfg_VAL_DATE)-E6+1))</f>
        <v>0</v>
      </c>
      <c r="T6" s="57" t="n">
        <f aca="false">IF(OR(OR($B6="",$E6="",$F6=""),K6&lt;&gt;"نعم"),0,IF(M6="نعم",IF(AND(ISNUMBER(O6),N(O6)&lt;=cfg_VAL_M),G6,0),MAX(0,MIN(F6,cfg_VAL_DATE)-MAX(E6,cfg_Y_START)+1)))</f>
        <v>10</v>
      </c>
      <c r="V6" s="57" t="n">
        <f aca="false">IF(OR($B6="",$E6="",$F6=""),0,MAX(0,MIN($F6,EOMONTH(DATE(cfg_FY,1,1),0))-MAX($E6,DATE(cfg_FY,1,1))+1)*(1-IF($M6="نعم",0,N($J6))))</f>
        <v>0</v>
      </c>
      <c r="W6" s="57" t="n">
        <f aca="false">IF(OR($B6="",$E6="",$F6=""),0,MAX(0,MIN($F6,EOMONTH(DATE(cfg_FY,2,1),0))-MAX($E6,DATE(cfg_FY,2,1))+1)*(1-IF($M6="نعم",0,N($J6))))</f>
        <v>0</v>
      </c>
      <c r="X6" s="57" t="n">
        <f aca="false">IF(OR($B6="",$E6="",$F6=""),0,MAX(0,MIN($F6,EOMONTH(DATE(cfg_FY,3,1),0))-MAX($E6,DATE(cfg_FY,3,1))+1)*(1-IF($M6="نعم",0,N($J6))))</f>
        <v>0</v>
      </c>
      <c r="Y6" s="57" t="n">
        <f aca="false">IF(OR($B6="",$E6="",$F6=""),0,MAX(0,MIN($F6,EOMONTH(DATE(cfg_FY,4,1),0))-MAX($E6,DATE(cfg_FY,4,1))+1)*(1-IF($M6="نعم",0,N($J6))))</f>
        <v>0</v>
      </c>
      <c r="Z6" s="57" t="n">
        <f aca="false">IF(OR($B6="",$E6="",$F6=""),0,MAX(0,MIN($F6,EOMONTH(DATE(cfg_FY,5,1),0))-MAX($E6,DATE(cfg_FY,5,1))+1)*(1-IF($M6="نعم",0,N($J6))))</f>
        <v>0</v>
      </c>
      <c r="AA6" s="57" t="n">
        <f aca="false">IF(OR($B6="",$E6="",$F6=""),0,MAX(0,MIN($F6,EOMONTH(DATE(cfg_FY,6,1),0))-MAX($E6,DATE(cfg_FY,6,1))+1)*(1-IF($M6="نعم",0,N($J6))))</f>
        <v>0</v>
      </c>
      <c r="AB6" s="57" t="n">
        <f aca="false">IF(OR($B6="",$E6="",$F6=""),0,MAX(0,MIN($F6,EOMONTH(DATE(cfg_FY,7,1),0))-MAX($E6,DATE(cfg_FY,7,1))+1)*(1-IF($M6="نعم",0,N($J6))))</f>
        <v>0</v>
      </c>
      <c r="AC6" s="57" t="n">
        <f aca="false">IF(OR($B6="",$E6="",$F6=""),0,MAX(0,MIN($F6,EOMONTH(DATE(cfg_FY,8,1),0))-MAX($E6,DATE(cfg_FY,8,1))+1)*(1-IF($M6="نعم",0,N($J6))))</f>
        <v>0</v>
      </c>
      <c r="AD6" s="57" t="n">
        <f aca="false">IF(OR($B6="",$E6="",$F6=""),0,MAX(0,MIN($F6,EOMONTH(DATE(cfg_FY,9,1),0))-MAX($E6,DATE(cfg_FY,9,1))+1)*(1-IF($M6="نعم",0,N($J6))))</f>
        <v>0</v>
      </c>
      <c r="AE6" s="57" t="n">
        <f aca="false">IF(OR($B6="",$E6="",$F6=""),0,MAX(0,MIN($F6,EOMONTH(DATE(cfg_FY,10,1),0))-MAX($E6,DATE(cfg_FY,10,1))+1)*(1-IF($M6="نعم",0,N($J6))))</f>
        <v>0</v>
      </c>
      <c r="AF6" s="57" t="n">
        <f aca="false">IF(OR($B6="",$E6="",$F6=""),0,MAX(0,MIN($F6,EOMONTH(DATE(cfg_FY,11,1),0))-MAX($E6,DATE(cfg_FY,11,1))+1)*(1-IF($M6="نعم",0,N($J6))))</f>
        <v>0</v>
      </c>
      <c r="AG6" s="57" t="n">
        <f aca="false">IF(OR($B6="",$E6="",$F6=""),0,MAX(0,MIN($F6,EOMONTH(DATE(cfg_FY,12,1),0))-MAX($E6,DATE(cfg_FY,12,1))+1)*(1-IF($M6="نعم",0,N($J6))))</f>
        <v>0</v>
      </c>
      <c r="AH6" s="57" t="n">
        <f aca="false">IF(OR(OR($B6="",$E6="",$F6=""),$L6&lt;&gt;"لا"),0,MAX(0,MIN($F6,EOMONTH(DATE(cfg_FY,1,1),0))-$E6+1))</f>
        <v>0</v>
      </c>
      <c r="AI6" s="57" t="n">
        <f aca="false">IF(OR(OR($B6="",$E6="",$F6=""),$L6&lt;&gt;"لا"),0,MAX(0,MIN($F6,EOMONTH(DATE(cfg_FY,2,1),0))-$E6+1))</f>
        <v>0</v>
      </c>
      <c r="AJ6" s="57" t="n">
        <f aca="false">IF(OR(OR($B6="",$E6="",$F6=""),$L6&lt;&gt;"لا"),0,MAX(0,MIN($F6,EOMONTH(DATE(cfg_FY,3,1),0))-$E6+1))</f>
        <v>0</v>
      </c>
      <c r="AK6" s="57" t="n">
        <f aca="false">IF(OR(OR($B6="",$E6="",$F6=""),$L6&lt;&gt;"لا"),0,MAX(0,MIN($F6,EOMONTH(DATE(cfg_FY,4,1),0))-$E6+1))</f>
        <v>0</v>
      </c>
      <c r="AL6" s="57" t="n">
        <f aca="false">IF(OR(OR($B6="",$E6="",$F6=""),$L6&lt;&gt;"لا"),0,MAX(0,MIN($F6,EOMONTH(DATE(cfg_FY,5,1),0))-$E6+1))</f>
        <v>0</v>
      </c>
      <c r="AM6" s="57" t="n">
        <f aca="false">IF(OR(OR($B6="",$E6="",$F6=""),$L6&lt;&gt;"لا"),0,MAX(0,MIN($F6,EOMONTH(DATE(cfg_FY,6,1),0))-$E6+1))</f>
        <v>0</v>
      </c>
      <c r="AN6" s="57" t="n">
        <f aca="false">IF(OR(OR($B6="",$E6="",$F6=""),$L6&lt;&gt;"لا"),0,MAX(0,MIN($F6,EOMONTH(DATE(cfg_FY,7,1),0))-$E6+1))</f>
        <v>0</v>
      </c>
      <c r="AO6" s="57" t="n">
        <f aca="false">IF(OR(OR($B6="",$E6="",$F6=""),$L6&lt;&gt;"لا"),0,MAX(0,MIN($F6,EOMONTH(DATE(cfg_FY,8,1),0))-$E6+1))</f>
        <v>0</v>
      </c>
      <c r="AP6" s="57" t="n">
        <f aca="false">IF(OR(OR($B6="",$E6="",$F6=""),$L6&lt;&gt;"لا"),0,MAX(0,MIN($F6,EOMONTH(DATE(cfg_FY,9,1),0))-$E6+1))</f>
        <v>0</v>
      </c>
      <c r="AQ6" s="57" t="n">
        <f aca="false">IF(OR(OR($B6="",$E6="",$F6=""),$L6&lt;&gt;"لا"),0,MAX(0,MIN($F6,EOMONTH(DATE(cfg_FY,10,1),0))-$E6+1))</f>
        <v>0</v>
      </c>
      <c r="AR6" s="57" t="n">
        <f aca="false">IF(OR(OR($B6="",$E6="",$F6=""),$L6&lt;&gt;"لا"),0,MAX(0,MIN($F6,EOMONTH(DATE(cfg_FY,11,1),0))-$E6+1))</f>
        <v>0</v>
      </c>
      <c r="AS6" s="57" t="n">
        <f aca="false">IF(OR(OR($B6="",$E6="",$F6=""),$L6&lt;&gt;"لا"),0,MAX(0,MIN($F6,EOMONTH(DATE(cfg_FY,12,1),0))-$E6+1))</f>
        <v>0</v>
      </c>
      <c r="AT6" s="57" t="n">
        <f aca="false">IF(OR(OR($B6="",$E6="",$F6=""),$K6&lt;&gt;"نعم",$M6="نعم"),0,MAX(0,MIN($F6,EOMONTH(DATE(cfg_FY,1,1),0))-MAX($E6,DATE(cfg_FY,1,1))+1))</f>
        <v>0</v>
      </c>
      <c r="AU6" s="57" t="n">
        <f aca="false">IF(OR(OR($B6="",$E6="",$F6=""),$K6&lt;&gt;"نعم",$M6="نعم"),0,MAX(0,MIN($F6,EOMONTH(DATE(cfg_FY,2,1),0))-MAX($E6,DATE(cfg_FY,2,1))+1))</f>
        <v>0</v>
      </c>
      <c r="AV6" s="57" t="n">
        <f aca="false">IF(OR(OR($B6="",$E6="",$F6=""),$K6&lt;&gt;"نعم",$M6="نعم"),0,MAX(0,MIN($F6,EOMONTH(DATE(cfg_FY,3,1),0))-MAX($E6,DATE(cfg_FY,3,1))+1))</f>
        <v>10</v>
      </c>
      <c r="AW6" s="57" t="n">
        <f aca="false">IF(OR(OR($B6="",$E6="",$F6=""),$K6&lt;&gt;"نعم",$M6="نعم"),0,MAX(0,MIN($F6,EOMONTH(DATE(cfg_FY,4,1),0))-MAX($E6,DATE(cfg_FY,4,1))+1))</f>
        <v>0</v>
      </c>
      <c r="AX6" s="57" t="n">
        <f aca="false">IF(OR(OR($B6="",$E6="",$F6=""),$K6&lt;&gt;"نعم",$M6="نعم"),0,MAX(0,MIN($F6,EOMONTH(DATE(cfg_FY,5,1),0))-MAX($E6,DATE(cfg_FY,5,1))+1))</f>
        <v>0</v>
      </c>
      <c r="AY6" s="57" t="n">
        <f aca="false">IF(OR(OR($B6="",$E6="",$F6=""),$K6&lt;&gt;"نعم",$M6="نعم"),0,MAX(0,MIN($F6,EOMONTH(DATE(cfg_FY,6,1),0))-MAX($E6,DATE(cfg_FY,6,1))+1))</f>
        <v>0</v>
      </c>
      <c r="AZ6" s="57" t="n">
        <f aca="false">IF(OR(OR($B6="",$E6="",$F6=""),$K6&lt;&gt;"نعم",$M6="نعم"),0,MAX(0,MIN($F6,EOMONTH(DATE(cfg_FY,7,1),0))-MAX($E6,DATE(cfg_FY,7,1))+1))</f>
        <v>0</v>
      </c>
      <c r="BA6" s="57" t="n">
        <f aca="false">IF(OR(OR($B6="",$E6="",$F6=""),$K6&lt;&gt;"نعم",$M6="نعم"),0,MAX(0,MIN($F6,EOMONTH(DATE(cfg_FY,8,1),0))-MAX($E6,DATE(cfg_FY,8,1))+1))</f>
        <v>0</v>
      </c>
      <c r="BB6" s="57" t="n">
        <f aca="false">IF(OR(OR($B6="",$E6="",$F6=""),$K6&lt;&gt;"نعم",$M6="نعم"),0,MAX(0,MIN($F6,EOMONTH(DATE(cfg_FY,9,1),0))-MAX($E6,DATE(cfg_FY,9,1))+1))</f>
        <v>0</v>
      </c>
      <c r="BC6" s="57" t="n">
        <f aca="false">IF(OR(OR($B6="",$E6="",$F6=""),$K6&lt;&gt;"نعم",$M6="نعم"),0,MAX(0,MIN($F6,EOMONTH(DATE(cfg_FY,10,1),0))-MAX($E6,DATE(cfg_FY,10,1))+1))</f>
        <v>0</v>
      </c>
      <c r="BD6" s="57" t="n">
        <f aca="false">IF(OR(OR($B6="",$E6="",$F6=""),$K6&lt;&gt;"نعم",$M6="نعم"),0,MAX(0,MIN($F6,EOMONTH(DATE(cfg_FY,11,1),0))-MAX($E6,DATE(cfg_FY,11,1))+1))</f>
        <v>0</v>
      </c>
      <c r="BE6" s="57" t="n">
        <f aca="false">IF(OR(OR($B6="",$E6="",$F6=""),$K6&lt;&gt;"نعم",$M6="نعم"),0,MAX(0,MIN($F6,EOMONTH(DATE(cfg_FY,12,1),0))-MAX($E6,DATE(cfg_FY,12,1))+1))</f>
        <v>0</v>
      </c>
    </row>
    <row r="7" customFormat="false" ht="15" hidden="false" customHeight="false" outlineLevel="0" collapsed="false">
      <c r="A7" s="100" t="n">
        <f aca="false">IF(B7="","",ROW()-5)</f>
        <v>2</v>
      </c>
      <c r="B7" s="79" t="s">
        <v>343</v>
      </c>
      <c r="C7" s="102" t="str">
        <f aca="false">IF(B7="","",IFERROR(INDEX(الموظفون!$C$6:$C$105,MATCH(B7,الموظفون!$B$6:$B$105,0)),"✖ رقم غير موجود"))</f>
        <v>خالد يوسف الأحمد</v>
      </c>
      <c r="D7" s="79" t="s">
        <v>163</v>
      </c>
      <c r="E7" s="94" t="n">
        <v>46086</v>
      </c>
      <c r="F7" s="94" t="n">
        <v>46106</v>
      </c>
      <c r="G7" s="110" t="n">
        <f aca="false">IF(OR($B7="",$E7="",$F7=""),"",MAX(0,F7-E7+1))</f>
        <v>21</v>
      </c>
      <c r="H7" s="111" t="n">
        <f aca="false">IF(D7="","",IFERROR(VLOOKUP(D7,cfg_LT,2,FALSE()),1))</f>
        <v>1</v>
      </c>
      <c r="I7" s="82"/>
      <c r="J7" s="111" t="n">
        <f aca="false">IF(D7="","",IF(I7&lt;&gt;"",I7,H7))</f>
        <v>1</v>
      </c>
      <c r="K7" s="102" t="str">
        <f aca="false">IF(D7="","",IFERROR(VLOOKUP($D7,cfg_LT,3,FALSE()),""))</f>
        <v>نعم</v>
      </c>
      <c r="L7" s="102" t="str">
        <f aca="false">IF(D7="","",IFERROR(VLOOKUP($D7,cfg_LT,4,FALSE()),""))</f>
        <v>نعم</v>
      </c>
      <c r="M7" s="102" t="str">
        <f aca="false">IF(D7="","",IFERROR(VLOOKUP($D7,cfg_LT,5,FALSE()),""))</f>
        <v>لا</v>
      </c>
      <c r="N7" s="101" t="n">
        <f aca="false">IF(OR(OR($B7="",$E7="",$F7=""),M7&lt;&gt;"نعم"),0,G7*J7*IFERROR(INDEX(الموظفون!$R$6:$R$105,MATCH(B7,الموظفون!$B$6:$B$105,0)),0)/cfg_DAYS_M)</f>
        <v>0</v>
      </c>
      <c r="O7" s="100" t="str">
        <f aca="false">IF(OR(OR($B7="",$E7="",$F7=""),M7&lt;&gt;"نعم"),"",IF(YEAR(E7)=cfg_FY,MONTH(E7),""))</f>
        <v/>
      </c>
      <c r="P7" s="102" t="str">
        <f aca="false">IF(B7="","",IF(OR(D7="",E7="",F7=""),"⚠ أكمل النوع والتواريخ",IF(F7&lt;E7,"✖ النهاية قبل البداية",IF(COUNTIFS($B$6:$B$505,B7,$E$6:$E$505,"&lt;="&amp;F7,$F$6:$F$505,"&gt;="&amp;E7)&gt;1,"⚠ تداخل مع سجل آخر",IF(E7&gt;cfg_VAL_DATE,"⏳ قادمة",IF(F7&lt;cfg_VAL_DATE,"✔ منتهية","✈ جارية في تاريخ التقرير"))))))</f>
        <v>✔ منتهية</v>
      </c>
      <c r="Q7" s="79" t="s">
        <v>399</v>
      </c>
      <c r="R7" s="110" t="n">
        <f aca="false">IF(OR(OR($B7="",$E7="",$F7=""),L7&lt;&gt;"لا"),0,MAX(0,MIN(F7,cfg_Y_START-1)-E7+1))</f>
        <v>0</v>
      </c>
      <c r="S7" s="110" t="n">
        <f aca="false">IF(OR(OR($B7="",$E7="",$F7=""),L7&lt;&gt;"لا"),0,MAX(0,MIN(F7,cfg_VAL_DATE)-E7+1))</f>
        <v>0</v>
      </c>
      <c r="T7" s="110" t="n">
        <f aca="false">IF(OR(OR($B7="",$E7="",$F7=""),K7&lt;&gt;"نعم"),0,IF(M7="نعم",IF(AND(ISNUMBER(O7),N(O7)&lt;=cfg_VAL_M),G7,0),MAX(0,MIN(F7,cfg_VAL_DATE)-MAX(E7,cfg_Y_START)+1)))</f>
        <v>21</v>
      </c>
      <c r="V7" s="110" t="n">
        <f aca="false">IF(OR($B7="",$E7="",$F7=""),0,MAX(0,MIN($F7,EOMONTH(DATE(cfg_FY,1,1),0))-MAX($E7,DATE(cfg_FY,1,1))+1)*(1-IF($M7="نعم",0,N($J7))))</f>
        <v>0</v>
      </c>
      <c r="W7" s="110" t="n">
        <f aca="false">IF(OR($B7="",$E7="",$F7=""),0,MAX(0,MIN($F7,EOMONTH(DATE(cfg_FY,2,1),0))-MAX($E7,DATE(cfg_FY,2,1))+1)*(1-IF($M7="نعم",0,N($J7))))</f>
        <v>0</v>
      </c>
      <c r="X7" s="110" t="n">
        <f aca="false">IF(OR($B7="",$E7="",$F7=""),0,MAX(0,MIN($F7,EOMONTH(DATE(cfg_FY,3,1),0))-MAX($E7,DATE(cfg_FY,3,1))+1)*(1-IF($M7="نعم",0,N($J7))))</f>
        <v>0</v>
      </c>
      <c r="Y7" s="110" t="n">
        <f aca="false">IF(OR($B7="",$E7="",$F7=""),0,MAX(0,MIN($F7,EOMONTH(DATE(cfg_FY,4,1),0))-MAX($E7,DATE(cfg_FY,4,1))+1)*(1-IF($M7="نعم",0,N($J7))))</f>
        <v>0</v>
      </c>
      <c r="Z7" s="110" t="n">
        <f aca="false">IF(OR($B7="",$E7="",$F7=""),0,MAX(0,MIN($F7,EOMONTH(DATE(cfg_FY,5,1),0))-MAX($E7,DATE(cfg_FY,5,1))+1)*(1-IF($M7="نعم",0,N($J7))))</f>
        <v>0</v>
      </c>
      <c r="AA7" s="110" t="n">
        <f aca="false">IF(OR($B7="",$E7="",$F7=""),0,MAX(0,MIN($F7,EOMONTH(DATE(cfg_FY,6,1),0))-MAX($E7,DATE(cfg_FY,6,1))+1)*(1-IF($M7="نعم",0,N($J7))))</f>
        <v>0</v>
      </c>
      <c r="AB7" s="110" t="n">
        <f aca="false">IF(OR($B7="",$E7="",$F7=""),0,MAX(0,MIN($F7,EOMONTH(DATE(cfg_FY,7,1),0))-MAX($E7,DATE(cfg_FY,7,1))+1)*(1-IF($M7="نعم",0,N($J7))))</f>
        <v>0</v>
      </c>
      <c r="AC7" s="110" t="n">
        <f aca="false">IF(OR($B7="",$E7="",$F7=""),0,MAX(0,MIN($F7,EOMONTH(DATE(cfg_FY,8,1),0))-MAX($E7,DATE(cfg_FY,8,1))+1)*(1-IF($M7="نعم",0,N($J7))))</f>
        <v>0</v>
      </c>
      <c r="AD7" s="110" t="n">
        <f aca="false">IF(OR($B7="",$E7="",$F7=""),0,MAX(0,MIN($F7,EOMONTH(DATE(cfg_FY,9,1),0))-MAX($E7,DATE(cfg_FY,9,1))+1)*(1-IF($M7="نعم",0,N($J7))))</f>
        <v>0</v>
      </c>
      <c r="AE7" s="110" t="n">
        <f aca="false">IF(OR($B7="",$E7="",$F7=""),0,MAX(0,MIN($F7,EOMONTH(DATE(cfg_FY,10,1),0))-MAX($E7,DATE(cfg_FY,10,1))+1)*(1-IF($M7="نعم",0,N($J7))))</f>
        <v>0</v>
      </c>
      <c r="AF7" s="110" t="n">
        <f aca="false">IF(OR($B7="",$E7="",$F7=""),0,MAX(0,MIN($F7,EOMONTH(DATE(cfg_FY,11,1),0))-MAX($E7,DATE(cfg_FY,11,1))+1)*(1-IF($M7="نعم",0,N($J7))))</f>
        <v>0</v>
      </c>
      <c r="AG7" s="110" t="n">
        <f aca="false">IF(OR($B7="",$E7="",$F7=""),0,MAX(0,MIN($F7,EOMONTH(DATE(cfg_FY,12,1),0))-MAX($E7,DATE(cfg_FY,12,1))+1)*(1-IF($M7="نعم",0,N($J7))))</f>
        <v>0</v>
      </c>
      <c r="AH7" s="110" t="n">
        <f aca="false">IF(OR(OR($B7="",$E7="",$F7=""),$L7&lt;&gt;"لا"),0,MAX(0,MIN($F7,EOMONTH(DATE(cfg_FY,1,1),0))-$E7+1))</f>
        <v>0</v>
      </c>
      <c r="AI7" s="110" t="n">
        <f aca="false">IF(OR(OR($B7="",$E7="",$F7=""),$L7&lt;&gt;"لا"),0,MAX(0,MIN($F7,EOMONTH(DATE(cfg_FY,2,1),0))-$E7+1))</f>
        <v>0</v>
      </c>
      <c r="AJ7" s="110" t="n">
        <f aca="false">IF(OR(OR($B7="",$E7="",$F7=""),$L7&lt;&gt;"لا"),0,MAX(0,MIN($F7,EOMONTH(DATE(cfg_FY,3,1),0))-$E7+1))</f>
        <v>0</v>
      </c>
      <c r="AK7" s="110" t="n">
        <f aca="false">IF(OR(OR($B7="",$E7="",$F7=""),$L7&lt;&gt;"لا"),0,MAX(0,MIN($F7,EOMONTH(DATE(cfg_FY,4,1),0))-$E7+1))</f>
        <v>0</v>
      </c>
      <c r="AL7" s="110" t="n">
        <f aca="false">IF(OR(OR($B7="",$E7="",$F7=""),$L7&lt;&gt;"لا"),0,MAX(0,MIN($F7,EOMONTH(DATE(cfg_FY,5,1),0))-$E7+1))</f>
        <v>0</v>
      </c>
      <c r="AM7" s="110" t="n">
        <f aca="false">IF(OR(OR($B7="",$E7="",$F7=""),$L7&lt;&gt;"لا"),0,MAX(0,MIN($F7,EOMONTH(DATE(cfg_FY,6,1),0))-$E7+1))</f>
        <v>0</v>
      </c>
      <c r="AN7" s="110" t="n">
        <f aca="false">IF(OR(OR($B7="",$E7="",$F7=""),$L7&lt;&gt;"لا"),0,MAX(0,MIN($F7,EOMONTH(DATE(cfg_FY,7,1),0))-$E7+1))</f>
        <v>0</v>
      </c>
      <c r="AO7" s="110" t="n">
        <f aca="false">IF(OR(OR($B7="",$E7="",$F7=""),$L7&lt;&gt;"لا"),0,MAX(0,MIN($F7,EOMONTH(DATE(cfg_FY,8,1),0))-$E7+1))</f>
        <v>0</v>
      </c>
      <c r="AP7" s="110" t="n">
        <f aca="false">IF(OR(OR($B7="",$E7="",$F7=""),$L7&lt;&gt;"لا"),0,MAX(0,MIN($F7,EOMONTH(DATE(cfg_FY,9,1),0))-$E7+1))</f>
        <v>0</v>
      </c>
      <c r="AQ7" s="110" t="n">
        <f aca="false">IF(OR(OR($B7="",$E7="",$F7=""),$L7&lt;&gt;"لا"),0,MAX(0,MIN($F7,EOMONTH(DATE(cfg_FY,10,1),0))-$E7+1))</f>
        <v>0</v>
      </c>
      <c r="AR7" s="110" t="n">
        <f aca="false">IF(OR(OR($B7="",$E7="",$F7=""),$L7&lt;&gt;"لا"),0,MAX(0,MIN($F7,EOMONTH(DATE(cfg_FY,11,1),0))-$E7+1))</f>
        <v>0</v>
      </c>
      <c r="AS7" s="110" t="n">
        <f aca="false">IF(OR(OR($B7="",$E7="",$F7=""),$L7&lt;&gt;"لا"),0,MAX(0,MIN($F7,EOMONTH(DATE(cfg_FY,12,1),0))-$E7+1))</f>
        <v>0</v>
      </c>
      <c r="AT7" s="110" t="n">
        <f aca="false">IF(OR(OR($B7="",$E7="",$F7=""),$K7&lt;&gt;"نعم",$M7="نعم"),0,MAX(0,MIN($F7,EOMONTH(DATE(cfg_FY,1,1),0))-MAX($E7,DATE(cfg_FY,1,1))+1))</f>
        <v>0</v>
      </c>
      <c r="AU7" s="110" t="n">
        <f aca="false">IF(OR(OR($B7="",$E7="",$F7=""),$K7&lt;&gt;"نعم",$M7="نعم"),0,MAX(0,MIN($F7,EOMONTH(DATE(cfg_FY,2,1),0))-MAX($E7,DATE(cfg_FY,2,1))+1))</f>
        <v>0</v>
      </c>
      <c r="AV7" s="110" t="n">
        <f aca="false">IF(OR(OR($B7="",$E7="",$F7=""),$K7&lt;&gt;"نعم",$M7="نعم"),0,MAX(0,MIN($F7,EOMONTH(DATE(cfg_FY,3,1),0))-MAX($E7,DATE(cfg_FY,3,1))+1))</f>
        <v>21</v>
      </c>
      <c r="AW7" s="110" t="n">
        <f aca="false">IF(OR(OR($B7="",$E7="",$F7=""),$K7&lt;&gt;"نعم",$M7="نعم"),0,MAX(0,MIN($F7,EOMONTH(DATE(cfg_FY,4,1),0))-MAX($E7,DATE(cfg_FY,4,1))+1))</f>
        <v>0</v>
      </c>
      <c r="AX7" s="110" t="n">
        <f aca="false">IF(OR(OR($B7="",$E7="",$F7=""),$K7&lt;&gt;"نعم",$M7="نعم"),0,MAX(0,MIN($F7,EOMONTH(DATE(cfg_FY,5,1),0))-MAX($E7,DATE(cfg_FY,5,1))+1))</f>
        <v>0</v>
      </c>
      <c r="AY7" s="110" t="n">
        <f aca="false">IF(OR(OR($B7="",$E7="",$F7=""),$K7&lt;&gt;"نعم",$M7="نعم"),0,MAX(0,MIN($F7,EOMONTH(DATE(cfg_FY,6,1),0))-MAX($E7,DATE(cfg_FY,6,1))+1))</f>
        <v>0</v>
      </c>
      <c r="AZ7" s="110" t="n">
        <f aca="false">IF(OR(OR($B7="",$E7="",$F7=""),$K7&lt;&gt;"نعم",$M7="نعم"),0,MAX(0,MIN($F7,EOMONTH(DATE(cfg_FY,7,1),0))-MAX($E7,DATE(cfg_FY,7,1))+1))</f>
        <v>0</v>
      </c>
      <c r="BA7" s="110" t="n">
        <f aca="false">IF(OR(OR($B7="",$E7="",$F7=""),$K7&lt;&gt;"نعم",$M7="نعم"),0,MAX(0,MIN($F7,EOMONTH(DATE(cfg_FY,8,1),0))-MAX($E7,DATE(cfg_FY,8,1))+1))</f>
        <v>0</v>
      </c>
      <c r="BB7" s="110" t="n">
        <f aca="false">IF(OR(OR($B7="",$E7="",$F7=""),$K7&lt;&gt;"نعم",$M7="نعم"),0,MAX(0,MIN($F7,EOMONTH(DATE(cfg_FY,9,1),0))-MAX($E7,DATE(cfg_FY,9,1))+1))</f>
        <v>0</v>
      </c>
      <c r="BC7" s="110" t="n">
        <f aca="false">IF(OR(OR($B7="",$E7="",$F7=""),$K7&lt;&gt;"نعم",$M7="نعم"),0,MAX(0,MIN($F7,EOMONTH(DATE(cfg_FY,10,1),0))-MAX($E7,DATE(cfg_FY,10,1))+1))</f>
        <v>0</v>
      </c>
      <c r="BD7" s="110" t="n">
        <f aca="false">IF(OR(OR($B7="",$E7="",$F7=""),$K7&lt;&gt;"نعم",$M7="نعم"),0,MAX(0,MIN($F7,EOMONTH(DATE(cfg_FY,11,1),0))-MAX($E7,DATE(cfg_FY,11,1))+1))</f>
        <v>0</v>
      </c>
      <c r="BE7" s="110" t="n">
        <f aca="false">IF(OR(OR($B7="",$E7="",$F7=""),$K7&lt;&gt;"نعم",$M7="نعم"),0,MAX(0,MIN($F7,EOMONTH(DATE(cfg_FY,12,1),0))-MAX($E7,DATE(cfg_FY,12,1))+1))</f>
        <v>0</v>
      </c>
    </row>
    <row r="8" customFormat="false" ht="15" hidden="false" customHeight="false" outlineLevel="0" collapsed="false">
      <c r="A8" s="93" t="n">
        <f aca="false">IF(B8="","",ROW()-5)</f>
        <v>3</v>
      </c>
      <c r="B8" s="79" t="s">
        <v>319</v>
      </c>
      <c r="C8" s="80" t="str">
        <f aca="false">IF(B8="","",IFERROR(INDEX(الموظفون!$C$6:$C$105,MATCH(B8,الموظفون!$B$6:$B$105,0)),"✖ رقم غير موجود"))</f>
        <v>محمد علي حسن</v>
      </c>
      <c r="D8" s="79" t="s">
        <v>185</v>
      </c>
      <c r="E8" s="94" t="n">
        <v>46152</v>
      </c>
      <c r="F8" s="94" t="n">
        <v>46156</v>
      </c>
      <c r="G8" s="57" t="n">
        <f aca="false">IF(OR($B8="",$E8="",$F8=""),"",MAX(0,F8-E8+1))</f>
        <v>5</v>
      </c>
      <c r="H8" s="58" t="n">
        <f aca="false">IF(D8="","",IFERROR(VLOOKUP(D8,cfg_LT,2,FALSE()),1))</f>
        <v>1</v>
      </c>
      <c r="I8" s="82"/>
      <c r="J8" s="58" t="n">
        <f aca="false">IF(D8="","",IF(I8&lt;&gt;"",I8,H8))</f>
        <v>1</v>
      </c>
      <c r="K8" s="80" t="str">
        <f aca="false">IF(D8="","",IFERROR(VLOOKUP($D8,cfg_LT,3,FALSE()),""))</f>
        <v>لا</v>
      </c>
      <c r="L8" s="80" t="str">
        <f aca="false">IF(D8="","",IFERROR(VLOOKUP($D8,cfg_LT,4,FALSE()),""))</f>
        <v>نعم</v>
      </c>
      <c r="M8" s="80" t="str">
        <f aca="false">IF(D8="","",IFERROR(VLOOKUP($D8,cfg_LT,5,FALSE()),""))</f>
        <v>لا</v>
      </c>
      <c r="N8" s="97" t="n">
        <f aca="false">IF(OR(OR($B8="",$E8="",$F8=""),M8&lt;&gt;"نعم"),0,G8*J8*IFERROR(INDEX(الموظفون!$R$6:$R$105,MATCH(B8,الموظفون!$B$6:$B$105,0)),0)/cfg_DAYS_M)</f>
        <v>0</v>
      </c>
      <c r="O8" s="93" t="str">
        <f aca="false">IF(OR(OR($B8="",$E8="",$F8=""),M8&lt;&gt;"نعم"),"",IF(YEAR(E8)=cfg_FY,MONTH(E8),""))</f>
        <v/>
      </c>
      <c r="P8" s="80" t="str">
        <f aca="false">IF(B8="","",IF(OR(D8="",E8="",F8=""),"⚠ أكمل النوع والتواريخ",IF(F8&lt;E8,"✖ النهاية قبل البداية",IF(COUNTIFS($B$6:$B$505,B8,$E$6:$E$505,"&lt;="&amp;F8,$F$6:$F$505,"&gt;="&amp;E8)&gt;1,"⚠ تداخل مع سجل آخر",IF(E8&gt;cfg_VAL_DATE,"⏳ قادمة",IF(F8&lt;cfg_VAL_DATE,"✔ منتهية","✈ جارية في تاريخ التقرير"))))))</f>
        <v>✔ منتهية</v>
      </c>
      <c r="Q8" s="79" t="s">
        <v>400</v>
      </c>
      <c r="R8" s="57" t="n">
        <f aca="false">IF(OR(OR($B8="",$E8="",$F8=""),L8&lt;&gt;"لا"),0,MAX(0,MIN(F8,cfg_Y_START-1)-E8+1))</f>
        <v>0</v>
      </c>
      <c r="S8" s="57" t="n">
        <f aca="false">IF(OR(OR($B8="",$E8="",$F8=""),L8&lt;&gt;"لا"),0,MAX(0,MIN(F8,cfg_VAL_DATE)-E8+1))</f>
        <v>0</v>
      </c>
      <c r="T8" s="57" t="n">
        <f aca="false">IF(OR(OR($B8="",$E8="",$F8=""),K8&lt;&gt;"نعم"),0,IF(M8="نعم",IF(AND(ISNUMBER(O8),N(O8)&lt;=cfg_VAL_M),G8,0),MAX(0,MIN(F8,cfg_VAL_DATE)-MAX(E8,cfg_Y_START)+1)))</f>
        <v>0</v>
      </c>
      <c r="V8" s="57" t="n">
        <f aca="false">IF(OR($B8="",$E8="",$F8=""),0,MAX(0,MIN($F8,EOMONTH(DATE(cfg_FY,1,1),0))-MAX($E8,DATE(cfg_FY,1,1))+1)*(1-IF($M8="نعم",0,N($J8))))</f>
        <v>0</v>
      </c>
      <c r="W8" s="57" t="n">
        <f aca="false">IF(OR($B8="",$E8="",$F8=""),0,MAX(0,MIN($F8,EOMONTH(DATE(cfg_FY,2,1),0))-MAX($E8,DATE(cfg_FY,2,1))+1)*(1-IF($M8="نعم",0,N($J8))))</f>
        <v>0</v>
      </c>
      <c r="X8" s="57" t="n">
        <f aca="false">IF(OR($B8="",$E8="",$F8=""),0,MAX(0,MIN($F8,EOMONTH(DATE(cfg_FY,3,1),0))-MAX($E8,DATE(cfg_FY,3,1))+1)*(1-IF($M8="نعم",0,N($J8))))</f>
        <v>0</v>
      </c>
      <c r="Y8" s="57" t="n">
        <f aca="false">IF(OR($B8="",$E8="",$F8=""),0,MAX(0,MIN($F8,EOMONTH(DATE(cfg_FY,4,1),0))-MAX($E8,DATE(cfg_FY,4,1))+1)*(1-IF($M8="نعم",0,N($J8))))</f>
        <v>0</v>
      </c>
      <c r="Z8" s="57" t="n">
        <f aca="false">IF(OR($B8="",$E8="",$F8=""),0,MAX(0,MIN($F8,EOMONTH(DATE(cfg_FY,5,1),0))-MAX($E8,DATE(cfg_FY,5,1))+1)*(1-IF($M8="نعم",0,N($J8))))</f>
        <v>0</v>
      </c>
      <c r="AA8" s="57" t="n">
        <f aca="false">IF(OR($B8="",$E8="",$F8=""),0,MAX(0,MIN($F8,EOMONTH(DATE(cfg_FY,6,1),0))-MAX($E8,DATE(cfg_FY,6,1))+1)*(1-IF($M8="نعم",0,N($J8))))</f>
        <v>0</v>
      </c>
      <c r="AB8" s="57" t="n">
        <f aca="false">IF(OR($B8="",$E8="",$F8=""),0,MAX(0,MIN($F8,EOMONTH(DATE(cfg_FY,7,1),0))-MAX($E8,DATE(cfg_FY,7,1))+1)*(1-IF($M8="نعم",0,N($J8))))</f>
        <v>0</v>
      </c>
      <c r="AC8" s="57" t="n">
        <f aca="false">IF(OR($B8="",$E8="",$F8=""),0,MAX(0,MIN($F8,EOMONTH(DATE(cfg_FY,8,1),0))-MAX($E8,DATE(cfg_FY,8,1))+1)*(1-IF($M8="نعم",0,N($J8))))</f>
        <v>0</v>
      </c>
      <c r="AD8" s="57" t="n">
        <f aca="false">IF(OR($B8="",$E8="",$F8=""),0,MAX(0,MIN($F8,EOMONTH(DATE(cfg_FY,9,1),0))-MAX($E8,DATE(cfg_FY,9,1))+1)*(1-IF($M8="نعم",0,N($J8))))</f>
        <v>0</v>
      </c>
      <c r="AE8" s="57" t="n">
        <f aca="false">IF(OR($B8="",$E8="",$F8=""),0,MAX(0,MIN($F8,EOMONTH(DATE(cfg_FY,10,1),0))-MAX($E8,DATE(cfg_FY,10,1))+1)*(1-IF($M8="نعم",0,N($J8))))</f>
        <v>0</v>
      </c>
      <c r="AF8" s="57" t="n">
        <f aca="false">IF(OR($B8="",$E8="",$F8=""),0,MAX(0,MIN($F8,EOMONTH(DATE(cfg_FY,11,1),0))-MAX($E8,DATE(cfg_FY,11,1))+1)*(1-IF($M8="نعم",0,N($J8))))</f>
        <v>0</v>
      </c>
      <c r="AG8" s="57" t="n">
        <f aca="false">IF(OR($B8="",$E8="",$F8=""),0,MAX(0,MIN($F8,EOMONTH(DATE(cfg_FY,12,1),0))-MAX($E8,DATE(cfg_FY,12,1))+1)*(1-IF($M8="نعم",0,N($J8))))</f>
        <v>0</v>
      </c>
      <c r="AH8" s="57" t="n">
        <f aca="false">IF(OR(OR($B8="",$E8="",$F8=""),$L8&lt;&gt;"لا"),0,MAX(0,MIN($F8,EOMONTH(DATE(cfg_FY,1,1),0))-$E8+1))</f>
        <v>0</v>
      </c>
      <c r="AI8" s="57" t="n">
        <f aca="false">IF(OR(OR($B8="",$E8="",$F8=""),$L8&lt;&gt;"لا"),0,MAX(0,MIN($F8,EOMONTH(DATE(cfg_FY,2,1),0))-$E8+1))</f>
        <v>0</v>
      </c>
      <c r="AJ8" s="57" t="n">
        <f aca="false">IF(OR(OR($B8="",$E8="",$F8=""),$L8&lt;&gt;"لا"),0,MAX(0,MIN($F8,EOMONTH(DATE(cfg_FY,3,1),0))-$E8+1))</f>
        <v>0</v>
      </c>
      <c r="AK8" s="57" t="n">
        <f aca="false">IF(OR(OR($B8="",$E8="",$F8=""),$L8&lt;&gt;"لا"),0,MAX(0,MIN($F8,EOMONTH(DATE(cfg_FY,4,1),0))-$E8+1))</f>
        <v>0</v>
      </c>
      <c r="AL8" s="57" t="n">
        <f aca="false">IF(OR(OR($B8="",$E8="",$F8=""),$L8&lt;&gt;"لا"),0,MAX(0,MIN($F8,EOMONTH(DATE(cfg_FY,5,1),0))-$E8+1))</f>
        <v>0</v>
      </c>
      <c r="AM8" s="57" t="n">
        <f aca="false">IF(OR(OR($B8="",$E8="",$F8=""),$L8&lt;&gt;"لا"),0,MAX(0,MIN($F8,EOMONTH(DATE(cfg_FY,6,1),0))-$E8+1))</f>
        <v>0</v>
      </c>
      <c r="AN8" s="57" t="n">
        <f aca="false">IF(OR(OR($B8="",$E8="",$F8=""),$L8&lt;&gt;"لا"),0,MAX(0,MIN($F8,EOMONTH(DATE(cfg_FY,7,1),0))-$E8+1))</f>
        <v>0</v>
      </c>
      <c r="AO8" s="57" t="n">
        <f aca="false">IF(OR(OR($B8="",$E8="",$F8=""),$L8&lt;&gt;"لا"),0,MAX(0,MIN($F8,EOMONTH(DATE(cfg_FY,8,1),0))-$E8+1))</f>
        <v>0</v>
      </c>
      <c r="AP8" s="57" t="n">
        <f aca="false">IF(OR(OR($B8="",$E8="",$F8=""),$L8&lt;&gt;"لا"),0,MAX(0,MIN($F8,EOMONTH(DATE(cfg_FY,9,1),0))-$E8+1))</f>
        <v>0</v>
      </c>
      <c r="AQ8" s="57" t="n">
        <f aca="false">IF(OR(OR($B8="",$E8="",$F8=""),$L8&lt;&gt;"لا"),0,MAX(0,MIN($F8,EOMONTH(DATE(cfg_FY,10,1),0))-$E8+1))</f>
        <v>0</v>
      </c>
      <c r="AR8" s="57" t="n">
        <f aca="false">IF(OR(OR($B8="",$E8="",$F8=""),$L8&lt;&gt;"لا"),0,MAX(0,MIN($F8,EOMONTH(DATE(cfg_FY,11,1),0))-$E8+1))</f>
        <v>0</v>
      </c>
      <c r="AS8" s="57" t="n">
        <f aca="false">IF(OR(OR($B8="",$E8="",$F8=""),$L8&lt;&gt;"لا"),0,MAX(0,MIN($F8,EOMONTH(DATE(cfg_FY,12,1),0))-$E8+1))</f>
        <v>0</v>
      </c>
      <c r="AT8" s="57" t="n">
        <f aca="false">IF(OR(OR($B8="",$E8="",$F8=""),$K8&lt;&gt;"نعم",$M8="نعم"),0,MAX(0,MIN($F8,EOMONTH(DATE(cfg_FY,1,1),0))-MAX($E8,DATE(cfg_FY,1,1))+1))</f>
        <v>0</v>
      </c>
      <c r="AU8" s="57" t="n">
        <f aca="false">IF(OR(OR($B8="",$E8="",$F8=""),$K8&lt;&gt;"نعم",$M8="نعم"),0,MAX(0,MIN($F8,EOMONTH(DATE(cfg_FY,2,1),0))-MAX($E8,DATE(cfg_FY,2,1))+1))</f>
        <v>0</v>
      </c>
      <c r="AV8" s="57" t="n">
        <f aca="false">IF(OR(OR($B8="",$E8="",$F8=""),$K8&lt;&gt;"نعم",$M8="نعم"),0,MAX(0,MIN($F8,EOMONTH(DATE(cfg_FY,3,1),0))-MAX($E8,DATE(cfg_FY,3,1))+1))</f>
        <v>0</v>
      </c>
      <c r="AW8" s="57" t="n">
        <f aca="false">IF(OR(OR($B8="",$E8="",$F8=""),$K8&lt;&gt;"نعم",$M8="نعم"),0,MAX(0,MIN($F8,EOMONTH(DATE(cfg_FY,4,1),0))-MAX($E8,DATE(cfg_FY,4,1))+1))</f>
        <v>0</v>
      </c>
      <c r="AX8" s="57" t="n">
        <f aca="false">IF(OR(OR($B8="",$E8="",$F8=""),$K8&lt;&gt;"نعم",$M8="نعم"),0,MAX(0,MIN($F8,EOMONTH(DATE(cfg_FY,5,1),0))-MAX($E8,DATE(cfg_FY,5,1))+1))</f>
        <v>0</v>
      </c>
      <c r="AY8" s="57" t="n">
        <f aca="false">IF(OR(OR($B8="",$E8="",$F8=""),$K8&lt;&gt;"نعم",$M8="نعم"),0,MAX(0,MIN($F8,EOMONTH(DATE(cfg_FY,6,1),0))-MAX($E8,DATE(cfg_FY,6,1))+1))</f>
        <v>0</v>
      </c>
      <c r="AZ8" s="57" t="n">
        <f aca="false">IF(OR(OR($B8="",$E8="",$F8=""),$K8&lt;&gt;"نعم",$M8="نعم"),0,MAX(0,MIN($F8,EOMONTH(DATE(cfg_FY,7,1),0))-MAX($E8,DATE(cfg_FY,7,1))+1))</f>
        <v>0</v>
      </c>
      <c r="BA8" s="57" t="n">
        <f aca="false">IF(OR(OR($B8="",$E8="",$F8=""),$K8&lt;&gt;"نعم",$M8="نعم"),0,MAX(0,MIN($F8,EOMONTH(DATE(cfg_FY,8,1),0))-MAX($E8,DATE(cfg_FY,8,1))+1))</f>
        <v>0</v>
      </c>
      <c r="BB8" s="57" t="n">
        <f aca="false">IF(OR(OR($B8="",$E8="",$F8=""),$K8&lt;&gt;"نعم",$M8="نعم"),0,MAX(0,MIN($F8,EOMONTH(DATE(cfg_FY,9,1),0))-MAX($E8,DATE(cfg_FY,9,1))+1))</f>
        <v>0</v>
      </c>
      <c r="BC8" s="57" t="n">
        <f aca="false">IF(OR(OR($B8="",$E8="",$F8=""),$K8&lt;&gt;"نعم",$M8="نعم"),0,MAX(0,MIN($F8,EOMONTH(DATE(cfg_FY,10,1),0))-MAX($E8,DATE(cfg_FY,10,1))+1))</f>
        <v>0</v>
      </c>
      <c r="BD8" s="57" t="n">
        <f aca="false">IF(OR(OR($B8="",$E8="",$F8=""),$K8&lt;&gt;"نعم",$M8="نعم"),0,MAX(0,MIN($F8,EOMONTH(DATE(cfg_FY,11,1),0))-MAX($E8,DATE(cfg_FY,11,1))+1))</f>
        <v>0</v>
      </c>
      <c r="BE8" s="57" t="n">
        <f aca="false">IF(OR(OR($B8="",$E8="",$F8=""),$K8&lt;&gt;"نعم",$M8="نعم"),0,MAX(0,MIN($F8,EOMONTH(DATE(cfg_FY,12,1),0))-MAX($E8,DATE(cfg_FY,12,1))+1))</f>
        <v>0</v>
      </c>
    </row>
    <row r="9" customFormat="false" ht="15" hidden="false" customHeight="false" outlineLevel="0" collapsed="false">
      <c r="A9" s="100" t="n">
        <f aca="false">IF(B9="","",ROW()-5)</f>
        <v>4</v>
      </c>
      <c r="B9" s="79" t="s">
        <v>356</v>
      </c>
      <c r="C9" s="102" t="str">
        <f aca="false">IF(B9="","",IFERROR(INDEX(الموظفون!$C$6:$C$105,MATCH(B9,الموظفون!$B$6:$B$105,0)),"✖ رقم غير موجود"))</f>
        <v>محمد رفيق</v>
      </c>
      <c r="D9" s="79" t="s">
        <v>171</v>
      </c>
      <c r="E9" s="94" t="n">
        <v>46174</v>
      </c>
      <c r="F9" s="94" t="n">
        <v>46203</v>
      </c>
      <c r="G9" s="110" t="n">
        <f aca="false">IF(OR($B9="",$E9="",$F9=""),"",MAX(0,F9-E9+1))</f>
        <v>30</v>
      </c>
      <c r="H9" s="111" t="n">
        <f aca="false">IF(D9="","",IFERROR(VLOOKUP(D9,cfg_LT,2,FALSE()),1))</f>
        <v>1</v>
      </c>
      <c r="I9" s="82"/>
      <c r="J9" s="111" t="n">
        <f aca="false">IF(D9="","",IF(I9&lt;&gt;"",I9,H9))</f>
        <v>1</v>
      </c>
      <c r="K9" s="102" t="str">
        <f aca="false">IF(D9="","",IFERROR(VLOOKUP($D9,cfg_LT,3,FALSE()),""))</f>
        <v>نعم</v>
      </c>
      <c r="L9" s="102" t="str">
        <f aca="false">IF(D9="","",IFERROR(VLOOKUP($D9,cfg_LT,4,FALSE()),""))</f>
        <v>نعم</v>
      </c>
      <c r="M9" s="102" t="str">
        <f aca="false">IF(D9="","",IFERROR(VLOOKUP($D9,cfg_LT,5,FALSE()),""))</f>
        <v>نعم</v>
      </c>
      <c r="N9" s="101" t="n">
        <f aca="false">IF(OR(OR($B9="",$E9="",$F9=""),M9&lt;&gt;"نعم"),0,G9*J9*IFERROR(INDEX(الموظفون!$R$6:$R$105,MATCH(B9,الموظفون!$B$6:$B$105,0)),0)/cfg_DAYS_M)</f>
        <v>8775</v>
      </c>
      <c r="O9" s="100" t="n">
        <f aca="false">IF(OR(OR($B9="",$E9="",$F9=""),M9&lt;&gt;"نعم"),"",IF(YEAR(E9)=cfg_FY,MONTH(E9),""))</f>
        <v>6</v>
      </c>
      <c r="P9" s="102" t="str">
        <f aca="false">IF(B9="","",IF(OR(D9="",E9="",F9=""),"⚠ أكمل النوع والتواريخ",IF(F9&lt;E9,"✖ النهاية قبل البداية",IF(COUNTIFS($B$6:$B$505,B9,$E$6:$E$505,"&lt;="&amp;F9,$F$6:$F$505,"&gt;="&amp;E9)&gt;1,"⚠ تداخل مع سجل آخر",IF(E9&gt;cfg_VAL_DATE,"⏳ قادمة",IF(F9&lt;cfg_VAL_DATE,"✔ منتهية","✈ جارية في تاريخ التقرير"))))))</f>
        <v>✔ منتهية</v>
      </c>
      <c r="Q9" s="79" t="s">
        <v>401</v>
      </c>
      <c r="R9" s="110" t="n">
        <f aca="false">IF(OR(OR($B9="",$E9="",$F9=""),L9&lt;&gt;"لا"),0,MAX(0,MIN(F9,cfg_Y_START-1)-E9+1))</f>
        <v>0</v>
      </c>
      <c r="S9" s="110" t="n">
        <f aca="false">IF(OR(OR($B9="",$E9="",$F9=""),L9&lt;&gt;"لا"),0,MAX(0,MIN(F9,cfg_VAL_DATE)-E9+1))</f>
        <v>0</v>
      </c>
      <c r="T9" s="110" t="n">
        <f aca="false">IF(OR(OR($B9="",$E9="",$F9=""),K9&lt;&gt;"نعم"),0,IF(M9="نعم",IF(AND(ISNUMBER(O9),N(O9)&lt;=cfg_VAL_M),G9,0),MAX(0,MIN(F9,cfg_VAL_DATE)-MAX(E9,cfg_Y_START)+1)))</f>
        <v>30</v>
      </c>
      <c r="V9" s="110" t="n">
        <f aca="false">IF(OR($B9="",$E9="",$F9=""),0,MAX(0,MIN($F9,EOMONTH(DATE(cfg_FY,1,1),0))-MAX($E9,DATE(cfg_FY,1,1))+1)*(1-IF($M9="نعم",0,N($J9))))</f>
        <v>0</v>
      </c>
      <c r="W9" s="110" t="n">
        <f aca="false">IF(OR($B9="",$E9="",$F9=""),0,MAX(0,MIN($F9,EOMONTH(DATE(cfg_FY,2,1),0))-MAX($E9,DATE(cfg_FY,2,1))+1)*(1-IF($M9="نعم",0,N($J9))))</f>
        <v>0</v>
      </c>
      <c r="X9" s="110" t="n">
        <f aca="false">IF(OR($B9="",$E9="",$F9=""),0,MAX(0,MIN($F9,EOMONTH(DATE(cfg_FY,3,1),0))-MAX($E9,DATE(cfg_FY,3,1))+1)*(1-IF($M9="نعم",0,N($J9))))</f>
        <v>0</v>
      </c>
      <c r="Y9" s="110" t="n">
        <f aca="false">IF(OR($B9="",$E9="",$F9=""),0,MAX(0,MIN($F9,EOMONTH(DATE(cfg_FY,4,1),0))-MAX($E9,DATE(cfg_FY,4,1))+1)*(1-IF($M9="نعم",0,N($J9))))</f>
        <v>0</v>
      </c>
      <c r="Z9" s="110" t="n">
        <f aca="false">IF(OR($B9="",$E9="",$F9=""),0,MAX(0,MIN($F9,EOMONTH(DATE(cfg_FY,5,1),0))-MAX($E9,DATE(cfg_FY,5,1))+1)*(1-IF($M9="نعم",0,N($J9))))</f>
        <v>0</v>
      </c>
      <c r="AA9" s="110" t="n">
        <f aca="false">IF(OR($B9="",$E9="",$F9=""),0,MAX(0,MIN($F9,EOMONTH(DATE(cfg_FY,6,1),0))-MAX($E9,DATE(cfg_FY,6,1))+1)*(1-IF($M9="نعم",0,N($J9))))</f>
        <v>30</v>
      </c>
      <c r="AB9" s="110" t="n">
        <f aca="false">IF(OR($B9="",$E9="",$F9=""),0,MAX(0,MIN($F9,EOMONTH(DATE(cfg_FY,7,1),0))-MAX($E9,DATE(cfg_FY,7,1))+1)*(1-IF($M9="نعم",0,N($J9))))</f>
        <v>0</v>
      </c>
      <c r="AC9" s="110" t="n">
        <f aca="false">IF(OR($B9="",$E9="",$F9=""),0,MAX(0,MIN($F9,EOMONTH(DATE(cfg_FY,8,1),0))-MAX($E9,DATE(cfg_FY,8,1))+1)*(1-IF($M9="نعم",0,N($J9))))</f>
        <v>0</v>
      </c>
      <c r="AD9" s="110" t="n">
        <f aca="false">IF(OR($B9="",$E9="",$F9=""),0,MAX(0,MIN($F9,EOMONTH(DATE(cfg_FY,9,1),0))-MAX($E9,DATE(cfg_FY,9,1))+1)*(1-IF($M9="نعم",0,N($J9))))</f>
        <v>0</v>
      </c>
      <c r="AE9" s="110" t="n">
        <f aca="false">IF(OR($B9="",$E9="",$F9=""),0,MAX(0,MIN($F9,EOMONTH(DATE(cfg_FY,10,1),0))-MAX($E9,DATE(cfg_FY,10,1))+1)*(1-IF($M9="نعم",0,N($J9))))</f>
        <v>0</v>
      </c>
      <c r="AF9" s="110" t="n">
        <f aca="false">IF(OR($B9="",$E9="",$F9=""),0,MAX(0,MIN($F9,EOMONTH(DATE(cfg_FY,11,1),0))-MAX($E9,DATE(cfg_FY,11,1))+1)*(1-IF($M9="نعم",0,N($J9))))</f>
        <v>0</v>
      </c>
      <c r="AG9" s="110" t="n">
        <f aca="false">IF(OR($B9="",$E9="",$F9=""),0,MAX(0,MIN($F9,EOMONTH(DATE(cfg_FY,12,1),0))-MAX($E9,DATE(cfg_FY,12,1))+1)*(1-IF($M9="نعم",0,N($J9))))</f>
        <v>0</v>
      </c>
      <c r="AH9" s="110" t="n">
        <f aca="false">IF(OR(OR($B9="",$E9="",$F9=""),$L9&lt;&gt;"لا"),0,MAX(0,MIN($F9,EOMONTH(DATE(cfg_FY,1,1),0))-$E9+1))</f>
        <v>0</v>
      </c>
      <c r="AI9" s="110" t="n">
        <f aca="false">IF(OR(OR($B9="",$E9="",$F9=""),$L9&lt;&gt;"لا"),0,MAX(0,MIN($F9,EOMONTH(DATE(cfg_FY,2,1),0))-$E9+1))</f>
        <v>0</v>
      </c>
      <c r="AJ9" s="110" t="n">
        <f aca="false">IF(OR(OR($B9="",$E9="",$F9=""),$L9&lt;&gt;"لا"),0,MAX(0,MIN($F9,EOMONTH(DATE(cfg_FY,3,1),0))-$E9+1))</f>
        <v>0</v>
      </c>
      <c r="AK9" s="110" t="n">
        <f aca="false">IF(OR(OR($B9="",$E9="",$F9=""),$L9&lt;&gt;"لا"),0,MAX(0,MIN($F9,EOMONTH(DATE(cfg_FY,4,1),0))-$E9+1))</f>
        <v>0</v>
      </c>
      <c r="AL9" s="110" t="n">
        <f aca="false">IF(OR(OR($B9="",$E9="",$F9=""),$L9&lt;&gt;"لا"),0,MAX(0,MIN($F9,EOMONTH(DATE(cfg_FY,5,1),0))-$E9+1))</f>
        <v>0</v>
      </c>
      <c r="AM9" s="110" t="n">
        <f aca="false">IF(OR(OR($B9="",$E9="",$F9=""),$L9&lt;&gt;"لا"),0,MAX(0,MIN($F9,EOMONTH(DATE(cfg_FY,6,1),0))-$E9+1))</f>
        <v>0</v>
      </c>
      <c r="AN9" s="110" t="n">
        <f aca="false">IF(OR(OR($B9="",$E9="",$F9=""),$L9&lt;&gt;"لا"),0,MAX(0,MIN($F9,EOMONTH(DATE(cfg_FY,7,1),0))-$E9+1))</f>
        <v>0</v>
      </c>
      <c r="AO9" s="110" t="n">
        <f aca="false">IF(OR(OR($B9="",$E9="",$F9=""),$L9&lt;&gt;"لا"),0,MAX(0,MIN($F9,EOMONTH(DATE(cfg_FY,8,1),0))-$E9+1))</f>
        <v>0</v>
      </c>
      <c r="AP9" s="110" t="n">
        <f aca="false">IF(OR(OR($B9="",$E9="",$F9=""),$L9&lt;&gt;"لا"),0,MAX(0,MIN($F9,EOMONTH(DATE(cfg_FY,9,1),0))-$E9+1))</f>
        <v>0</v>
      </c>
      <c r="AQ9" s="110" t="n">
        <f aca="false">IF(OR(OR($B9="",$E9="",$F9=""),$L9&lt;&gt;"لا"),0,MAX(0,MIN($F9,EOMONTH(DATE(cfg_FY,10,1),0))-$E9+1))</f>
        <v>0</v>
      </c>
      <c r="AR9" s="110" t="n">
        <f aca="false">IF(OR(OR($B9="",$E9="",$F9=""),$L9&lt;&gt;"لا"),0,MAX(0,MIN($F9,EOMONTH(DATE(cfg_FY,11,1),0))-$E9+1))</f>
        <v>0</v>
      </c>
      <c r="AS9" s="110" t="n">
        <f aca="false">IF(OR(OR($B9="",$E9="",$F9=""),$L9&lt;&gt;"لا"),0,MAX(0,MIN($F9,EOMONTH(DATE(cfg_FY,12,1),0))-$E9+1))</f>
        <v>0</v>
      </c>
      <c r="AT9" s="110" t="n">
        <f aca="false">IF(OR(OR($B9="",$E9="",$F9=""),$K9&lt;&gt;"نعم",$M9="نعم"),0,MAX(0,MIN($F9,EOMONTH(DATE(cfg_FY,1,1),0))-MAX($E9,DATE(cfg_FY,1,1))+1))</f>
        <v>0</v>
      </c>
      <c r="AU9" s="110" t="n">
        <f aca="false">IF(OR(OR($B9="",$E9="",$F9=""),$K9&lt;&gt;"نعم",$M9="نعم"),0,MAX(0,MIN($F9,EOMONTH(DATE(cfg_FY,2,1),0))-MAX($E9,DATE(cfg_FY,2,1))+1))</f>
        <v>0</v>
      </c>
      <c r="AV9" s="110" t="n">
        <f aca="false">IF(OR(OR($B9="",$E9="",$F9=""),$K9&lt;&gt;"نعم",$M9="نعم"),0,MAX(0,MIN($F9,EOMONTH(DATE(cfg_FY,3,1),0))-MAX($E9,DATE(cfg_FY,3,1))+1))</f>
        <v>0</v>
      </c>
      <c r="AW9" s="110" t="n">
        <f aca="false">IF(OR(OR($B9="",$E9="",$F9=""),$K9&lt;&gt;"نعم",$M9="نعم"),0,MAX(0,MIN($F9,EOMONTH(DATE(cfg_FY,4,1),0))-MAX($E9,DATE(cfg_FY,4,1))+1))</f>
        <v>0</v>
      </c>
      <c r="AX9" s="110" t="n">
        <f aca="false">IF(OR(OR($B9="",$E9="",$F9=""),$K9&lt;&gt;"نعم",$M9="نعم"),0,MAX(0,MIN($F9,EOMONTH(DATE(cfg_FY,5,1),0))-MAX($E9,DATE(cfg_FY,5,1))+1))</f>
        <v>0</v>
      </c>
      <c r="AY9" s="110" t="n">
        <f aca="false">IF(OR(OR($B9="",$E9="",$F9=""),$K9&lt;&gt;"نعم",$M9="نعم"),0,MAX(0,MIN($F9,EOMONTH(DATE(cfg_FY,6,1),0))-MAX($E9,DATE(cfg_FY,6,1))+1))</f>
        <v>0</v>
      </c>
      <c r="AZ9" s="110" t="n">
        <f aca="false">IF(OR(OR($B9="",$E9="",$F9=""),$K9&lt;&gt;"نعم",$M9="نعم"),0,MAX(0,MIN($F9,EOMONTH(DATE(cfg_FY,7,1),0))-MAX($E9,DATE(cfg_FY,7,1))+1))</f>
        <v>0</v>
      </c>
      <c r="BA9" s="110" t="n">
        <f aca="false">IF(OR(OR($B9="",$E9="",$F9=""),$K9&lt;&gt;"نعم",$M9="نعم"),0,MAX(0,MIN($F9,EOMONTH(DATE(cfg_FY,8,1),0))-MAX($E9,DATE(cfg_FY,8,1))+1))</f>
        <v>0</v>
      </c>
      <c r="BB9" s="110" t="n">
        <f aca="false">IF(OR(OR($B9="",$E9="",$F9=""),$K9&lt;&gt;"نعم",$M9="نعم"),0,MAX(0,MIN($F9,EOMONTH(DATE(cfg_FY,9,1),0))-MAX($E9,DATE(cfg_FY,9,1))+1))</f>
        <v>0</v>
      </c>
      <c r="BC9" s="110" t="n">
        <f aca="false">IF(OR(OR($B9="",$E9="",$F9=""),$K9&lt;&gt;"نعم",$M9="نعم"),0,MAX(0,MIN($F9,EOMONTH(DATE(cfg_FY,10,1),0))-MAX($E9,DATE(cfg_FY,10,1))+1))</f>
        <v>0</v>
      </c>
      <c r="BD9" s="110" t="n">
        <f aca="false">IF(OR(OR($B9="",$E9="",$F9=""),$K9&lt;&gt;"نعم",$M9="نعم"),0,MAX(0,MIN($F9,EOMONTH(DATE(cfg_FY,11,1),0))-MAX($E9,DATE(cfg_FY,11,1))+1))</f>
        <v>0</v>
      </c>
      <c r="BE9" s="110" t="n">
        <f aca="false">IF(OR(OR($B9="",$E9="",$F9=""),$K9&lt;&gt;"نعم",$M9="نعم"),0,MAX(0,MIN($F9,EOMONTH(DATE(cfg_FY,12,1),0))-MAX($E9,DATE(cfg_FY,12,1))+1))</f>
        <v>0</v>
      </c>
    </row>
    <row r="10" customFormat="false" ht="15" hidden="false" customHeight="false" outlineLevel="0" collapsed="false">
      <c r="A10" s="93" t="n">
        <f aca="false">IF(B10="","",ROW()-5)</f>
        <v>5</v>
      </c>
      <c r="B10" s="79" t="s">
        <v>325</v>
      </c>
      <c r="C10" s="80" t="str">
        <f aca="false">IF(B10="","",IFERROR(INDEX(الموظفون!$C$6:$C$105,MATCH(B10,الموظفون!$B$6:$B$105,0)),"✖ رقم غير موجود"))</f>
        <v>نورة خالد الدوسري</v>
      </c>
      <c r="D10" s="79" t="s">
        <v>163</v>
      </c>
      <c r="E10" s="94" t="n">
        <v>46208</v>
      </c>
      <c r="F10" s="94" t="n">
        <v>46222</v>
      </c>
      <c r="G10" s="57" t="n">
        <f aca="false">IF(OR($B10="",$E10="",$F10=""),"",MAX(0,F10-E10+1))</f>
        <v>15</v>
      </c>
      <c r="H10" s="58" t="n">
        <f aca="false">IF(D10="","",IFERROR(VLOOKUP(D10,cfg_LT,2,FALSE()),1))</f>
        <v>1</v>
      </c>
      <c r="I10" s="82"/>
      <c r="J10" s="58" t="n">
        <f aca="false">IF(D10="","",IF(I10&lt;&gt;"",I10,H10))</f>
        <v>1</v>
      </c>
      <c r="K10" s="80" t="str">
        <f aca="false">IF(D10="","",IFERROR(VLOOKUP($D10,cfg_LT,3,FALSE()),""))</f>
        <v>نعم</v>
      </c>
      <c r="L10" s="80" t="str">
        <f aca="false">IF(D10="","",IFERROR(VLOOKUP($D10,cfg_LT,4,FALSE()),""))</f>
        <v>نعم</v>
      </c>
      <c r="M10" s="80" t="str">
        <f aca="false">IF(D10="","",IFERROR(VLOOKUP($D10,cfg_LT,5,FALSE()),""))</f>
        <v>لا</v>
      </c>
      <c r="N10" s="97" t="n">
        <f aca="false">IF(OR(OR($B10="",$E10="",$F10=""),M10&lt;&gt;"نعم"),0,G10*J10*IFERROR(INDEX(الموظفون!$R$6:$R$105,MATCH(B10,الموظفون!$B$6:$B$105,0)),0)/cfg_DAYS_M)</f>
        <v>0</v>
      </c>
      <c r="O10" s="93" t="str">
        <f aca="false">IF(OR(OR($B10="",$E10="",$F10=""),M10&lt;&gt;"نعم"),"",IF(YEAR(E10)=cfg_FY,MONTH(E10),""))</f>
        <v/>
      </c>
      <c r="P10" s="80" t="str">
        <f aca="false">IF(B10="","",IF(OR(D10="",E10="",F10=""),"⚠ أكمل النوع والتواريخ",IF(F10&lt;E10,"✖ النهاية قبل البداية",IF(COUNTIFS($B$6:$B$505,B10,$E$6:$E$505,"&lt;="&amp;F10,$F$6:$F$505,"&gt;="&amp;E10)&gt;1,"⚠ تداخل مع سجل آخر",IF(E10&gt;cfg_VAL_DATE,"⏳ قادمة",IF(F10&lt;cfg_VAL_DATE,"✔ منتهية","✈ جارية في تاريخ التقرير"))))))</f>
        <v>✔ منتهية</v>
      </c>
      <c r="Q10" s="79" t="s">
        <v>402</v>
      </c>
      <c r="R10" s="57" t="n">
        <f aca="false">IF(OR(OR($B10="",$E10="",$F10=""),L10&lt;&gt;"لا"),0,MAX(0,MIN(F10,cfg_Y_START-1)-E10+1))</f>
        <v>0</v>
      </c>
      <c r="S10" s="57" t="n">
        <f aca="false">IF(OR(OR($B10="",$E10="",$F10=""),L10&lt;&gt;"لا"),0,MAX(0,MIN(F10,cfg_VAL_DATE)-E10+1))</f>
        <v>0</v>
      </c>
      <c r="T10" s="57" t="n">
        <f aca="false">IF(OR(OR($B10="",$E10="",$F10=""),K10&lt;&gt;"نعم"),0,IF(M10="نعم",IF(AND(ISNUMBER(O10),N(O10)&lt;=cfg_VAL_M),G10,0),MAX(0,MIN(F10,cfg_VAL_DATE)-MAX(E10,cfg_Y_START)+1)))</f>
        <v>15</v>
      </c>
      <c r="V10" s="57" t="n">
        <f aca="false">IF(OR($B10="",$E10="",$F10=""),0,MAX(0,MIN($F10,EOMONTH(DATE(cfg_FY,1,1),0))-MAX($E10,DATE(cfg_FY,1,1))+1)*(1-IF($M10="نعم",0,N($J10))))</f>
        <v>0</v>
      </c>
      <c r="W10" s="57" t="n">
        <f aca="false">IF(OR($B10="",$E10="",$F10=""),0,MAX(0,MIN($F10,EOMONTH(DATE(cfg_FY,2,1),0))-MAX($E10,DATE(cfg_FY,2,1))+1)*(1-IF($M10="نعم",0,N($J10))))</f>
        <v>0</v>
      </c>
      <c r="X10" s="57" t="n">
        <f aca="false">IF(OR($B10="",$E10="",$F10=""),0,MAX(0,MIN($F10,EOMONTH(DATE(cfg_FY,3,1),0))-MAX($E10,DATE(cfg_FY,3,1))+1)*(1-IF($M10="نعم",0,N($J10))))</f>
        <v>0</v>
      </c>
      <c r="Y10" s="57" t="n">
        <f aca="false">IF(OR($B10="",$E10="",$F10=""),0,MAX(0,MIN($F10,EOMONTH(DATE(cfg_FY,4,1),0))-MAX($E10,DATE(cfg_FY,4,1))+1)*(1-IF($M10="نعم",0,N($J10))))</f>
        <v>0</v>
      </c>
      <c r="Z10" s="57" t="n">
        <f aca="false">IF(OR($B10="",$E10="",$F10=""),0,MAX(0,MIN($F10,EOMONTH(DATE(cfg_FY,5,1),0))-MAX($E10,DATE(cfg_FY,5,1))+1)*(1-IF($M10="نعم",0,N($J10))))</f>
        <v>0</v>
      </c>
      <c r="AA10" s="57" t="n">
        <f aca="false">IF(OR($B10="",$E10="",$F10=""),0,MAX(0,MIN($F10,EOMONTH(DATE(cfg_FY,6,1),0))-MAX($E10,DATE(cfg_FY,6,1))+1)*(1-IF($M10="نعم",0,N($J10))))</f>
        <v>0</v>
      </c>
      <c r="AB10" s="57" t="n">
        <f aca="false">IF(OR($B10="",$E10="",$F10=""),0,MAX(0,MIN($F10,EOMONTH(DATE(cfg_FY,7,1),0))-MAX($E10,DATE(cfg_FY,7,1))+1)*(1-IF($M10="نعم",0,N($J10))))</f>
        <v>0</v>
      </c>
      <c r="AC10" s="57" t="n">
        <f aca="false">IF(OR($B10="",$E10="",$F10=""),0,MAX(0,MIN($F10,EOMONTH(DATE(cfg_FY,8,1),0))-MAX($E10,DATE(cfg_FY,8,1))+1)*(1-IF($M10="نعم",0,N($J10))))</f>
        <v>0</v>
      </c>
      <c r="AD10" s="57" t="n">
        <f aca="false">IF(OR($B10="",$E10="",$F10=""),0,MAX(0,MIN($F10,EOMONTH(DATE(cfg_FY,9,1),0))-MAX($E10,DATE(cfg_FY,9,1))+1)*(1-IF($M10="نعم",0,N($J10))))</f>
        <v>0</v>
      </c>
      <c r="AE10" s="57" t="n">
        <f aca="false">IF(OR($B10="",$E10="",$F10=""),0,MAX(0,MIN($F10,EOMONTH(DATE(cfg_FY,10,1),0))-MAX($E10,DATE(cfg_FY,10,1))+1)*(1-IF($M10="نعم",0,N($J10))))</f>
        <v>0</v>
      </c>
      <c r="AF10" s="57" t="n">
        <f aca="false">IF(OR($B10="",$E10="",$F10=""),0,MAX(0,MIN($F10,EOMONTH(DATE(cfg_FY,11,1),0))-MAX($E10,DATE(cfg_FY,11,1))+1)*(1-IF($M10="نعم",0,N($J10))))</f>
        <v>0</v>
      </c>
      <c r="AG10" s="57" t="n">
        <f aca="false">IF(OR($B10="",$E10="",$F10=""),0,MAX(0,MIN($F10,EOMONTH(DATE(cfg_FY,12,1),0))-MAX($E10,DATE(cfg_FY,12,1))+1)*(1-IF($M10="نعم",0,N($J10))))</f>
        <v>0</v>
      </c>
      <c r="AH10" s="57" t="n">
        <f aca="false">IF(OR(OR($B10="",$E10="",$F10=""),$L10&lt;&gt;"لا"),0,MAX(0,MIN($F10,EOMONTH(DATE(cfg_FY,1,1),0))-$E10+1))</f>
        <v>0</v>
      </c>
      <c r="AI10" s="57" t="n">
        <f aca="false">IF(OR(OR($B10="",$E10="",$F10=""),$L10&lt;&gt;"لا"),0,MAX(0,MIN($F10,EOMONTH(DATE(cfg_FY,2,1),0))-$E10+1))</f>
        <v>0</v>
      </c>
      <c r="AJ10" s="57" t="n">
        <f aca="false">IF(OR(OR($B10="",$E10="",$F10=""),$L10&lt;&gt;"لا"),0,MAX(0,MIN($F10,EOMONTH(DATE(cfg_FY,3,1),0))-$E10+1))</f>
        <v>0</v>
      </c>
      <c r="AK10" s="57" t="n">
        <f aca="false">IF(OR(OR($B10="",$E10="",$F10=""),$L10&lt;&gt;"لا"),0,MAX(0,MIN($F10,EOMONTH(DATE(cfg_FY,4,1),0))-$E10+1))</f>
        <v>0</v>
      </c>
      <c r="AL10" s="57" t="n">
        <f aca="false">IF(OR(OR($B10="",$E10="",$F10=""),$L10&lt;&gt;"لا"),0,MAX(0,MIN($F10,EOMONTH(DATE(cfg_FY,5,1),0))-$E10+1))</f>
        <v>0</v>
      </c>
      <c r="AM10" s="57" t="n">
        <f aca="false">IF(OR(OR($B10="",$E10="",$F10=""),$L10&lt;&gt;"لا"),0,MAX(0,MIN($F10,EOMONTH(DATE(cfg_FY,6,1),0))-$E10+1))</f>
        <v>0</v>
      </c>
      <c r="AN10" s="57" t="n">
        <f aca="false">IF(OR(OR($B10="",$E10="",$F10=""),$L10&lt;&gt;"لا"),0,MAX(0,MIN($F10,EOMONTH(DATE(cfg_FY,7,1),0))-$E10+1))</f>
        <v>0</v>
      </c>
      <c r="AO10" s="57" t="n">
        <f aca="false">IF(OR(OR($B10="",$E10="",$F10=""),$L10&lt;&gt;"لا"),0,MAX(0,MIN($F10,EOMONTH(DATE(cfg_FY,8,1),0))-$E10+1))</f>
        <v>0</v>
      </c>
      <c r="AP10" s="57" t="n">
        <f aca="false">IF(OR(OR($B10="",$E10="",$F10=""),$L10&lt;&gt;"لا"),0,MAX(0,MIN($F10,EOMONTH(DATE(cfg_FY,9,1),0))-$E10+1))</f>
        <v>0</v>
      </c>
      <c r="AQ10" s="57" t="n">
        <f aca="false">IF(OR(OR($B10="",$E10="",$F10=""),$L10&lt;&gt;"لا"),0,MAX(0,MIN($F10,EOMONTH(DATE(cfg_FY,10,1),0))-$E10+1))</f>
        <v>0</v>
      </c>
      <c r="AR10" s="57" t="n">
        <f aca="false">IF(OR(OR($B10="",$E10="",$F10=""),$L10&lt;&gt;"لا"),0,MAX(0,MIN($F10,EOMONTH(DATE(cfg_FY,11,1),0))-$E10+1))</f>
        <v>0</v>
      </c>
      <c r="AS10" s="57" t="n">
        <f aca="false">IF(OR(OR($B10="",$E10="",$F10=""),$L10&lt;&gt;"لا"),0,MAX(0,MIN($F10,EOMONTH(DATE(cfg_FY,12,1),0))-$E10+1))</f>
        <v>0</v>
      </c>
      <c r="AT10" s="57" t="n">
        <f aca="false">IF(OR(OR($B10="",$E10="",$F10=""),$K10&lt;&gt;"نعم",$M10="نعم"),0,MAX(0,MIN($F10,EOMONTH(DATE(cfg_FY,1,1),0))-MAX($E10,DATE(cfg_FY,1,1))+1))</f>
        <v>0</v>
      </c>
      <c r="AU10" s="57" t="n">
        <f aca="false">IF(OR(OR($B10="",$E10="",$F10=""),$K10&lt;&gt;"نعم",$M10="نعم"),0,MAX(0,MIN($F10,EOMONTH(DATE(cfg_FY,2,1),0))-MAX($E10,DATE(cfg_FY,2,1))+1))</f>
        <v>0</v>
      </c>
      <c r="AV10" s="57" t="n">
        <f aca="false">IF(OR(OR($B10="",$E10="",$F10=""),$K10&lt;&gt;"نعم",$M10="نعم"),0,MAX(0,MIN($F10,EOMONTH(DATE(cfg_FY,3,1),0))-MAX($E10,DATE(cfg_FY,3,1))+1))</f>
        <v>0</v>
      </c>
      <c r="AW10" s="57" t="n">
        <f aca="false">IF(OR(OR($B10="",$E10="",$F10=""),$K10&lt;&gt;"نعم",$M10="نعم"),0,MAX(0,MIN($F10,EOMONTH(DATE(cfg_FY,4,1),0))-MAX($E10,DATE(cfg_FY,4,1))+1))</f>
        <v>0</v>
      </c>
      <c r="AX10" s="57" t="n">
        <f aca="false">IF(OR(OR($B10="",$E10="",$F10=""),$K10&lt;&gt;"نعم",$M10="نعم"),0,MAX(0,MIN($F10,EOMONTH(DATE(cfg_FY,5,1),0))-MAX($E10,DATE(cfg_FY,5,1))+1))</f>
        <v>0</v>
      </c>
      <c r="AY10" s="57" t="n">
        <f aca="false">IF(OR(OR($B10="",$E10="",$F10=""),$K10&lt;&gt;"نعم",$M10="نعم"),0,MAX(0,MIN($F10,EOMONTH(DATE(cfg_FY,6,1),0))-MAX($E10,DATE(cfg_FY,6,1))+1))</f>
        <v>0</v>
      </c>
      <c r="AZ10" s="57" t="n">
        <f aca="false">IF(OR(OR($B10="",$E10="",$F10=""),$K10&lt;&gt;"نعم",$M10="نعم"),0,MAX(0,MIN($F10,EOMONTH(DATE(cfg_FY,7,1),0))-MAX($E10,DATE(cfg_FY,7,1))+1))</f>
        <v>15</v>
      </c>
      <c r="BA10" s="57" t="n">
        <f aca="false">IF(OR(OR($B10="",$E10="",$F10=""),$K10&lt;&gt;"نعم",$M10="نعم"),0,MAX(0,MIN($F10,EOMONTH(DATE(cfg_FY,8,1),0))-MAX($E10,DATE(cfg_FY,8,1))+1))</f>
        <v>0</v>
      </c>
      <c r="BB10" s="57" t="n">
        <f aca="false">IF(OR(OR($B10="",$E10="",$F10=""),$K10&lt;&gt;"نعم",$M10="نعم"),0,MAX(0,MIN($F10,EOMONTH(DATE(cfg_FY,9,1),0))-MAX($E10,DATE(cfg_FY,9,1))+1))</f>
        <v>0</v>
      </c>
      <c r="BC10" s="57" t="n">
        <f aca="false">IF(OR(OR($B10="",$E10="",$F10=""),$K10&lt;&gt;"نعم",$M10="نعم"),0,MAX(0,MIN($F10,EOMONTH(DATE(cfg_FY,10,1),0))-MAX($E10,DATE(cfg_FY,10,1))+1))</f>
        <v>0</v>
      </c>
      <c r="BD10" s="57" t="n">
        <f aca="false">IF(OR(OR($B10="",$E10="",$F10=""),$K10&lt;&gt;"نعم",$M10="نعم"),0,MAX(0,MIN($F10,EOMONTH(DATE(cfg_FY,11,1),0))-MAX($E10,DATE(cfg_FY,11,1))+1))</f>
        <v>0</v>
      </c>
      <c r="BE10" s="57" t="n">
        <f aca="false">IF(OR(OR($B10="",$E10="",$F10=""),$K10&lt;&gt;"نعم",$M10="نعم"),0,MAX(0,MIN($F10,EOMONTH(DATE(cfg_FY,12,1),0))-MAX($E10,DATE(cfg_FY,12,1))+1))</f>
        <v>0</v>
      </c>
    </row>
    <row r="11" customFormat="false" ht="15" hidden="false" customHeight="false" outlineLevel="0" collapsed="false">
      <c r="A11" s="100" t="n">
        <f aca="false">IF(B11="","",ROW()-5)</f>
        <v>6</v>
      </c>
      <c r="B11" s="79" t="s">
        <v>313</v>
      </c>
      <c r="C11" s="102" t="str">
        <f aca="false">IF(B11="","",IFERROR(INDEX(الموظفون!$C$6:$C$105,MATCH(B11,الموظفون!$B$6:$B$105,0)),"✖ رقم غير موجود"))</f>
        <v>أحمد سعيد القحطاني</v>
      </c>
      <c r="D11" s="79" t="s">
        <v>163</v>
      </c>
      <c r="E11" s="94" t="n">
        <v>46215</v>
      </c>
      <c r="F11" s="94" t="n">
        <v>46234</v>
      </c>
      <c r="G11" s="110" t="n">
        <f aca="false">IF(OR($B11="",$E11="",$F11=""),"",MAX(0,F11-E11+1))</f>
        <v>20</v>
      </c>
      <c r="H11" s="111" t="n">
        <f aca="false">IF(D11="","",IFERROR(VLOOKUP(D11,cfg_LT,2,FALSE()),1))</f>
        <v>1</v>
      </c>
      <c r="I11" s="82"/>
      <c r="J11" s="111" t="n">
        <f aca="false">IF(D11="","",IF(I11&lt;&gt;"",I11,H11))</f>
        <v>1</v>
      </c>
      <c r="K11" s="102" t="str">
        <f aca="false">IF(D11="","",IFERROR(VLOOKUP($D11,cfg_LT,3,FALSE()),""))</f>
        <v>نعم</v>
      </c>
      <c r="L11" s="102" t="str">
        <f aca="false">IF(D11="","",IFERROR(VLOOKUP($D11,cfg_LT,4,FALSE()),""))</f>
        <v>نعم</v>
      </c>
      <c r="M11" s="102" t="str">
        <f aca="false">IF(D11="","",IFERROR(VLOOKUP($D11,cfg_LT,5,FALSE()),""))</f>
        <v>لا</v>
      </c>
      <c r="N11" s="101" t="n">
        <f aca="false">IF(OR(OR($B11="",$E11="",$F11=""),M11&lt;&gt;"نعم"),0,G11*J11*IFERROR(INDEX(الموظفون!$R$6:$R$105,MATCH(B11,الموظفون!$B$6:$B$105,0)),0)/cfg_DAYS_M)</f>
        <v>0</v>
      </c>
      <c r="O11" s="100" t="str">
        <f aca="false">IF(OR(OR($B11="",$E11="",$F11=""),M11&lt;&gt;"نعم"),"",IF(YEAR(E11)=cfg_FY,MONTH(E11),""))</f>
        <v/>
      </c>
      <c r="P11" s="102" t="str">
        <f aca="false">IF(B11="","",IF(OR(D11="",E11="",F11=""),"⚠ أكمل النوع والتواريخ",IF(F11&lt;E11,"✖ النهاية قبل البداية",IF(COUNTIFS($B$6:$B$505,B11,$E$6:$E$505,"&lt;="&amp;F11,$F$6:$F$505,"&gt;="&amp;E11)&gt;1,"⚠ تداخل مع سجل آخر",IF(E11&gt;cfg_VAL_DATE,"⏳ قادمة",IF(F11&lt;cfg_VAL_DATE,"✔ منتهية","✈ جارية في تاريخ التقرير"))))))</f>
        <v>✔ منتهية</v>
      </c>
      <c r="Q11" s="79" t="s">
        <v>402</v>
      </c>
      <c r="R11" s="110" t="n">
        <f aca="false">IF(OR(OR($B11="",$E11="",$F11=""),L11&lt;&gt;"لا"),0,MAX(0,MIN(F11,cfg_Y_START-1)-E11+1))</f>
        <v>0</v>
      </c>
      <c r="S11" s="110" t="n">
        <f aca="false">IF(OR(OR($B11="",$E11="",$F11=""),L11&lt;&gt;"لا"),0,MAX(0,MIN(F11,cfg_VAL_DATE)-E11+1))</f>
        <v>0</v>
      </c>
      <c r="T11" s="110" t="n">
        <f aca="false">IF(OR(OR($B11="",$E11="",$F11=""),K11&lt;&gt;"نعم"),0,IF(M11="نعم",IF(AND(ISNUMBER(O11),N(O11)&lt;=cfg_VAL_M),G11,0),MAX(0,MIN(F11,cfg_VAL_DATE)-MAX(E11,cfg_Y_START)+1)))</f>
        <v>20</v>
      </c>
      <c r="V11" s="110" t="n">
        <f aca="false">IF(OR($B11="",$E11="",$F11=""),0,MAX(0,MIN($F11,EOMONTH(DATE(cfg_FY,1,1),0))-MAX($E11,DATE(cfg_FY,1,1))+1)*(1-IF($M11="نعم",0,N($J11))))</f>
        <v>0</v>
      </c>
      <c r="W11" s="110" t="n">
        <f aca="false">IF(OR($B11="",$E11="",$F11=""),0,MAX(0,MIN($F11,EOMONTH(DATE(cfg_FY,2,1),0))-MAX($E11,DATE(cfg_FY,2,1))+1)*(1-IF($M11="نعم",0,N($J11))))</f>
        <v>0</v>
      </c>
      <c r="X11" s="110" t="n">
        <f aca="false">IF(OR($B11="",$E11="",$F11=""),0,MAX(0,MIN($F11,EOMONTH(DATE(cfg_FY,3,1),0))-MAX($E11,DATE(cfg_FY,3,1))+1)*(1-IF($M11="نعم",0,N($J11))))</f>
        <v>0</v>
      </c>
      <c r="Y11" s="110" t="n">
        <f aca="false">IF(OR($B11="",$E11="",$F11=""),0,MAX(0,MIN($F11,EOMONTH(DATE(cfg_FY,4,1),0))-MAX($E11,DATE(cfg_FY,4,1))+1)*(1-IF($M11="نعم",0,N($J11))))</f>
        <v>0</v>
      </c>
      <c r="Z11" s="110" t="n">
        <f aca="false">IF(OR($B11="",$E11="",$F11=""),0,MAX(0,MIN($F11,EOMONTH(DATE(cfg_FY,5,1),0))-MAX($E11,DATE(cfg_FY,5,1))+1)*(1-IF($M11="نعم",0,N($J11))))</f>
        <v>0</v>
      </c>
      <c r="AA11" s="110" t="n">
        <f aca="false">IF(OR($B11="",$E11="",$F11=""),0,MAX(0,MIN($F11,EOMONTH(DATE(cfg_FY,6,1),0))-MAX($E11,DATE(cfg_FY,6,1))+1)*(1-IF($M11="نعم",0,N($J11))))</f>
        <v>0</v>
      </c>
      <c r="AB11" s="110" t="n">
        <f aca="false">IF(OR($B11="",$E11="",$F11=""),0,MAX(0,MIN($F11,EOMONTH(DATE(cfg_FY,7,1),0))-MAX($E11,DATE(cfg_FY,7,1))+1)*(1-IF($M11="نعم",0,N($J11))))</f>
        <v>0</v>
      </c>
      <c r="AC11" s="110" t="n">
        <f aca="false">IF(OR($B11="",$E11="",$F11=""),0,MAX(0,MIN($F11,EOMONTH(DATE(cfg_FY,8,1),0))-MAX($E11,DATE(cfg_FY,8,1))+1)*(1-IF($M11="نعم",0,N($J11))))</f>
        <v>0</v>
      </c>
      <c r="AD11" s="110" t="n">
        <f aca="false">IF(OR($B11="",$E11="",$F11=""),0,MAX(0,MIN($F11,EOMONTH(DATE(cfg_FY,9,1),0))-MAX($E11,DATE(cfg_FY,9,1))+1)*(1-IF($M11="نعم",0,N($J11))))</f>
        <v>0</v>
      </c>
      <c r="AE11" s="110" t="n">
        <f aca="false">IF(OR($B11="",$E11="",$F11=""),0,MAX(0,MIN($F11,EOMONTH(DATE(cfg_FY,10,1),0))-MAX($E11,DATE(cfg_FY,10,1))+1)*(1-IF($M11="نعم",0,N($J11))))</f>
        <v>0</v>
      </c>
      <c r="AF11" s="110" t="n">
        <f aca="false">IF(OR($B11="",$E11="",$F11=""),0,MAX(0,MIN($F11,EOMONTH(DATE(cfg_FY,11,1),0))-MAX($E11,DATE(cfg_FY,11,1))+1)*(1-IF($M11="نعم",0,N($J11))))</f>
        <v>0</v>
      </c>
      <c r="AG11" s="110" t="n">
        <f aca="false">IF(OR($B11="",$E11="",$F11=""),0,MAX(0,MIN($F11,EOMONTH(DATE(cfg_FY,12,1),0))-MAX($E11,DATE(cfg_FY,12,1))+1)*(1-IF($M11="نعم",0,N($J11))))</f>
        <v>0</v>
      </c>
      <c r="AH11" s="110" t="n">
        <f aca="false">IF(OR(OR($B11="",$E11="",$F11=""),$L11&lt;&gt;"لا"),0,MAX(0,MIN($F11,EOMONTH(DATE(cfg_FY,1,1),0))-$E11+1))</f>
        <v>0</v>
      </c>
      <c r="AI11" s="110" t="n">
        <f aca="false">IF(OR(OR($B11="",$E11="",$F11=""),$L11&lt;&gt;"لا"),0,MAX(0,MIN($F11,EOMONTH(DATE(cfg_FY,2,1),0))-$E11+1))</f>
        <v>0</v>
      </c>
      <c r="AJ11" s="110" t="n">
        <f aca="false">IF(OR(OR($B11="",$E11="",$F11=""),$L11&lt;&gt;"لا"),0,MAX(0,MIN($F11,EOMONTH(DATE(cfg_FY,3,1),0))-$E11+1))</f>
        <v>0</v>
      </c>
      <c r="AK11" s="110" t="n">
        <f aca="false">IF(OR(OR($B11="",$E11="",$F11=""),$L11&lt;&gt;"لا"),0,MAX(0,MIN($F11,EOMONTH(DATE(cfg_FY,4,1),0))-$E11+1))</f>
        <v>0</v>
      </c>
      <c r="AL11" s="110" t="n">
        <f aca="false">IF(OR(OR($B11="",$E11="",$F11=""),$L11&lt;&gt;"لا"),0,MAX(0,MIN($F11,EOMONTH(DATE(cfg_FY,5,1),0))-$E11+1))</f>
        <v>0</v>
      </c>
      <c r="AM11" s="110" t="n">
        <f aca="false">IF(OR(OR($B11="",$E11="",$F11=""),$L11&lt;&gt;"لا"),0,MAX(0,MIN($F11,EOMONTH(DATE(cfg_FY,6,1),0))-$E11+1))</f>
        <v>0</v>
      </c>
      <c r="AN11" s="110" t="n">
        <f aca="false">IF(OR(OR($B11="",$E11="",$F11=""),$L11&lt;&gt;"لا"),0,MAX(0,MIN($F11,EOMONTH(DATE(cfg_FY,7,1),0))-$E11+1))</f>
        <v>0</v>
      </c>
      <c r="AO11" s="110" t="n">
        <f aca="false">IF(OR(OR($B11="",$E11="",$F11=""),$L11&lt;&gt;"لا"),0,MAX(0,MIN($F11,EOMONTH(DATE(cfg_FY,8,1),0))-$E11+1))</f>
        <v>0</v>
      </c>
      <c r="AP11" s="110" t="n">
        <f aca="false">IF(OR(OR($B11="",$E11="",$F11=""),$L11&lt;&gt;"لا"),0,MAX(0,MIN($F11,EOMONTH(DATE(cfg_FY,9,1),0))-$E11+1))</f>
        <v>0</v>
      </c>
      <c r="AQ11" s="110" t="n">
        <f aca="false">IF(OR(OR($B11="",$E11="",$F11=""),$L11&lt;&gt;"لا"),0,MAX(0,MIN($F11,EOMONTH(DATE(cfg_FY,10,1),0))-$E11+1))</f>
        <v>0</v>
      </c>
      <c r="AR11" s="110" t="n">
        <f aca="false">IF(OR(OR($B11="",$E11="",$F11=""),$L11&lt;&gt;"لا"),0,MAX(0,MIN($F11,EOMONTH(DATE(cfg_FY,11,1),0))-$E11+1))</f>
        <v>0</v>
      </c>
      <c r="AS11" s="110" t="n">
        <f aca="false">IF(OR(OR($B11="",$E11="",$F11=""),$L11&lt;&gt;"لا"),0,MAX(0,MIN($F11,EOMONTH(DATE(cfg_FY,12,1),0))-$E11+1))</f>
        <v>0</v>
      </c>
      <c r="AT11" s="110" t="n">
        <f aca="false">IF(OR(OR($B11="",$E11="",$F11=""),$K11&lt;&gt;"نعم",$M11="نعم"),0,MAX(0,MIN($F11,EOMONTH(DATE(cfg_FY,1,1),0))-MAX($E11,DATE(cfg_FY,1,1))+1))</f>
        <v>0</v>
      </c>
      <c r="AU11" s="110" t="n">
        <f aca="false">IF(OR(OR($B11="",$E11="",$F11=""),$K11&lt;&gt;"نعم",$M11="نعم"),0,MAX(0,MIN($F11,EOMONTH(DATE(cfg_FY,2,1),0))-MAX($E11,DATE(cfg_FY,2,1))+1))</f>
        <v>0</v>
      </c>
      <c r="AV11" s="110" t="n">
        <f aca="false">IF(OR(OR($B11="",$E11="",$F11=""),$K11&lt;&gt;"نعم",$M11="نعم"),0,MAX(0,MIN($F11,EOMONTH(DATE(cfg_FY,3,1),0))-MAX($E11,DATE(cfg_FY,3,1))+1))</f>
        <v>0</v>
      </c>
      <c r="AW11" s="110" t="n">
        <f aca="false">IF(OR(OR($B11="",$E11="",$F11=""),$K11&lt;&gt;"نعم",$M11="نعم"),0,MAX(0,MIN($F11,EOMONTH(DATE(cfg_FY,4,1),0))-MAX($E11,DATE(cfg_FY,4,1))+1))</f>
        <v>0</v>
      </c>
      <c r="AX11" s="110" t="n">
        <f aca="false">IF(OR(OR($B11="",$E11="",$F11=""),$K11&lt;&gt;"نعم",$M11="نعم"),0,MAX(0,MIN($F11,EOMONTH(DATE(cfg_FY,5,1),0))-MAX($E11,DATE(cfg_FY,5,1))+1))</f>
        <v>0</v>
      </c>
      <c r="AY11" s="110" t="n">
        <f aca="false">IF(OR(OR($B11="",$E11="",$F11=""),$K11&lt;&gt;"نعم",$M11="نعم"),0,MAX(0,MIN($F11,EOMONTH(DATE(cfg_FY,6,1),0))-MAX($E11,DATE(cfg_FY,6,1))+1))</f>
        <v>0</v>
      </c>
      <c r="AZ11" s="110" t="n">
        <f aca="false">IF(OR(OR($B11="",$E11="",$F11=""),$K11&lt;&gt;"نعم",$M11="نعم"),0,MAX(0,MIN($F11,EOMONTH(DATE(cfg_FY,7,1),0))-MAX($E11,DATE(cfg_FY,7,1))+1))</f>
        <v>20</v>
      </c>
      <c r="BA11" s="110" t="n">
        <f aca="false">IF(OR(OR($B11="",$E11="",$F11=""),$K11&lt;&gt;"نعم",$M11="نعم"),0,MAX(0,MIN($F11,EOMONTH(DATE(cfg_FY,8,1),0))-MAX($E11,DATE(cfg_FY,8,1))+1))</f>
        <v>0</v>
      </c>
      <c r="BB11" s="110" t="n">
        <f aca="false">IF(OR(OR($B11="",$E11="",$F11=""),$K11&lt;&gt;"نعم",$M11="نعم"),0,MAX(0,MIN($F11,EOMONTH(DATE(cfg_FY,9,1),0))-MAX($E11,DATE(cfg_FY,9,1))+1))</f>
        <v>0</v>
      </c>
      <c r="BC11" s="110" t="n">
        <f aca="false">IF(OR(OR($B11="",$E11="",$F11=""),$K11&lt;&gt;"نعم",$M11="نعم"),0,MAX(0,MIN($F11,EOMONTH(DATE(cfg_FY,10,1),0))-MAX($E11,DATE(cfg_FY,10,1))+1))</f>
        <v>0</v>
      </c>
      <c r="BD11" s="110" t="n">
        <f aca="false">IF(OR(OR($B11="",$E11="",$F11=""),$K11&lt;&gt;"نعم",$M11="نعم"),0,MAX(0,MIN($F11,EOMONTH(DATE(cfg_FY,11,1),0))-MAX($E11,DATE(cfg_FY,11,1))+1))</f>
        <v>0</v>
      </c>
      <c r="BE11" s="110" t="n">
        <f aca="false">IF(OR(OR($B11="",$E11="",$F11=""),$K11&lt;&gt;"نعم",$M11="نعم"),0,MAX(0,MIN($F11,EOMONTH(DATE(cfg_FY,12,1),0))-MAX($E11,DATE(cfg_FY,12,1))+1))</f>
        <v>0</v>
      </c>
    </row>
    <row r="12" customFormat="false" ht="15" hidden="false" customHeight="false" outlineLevel="0" collapsed="false">
      <c r="A12" s="93" t="n">
        <f aca="false">IF(B12="","",ROW()-5)</f>
        <v>7</v>
      </c>
      <c r="B12" s="79" t="s">
        <v>332</v>
      </c>
      <c r="C12" s="80" t="str">
        <f aca="false">IF(B12="","",IFERROR(INDEX(الموظفون!$C$6:$C$105,MATCH(B12,الموظفون!$B$6:$B$105,0)),"✖ رقم غير موجود"))</f>
        <v>راجيش كومار</v>
      </c>
      <c r="D12" s="79" t="s">
        <v>171</v>
      </c>
      <c r="E12" s="94" t="n">
        <v>46237</v>
      </c>
      <c r="F12" s="94" t="n">
        <v>46257</v>
      </c>
      <c r="G12" s="57" t="n">
        <f aca="false">IF(OR($B12="",$E12="",$F12=""),"",MAX(0,F12-E12+1))</f>
        <v>21</v>
      </c>
      <c r="H12" s="58" t="n">
        <f aca="false">IF(D12="","",IFERROR(VLOOKUP(D12,cfg_LT,2,FALSE()),1))</f>
        <v>1</v>
      </c>
      <c r="I12" s="82"/>
      <c r="J12" s="58" t="n">
        <f aca="false">IF(D12="","",IF(I12&lt;&gt;"",I12,H12))</f>
        <v>1</v>
      </c>
      <c r="K12" s="80" t="str">
        <f aca="false">IF(D12="","",IFERROR(VLOOKUP($D12,cfg_LT,3,FALSE()),""))</f>
        <v>نعم</v>
      </c>
      <c r="L12" s="80" t="str">
        <f aca="false">IF(D12="","",IFERROR(VLOOKUP($D12,cfg_LT,4,FALSE()),""))</f>
        <v>نعم</v>
      </c>
      <c r="M12" s="80" t="str">
        <f aca="false">IF(D12="","",IFERROR(VLOOKUP($D12,cfg_LT,5,FALSE()),""))</f>
        <v>نعم</v>
      </c>
      <c r="N12" s="97" t="n">
        <f aca="false">IF(OR(OR($B12="",$E12="",$F12=""),M12&lt;&gt;"نعم"),0,G12*J12*IFERROR(INDEX(الموظفون!$R$6:$R$105,MATCH(B12,الموظفون!$B$6:$B$105,0)),0)/cfg_DAYS_M)</f>
        <v>8505</v>
      </c>
      <c r="O12" s="93" t="n">
        <f aca="false">IF(OR(OR($B12="",$E12="",$F12=""),M12&lt;&gt;"نعم"),"",IF(YEAR(E12)=cfg_FY,MONTH(E12),""))</f>
        <v>8</v>
      </c>
      <c r="P12" s="80" t="str">
        <f aca="false">IF(B12="","",IF(OR(D12="",E12="",F12=""),"⚠ أكمل النوع والتواريخ",IF(F12&lt;E12,"✖ النهاية قبل البداية",IF(COUNTIFS($B$6:$B$505,B12,$E$6:$E$505,"&lt;="&amp;F12,$F$6:$F$505,"&gt;="&amp;E12)&gt;1,"⚠ تداخل مع سجل آخر",IF(E12&gt;cfg_VAL_DATE,"⏳ قادمة",IF(F12&lt;cfg_VAL_DATE,"✔ منتهية","✈ جارية في تاريخ التقرير"))))))</f>
        <v>✔ منتهية</v>
      </c>
      <c r="Q12" s="79" t="s">
        <v>403</v>
      </c>
      <c r="R12" s="57" t="n">
        <f aca="false">IF(OR(OR($B12="",$E12="",$F12=""),L12&lt;&gt;"لا"),0,MAX(0,MIN(F12,cfg_Y_START-1)-E12+1))</f>
        <v>0</v>
      </c>
      <c r="S12" s="57" t="n">
        <f aca="false">IF(OR(OR($B12="",$E12="",$F12=""),L12&lt;&gt;"لا"),0,MAX(0,MIN(F12,cfg_VAL_DATE)-E12+1))</f>
        <v>0</v>
      </c>
      <c r="T12" s="57" t="n">
        <f aca="false">IF(OR(OR($B12="",$E12="",$F12=""),K12&lt;&gt;"نعم"),0,IF(M12="نعم",IF(AND(ISNUMBER(O12),N(O12)&lt;=cfg_VAL_M),G12,0),MAX(0,MIN(F12,cfg_VAL_DATE)-MAX(E12,cfg_Y_START)+1)))</f>
        <v>21</v>
      </c>
      <c r="V12" s="57" t="n">
        <f aca="false">IF(OR($B12="",$E12="",$F12=""),0,MAX(0,MIN($F12,EOMONTH(DATE(cfg_FY,1,1),0))-MAX($E12,DATE(cfg_FY,1,1))+1)*(1-IF($M12="نعم",0,N($J12))))</f>
        <v>0</v>
      </c>
      <c r="W12" s="57" t="n">
        <f aca="false">IF(OR($B12="",$E12="",$F12=""),0,MAX(0,MIN($F12,EOMONTH(DATE(cfg_FY,2,1),0))-MAX($E12,DATE(cfg_FY,2,1))+1)*(1-IF($M12="نعم",0,N($J12))))</f>
        <v>0</v>
      </c>
      <c r="X12" s="57" t="n">
        <f aca="false">IF(OR($B12="",$E12="",$F12=""),0,MAX(0,MIN($F12,EOMONTH(DATE(cfg_FY,3,1),0))-MAX($E12,DATE(cfg_FY,3,1))+1)*(1-IF($M12="نعم",0,N($J12))))</f>
        <v>0</v>
      </c>
      <c r="Y12" s="57" t="n">
        <f aca="false">IF(OR($B12="",$E12="",$F12=""),0,MAX(0,MIN($F12,EOMONTH(DATE(cfg_FY,4,1),0))-MAX($E12,DATE(cfg_FY,4,1))+1)*(1-IF($M12="نعم",0,N($J12))))</f>
        <v>0</v>
      </c>
      <c r="Z12" s="57" t="n">
        <f aca="false">IF(OR($B12="",$E12="",$F12=""),0,MAX(0,MIN($F12,EOMONTH(DATE(cfg_FY,5,1),0))-MAX($E12,DATE(cfg_FY,5,1))+1)*(1-IF($M12="نعم",0,N($J12))))</f>
        <v>0</v>
      </c>
      <c r="AA12" s="57" t="n">
        <f aca="false">IF(OR($B12="",$E12="",$F12=""),0,MAX(0,MIN($F12,EOMONTH(DATE(cfg_FY,6,1),0))-MAX($E12,DATE(cfg_FY,6,1))+1)*(1-IF($M12="نعم",0,N($J12))))</f>
        <v>0</v>
      </c>
      <c r="AB12" s="57" t="n">
        <f aca="false">IF(OR($B12="",$E12="",$F12=""),0,MAX(0,MIN($F12,EOMONTH(DATE(cfg_FY,7,1),0))-MAX($E12,DATE(cfg_FY,7,1))+1)*(1-IF($M12="نعم",0,N($J12))))</f>
        <v>0</v>
      </c>
      <c r="AC12" s="57" t="n">
        <f aca="false">IF(OR($B12="",$E12="",$F12=""),0,MAX(0,MIN($F12,EOMONTH(DATE(cfg_FY,8,1),0))-MAX($E12,DATE(cfg_FY,8,1))+1)*(1-IF($M12="نعم",0,N($J12))))</f>
        <v>21</v>
      </c>
      <c r="AD12" s="57" t="n">
        <f aca="false">IF(OR($B12="",$E12="",$F12=""),0,MAX(0,MIN($F12,EOMONTH(DATE(cfg_FY,9,1),0))-MAX($E12,DATE(cfg_FY,9,1))+1)*(1-IF($M12="نعم",0,N($J12))))</f>
        <v>0</v>
      </c>
      <c r="AE12" s="57" t="n">
        <f aca="false">IF(OR($B12="",$E12="",$F12=""),0,MAX(0,MIN($F12,EOMONTH(DATE(cfg_FY,10,1),0))-MAX($E12,DATE(cfg_FY,10,1))+1)*(1-IF($M12="نعم",0,N($J12))))</f>
        <v>0</v>
      </c>
      <c r="AF12" s="57" t="n">
        <f aca="false">IF(OR($B12="",$E12="",$F12=""),0,MAX(0,MIN($F12,EOMONTH(DATE(cfg_FY,11,1),0))-MAX($E12,DATE(cfg_FY,11,1))+1)*(1-IF($M12="نعم",0,N($J12))))</f>
        <v>0</v>
      </c>
      <c r="AG12" s="57" t="n">
        <f aca="false">IF(OR($B12="",$E12="",$F12=""),0,MAX(0,MIN($F12,EOMONTH(DATE(cfg_FY,12,1),0))-MAX($E12,DATE(cfg_FY,12,1))+1)*(1-IF($M12="نعم",0,N($J12))))</f>
        <v>0</v>
      </c>
      <c r="AH12" s="57" t="n">
        <f aca="false">IF(OR(OR($B12="",$E12="",$F12=""),$L12&lt;&gt;"لا"),0,MAX(0,MIN($F12,EOMONTH(DATE(cfg_FY,1,1),0))-$E12+1))</f>
        <v>0</v>
      </c>
      <c r="AI12" s="57" t="n">
        <f aca="false">IF(OR(OR($B12="",$E12="",$F12=""),$L12&lt;&gt;"لا"),0,MAX(0,MIN($F12,EOMONTH(DATE(cfg_FY,2,1),0))-$E12+1))</f>
        <v>0</v>
      </c>
      <c r="AJ12" s="57" t="n">
        <f aca="false">IF(OR(OR($B12="",$E12="",$F12=""),$L12&lt;&gt;"لا"),0,MAX(0,MIN($F12,EOMONTH(DATE(cfg_FY,3,1),0))-$E12+1))</f>
        <v>0</v>
      </c>
      <c r="AK12" s="57" t="n">
        <f aca="false">IF(OR(OR($B12="",$E12="",$F12=""),$L12&lt;&gt;"لا"),0,MAX(0,MIN($F12,EOMONTH(DATE(cfg_FY,4,1),0))-$E12+1))</f>
        <v>0</v>
      </c>
      <c r="AL12" s="57" t="n">
        <f aca="false">IF(OR(OR($B12="",$E12="",$F12=""),$L12&lt;&gt;"لا"),0,MAX(0,MIN($F12,EOMONTH(DATE(cfg_FY,5,1),0))-$E12+1))</f>
        <v>0</v>
      </c>
      <c r="AM12" s="57" t="n">
        <f aca="false">IF(OR(OR($B12="",$E12="",$F12=""),$L12&lt;&gt;"لا"),0,MAX(0,MIN($F12,EOMONTH(DATE(cfg_FY,6,1),0))-$E12+1))</f>
        <v>0</v>
      </c>
      <c r="AN12" s="57" t="n">
        <f aca="false">IF(OR(OR($B12="",$E12="",$F12=""),$L12&lt;&gt;"لا"),0,MAX(0,MIN($F12,EOMONTH(DATE(cfg_FY,7,1),0))-$E12+1))</f>
        <v>0</v>
      </c>
      <c r="AO12" s="57" t="n">
        <f aca="false">IF(OR(OR($B12="",$E12="",$F12=""),$L12&lt;&gt;"لا"),0,MAX(0,MIN($F12,EOMONTH(DATE(cfg_FY,8,1),0))-$E12+1))</f>
        <v>0</v>
      </c>
      <c r="AP12" s="57" t="n">
        <f aca="false">IF(OR(OR($B12="",$E12="",$F12=""),$L12&lt;&gt;"لا"),0,MAX(0,MIN($F12,EOMONTH(DATE(cfg_FY,9,1),0))-$E12+1))</f>
        <v>0</v>
      </c>
      <c r="AQ12" s="57" t="n">
        <f aca="false">IF(OR(OR($B12="",$E12="",$F12=""),$L12&lt;&gt;"لا"),0,MAX(0,MIN($F12,EOMONTH(DATE(cfg_FY,10,1),0))-$E12+1))</f>
        <v>0</v>
      </c>
      <c r="AR12" s="57" t="n">
        <f aca="false">IF(OR(OR($B12="",$E12="",$F12=""),$L12&lt;&gt;"لا"),0,MAX(0,MIN($F12,EOMONTH(DATE(cfg_FY,11,1),0))-$E12+1))</f>
        <v>0</v>
      </c>
      <c r="AS12" s="57" t="n">
        <f aca="false">IF(OR(OR($B12="",$E12="",$F12=""),$L12&lt;&gt;"لا"),0,MAX(0,MIN($F12,EOMONTH(DATE(cfg_FY,12,1),0))-$E12+1))</f>
        <v>0</v>
      </c>
      <c r="AT12" s="57" t="n">
        <f aca="false">IF(OR(OR($B12="",$E12="",$F12=""),$K12&lt;&gt;"نعم",$M12="نعم"),0,MAX(0,MIN($F12,EOMONTH(DATE(cfg_FY,1,1),0))-MAX($E12,DATE(cfg_FY,1,1))+1))</f>
        <v>0</v>
      </c>
      <c r="AU12" s="57" t="n">
        <f aca="false">IF(OR(OR($B12="",$E12="",$F12=""),$K12&lt;&gt;"نعم",$M12="نعم"),0,MAX(0,MIN($F12,EOMONTH(DATE(cfg_FY,2,1),0))-MAX($E12,DATE(cfg_FY,2,1))+1))</f>
        <v>0</v>
      </c>
      <c r="AV12" s="57" t="n">
        <f aca="false">IF(OR(OR($B12="",$E12="",$F12=""),$K12&lt;&gt;"نعم",$M12="نعم"),0,MAX(0,MIN($F12,EOMONTH(DATE(cfg_FY,3,1),0))-MAX($E12,DATE(cfg_FY,3,1))+1))</f>
        <v>0</v>
      </c>
      <c r="AW12" s="57" t="n">
        <f aca="false">IF(OR(OR($B12="",$E12="",$F12=""),$K12&lt;&gt;"نعم",$M12="نعم"),0,MAX(0,MIN($F12,EOMONTH(DATE(cfg_FY,4,1),0))-MAX($E12,DATE(cfg_FY,4,1))+1))</f>
        <v>0</v>
      </c>
      <c r="AX12" s="57" t="n">
        <f aca="false">IF(OR(OR($B12="",$E12="",$F12=""),$K12&lt;&gt;"نعم",$M12="نعم"),0,MAX(0,MIN($F12,EOMONTH(DATE(cfg_FY,5,1),0))-MAX($E12,DATE(cfg_FY,5,1))+1))</f>
        <v>0</v>
      </c>
      <c r="AY12" s="57" t="n">
        <f aca="false">IF(OR(OR($B12="",$E12="",$F12=""),$K12&lt;&gt;"نعم",$M12="نعم"),0,MAX(0,MIN($F12,EOMONTH(DATE(cfg_FY,6,1),0))-MAX($E12,DATE(cfg_FY,6,1))+1))</f>
        <v>0</v>
      </c>
      <c r="AZ12" s="57" t="n">
        <f aca="false">IF(OR(OR($B12="",$E12="",$F12=""),$K12&lt;&gt;"نعم",$M12="نعم"),0,MAX(0,MIN($F12,EOMONTH(DATE(cfg_FY,7,1),0))-MAX($E12,DATE(cfg_FY,7,1))+1))</f>
        <v>0</v>
      </c>
      <c r="BA12" s="57" t="n">
        <f aca="false">IF(OR(OR($B12="",$E12="",$F12=""),$K12&lt;&gt;"نعم",$M12="نعم"),0,MAX(0,MIN($F12,EOMONTH(DATE(cfg_FY,8,1),0))-MAX($E12,DATE(cfg_FY,8,1))+1))</f>
        <v>0</v>
      </c>
      <c r="BB12" s="57" t="n">
        <f aca="false">IF(OR(OR($B12="",$E12="",$F12=""),$K12&lt;&gt;"نعم",$M12="نعم"),0,MAX(0,MIN($F12,EOMONTH(DATE(cfg_FY,9,1),0))-MAX($E12,DATE(cfg_FY,9,1))+1))</f>
        <v>0</v>
      </c>
      <c r="BC12" s="57" t="n">
        <f aca="false">IF(OR(OR($B12="",$E12="",$F12=""),$K12&lt;&gt;"نعم",$M12="نعم"),0,MAX(0,MIN($F12,EOMONTH(DATE(cfg_FY,10,1),0))-MAX($E12,DATE(cfg_FY,10,1))+1))</f>
        <v>0</v>
      </c>
      <c r="BD12" s="57" t="n">
        <f aca="false">IF(OR(OR($B12="",$E12="",$F12=""),$K12&lt;&gt;"نعم",$M12="نعم"),0,MAX(0,MIN($F12,EOMONTH(DATE(cfg_FY,11,1),0))-MAX($E12,DATE(cfg_FY,11,1))+1))</f>
        <v>0</v>
      </c>
      <c r="BE12" s="57" t="n">
        <f aca="false">IF(OR(OR($B12="",$E12="",$F12=""),$K12&lt;&gt;"نعم",$M12="نعم"),0,MAX(0,MIN($F12,EOMONTH(DATE(cfg_FY,12,1),0))-MAX($E12,DATE(cfg_FY,12,1))+1))</f>
        <v>0</v>
      </c>
    </row>
    <row r="13" customFormat="false" ht="15" hidden="false" customHeight="false" outlineLevel="0" collapsed="false">
      <c r="A13" s="100" t="n">
        <f aca="false">IF(B13="","",ROW()-5)</f>
        <v>8</v>
      </c>
      <c r="B13" s="79" t="s">
        <v>351</v>
      </c>
      <c r="C13" s="102" t="str">
        <f aca="false">IF(B13="","",IFERROR(INDEX(الموظفون!$C$6:$C$105,MATCH(B13,الموظفون!$B$6:$B$105,0)),"✖ رقم غير موجود"))</f>
        <v>سارة عبدالرحمن الزهراني</v>
      </c>
      <c r="D13" s="79" t="s">
        <v>178</v>
      </c>
      <c r="E13" s="94" t="n">
        <v>46244</v>
      </c>
      <c r="F13" s="94" t="n">
        <v>46246</v>
      </c>
      <c r="G13" s="110" t="n">
        <f aca="false">IF(OR($B13="",$E13="",$F13=""),"",MAX(0,F13-E13+1))</f>
        <v>3</v>
      </c>
      <c r="H13" s="111" t="n">
        <f aca="false">IF(D13="","",IFERROR(VLOOKUP(D13,cfg_LT,2,FALSE()),1))</f>
        <v>0</v>
      </c>
      <c r="I13" s="82"/>
      <c r="J13" s="111" t="n">
        <f aca="false">IF(D13="","",IF(I13&lt;&gt;"",I13,H13))</f>
        <v>0</v>
      </c>
      <c r="K13" s="102" t="str">
        <f aca="false">IF(D13="","",IFERROR(VLOOKUP($D13,cfg_LT,3,FALSE()),""))</f>
        <v>لا</v>
      </c>
      <c r="L13" s="102" t="str">
        <f aca="false">IF(D13="","",IFERROR(VLOOKUP($D13,cfg_LT,4,FALSE()),""))</f>
        <v>لا</v>
      </c>
      <c r="M13" s="102" t="str">
        <f aca="false">IF(D13="","",IFERROR(VLOOKUP($D13,cfg_LT,5,FALSE()),""))</f>
        <v>لا</v>
      </c>
      <c r="N13" s="101" t="n">
        <f aca="false">IF(OR(OR($B13="",$E13="",$F13=""),M13&lt;&gt;"نعم"),0,G13*J13*IFERROR(INDEX(الموظفون!$R$6:$R$105,MATCH(B13,الموظفون!$B$6:$B$105,0)),0)/cfg_DAYS_M)</f>
        <v>0</v>
      </c>
      <c r="O13" s="100" t="str">
        <f aca="false">IF(OR(OR($B13="",$E13="",$F13=""),M13&lt;&gt;"نعم"),"",IF(YEAR(E13)=cfg_FY,MONTH(E13),""))</f>
        <v/>
      </c>
      <c r="P13" s="102" t="str">
        <f aca="false">IF(B13="","",IF(OR(D13="",E13="",F13=""),"⚠ أكمل النوع والتواريخ",IF(F13&lt;E13,"✖ النهاية قبل البداية",IF(COUNTIFS($B$6:$B$505,B13,$E$6:$E$505,"&lt;="&amp;F13,$F$6:$F$505,"&gt;="&amp;E13)&gt;1,"⚠ تداخل مع سجل آخر",IF(E13&gt;cfg_VAL_DATE,"⏳ قادمة",IF(F13&lt;cfg_VAL_DATE,"✔ منتهية","✈ جارية في تاريخ التقرير"))))))</f>
        <v>✔ منتهية</v>
      </c>
      <c r="Q13" s="79" t="s">
        <v>404</v>
      </c>
      <c r="R13" s="110" t="n">
        <f aca="false">IF(OR(OR($B13="",$E13="",$F13=""),L13&lt;&gt;"لا"),0,MAX(0,MIN(F13,cfg_Y_START-1)-E13+1))</f>
        <v>0</v>
      </c>
      <c r="S13" s="110" t="n">
        <f aca="false">IF(OR(OR($B13="",$E13="",$F13=""),L13&lt;&gt;"لا"),0,MAX(0,MIN(F13,cfg_VAL_DATE)-E13+1))</f>
        <v>3</v>
      </c>
      <c r="T13" s="110" t="n">
        <f aca="false">IF(OR(OR($B13="",$E13="",$F13=""),K13&lt;&gt;"نعم"),0,IF(M13="نعم",IF(AND(ISNUMBER(O13),N(O13)&lt;=cfg_VAL_M),G13,0),MAX(0,MIN(F13,cfg_VAL_DATE)-MAX(E13,cfg_Y_START)+1)))</f>
        <v>0</v>
      </c>
      <c r="V13" s="110" t="n">
        <f aca="false">IF(OR($B13="",$E13="",$F13=""),0,MAX(0,MIN($F13,EOMONTH(DATE(cfg_FY,1,1),0))-MAX($E13,DATE(cfg_FY,1,1))+1)*(1-IF($M13="نعم",0,N($J13))))</f>
        <v>0</v>
      </c>
      <c r="W13" s="110" t="n">
        <f aca="false">IF(OR($B13="",$E13="",$F13=""),0,MAX(0,MIN($F13,EOMONTH(DATE(cfg_FY,2,1),0))-MAX($E13,DATE(cfg_FY,2,1))+1)*(1-IF($M13="نعم",0,N($J13))))</f>
        <v>0</v>
      </c>
      <c r="X13" s="110" t="n">
        <f aca="false">IF(OR($B13="",$E13="",$F13=""),0,MAX(0,MIN($F13,EOMONTH(DATE(cfg_FY,3,1),0))-MAX($E13,DATE(cfg_FY,3,1))+1)*(1-IF($M13="نعم",0,N($J13))))</f>
        <v>0</v>
      </c>
      <c r="Y13" s="110" t="n">
        <f aca="false">IF(OR($B13="",$E13="",$F13=""),0,MAX(0,MIN($F13,EOMONTH(DATE(cfg_FY,4,1),0))-MAX($E13,DATE(cfg_FY,4,1))+1)*(1-IF($M13="نعم",0,N($J13))))</f>
        <v>0</v>
      </c>
      <c r="Z13" s="110" t="n">
        <f aca="false">IF(OR($B13="",$E13="",$F13=""),0,MAX(0,MIN($F13,EOMONTH(DATE(cfg_FY,5,1),0))-MAX($E13,DATE(cfg_FY,5,1))+1)*(1-IF($M13="نعم",0,N($J13))))</f>
        <v>0</v>
      </c>
      <c r="AA13" s="110" t="n">
        <f aca="false">IF(OR($B13="",$E13="",$F13=""),0,MAX(0,MIN($F13,EOMONTH(DATE(cfg_FY,6,1),0))-MAX($E13,DATE(cfg_FY,6,1))+1)*(1-IF($M13="نعم",0,N($J13))))</f>
        <v>0</v>
      </c>
      <c r="AB13" s="110" t="n">
        <f aca="false">IF(OR($B13="",$E13="",$F13=""),0,MAX(0,MIN($F13,EOMONTH(DATE(cfg_FY,7,1),0))-MAX($E13,DATE(cfg_FY,7,1))+1)*(1-IF($M13="نعم",0,N($J13))))</f>
        <v>0</v>
      </c>
      <c r="AC13" s="110" t="n">
        <f aca="false">IF(OR($B13="",$E13="",$F13=""),0,MAX(0,MIN($F13,EOMONTH(DATE(cfg_FY,8,1),0))-MAX($E13,DATE(cfg_FY,8,1))+1)*(1-IF($M13="نعم",0,N($J13))))</f>
        <v>3</v>
      </c>
      <c r="AD13" s="110" t="n">
        <f aca="false">IF(OR($B13="",$E13="",$F13=""),0,MAX(0,MIN($F13,EOMONTH(DATE(cfg_FY,9,1),0))-MAX($E13,DATE(cfg_FY,9,1))+1)*(1-IF($M13="نعم",0,N($J13))))</f>
        <v>0</v>
      </c>
      <c r="AE13" s="110" t="n">
        <f aca="false">IF(OR($B13="",$E13="",$F13=""),0,MAX(0,MIN($F13,EOMONTH(DATE(cfg_FY,10,1),0))-MAX($E13,DATE(cfg_FY,10,1))+1)*(1-IF($M13="نعم",0,N($J13))))</f>
        <v>0</v>
      </c>
      <c r="AF13" s="110" t="n">
        <f aca="false">IF(OR($B13="",$E13="",$F13=""),0,MAX(0,MIN($F13,EOMONTH(DATE(cfg_FY,11,1),0))-MAX($E13,DATE(cfg_FY,11,1))+1)*(1-IF($M13="نعم",0,N($J13))))</f>
        <v>0</v>
      </c>
      <c r="AG13" s="110" t="n">
        <f aca="false">IF(OR($B13="",$E13="",$F13=""),0,MAX(0,MIN($F13,EOMONTH(DATE(cfg_FY,12,1),0))-MAX($E13,DATE(cfg_FY,12,1))+1)*(1-IF($M13="نعم",0,N($J13))))</f>
        <v>0</v>
      </c>
      <c r="AH13" s="110" t="n">
        <f aca="false">IF(OR(OR($B13="",$E13="",$F13=""),$L13&lt;&gt;"لا"),0,MAX(0,MIN($F13,EOMONTH(DATE(cfg_FY,1,1),0))-$E13+1))</f>
        <v>0</v>
      </c>
      <c r="AI13" s="110" t="n">
        <f aca="false">IF(OR(OR($B13="",$E13="",$F13=""),$L13&lt;&gt;"لا"),0,MAX(0,MIN($F13,EOMONTH(DATE(cfg_FY,2,1),0))-$E13+1))</f>
        <v>0</v>
      </c>
      <c r="AJ13" s="110" t="n">
        <f aca="false">IF(OR(OR($B13="",$E13="",$F13=""),$L13&lt;&gt;"لا"),0,MAX(0,MIN($F13,EOMONTH(DATE(cfg_FY,3,1),0))-$E13+1))</f>
        <v>0</v>
      </c>
      <c r="AK13" s="110" t="n">
        <f aca="false">IF(OR(OR($B13="",$E13="",$F13=""),$L13&lt;&gt;"لا"),0,MAX(0,MIN($F13,EOMONTH(DATE(cfg_FY,4,1),0))-$E13+1))</f>
        <v>0</v>
      </c>
      <c r="AL13" s="110" t="n">
        <f aca="false">IF(OR(OR($B13="",$E13="",$F13=""),$L13&lt;&gt;"لا"),0,MAX(0,MIN($F13,EOMONTH(DATE(cfg_FY,5,1),0))-$E13+1))</f>
        <v>0</v>
      </c>
      <c r="AM13" s="110" t="n">
        <f aca="false">IF(OR(OR($B13="",$E13="",$F13=""),$L13&lt;&gt;"لا"),0,MAX(0,MIN($F13,EOMONTH(DATE(cfg_FY,6,1),0))-$E13+1))</f>
        <v>0</v>
      </c>
      <c r="AN13" s="110" t="n">
        <f aca="false">IF(OR(OR($B13="",$E13="",$F13=""),$L13&lt;&gt;"لا"),0,MAX(0,MIN($F13,EOMONTH(DATE(cfg_FY,7,1),0))-$E13+1))</f>
        <v>0</v>
      </c>
      <c r="AO13" s="110" t="n">
        <f aca="false">IF(OR(OR($B13="",$E13="",$F13=""),$L13&lt;&gt;"لا"),0,MAX(0,MIN($F13,EOMONTH(DATE(cfg_FY,8,1),0))-$E13+1))</f>
        <v>3</v>
      </c>
      <c r="AP13" s="110" t="n">
        <f aca="false">IF(OR(OR($B13="",$E13="",$F13=""),$L13&lt;&gt;"لا"),0,MAX(0,MIN($F13,EOMONTH(DATE(cfg_FY,9,1),0))-$E13+1))</f>
        <v>3</v>
      </c>
      <c r="AQ13" s="110" t="n">
        <f aca="false">IF(OR(OR($B13="",$E13="",$F13=""),$L13&lt;&gt;"لا"),0,MAX(0,MIN($F13,EOMONTH(DATE(cfg_FY,10,1),0))-$E13+1))</f>
        <v>3</v>
      </c>
      <c r="AR13" s="110" t="n">
        <f aca="false">IF(OR(OR($B13="",$E13="",$F13=""),$L13&lt;&gt;"لا"),0,MAX(0,MIN($F13,EOMONTH(DATE(cfg_FY,11,1),0))-$E13+1))</f>
        <v>3</v>
      </c>
      <c r="AS13" s="110" t="n">
        <f aca="false">IF(OR(OR($B13="",$E13="",$F13=""),$L13&lt;&gt;"لا"),0,MAX(0,MIN($F13,EOMONTH(DATE(cfg_FY,12,1),0))-$E13+1))</f>
        <v>3</v>
      </c>
      <c r="AT13" s="110" t="n">
        <f aca="false">IF(OR(OR($B13="",$E13="",$F13=""),$K13&lt;&gt;"نعم",$M13="نعم"),0,MAX(0,MIN($F13,EOMONTH(DATE(cfg_FY,1,1),0))-MAX($E13,DATE(cfg_FY,1,1))+1))</f>
        <v>0</v>
      </c>
      <c r="AU13" s="110" t="n">
        <f aca="false">IF(OR(OR($B13="",$E13="",$F13=""),$K13&lt;&gt;"نعم",$M13="نعم"),0,MAX(0,MIN($F13,EOMONTH(DATE(cfg_FY,2,1),0))-MAX($E13,DATE(cfg_FY,2,1))+1))</f>
        <v>0</v>
      </c>
      <c r="AV13" s="110" t="n">
        <f aca="false">IF(OR(OR($B13="",$E13="",$F13=""),$K13&lt;&gt;"نعم",$M13="نعم"),0,MAX(0,MIN($F13,EOMONTH(DATE(cfg_FY,3,1),0))-MAX($E13,DATE(cfg_FY,3,1))+1))</f>
        <v>0</v>
      </c>
      <c r="AW13" s="110" t="n">
        <f aca="false">IF(OR(OR($B13="",$E13="",$F13=""),$K13&lt;&gt;"نعم",$M13="نعم"),0,MAX(0,MIN($F13,EOMONTH(DATE(cfg_FY,4,1),0))-MAX($E13,DATE(cfg_FY,4,1))+1))</f>
        <v>0</v>
      </c>
      <c r="AX13" s="110" t="n">
        <f aca="false">IF(OR(OR($B13="",$E13="",$F13=""),$K13&lt;&gt;"نعم",$M13="نعم"),0,MAX(0,MIN($F13,EOMONTH(DATE(cfg_FY,5,1),0))-MAX($E13,DATE(cfg_FY,5,1))+1))</f>
        <v>0</v>
      </c>
      <c r="AY13" s="110" t="n">
        <f aca="false">IF(OR(OR($B13="",$E13="",$F13=""),$K13&lt;&gt;"نعم",$M13="نعم"),0,MAX(0,MIN($F13,EOMONTH(DATE(cfg_FY,6,1),0))-MAX($E13,DATE(cfg_FY,6,1))+1))</f>
        <v>0</v>
      </c>
      <c r="AZ13" s="110" t="n">
        <f aca="false">IF(OR(OR($B13="",$E13="",$F13=""),$K13&lt;&gt;"نعم",$M13="نعم"),0,MAX(0,MIN($F13,EOMONTH(DATE(cfg_FY,7,1),0))-MAX($E13,DATE(cfg_FY,7,1))+1))</f>
        <v>0</v>
      </c>
      <c r="BA13" s="110" t="n">
        <f aca="false">IF(OR(OR($B13="",$E13="",$F13=""),$K13&lt;&gt;"نعم",$M13="نعم"),0,MAX(0,MIN($F13,EOMONTH(DATE(cfg_FY,8,1),0))-MAX($E13,DATE(cfg_FY,8,1))+1))</f>
        <v>0</v>
      </c>
      <c r="BB13" s="110" t="n">
        <f aca="false">IF(OR(OR($B13="",$E13="",$F13=""),$K13&lt;&gt;"نعم",$M13="نعم"),0,MAX(0,MIN($F13,EOMONTH(DATE(cfg_FY,9,1),0))-MAX($E13,DATE(cfg_FY,9,1))+1))</f>
        <v>0</v>
      </c>
      <c r="BC13" s="110" t="n">
        <f aca="false">IF(OR(OR($B13="",$E13="",$F13=""),$K13&lt;&gt;"نعم",$M13="نعم"),0,MAX(0,MIN($F13,EOMONTH(DATE(cfg_FY,10,1),0))-MAX($E13,DATE(cfg_FY,10,1))+1))</f>
        <v>0</v>
      </c>
      <c r="BD13" s="110" t="n">
        <f aca="false">IF(OR(OR($B13="",$E13="",$F13=""),$K13&lt;&gt;"نعم",$M13="نعم"),0,MAX(0,MIN($F13,EOMONTH(DATE(cfg_FY,11,1),0))-MAX($E13,DATE(cfg_FY,11,1))+1))</f>
        <v>0</v>
      </c>
      <c r="BE13" s="110" t="n">
        <f aca="false">IF(OR(OR($B13="",$E13="",$F13=""),$K13&lt;&gt;"نعم",$M13="نعم"),0,MAX(0,MIN($F13,EOMONTH(DATE(cfg_FY,12,1),0))-MAX($E13,DATE(cfg_FY,12,1))+1))</f>
        <v>0</v>
      </c>
    </row>
    <row r="14" customFormat="false" ht="15" hidden="false" customHeight="false" outlineLevel="0" collapsed="false">
      <c r="A14" s="93" t="n">
        <f aca="false">IF(B14="","",ROW()-5)</f>
        <v>9</v>
      </c>
      <c r="B14" s="79" t="s">
        <v>338</v>
      </c>
      <c r="C14" s="80" t="str">
        <f aca="false">IF(B14="","",IFERROR(INDEX(الموظفون!$C$6:$C$105,MATCH(B14,الموظفون!$B$6:$B$105,0)),"✖ رقم غير موجود"))</f>
        <v>فهد ناصر الشمري</v>
      </c>
      <c r="D14" s="79" t="s">
        <v>178</v>
      </c>
      <c r="E14" s="94" t="n">
        <v>46285</v>
      </c>
      <c r="F14" s="94" t="n">
        <v>46314</v>
      </c>
      <c r="G14" s="57" t="n">
        <f aca="false">IF(OR($B14="",$E14="",$F14=""),"",MAX(0,F14-E14+1))</f>
        <v>30</v>
      </c>
      <c r="H14" s="58" t="n">
        <f aca="false">IF(D14="","",IFERROR(VLOOKUP(D14,cfg_LT,2,FALSE()),1))</f>
        <v>0</v>
      </c>
      <c r="I14" s="82"/>
      <c r="J14" s="58" t="n">
        <f aca="false">IF(D14="","",IF(I14&lt;&gt;"",I14,H14))</f>
        <v>0</v>
      </c>
      <c r="K14" s="80" t="str">
        <f aca="false">IF(D14="","",IFERROR(VLOOKUP($D14,cfg_LT,3,FALSE()),""))</f>
        <v>لا</v>
      </c>
      <c r="L14" s="80" t="str">
        <f aca="false">IF(D14="","",IFERROR(VLOOKUP($D14,cfg_LT,4,FALSE()),""))</f>
        <v>لا</v>
      </c>
      <c r="M14" s="80" t="str">
        <f aca="false">IF(D14="","",IFERROR(VLOOKUP($D14,cfg_LT,5,FALSE()),""))</f>
        <v>لا</v>
      </c>
      <c r="N14" s="97" t="n">
        <f aca="false">IF(OR(OR($B14="",$E14="",$F14=""),M14&lt;&gt;"نعم"),0,G14*J14*IFERROR(INDEX(الموظفون!$R$6:$R$105,MATCH(B14,الموظفون!$B$6:$B$105,0)),0)/cfg_DAYS_M)</f>
        <v>0</v>
      </c>
      <c r="O14" s="93" t="str">
        <f aca="false">IF(OR(OR($B14="",$E14="",$F14=""),M14&lt;&gt;"نعم"),"",IF(YEAR(E14)=cfg_FY,MONTH(E14),""))</f>
        <v/>
      </c>
      <c r="P14" s="80" t="str">
        <f aca="false">IF(B14="","",IF(OR(D14="",E14="",F14=""),"⚠ أكمل النوع والتواريخ",IF(F14&lt;E14,"✖ النهاية قبل البداية",IF(COUNTIFS($B$6:$B$505,B14,$E$6:$E$505,"&lt;="&amp;F14,$F$6:$F$505,"&gt;="&amp;E14)&gt;1,"⚠ تداخل مع سجل آخر",IF(E14&gt;cfg_VAL_DATE,"⏳ قادمة",IF(F14&lt;cfg_VAL_DATE,"✔ منتهية","✈ جارية في تاريخ التقرير"))))))</f>
        <v>✈ جارية في تاريخ التقرير</v>
      </c>
      <c r="Q14" s="79" t="s">
        <v>405</v>
      </c>
      <c r="R14" s="57" t="n">
        <f aca="false">IF(OR(OR($B14="",$E14="",$F14=""),L14&lt;&gt;"لا"),0,MAX(0,MIN(F14,cfg_Y_START-1)-E14+1))</f>
        <v>0</v>
      </c>
      <c r="S14" s="57" t="n">
        <f aca="false">IF(OR(OR($B14="",$E14="",$F14=""),L14&lt;&gt;"لا"),0,MAX(0,MIN(F14,cfg_VAL_DATE)-E14+1))</f>
        <v>11</v>
      </c>
      <c r="T14" s="57" t="n">
        <f aca="false">IF(OR(OR($B14="",$E14="",$F14=""),K14&lt;&gt;"نعم"),0,IF(M14="نعم",IF(AND(ISNUMBER(O14),N(O14)&lt;=cfg_VAL_M),G14,0),MAX(0,MIN(F14,cfg_VAL_DATE)-MAX(E14,cfg_Y_START)+1)))</f>
        <v>0</v>
      </c>
      <c r="V14" s="57" t="n">
        <f aca="false">IF(OR($B14="",$E14="",$F14=""),0,MAX(0,MIN($F14,EOMONTH(DATE(cfg_FY,1,1),0))-MAX($E14,DATE(cfg_FY,1,1))+1)*(1-IF($M14="نعم",0,N($J14))))</f>
        <v>0</v>
      </c>
      <c r="W14" s="57" t="n">
        <f aca="false">IF(OR($B14="",$E14="",$F14=""),0,MAX(0,MIN($F14,EOMONTH(DATE(cfg_FY,2,1),0))-MAX($E14,DATE(cfg_FY,2,1))+1)*(1-IF($M14="نعم",0,N($J14))))</f>
        <v>0</v>
      </c>
      <c r="X14" s="57" t="n">
        <f aca="false">IF(OR($B14="",$E14="",$F14=""),0,MAX(0,MIN($F14,EOMONTH(DATE(cfg_FY,3,1),0))-MAX($E14,DATE(cfg_FY,3,1))+1)*(1-IF($M14="نعم",0,N($J14))))</f>
        <v>0</v>
      </c>
      <c r="Y14" s="57" t="n">
        <f aca="false">IF(OR($B14="",$E14="",$F14=""),0,MAX(0,MIN($F14,EOMONTH(DATE(cfg_FY,4,1),0))-MAX($E14,DATE(cfg_FY,4,1))+1)*(1-IF($M14="نعم",0,N($J14))))</f>
        <v>0</v>
      </c>
      <c r="Z14" s="57" t="n">
        <f aca="false">IF(OR($B14="",$E14="",$F14=""),0,MAX(0,MIN($F14,EOMONTH(DATE(cfg_FY,5,1),0))-MAX($E14,DATE(cfg_FY,5,1))+1)*(1-IF($M14="نعم",0,N($J14))))</f>
        <v>0</v>
      </c>
      <c r="AA14" s="57" t="n">
        <f aca="false">IF(OR($B14="",$E14="",$F14=""),0,MAX(0,MIN($F14,EOMONTH(DATE(cfg_FY,6,1),0))-MAX($E14,DATE(cfg_FY,6,1))+1)*(1-IF($M14="نعم",0,N($J14))))</f>
        <v>0</v>
      </c>
      <c r="AB14" s="57" t="n">
        <f aca="false">IF(OR($B14="",$E14="",$F14=""),0,MAX(0,MIN($F14,EOMONTH(DATE(cfg_FY,7,1),0))-MAX($E14,DATE(cfg_FY,7,1))+1)*(1-IF($M14="نعم",0,N($J14))))</f>
        <v>0</v>
      </c>
      <c r="AC14" s="57" t="n">
        <f aca="false">IF(OR($B14="",$E14="",$F14=""),0,MAX(0,MIN($F14,EOMONTH(DATE(cfg_FY,8,1),0))-MAX($E14,DATE(cfg_FY,8,1))+1)*(1-IF($M14="نعم",0,N($J14))))</f>
        <v>0</v>
      </c>
      <c r="AD14" s="57" t="n">
        <f aca="false">IF(OR($B14="",$E14="",$F14=""),0,MAX(0,MIN($F14,EOMONTH(DATE(cfg_FY,9,1),0))-MAX($E14,DATE(cfg_FY,9,1))+1)*(1-IF($M14="نعم",0,N($J14))))</f>
        <v>11</v>
      </c>
      <c r="AE14" s="57" t="n">
        <f aca="false">IF(OR($B14="",$E14="",$F14=""),0,MAX(0,MIN($F14,EOMONTH(DATE(cfg_FY,10,1),0))-MAX($E14,DATE(cfg_FY,10,1))+1)*(1-IF($M14="نعم",0,N($J14))))</f>
        <v>19</v>
      </c>
      <c r="AF14" s="57" t="n">
        <f aca="false">IF(OR($B14="",$E14="",$F14=""),0,MAX(0,MIN($F14,EOMONTH(DATE(cfg_FY,11,1),0))-MAX($E14,DATE(cfg_FY,11,1))+1)*(1-IF($M14="نعم",0,N($J14))))</f>
        <v>0</v>
      </c>
      <c r="AG14" s="57" t="n">
        <f aca="false">IF(OR($B14="",$E14="",$F14=""),0,MAX(0,MIN($F14,EOMONTH(DATE(cfg_FY,12,1),0))-MAX($E14,DATE(cfg_FY,12,1))+1)*(1-IF($M14="نعم",0,N($J14))))</f>
        <v>0</v>
      </c>
      <c r="AH14" s="57" t="n">
        <f aca="false">IF(OR(OR($B14="",$E14="",$F14=""),$L14&lt;&gt;"لا"),0,MAX(0,MIN($F14,EOMONTH(DATE(cfg_FY,1,1),0))-$E14+1))</f>
        <v>0</v>
      </c>
      <c r="AI14" s="57" t="n">
        <f aca="false">IF(OR(OR($B14="",$E14="",$F14=""),$L14&lt;&gt;"لا"),0,MAX(0,MIN($F14,EOMONTH(DATE(cfg_FY,2,1),0))-$E14+1))</f>
        <v>0</v>
      </c>
      <c r="AJ14" s="57" t="n">
        <f aca="false">IF(OR(OR($B14="",$E14="",$F14=""),$L14&lt;&gt;"لا"),0,MAX(0,MIN($F14,EOMONTH(DATE(cfg_FY,3,1),0))-$E14+1))</f>
        <v>0</v>
      </c>
      <c r="AK14" s="57" t="n">
        <f aca="false">IF(OR(OR($B14="",$E14="",$F14=""),$L14&lt;&gt;"لا"),0,MAX(0,MIN($F14,EOMONTH(DATE(cfg_FY,4,1),0))-$E14+1))</f>
        <v>0</v>
      </c>
      <c r="AL14" s="57" t="n">
        <f aca="false">IF(OR(OR($B14="",$E14="",$F14=""),$L14&lt;&gt;"لا"),0,MAX(0,MIN($F14,EOMONTH(DATE(cfg_FY,5,1),0))-$E14+1))</f>
        <v>0</v>
      </c>
      <c r="AM14" s="57" t="n">
        <f aca="false">IF(OR(OR($B14="",$E14="",$F14=""),$L14&lt;&gt;"لا"),0,MAX(0,MIN($F14,EOMONTH(DATE(cfg_FY,6,1),0))-$E14+1))</f>
        <v>0</v>
      </c>
      <c r="AN14" s="57" t="n">
        <f aca="false">IF(OR(OR($B14="",$E14="",$F14=""),$L14&lt;&gt;"لا"),0,MAX(0,MIN($F14,EOMONTH(DATE(cfg_FY,7,1),0))-$E14+1))</f>
        <v>0</v>
      </c>
      <c r="AO14" s="57" t="n">
        <f aca="false">IF(OR(OR($B14="",$E14="",$F14=""),$L14&lt;&gt;"لا"),0,MAX(0,MIN($F14,EOMONTH(DATE(cfg_FY,8,1),0))-$E14+1))</f>
        <v>0</v>
      </c>
      <c r="AP14" s="57" t="n">
        <f aca="false">IF(OR(OR($B14="",$E14="",$F14=""),$L14&lt;&gt;"لا"),0,MAX(0,MIN($F14,EOMONTH(DATE(cfg_FY,9,1),0))-$E14+1))</f>
        <v>11</v>
      </c>
      <c r="AQ14" s="57" t="n">
        <f aca="false">IF(OR(OR($B14="",$E14="",$F14=""),$L14&lt;&gt;"لا"),0,MAX(0,MIN($F14,EOMONTH(DATE(cfg_FY,10,1),0))-$E14+1))</f>
        <v>30</v>
      </c>
      <c r="AR14" s="57" t="n">
        <f aca="false">IF(OR(OR($B14="",$E14="",$F14=""),$L14&lt;&gt;"لا"),0,MAX(0,MIN($F14,EOMONTH(DATE(cfg_FY,11,1),0))-$E14+1))</f>
        <v>30</v>
      </c>
      <c r="AS14" s="57" t="n">
        <f aca="false">IF(OR(OR($B14="",$E14="",$F14=""),$L14&lt;&gt;"لا"),0,MAX(0,MIN($F14,EOMONTH(DATE(cfg_FY,12,1),0))-$E14+1))</f>
        <v>30</v>
      </c>
      <c r="AT14" s="57" t="n">
        <f aca="false">IF(OR(OR($B14="",$E14="",$F14=""),$K14&lt;&gt;"نعم",$M14="نعم"),0,MAX(0,MIN($F14,EOMONTH(DATE(cfg_FY,1,1),0))-MAX($E14,DATE(cfg_FY,1,1))+1))</f>
        <v>0</v>
      </c>
      <c r="AU14" s="57" t="n">
        <f aca="false">IF(OR(OR($B14="",$E14="",$F14=""),$K14&lt;&gt;"نعم",$M14="نعم"),0,MAX(0,MIN($F14,EOMONTH(DATE(cfg_FY,2,1),0))-MAX($E14,DATE(cfg_FY,2,1))+1))</f>
        <v>0</v>
      </c>
      <c r="AV14" s="57" t="n">
        <f aca="false">IF(OR(OR($B14="",$E14="",$F14=""),$K14&lt;&gt;"نعم",$M14="نعم"),0,MAX(0,MIN($F14,EOMONTH(DATE(cfg_FY,3,1),0))-MAX($E14,DATE(cfg_FY,3,1))+1))</f>
        <v>0</v>
      </c>
      <c r="AW14" s="57" t="n">
        <f aca="false">IF(OR(OR($B14="",$E14="",$F14=""),$K14&lt;&gt;"نعم",$M14="نعم"),0,MAX(0,MIN($F14,EOMONTH(DATE(cfg_FY,4,1),0))-MAX($E14,DATE(cfg_FY,4,1))+1))</f>
        <v>0</v>
      </c>
      <c r="AX14" s="57" t="n">
        <f aca="false">IF(OR(OR($B14="",$E14="",$F14=""),$K14&lt;&gt;"نعم",$M14="نعم"),0,MAX(0,MIN($F14,EOMONTH(DATE(cfg_FY,5,1),0))-MAX($E14,DATE(cfg_FY,5,1))+1))</f>
        <v>0</v>
      </c>
      <c r="AY14" s="57" t="n">
        <f aca="false">IF(OR(OR($B14="",$E14="",$F14=""),$K14&lt;&gt;"نعم",$M14="نعم"),0,MAX(0,MIN($F14,EOMONTH(DATE(cfg_FY,6,1),0))-MAX($E14,DATE(cfg_FY,6,1))+1))</f>
        <v>0</v>
      </c>
      <c r="AZ14" s="57" t="n">
        <f aca="false">IF(OR(OR($B14="",$E14="",$F14=""),$K14&lt;&gt;"نعم",$M14="نعم"),0,MAX(0,MIN($F14,EOMONTH(DATE(cfg_FY,7,1),0))-MAX($E14,DATE(cfg_FY,7,1))+1))</f>
        <v>0</v>
      </c>
      <c r="BA14" s="57" t="n">
        <f aca="false">IF(OR(OR($B14="",$E14="",$F14=""),$K14&lt;&gt;"نعم",$M14="نعم"),0,MAX(0,MIN($F14,EOMONTH(DATE(cfg_FY,8,1),0))-MAX($E14,DATE(cfg_FY,8,1))+1))</f>
        <v>0</v>
      </c>
      <c r="BB14" s="57" t="n">
        <f aca="false">IF(OR(OR($B14="",$E14="",$F14=""),$K14&lt;&gt;"نعم",$M14="نعم"),0,MAX(0,MIN($F14,EOMONTH(DATE(cfg_FY,9,1),0))-MAX($E14,DATE(cfg_FY,9,1))+1))</f>
        <v>0</v>
      </c>
      <c r="BC14" s="57" t="n">
        <f aca="false">IF(OR(OR($B14="",$E14="",$F14=""),$K14&lt;&gt;"نعم",$M14="نعم"),0,MAX(0,MIN($F14,EOMONTH(DATE(cfg_FY,10,1),0))-MAX($E14,DATE(cfg_FY,10,1))+1))</f>
        <v>0</v>
      </c>
      <c r="BD14" s="57" t="n">
        <f aca="false">IF(OR(OR($B14="",$E14="",$F14=""),$K14&lt;&gt;"نعم",$M14="نعم"),0,MAX(0,MIN($F14,EOMONTH(DATE(cfg_FY,11,1),0))-MAX($E14,DATE(cfg_FY,11,1))+1))</f>
        <v>0</v>
      </c>
      <c r="BE14" s="57" t="n">
        <f aca="false">IF(OR(OR($B14="",$E14="",$F14=""),$K14&lt;&gt;"نعم",$M14="نعم"),0,MAX(0,MIN($F14,EOMONTH(DATE(cfg_FY,12,1),0))-MAX($E14,DATE(cfg_FY,12,1))+1))</f>
        <v>0</v>
      </c>
    </row>
    <row r="15" customFormat="false" ht="15" hidden="false" customHeight="false" outlineLevel="0" collapsed="false">
      <c r="A15" s="100" t="n">
        <f aca="false">IF(B15="","",ROW()-5)</f>
        <v>10</v>
      </c>
      <c r="B15" s="79" t="s">
        <v>373</v>
      </c>
      <c r="C15" s="102" t="str">
        <f aca="false">IF(B15="","",IFERROR(INDEX(الموظفون!$C$6:$C$105,MATCH(B15,الموظفون!$B$6:$B$105,0)),"✖ رقم غير موجود"))</f>
        <v>عمر حسين البيشي</v>
      </c>
      <c r="D15" s="79" t="s">
        <v>192</v>
      </c>
      <c r="E15" s="94" t="n">
        <v>46266</v>
      </c>
      <c r="F15" s="94" t="n">
        <v>46275</v>
      </c>
      <c r="G15" s="110" t="n">
        <f aca="false">IF(OR($B15="",$E15="",$F15=""),"",MAX(0,F15-E15+1))</f>
        <v>10</v>
      </c>
      <c r="H15" s="111" t="n">
        <f aca="false">IF(D15="","",IFERROR(VLOOKUP(D15,cfg_LT,2,FALSE()),1))</f>
        <v>0.75</v>
      </c>
      <c r="I15" s="82"/>
      <c r="J15" s="111" t="n">
        <f aca="false">IF(D15="","",IF(I15&lt;&gt;"",I15,H15))</f>
        <v>0.75</v>
      </c>
      <c r="K15" s="102" t="str">
        <f aca="false">IF(D15="","",IFERROR(VLOOKUP($D15,cfg_LT,3,FALSE()),""))</f>
        <v>لا</v>
      </c>
      <c r="L15" s="102" t="str">
        <f aca="false">IF(D15="","",IFERROR(VLOOKUP($D15,cfg_LT,4,FALSE()),""))</f>
        <v>نعم</v>
      </c>
      <c r="M15" s="102" t="str">
        <f aca="false">IF(D15="","",IFERROR(VLOOKUP($D15,cfg_LT,5,FALSE()),""))</f>
        <v>لا</v>
      </c>
      <c r="N15" s="101" t="n">
        <f aca="false">IF(OR(OR($B15="",$E15="",$F15=""),M15&lt;&gt;"نعم"),0,G15*J15*IFERROR(INDEX(الموظفون!$R$6:$R$105,MATCH(B15,الموظفون!$B$6:$B$105,0)),0)/cfg_DAYS_M)</f>
        <v>0</v>
      </c>
      <c r="O15" s="100" t="str">
        <f aca="false">IF(OR(OR($B15="",$E15="",$F15=""),M15&lt;&gt;"نعم"),"",IF(YEAR(E15)=cfg_FY,MONTH(E15),""))</f>
        <v/>
      </c>
      <c r="P15" s="102" t="str">
        <f aca="false">IF(B15="","",IF(OR(D15="",E15="",F15=""),"⚠ أكمل النوع والتواريخ",IF(F15&lt;E15,"✖ النهاية قبل البداية",IF(COUNTIFS($B$6:$B$505,B15,$E$6:$E$505,"&lt;="&amp;F15,$F$6:$F$505,"&gt;="&amp;E15)&gt;1,"⚠ تداخل مع سجل آخر",IF(E15&gt;cfg_VAL_DATE,"⏳ قادمة",IF(F15&lt;cfg_VAL_DATE,"✔ منتهية","✈ جارية في تاريخ التقرير"))))))</f>
        <v>✔ منتهية</v>
      </c>
      <c r="Q15" s="79" t="s">
        <v>406</v>
      </c>
      <c r="R15" s="110" t="n">
        <f aca="false">IF(OR(OR($B15="",$E15="",$F15=""),L15&lt;&gt;"لا"),0,MAX(0,MIN(F15,cfg_Y_START-1)-E15+1))</f>
        <v>0</v>
      </c>
      <c r="S15" s="110" t="n">
        <f aca="false">IF(OR(OR($B15="",$E15="",$F15=""),L15&lt;&gt;"لا"),0,MAX(0,MIN(F15,cfg_VAL_DATE)-E15+1))</f>
        <v>0</v>
      </c>
      <c r="T15" s="110" t="n">
        <f aca="false">IF(OR(OR($B15="",$E15="",$F15=""),K15&lt;&gt;"نعم"),0,IF(M15="نعم",IF(AND(ISNUMBER(O15),N(O15)&lt;=cfg_VAL_M),G15,0),MAX(0,MIN(F15,cfg_VAL_DATE)-MAX(E15,cfg_Y_START)+1)))</f>
        <v>0</v>
      </c>
      <c r="V15" s="110" t="n">
        <f aca="false">IF(OR($B15="",$E15="",$F15=""),0,MAX(0,MIN($F15,EOMONTH(DATE(cfg_FY,1,1),0))-MAX($E15,DATE(cfg_FY,1,1))+1)*(1-IF($M15="نعم",0,N($J15))))</f>
        <v>0</v>
      </c>
      <c r="W15" s="110" t="n">
        <f aca="false">IF(OR($B15="",$E15="",$F15=""),0,MAX(0,MIN($F15,EOMONTH(DATE(cfg_FY,2,1),0))-MAX($E15,DATE(cfg_FY,2,1))+1)*(1-IF($M15="نعم",0,N($J15))))</f>
        <v>0</v>
      </c>
      <c r="X15" s="110" t="n">
        <f aca="false">IF(OR($B15="",$E15="",$F15=""),0,MAX(0,MIN($F15,EOMONTH(DATE(cfg_FY,3,1),0))-MAX($E15,DATE(cfg_FY,3,1))+1)*(1-IF($M15="نعم",0,N($J15))))</f>
        <v>0</v>
      </c>
      <c r="Y15" s="110" t="n">
        <f aca="false">IF(OR($B15="",$E15="",$F15=""),0,MAX(0,MIN($F15,EOMONTH(DATE(cfg_FY,4,1),0))-MAX($E15,DATE(cfg_FY,4,1))+1)*(1-IF($M15="نعم",0,N($J15))))</f>
        <v>0</v>
      </c>
      <c r="Z15" s="110" t="n">
        <f aca="false">IF(OR($B15="",$E15="",$F15=""),0,MAX(0,MIN($F15,EOMONTH(DATE(cfg_FY,5,1),0))-MAX($E15,DATE(cfg_FY,5,1))+1)*(1-IF($M15="نعم",0,N($J15))))</f>
        <v>0</v>
      </c>
      <c r="AA15" s="110" t="n">
        <f aca="false">IF(OR($B15="",$E15="",$F15=""),0,MAX(0,MIN($F15,EOMONTH(DATE(cfg_FY,6,1),0))-MAX($E15,DATE(cfg_FY,6,1))+1)*(1-IF($M15="نعم",0,N($J15))))</f>
        <v>0</v>
      </c>
      <c r="AB15" s="110" t="n">
        <f aca="false">IF(OR($B15="",$E15="",$F15=""),0,MAX(0,MIN($F15,EOMONTH(DATE(cfg_FY,7,1),0))-MAX($E15,DATE(cfg_FY,7,1))+1)*(1-IF($M15="نعم",0,N($J15))))</f>
        <v>0</v>
      </c>
      <c r="AC15" s="110" t="n">
        <f aca="false">IF(OR($B15="",$E15="",$F15=""),0,MAX(0,MIN($F15,EOMONTH(DATE(cfg_FY,8,1),0))-MAX($E15,DATE(cfg_FY,8,1))+1)*(1-IF($M15="نعم",0,N($J15))))</f>
        <v>0</v>
      </c>
      <c r="AD15" s="110" t="n">
        <f aca="false">IF(OR($B15="",$E15="",$F15=""),0,MAX(0,MIN($F15,EOMONTH(DATE(cfg_FY,9,1),0))-MAX($E15,DATE(cfg_FY,9,1))+1)*(1-IF($M15="نعم",0,N($J15))))</f>
        <v>2.5</v>
      </c>
      <c r="AE15" s="110" t="n">
        <f aca="false">IF(OR($B15="",$E15="",$F15=""),0,MAX(0,MIN($F15,EOMONTH(DATE(cfg_FY,10,1),0))-MAX($E15,DATE(cfg_FY,10,1))+1)*(1-IF($M15="نعم",0,N($J15))))</f>
        <v>0</v>
      </c>
      <c r="AF15" s="110" t="n">
        <f aca="false">IF(OR($B15="",$E15="",$F15=""),0,MAX(0,MIN($F15,EOMONTH(DATE(cfg_FY,11,1),0))-MAX($E15,DATE(cfg_FY,11,1))+1)*(1-IF($M15="نعم",0,N($J15))))</f>
        <v>0</v>
      </c>
      <c r="AG15" s="110" t="n">
        <f aca="false">IF(OR($B15="",$E15="",$F15=""),0,MAX(0,MIN($F15,EOMONTH(DATE(cfg_FY,12,1),0))-MAX($E15,DATE(cfg_FY,12,1))+1)*(1-IF($M15="نعم",0,N($J15))))</f>
        <v>0</v>
      </c>
      <c r="AH15" s="110" t="n">
        <f aca="false">IF(OR(OR($B15="",$E15="",$F15=""),$L15&lt;&gt;"لا"),0,MAX(0,MIN($F15,EOMONTH(DATE(cfg_FY,1,1),0))-$E15+1))</f>
        <v>0</v>
      </c>
      <c r="AI15" s="110" t="n">
        <f aca="false">IF(OR(OR($B15="",$E15="",$F15=""),$L15&lt;&gt;"لا"),0,MAX(0,MIN($F15,EOMONTH(DATE(cfg_FY,2,1),0))-$E15+1))</f>
        <v>0</v>
      </c>
      <c r="AJ15" s="110" t="n">
        <f aca="false">IF(OR(OR($B15="",$E15="",$F15=""),$L15&lt;&gt;"لا"),0,MAX(0,MIN($F15,EOMONTH(DATE(cfg_FY,3,1),0))-$E15+1))</f>
        <v>0</v>
      </c>
      <c r="AK15" s="110" t="n">
        <f aca="false">IF(OR(OR($B15="",$E15="",$F15=""),$L15&lt;&gt;"لا"),0,MAX(0,MIN($F15,EOMONTH(DATE(cfg_FY,4,1),0))-$E15+1))</f>
        <v>0</v>
      </c>
      <c r="AL15" s="110" t="n">
        <f aca="false">IF(OR(OR($B15="",$E15="",$F15=""),$L15&lt;&gt;"لا"),0,MAX(0,MIN($F15,EOMONTH(DATE(cfg_FY,5,1),0))-$E15+1))</f>
        <v>0</v>
      </c>
      <c r="AM15" s="110" t="n">
        <f aca="false">IF(OR(OR($B15="",$E15="",$F15=""),$L15&lt;&gt;"لا"),0,MAX(0,MIN($F15,EOMONTH(DATE(cfg_FY,6,1),0))-$E15+1))</f>
        <v>0</v>
      </c>
      <c r="AN15" s="110" t="n">
        <f aca="false">IF(OR(OR($B15="",$E15="",$F15=""),$L15&lt;&gt;"لا"),0,MAX(0,MIN($F15,EOMONTH(DATE(cfg_FY,7,1),0))-$E15+1))</f>
        <v>0</v>
      </c>
      <c r="AO15" s="110" t="n">
        <f aca="false">IF(OR(OR($B15="",$E15="",$F15=""),$L15&lt;&gt;"لا"),0,MAX(0,MIN($F15,EOMONTH(DATE(cfg_FY,8,1),0))-$E15+1))</f>
        <v>0</v>
      </c>
      <c r="AP15" s="110" t="n">
        <f aca="false">IF(OR(OR($B15="",$E15="",$F15=""),$L15&lt;&gt;"لا"),0,MAX(0,MIN($F15,EOMONTH(DATE(cfg_FY,9,1),0))-$E15+1))</f>
        <v>0</v>
      </c>
      <c r="AQ15" s="110" t="n">
        <f aca="false">IF(OR(OR($B15="",$E15="",$F15=""),$L15&lt;&gt;"لا"),0,MAX(0,MIN($F15,EOMONTH(DATE(cfg_FY,10,1),0))-$E15+1))</f>
        <v>0</v>
      </c>
      <c r="AR15" s="110" t="n">
        <f aca="false">IF(OR(OR($B15="",$E15="",$F15=""),$L15&lt;&gt;"لا"),0,MAX(0,MIN($F15,EOMONTH(DATE(cfg_FY,11,1),0))-$E15+1))</f>
        <v>0</v>
      </c>
      <c r="AS15" s="110" t="n">
        <f aca="false">IF(OR(OR($B15="",$E15="",$F15=""),$L15&lt;&gt;"لا"),0,MAX(0,MIN($F15,EOMONTH(DATE(cfg_FY,12,1),0))-$E15+1))</f>
        <v>0</v>
      </c>
      <c r="AT15" s="110" t="n">
        <f aca="false">IF(OR(OR($B15="",$E15="",$F15=""),$K15&lt;&gt;"نعم",$M15="نعم"),0,MAX(0,MIN($F15,EOMONTH(DATE(cfg_FY,1,1),0))-MAX($E15,DATE(cfg_FY,1,1))+1))</f>
        <v>0</v>
      </c>
      <c r="AU15" s="110" t="n">
        <f aca="false">IF(OR(OR($B15="",$E15="",$F15=""),$K15&lt;&gt;"نعم",$M15="نعم"),0,MAX(0,MIN($F15,EOMONTH(DATE(cfg_FY,2,1),0))-MAX($E15,DATE(cfg_FY,2,1))+1))</f>
        <v>0</v>
      </c>
      <c r="AV15" s="110" t="n">
        <f aca="false">IF(OR(OR($B15="",$E15="",$F15=""),$K15&lt;&gt;"نعم",$M15="نعم"),0,MAX(0,MIN($F15,EOMONTH(DATE(cfg_FY,3,1),0))-MAX($E15,DATE(cfg_FY,3,1))+1))</f>
        <v>0</v>
      </c>
      <c r="AW15" s="110" t="n">
        <f aca="false">IF(OR(OR($B15="",$E15="",$F15=""),$K15&lt;&gt;"نعم",$M15="نعم"),0,MAX(0,MIN($F15,EOMONTH(DATE(cfg_FY,4,1),0))-MAX($E15,DATE(cfg_FY,4,1))+1))</f>
        <v>0</v>
      </c>
      <c r="AX15" s="110" t="n">
        <f aca="false">IF(OR(OR($B15="",$E15="",$F15=""),$K15&lt;&gt;"نعم",$M15="نعم"),0,MAX(0,MIN($F15,EOMONTH(DATE(cfg_FY,5,1),0))-MAX($E15,DATE(cfg_FY,5,1))+1))</f>
        <v>0</v>
      </c>
      <c r="AY15" s="110" t="n">
        <f aca="false">IF(OR(OR($B15="",$E15="",$F15=""),$K15&lt;&gt;"نعم",$M15="نعم"),0,MAX(0,MIN($F15,EOMONTH(DATE(cfg_FY,6,1),0))-MAX($E15,DATE(cfg_FY,6,1))+1))</f>
        <v>0</v>
      </c>
      <c r="AZ15" s="110" t="n">
        <f aca="false">IF(OR(OR($B15="",$E15="",$F15=""),$K15&lt;&gt;"نعم",$M15="نعم"),0,MAX(0,MIN($F15,EOMONTH(DATE(cfg_FY,7,1),0))-MAX($E15,DATE(cfg_FY,7,1))+1))</f>
        <v>0</v>
      </c>
      <c r="BA15" s="110" t="n">
        <f aca="false">IF(OR(OR($B15="",$E15="",$F15=""),$K15&lt;&gt;"نعم",$M15="نعم"),0,MAX(0,MIN($F15,EOMONTH(DATE(cfg_FY,8,1),0))-MAX($E15,DATE(cfg_FY,8,1))+1))</f>
        <v>0</v>
      </c>
      <c r="BB15" s="110" t="n">
        <f aca="false">IF(OR(OR($B15="",$E15="",$F15=""),$K15&lt;&gt;"نعم",$M15="نعم"),0,MAX(0,MIN($F15,EOMONTH(DATE(cfg_FY,9,1),0))-MAX($E15,DATE(cfg_FY,9,1))+1))</f>
        <v>0</v>
      </c>
      <c r="BC15" s="110" t="n">
        <f aca="false">IF(OR(OR($B15="",$E15="",$F15=""),$K15&lt;&gt;"نعم",$M15="نعم"),0,MAX(0,MIN($F15,EOMONTH(DATE(cfg_FY,10,1),0))-MAX($E15,DATE(cfg_FY,10,1))+1))</f>
        <v>0</v>
      </c>
      <c r="BD15" s="110" t="n">
        <f aca="false">IF(OR(OR($B15="",$E15="",$F15=""),$K15&lt;&gt;"نعم",$M15="نعم"),0,MAX(0,MIN($F15,EOMONTH(DATE(cfg_FY,11,1),0))-MAX($E15,DATE(cfg_FY,11,1))+1))</f>
        <v>0</v>
      </c>
      <c r="BE15" s="110" t="n">
        <f aca="false">IF(OR(OR($B15="",$E15="",$F15=""),$K15&lt;&gt;"نعم",$M15="نعم"),0,MAX(0,MIN($F15,EOMONTH(DATE(cfg_FY,12,1),0))-MAX($E15,DATE(cfg_FY,12,1))+1))</f>
        <v>0</v>
      </c>
    </row>
    <row r="16" customFormat="false" ht="15" hidden="false" customHeight="false" outlineLevel="0" collapsed="false">
      <c r="A16" s="93" t="n">
        <f aca="false">IF(B16="","",ROW()-5)</f>
        <v>11</v>
      </c>
      <c r="B16" s="79" t="s">
        <v>319</v>
      </c>
      <c r="C16" s="80" t="str">
        <f aca="false">IF(B16="","",IFERROR(INDEX(الموظفون!$C$6:$C$105,MATCH(B16,الموظفون!$B$6:$B$105,0)),"✖ رقم غير موجود"))</f>
        <v>محمد علي حسن</v>
      </c>
      <c r="D16" s="79" t="s">
        <v>171</v>
      </c>
      <c r="E16" s="94" t="n">
        <v>46357</v>
      </c>
      <c r="F16" s="94" t="n">
        <v>46386</v>
      </c>
      <c r="G16" s="57" t="n">
        <f aca="false">IF(OR($B16="",$E16="",$F16=""),"",MAX(0,F16-E16+1))</f>
        <v>30</v>
      </c>
      <c r="H16" s="58" t="n">
        <f aca="false">IF(D16="","",IFERROR(VLOOKUP(D16,cfg_LT,2,FALSE()),1))</f>
        <v>1</v>
      </c>
      <c r="I16" s="82"/>
      <c r="J16" s="58" t="n">
        <f aca="false">IF(D16="","",IF(I16&lt;&gt;"",I16,H16))</f>
        <v>1</v>
      </c>
      <c r="K16" s="80" t="str">
        <f aca="false">IF(D16="","",IFERROR(VLOOKUP($D16,cfg_LT,3,FALSE()),""))</f>
        <v>نعم</v>
      </c>
      <c r="L16" s="80" t="str">
        <f aca="false">IF(D16="","",IFERROR(VLOOKUP($D16,cfg_LT,4,FALSE()),""))</f>
        <v>نعم</v>
      </c>
      <c r="M16" s="80" t="str">
        <f aca="false">IF(D16="","",IFERROR(VLOOKUP($D16,cfg_LT,5,FALSE()),""))</f>
        <v>نعم</v>
      </c>
      <c r="N16" s="97" t="n">
        <f aca="false">IF(OR(OR($B16="",$E16="",$F16=""),M16&lt;&gt;"نعم"),0,G16*J16*IFERROR(INDEX(الموظفون!$R$6:$R$105,MATCH(B16,الموظفون!$B$6:$B$105,0)),0)/cfg_DAYS_M)</f>
        <v>11475</v>
      </c>
      <c r="O16" s="93" t="n">
        <f aca="false">IF(OR(OR($B16="",$E16="",$F16=""),M16&lt;&gt;"نعم"),"",IF(YEAR(E16)=cfg_FY,MONTH(E16),""))</f>
        <v>12</v>
      </c>
      <c r="P16" s="80" t="str">
        <f aca="false">IF(B16="","",IF(OR(D16="",E16="",F16=""),"⚠ أكمل النوع والتواريخ",IF(F16&lt;E16,"✖ النهاية قبل البداية",IF(COUNTIFS($B$6:$B$505,B16,$E$6:$E$505,"&lt;="&amp;F16,$F$6:$F$505,"&gt;="&amp;E16)&gt;1,"⚠ تداخل مع سجل آخر",IF(E16&gt;cfg_VAL_DATE,"⏳ قادمة",IF(F16&lt;cfg_VAL_DATE,"✔ منتهية","✈ جارية في تاريخ التقرير"))))))</f>
        <v>⏳ قادمة</v>
      </c>
      <c r="Q16" s="79" t="s">
        <v>407</v>
      </c>
      <c r="R16" s="57" t="n">
        <f aca="false">IF(OR(OR($B16="",$E16="",$F16=""),L16&lt;&gt;"لا"),0,MAX(0,MIN(F16,cfg_Y_START-1)-E16+1))</f>
        <v>0</v>
      </c>
      <c r="S16" s="57" t="n">
        <f aca="false">IF(OR(OR($B16="",$E16="",$F16=""),L16&lt;&gt;"لا"),0,MAX(0,MIN(F16,cfg_VAL_DATE)-E16+1))</f>
        <v>0</v>
      </c>
      <c r="T16" s="57" t="n">
        <f aca="false">IF(OR(OR($B16="",$E16="",$F16=""),K16&lt;&gt;"نعم"),0,IF(M16="نعم",IF(AND(ISNUMBER(O16),N(O16)&lt;=cfg_VAL_M),G16,0),MAX(0,MIN(F16,cfg_VAL_DATE)-MAX(E16,cfg_Y_START)+1)))</f>
        <v>0</v>
      </c>
      <c r="V16" s="57" t="n">
        <f aca="false">IF(OR($B16="",$E16="",$F16=""),0,MAX(0,MIN($F16,EOMONTH(DATE(cfg_FY,1,1),0))-MAX($E16,DATE(cfg_FY,1,1))+1)*(1-IF($M16="نعم",0,N($J16))))</f>
        <v>0</v>
      </c>
      <c r="W16" s="57" t="n">
        <f aca="false">IF(OR($B16="",$E16="",$F16=""),0,MAX(0,MIN($F16,EOMONTH(DATE(cfg_FY,2,1),0))-MAX($E16,DATE(cfg_FY,2,1))+1)*(1-IF($M16="نعم",0,N($J16))))</f>
        <v>0</v>
      </c>
      <c r="X16" s="57" t="n">
        <f aca="false">IF(OR($B16="",$E16="",$F16=""),0,MAX(0,MIN($F16,EOMONTH(DATE(cfg_FY,3,1),0))-MAX($E16,DATE(cfg_FY,3,1))+1)*(1-IF($M16="نعم",0,N($J16))))</f>
        <v>0</v>
      </c>
      <c r="Y16" s="57" t="n">
        <f aca="false">IF(OR($B16="",$E16="",$F16=""),0,MAX(0,MIN($F16,EOMONTH(DATE(cfg_FY,4,1),0))-MAX($E16,DATE(cfg_FY,4,1))+1)*(1-IF($M16="نعم",0,N($J16))))</f>
        <v>0</v>
      </c>
      <c r="Z16" s="57" t="n">
        <f aca="false">IF(OR($B16="",$E16="",$F16=""),0,MAX(0,MIN($F16,EOMONTH(DATE(cfg_FY,5,1),0))-MAX($E16,DATE(cfg_FY,5,1))+1)*(1-IF($M16="نعم",0,N($J16))))</f>
        <v>0</v>
      </c>
      <c r="AA16" s="57" t="n">
        <f aca="false">IF(OR($B16="",$E16="",$F16=""),0,MAX(0,MIN($F16,EOMONTH(DATE(cfg_FY,6,1),0))-MAX($E16,DATE(cfg_FY,6,1))+1)*(1-IF($M16="نعم",0,N($J16))))</f>
        <v>0</v>
      </c>
      <c r="AB16" s="57" t="n">
        <f aca="false">IF(OR($B16="",$E16="",$F16=""),0,MAX(0,MIN($F16,EOMONTH(DATE(cfg_FY,7,1),0))-MAX($E16,DATE(cfg_FY,7,1))+1)*(1-IF($M16="نعم",0,N($J16))))</f>
        <v>0</v>
      </c>
      <c r="AC16" s="57" t="n">
        <f aca="false">IF(OR($B16="",$E16="",$F16=""),0,MAX(0,MIN($F16,EOMONTH(DATE(cfg_FY,8,1),0))-MAX($E16,DATE(cfg_FY,8,1))+1)*(1-IF($M16="نعم",0,N($J16))))</f>
        <v>0</v>
      </c>
      <c r="AD16" s="57" t="n">
        <f aca="false">IF(OR($B16="",$E16="",$F16=""),0,MAX(0,MIN($F16,EOMONTH(DATE(cfg_FY,9,1),0))-MAX($E16,DATE(cfg_FY,9,1))+1)*(1-IF($M16="نعم",0,N($J16))))</f>
        <v>0</v>
      </c>
      <c r="AE16" s="57" t="n">
        <f aca="false">IF(OR($B16="",$E16="",$F16=""),0,MAX(0,MIN($F16,EOMONTH(DATE(cfg_FY,10,1),0))-MAX($E16,DATE(cfg_FY,10,1))+1)*(1-IF($M16="نعم",0,N($J16))))</f>
        <v>0</v>
      </c>
      <c r="AF16" s="57" t="n">
        <f aca="false">IF(OR($B16="",$E16="",$F16=""),0,MAX(0,MIN($F16,EOMONTH(DATE(cfg_FY,11,1),0))-MAX($E16,DATE(cfg_FY,11,1))+1)*(1-IF($M16="نعم",0,N($J16))))</f>
        <v>0</v>
      </c>
      <c r="AG16" s="57" t="n">
        <f aca="false">IF(OR($B16="",$E16="",$F16=""),0,MAX(0,MIN($F16,EOMONTH(DATE(cfg_FY,12,1),0))-MAX($E16,DATE(cfg_FY,12,1))+1)*(1-IF($M16="نعم",0,N($J16))))</f>
        <v>30</v>
      </c>
      <c r="AH16" s="57" t="n">
        <f aca="false">IF(OR(OR($B16="",$E16="",$F16=""),$L16&lt;&gt;"لا"),0,MAX(0,MIN($F16,EOMONTH(DATE(cfg_FY,1,1),0))-$E16+1))</f>
        <v>0</v>
      </c>
      <c r="AI16" s="57" t="n">
        <f aca="false">IF(OR(OR($B16="",$E16="",$F16=""),$L16&lt;&gt;"لا"),0,MAX(0,MIN($F16,EOMONTH(DATE(cfg_FY,2,1),0))-$E16+1))</f>
        <v>0</v>
      </c>
      <c r="AJ16" s="57" t="n">
        <f aca="false">IF(OR(OR($B16="",$E16="",$F16=""),$L16&lt;&gt;"لا"),0,MAX(0,MIN($F16,EOMONTH(DATE(cfg_FY,3,1),0))-$E16+1))</f>
        <v>0</v>
      </c>
      <c r="AK16" s="57" t="n">
        <f aca="false">IF(OR(OR($B16="",$E16="",$F16=""),$L16&lt;&gt;"لا"),0,MAX(0,MIN($F16,EOMONTH(DATE(cfg_FY,4,1),0))-$E16+1))</f>
        <v>0</v>
      </c>
      <c r="AL16" s="57" t="n">
        <f aca="false">IF(OR(OR($B16="",$E16="",$F16=""),$L16&lt;&gt;"لا"),0,MAX(0,MIN($F16,EOMONTH(DATE(cfg_FY,5,1),0))-$E16+1))</f>
        <v>0</v>
      </c>
      <c r="AM16" s="57" t="n">
        <f aca="false">IF(OR(OR($B16="",$E16="",$F16=""),$L16&lt;&gt;"لا"),0,MAX(0,MIN($F16,EOMONTH(DATE(cfg_FY,6,1),0))-$E16+1))</f>
        <v>0</v>
      </c>
      <c r="AN16" s="57" t="n">
        <f aca="false">IF(OR(OR($B16="",$E16="",$F16=""),$L16&lt;&gt;"لا"),0,MAX(0,MIN($F16,EOMONTH(DATE(cfg_FY,7,1),0))-$E16+1))</f>
        <v>0</v>
      </c>
      <c r="AO16" s="57" t="n">
        <f aca="false">IF(OR(OR($B16="",$E16="",$F16=""),$L16&lt;&gt;"لا"),0,MAX(0,MIN($F16,EOMONTH(DATE(cfg_FY,8,1),0))-$E16+1))</f>
        <v>0</v>
      </c>
      <c r="AP16" s="57" t="n">
        <f aca="false">IF(OR(OR($B16="",$E16="",$F16=""),$L16&lt;&gt;"لا"),0,MAX(0,MIN($F16,EOMONTH(DATE(cfg_FY,9,1),0))-$E16+1))</f>
        <v>0</v>
      </c>
      <c r="AQ16" s="57" t="n">
        <f aca="false">IF(OR(OR($B16="",$E16="",$F16=""),$L16&lt;&gt;"لا"),0,MAX(0,MIN($F16,EOMONTH(DATE(cfg_FY,10,1),0))-$E16+1))</f>
        <v>0</v>
      </c>
      <c r="AR16" s="57" t="n">
        <f aca="false">IF(OR(OR($B16="",$E16="",$F16=""),$L16&lt;&gt;"لا"),0,MAX(0,MIN($F16,EOMONTH(DATE(cfg_FY,11,1),0))-$E16+1))</f>
        <v>0</v>
      </c>
      <c r="AS16" s="57" t="n">
        <f aca="false">IF(OR(OR($B16="",$E16="",$F16=""),$L16&lt;&gt;"لا"),0,MAX(0,MIN($F16,EOMONTH(DATE(cfg_FY,12,1),0))-$E16+1))</f>
        <v>0</v>
      </c>
      <c r="AT16" s="57" t="n">
        <f aca="false">IF(OR(OR($B16="",$E16="",$F16=""),$K16&lt;&gt;"نعم",$M16="نعم"),0,MAX(0,MIN($F16,EOMONTH(DATE(cfg_FY,1,1),0))-MAX($E16,DATE(cfg_FY,1,1))+1))</f>
        <v>0</v>
      </c>
      <c r="AU16" s="57" t="n">
        <f aca="false">IF(OR(OR($B16="",$E16="",$F16=""),$K16&lt;&gt;"نعم",$M16="نعم"),0,MAX(0,MIN($F16,EOMONTH(DATE(cfg_FY,2,1),0))-MAX($E16,DATE(cfg_FY,2,1))+1))</f>
        <v>0</v>
      </c>
      <c r="AV16" s="57" t="n">
        <f aca="false">IF(OR(OR($B16="",$E16="",$F16=""),$K16&lt;&gt;"نعم",$M16="نعم"),0,MAX(0,MIN($F16,EOMONTH(DATE(cfg_FY,3,1),0))-MAX($E16,DATE(cfg_FY,3,1))+1))</f>
        <v>0</v>
      </c>
      <c r="AW16" s="57" t="n">
        <f aca="false">IF(OR(OR($B16="",$E16="",$F16=""),$K16&lt;&gt;"نعم",$M16="نعم"),0,MAX(0,MIN($F16,EOMONTH(DATE(cfg_FY,4,1),0))-MAX($E16,DATE(cfg_FY,4,1))+1))</f>
        <v>0</v>
      </c>
      <c r="AX16" s="57" t="n">
        <f aca="false">IF(OR(OR($B16="",$E16="",$F16=""),$K16&lt;&gt;"نعم",$M16="نعم"),0,MAX(0,MIN($F16,EOMONTH(DATE(cfg_FY,5,1),0))-MAX($E16,DATE(cfg_FY,5,1))+1))</f>
        <v>0</v>
      </c>
      <c r="AY16" s="57" t="n">
        <f aca="false">IF(OR(OR($B16="",$E16="",$F16=""),$K16&lt;&gt;"نعم",$M16="نعم"),0,MAX(0,MIN($F16,EOMONTH(DATE(cfg_FY,6,1),0))-MAX($E16,DATE(cfg_FY,6,1))+1))</f>
        <v>0</v>
      </c>
      <c r="AZ16" s="57" t="n">
        <f aca="false">IF(OR(OR($B16="",$E16="",$F16=""),$K16&lt;&gt;"نعم",$M16="نعم"),0,MAX(0,MIN($F16,EOMONTH(DATE(cfg_FY,7,1),0))-MAX($E16,DATE(cfg_FY,7,1))+1))</f>
        <v>0</v>
      </c>
      <c r="BA16" s="57" t="n">
        <f aca="false">IF(OR(OR($B16="",$E16="",$F16=""),$K16&lt;&gt;"نعم",$M16="نعم"),0,MAX(0,MIN($F16,EOMONTH(DATE(cfg_FY,8,1),0))-MAX($E16,DATE(cfg_FY,8,1))+1))</f>
        <v>0</v>
      </c>
      <c r="BB16" s="57" t="n">
        <f aca="false">IF(OR(OR($B16="",$E16="",$F16=""),$K16&lt;&gt;"نعم",$M16="نعم"),0,MAX(0,MIN($F16,EOMONTH(DATE(cfg_FY,9,1),0))-MAX($E16,DATE(cfg_FY,9,1))+1))</f>
        <v>0</v>
      </c>
      <c r="BC16" s="57" t="n">
        <f aca="false">IF(OR(OR($B16="",$E16="",$F16=""),$K16&lt;&gt;"نعم",$M16="نعم"),0,MAX(0,MIN($F16,EOMONTH(DATE(cfg_FY,10,1),0))-MAX($E16,DATE(cfg_FY,10,1))+1))</f>
        <v>0</v>
      </c>
      <c r="BD16" s="57" t="n">
        <f aca="false">IF(OR(OR($B16="",$E16="",$F16=""),$K16&lt;&gt;"نعم",$M16="نعم"),0,MAX(0,MIN($F16,EOMONTH(DATE(cfg_FY,11,1),0))-MAX($E16,DATE(cfg_FY,11,1))+1))</f>
        <v>0</v>
      </c>
      <c r="BE16" s="57" t="n">
        <f aca="false">IF(OR(OR($B16="",$E16="",$F16=""),$K16&lt;&gt;"نعم",$M16="نعم"),0,MAX(0,MIN($F16,EOMONTH(DATE(cfg_FY,12,1),0))-MAX($E16,DATE(cfg_FY,12,1))+1))</f>
        <v>0</v>
      </c>
    </row>
    <row r="17" customFormat="false" ht="15" hidden="false" customHeight="false" outlineLevel="0" collapsed="false">
      <c r="A17" s="100" t="str">
        <f aca="false">IF(B17="","",ROW()-5)</f>
        <v/>
      </c>
      <c r="B17" s="79"/>
      <c r="C17" s="102" t="str">
        <f aca="false">IF(B17="","",IFERROR(INDEX(الموظفون!$C$6:$C$105,MATCH(B17,الموظفون!$B$6:$B$105,0)),"✖ رقم غير موجود"))</f>
        <v/>
      </c>
      <c r="D17" s="79"/>
      <c r="E17" s="94"/>
      <c r="F17" s="94"/>
      <c r="G17" s="110" t="str">
        <f aca="false">IF(OR($B17="",$E17="",$F17=""),"",MAX(0,F17-E17+1))</f>
        <v/>
      </c>
      <c r="H17" s="111" t="str">
        <f aca="false">IF(D17="","",IFERROR(VLOOKUP(D17,cfg_LT,2,FALSE()),1))</f>
        <v/>
      </c>
      <c r="I17" s="82"/>
      <c r="J17" s="111" t="str">
        <f aca="false">IF(D17="","",IF(I17&lt;&gt;"",I17,H17))</f>
        <v/>
      </c>
      <c r="K17" s="102" t="str">
        <f aca="false">IF(D17="","",IFERROR(VLOOKUP($D17,cfg_LT,3,FALSE()),""))</f>
        <v/>
      </c>
      <c r="L17" s="102" t="str">
        <f aca="false">IF(D17="","",IFERROR(VLOOKUP($D17,cfg_LT,4,FALSE()),""))</f>
        <v/>
      </c>
      <c r="M17" s="102" t="str">
        <f aca="false">IF(D17="","",IFERROR(VLOOKUP($D17,cfg_LT,5,FALSE()),""))</f>
        <v/>
      </c>
      <c r="N17" s="101" t="n">
        <f aca="false">IF(OR(OR($B17="",$E17="",$F17=""),M17&lt;&gt;"نعم"),0,G17*J17*IFERROR(INDEX(الموظفون!$R$6:$R$105,MATCH(B17,الموظفون!$B$6:$B$105,0)),0)/cfg_DAYS_M)</f>
        <v>0</v>
      </c>
      <c r="O17" s="100" t="str">
        <f aca="false">IF(OR(OR($B17="",$E17="",$F17=""),M17&lt;&gt;"نعم"),"",IF(YEAR(E17)=cfg_FY,MONTH(E17),""))</f>
        <v/>
      </c>
      <c r="P17" s="102" t="str">
        <f aca="false">IF(B17="","",IF(OR(D17="",E17="",F17=""),"⚠ أكمل النوع والتواريخ",IF(F17&lt;E17,"✖ النهاية قبل البداية",IF(COUNTIFS($B$6:$B$505,B17,$E$6:$E$505,"&lt;="&amp;F17,$F$6:$F$505,"&gt;="&amp;E17)&gt;1,"⚠ تداخل مع سجل آخر",IF(E17&gt;cfg_VAL_DATE,"⏳ قادمة",IF(F17&lt;cfg_VAL_DATE,"✔ منتهية","✈ جارية في تاريخ التقرير"))))))</f>
        <v/>
      </c>
      <c r="Q17" s="79"/>
      <c r="R17" s="110" t="n">
        <f aca="false">IF(OR(OR($B17="",$E17="",$F17=""),L17&lt;&gt;"لا"),0,MAX(0,MIN(F17,cfg_Y_START-1)-E17+1))</f>
        <v>0</v>
      </c>
      <c r="S17" s="110" t="n">
        <f aca="false">IF(OR(OR($B17="",$E17="",$F17=""),L17&lt;&gt;"لا"),0,MAX(0,MIN(F17,cfg_VAL_DATE)-E17+1))</f>
        <v>0</v>
      </c>
      <c r="T17" s="110" t="n">
        <f aca="false">IF(OR(OR($B17="",$E17="",$F17=""),K17&lt;&gt;"نعم"),0,IF(M17="نعم",IF(AND(ISNUMBER(O17),N(O17)&lt;=cfg_VAL_M),G17,0),MAX(0,MIN(F17,cfg_VAL_DATE)-MAX(E17,cfg_Y_START)+1)))</f>
        <v>0</v>
      </c>
      <c r="V17" s="110" t="n">
        <f aca="false">IF(OR($B17="",$E17="",$F17=""),0,MAX(0,MIN($F17,EOMONTH(DATE(cfg_FY,1,1),0))-MAX($E17,DATE(cfg_FY,1,1))+1)*(1-IF($M17="نعم",0,N($J17))))</f>
        <v>0</v>
      </c>
      <c r="W17" s="110" t="n">
        <f aca="false">IF(OR($B17="",$E17="",$F17=""),0,MAX(0,MIN($F17,EOMONTH(DATE(cfg_FY,2,1),0))-MAX($E17,DATE(cfg_FY,2,1))+1)*(1-IF($M17="نعم",0,N($J17))))</f>
        <v>0</v>
      </c>
      <c r="X17" s="110" t="n">
        <f aca="false">IF(OR($B17="",$E17="",$F17=""),0,MAX(0,MIN($F17,EOMONTH(DATE(cfg_FY,3,1),0))-MAX($E17,DATE(cfg_FY,3,1))+1)*(1-IF($M17="نعم",0,N($J17))))</f>
        <v>0</v>
      </c>
      <c r="Y17" s="110" t="n">
        <f aca="false">IF(OR($B17="",$E17="",$F17=""),0,MAX(0,MIN($F17,EOMONTH(DATE(cfg_FY,4,1),0))-MAX($E17,DATE(cfg_FY,4,1))+1)*(1-IF($M17="نعم",0,N($J17))))</f>
        <v>0</v>
      </c>
      <c r="Z17" s="110" t="n">
        <f aca="false">IF(OR($B17="",$E17="",$F17=""),0,MAX(0,MIN($F17,EOMONTH(DATE(cfg_FY,5,1),0))-MAX($E17,DATE(cfg_FY,5,1))+1)*(1-IF($M17="نعم",0,N($J17))))</f>
        <v>0</v>
      </c>
      <c r="AA17" s="110" t="n">
        <f aca="false">IF(OR($B17="",$E17="",$F17=""),0,MAX(0,MIN($F17,EOMONTH(DATE(cfg_FY,6,1),0))-MAX($E17,DATE(cfg_FY,6,1))+1)*(1-IF($M17="نعم",0,N($J17))))</f>
        <v>0</v>
      </c>
      <c r="AB17" s="110" t="n">
        <f aca="false">IF(OR($B17="",$E17="",$F17=""),0,MAX(0,MIN($F17,EOMONTH(DATE(cfg_FY,7,1),0))-MAX($E17,DATE(cfg_FY,7,1))+1)*(1-IF($M17="نعم",0,N($J17))))</f>
        <v>0</v>
      </c>
      <c r="AC17" s="110" t="n">
        <f aca="false">IF(OR($B17="",$E17="",$F17=""),0,MAX(0,MIN($F17,EOMONTH(DATE(cfg_FY,8,1),0))-MAX($E17,DATE(cfg_FY,8,1))+1)*(1-IF($M17="نعم",0,N($J17))))</f>
        <v>0</v>
      </c>
      <c r="AD17" s="110" t="n">
        <f aca="false">IF(OR($B17="",$E17="",$F17=""),0,MAX(0,MIN($F17,EOMONTH(DATE(cfg_FY,9,1),0))-MAX($E17,DATE(cfg_FY,9,1))+1)*(1-IF($M17="نعم",0,N($J17))))</f>
        <v>0</v>
      </c>
      <c r="AE17" s="110" t="n">
        <f aca="false">IF(OR($B17="",$E17="",$F17=""),0,MAX(0,MIN($F17,EOMONTH(DATE(cfg_FY,10,1),0))-MAX($E17,DATE(cfg_FY,10,1))+1)*(1-IF($M17="نعم",0,N($J17))))</f>
        <v>0</v>
      </c>
      <c r="AF17" s="110" t="n">
        <f aca="false">IF(OR($B17="",$E17="",$F17=""),0,MAX(0,MIN($F17,EOMONTH(DATE(cfg_FY,11,1),0))-MAX($E17,DATE(cfg_FY,11,1))+1)*(1-IF($M17="نعم",0,N($J17))))</f>
        <v>0</v>
      </c>
      <c r="AG17" s="110" t="n">
        <f aca="false">IF(OR($B17="",$E17="",$F17=""),0,MAX(0,MIN($F17,EOMONTH(DATE(cfg_FY,12,1),0))-MAX($E17,DATE(cfg_FY,12,1))+1)*(1-IF($M17="نعم",0,N($J17))))</f>
        <v>0</v>
      </c>
      <c r="AH17" s="110" t="n">
        <f aca="false">IF(OR(OR($B17="",$E17="",$F17=""),$L17&lt;&gt;"لا"),0,MAX(0,MIN($F17,EOMONTH(DATE(cfg_FY,1,1),0))-$E17+1))</f>
        <v>0</v>
      </c>
      <c r="AI17" s="110" t="n">
        <f aca="false">IF(OR(OR($B17="",$E17="",$F17=""),$L17&lt;&gt;"لا"),0,MAX(0,MIN($F17,EOMONTH(DATE(cfg_FY,2,1),0))-$E17+1))</f>
        <v>0</v>
      </c>
      <c r="AJ17" s="110" t="n">
        <f aca="false">IF(OR(OR($B17="",$E17="",$F17=""),$L17&lt;&gt;"لا"),0,MAX(0,MIN($F17,EOMONTH(DATE(cfg_FY,3,1),0))-$E17+1))</f>
        <v>0</v>
      </c>
      <c r="AK17" s="110" t="n">
        <f aca="false">IF(OR(OR($B17="",$E17="",$F17=""),$L17&lt;&gt;"لا"),0,MAX(0,MIN($F17,EOMONTH(DATE(cfg_FY,4,1),0))-$E17+1))</f>
        <v>0</v>
      </c>
      <c r="AL17" s="110" t="n">
        <f aca="false">IF(OR(OR($B17="",$E17="",$F17=""),$L17&lt;&gt;"لا"),0,MAX(0,MIN($F17,EOMONTH(DATE(cfg_FY,5,1),0))-$E17+1))</f>
        <v>0</v>
      </c>
      <c r="AM17" s="110" t="n">
        <f aca="false">IF(OR(OR($B17="",$E17="",$F17=""),$L17&lt;&gt;"لا"),0,MAX(0,MIN($F17,EOMONTH(DATE(cfg_FY,6,1),0))-$E17+1))</f>
        <v>0</v>
      </c>
      <c r="AN17" s="110" t="n">
        <f aca="false">IF(OR(OR($B17="",$E17="",$F17=""),$L17&lt;&gt;"لا"),0,MAX(0,MIN($F17,EOMONTH(DATE(cfg_FY,7,1),0))-$E17+1))</f>
        <v>0</v>
      </c>
      <c r="AO17" s="110" t="n">
        <f aca="false">IF(OR(OR($B17="",$E17="",$F17=""),$L17&lt;&gt;"لا"),0,MAX(0,MIN($F17,EOMONTH(DATE(cfg_FY,8,1),0))-$E17+1))</f>
        <v>0</v>
      </c>
      <c r="AP17" s="110" t="n">
        <f aca="false">IF(OR(OR($B17="",$E17="",$F17=""),$L17&lt;&gt;"لا"),0,MAX(0,MIN($F17,EOMONTH(DATE(cfg_FY,9,1),0))-$E17+1))</f>
        <v>0</v>
      </c>
      <c r="AQ17" s="110" t="n">
        <f aca="false">IF(OR(OR($B17="",$E17="",$F17=""),$L17&lt;&gt;"لا"),0,MAX(0,MIN($F17,EOMONTH(DATE(cfg_FY,10,1),0))-$E17+1))</f>
        <v>0</v>
      </c>
      <c r="AR17" s="110" t="n">
        <f aca="false">IF(OR(OR($B17="",$E17="",$F17=""),$L17&lt;&gt;"لا"),0,MAX(0,MIN($F17,EOMONTH(DATE(cfg_FY,11,1),0))-$E17+1))</f>
        <v>0</v>
      </c>
      <c r="AS17" s="110" t="n">
        <f aca="false">IF(OR(OR($B17="",$E17="",$F17=""),$L17&lt;&gt;"لا"),0,MAX(0,MIN($F17,EOMONTH(DATE(cfg_FY,12,1),0))-$E17+1))</f>
        <v>0</v>
      </c>
      <c r="AT17" s="110" t="n">
        <f aca="false">IF(OR(OR($B17="",$E17="",$F17=""),$K17&lt;&gt;"نعم",$M17="نعم"),0,MAX(0,MIN($F17,EOMONTH(DATE(cfg_FY,1,1),0))-MAX($E17,DATE(cfg_FY,1,1))+1))</f>
        <v>0</v>
      </c>
      <c r="AU17" s="110" t="n">
        <f aca="false">IF(OR(OR($B17="",$E17="",$F17=""),$K17&lt;&gt;"نعم",$M17="نعم"),0,MAX(0,MIN($F17,EOMONTH(DATE(cfg_FY,2,1),0))-MAX($E17,DATE(cfg_FY,2,1))+1))</f>
        <v>0</v>
      </c>
      <c r="AV17" s="110" t="n">
        <f aca="false">IF(OR(OR($B17="",$E17="",$F17=""),$K17&lt;&gt;"نعم",$M17="نعم"),0,MAX(0,MIN($F17,EOMONTH(DATE(cfg_FY,3,1),0))-MAX($E17,DATE(cfg_FY,3,1))+1))</f>
        <v>0</v>
      </c>
      <c r="AW17" s="110" t="n">
        <f aca="false">IF(OR(OR($B17="",$E17="",$F17=""),$K17&lt;&gt;"نعم",$M17="نعم"),0,MAX(0,MIN($F17,EOMONTH(DATE(cfg_FY,4,1),0))-MAX($E17,DATE(cfg_FY,4,1))+1))</f>
        <v>0</v>
      </c>
      <c r="AX17" s="110" t="n">
        <f aca="false">IF(OR(OR($B17="",$E17="",$F17=""),$K17&lt;&gt;"نعم",$M17="نعم"),0,MAX(0,MIN($F17,EOMONTH(DATE(cfg_FY,5,1),0))-MAX($E17,DATE(cfg_FY,5,1))+1))</f>
        <v>0</v>
      </c>
      <c r="AY17" s="110" t="n">
        <f aca="false">IF(OR(OR($B17="",$E17="",$F17=""),$K17&lt;&gt;"نعم",$M17="نعم"),0,MAX(0,MIN($F17,EOMONTH(DATE(cfg_FY,6,1),0))-MAX($E17,DATE(cfg_FY,6,1))+1))</f>
        <v>0</v>
      </c>
      <c r="AZ17" s="110" t="n">
        <f aca="false">IF(OR(OR($B17="",$E17="",$F17=""),$K17&lt;&gt;"نعم",$M17="نعم"),0,MAX(0,MIN($F17,EOMONTH(DATE(cfg_FY,7,1),0))-MAX($E17,DATE(cfg_FY,7,1))+1))</f>
        <v>0</v>
      </c>
      <c r="BA17" s="110" t="n">
        <f aca="false">IF(OR(OR($B17="",$E17="",$F17=""),$K17&lt;&gt;"نعم",$M17="نعم"),0,MAX(0,MIN($F17,EOMONTH(DATE(cfg_FY,8,1),0))-MAX($E17,DATE(cfg_FY,8,1))+1))</f>
        <v>0</v>
      </c>
      <c r="BB17" s="110" t="n">
        <f aca="false">IF(OR(OR($B17="",$E17="",$F17=""),$K17&lt;&gt;"نعم",$M17="نعم"),0,MAX(0,MIN($F17,EOMONTH(DATE(cfg_FY,9,1),0))-MAX($E17,DATE(cfg_FY,9,1))+1))</f>
        <v>0</v>
      </c>
      <c r="BC17" s="110" t="n">
        <f aca="false">IF(OR(OR($B17="",$E17="",$F17=""),$K17&lt;&gt;"نعم",$M17="نعم"),0,MAX(0,MIN($F17,EOMONTH(DATE(cfg_FY,10,1),0))-MAX($E17,DATE(cfg_FY,10,1))+1))</f>
        <v>0</v>
      </c>
      <c r="BD17" s="110" t="n">
        <f aca="false">IF(OR(OR($B17="",$E17="",$F17=""),$K17&lt;&gt;"نعم",$M17="نعم"),0,MAX(0,MIN($F17,EOMONTH(DATE(cfg_FY,11,1),0))-MAX($E17,DATE(cfg_FY,11,1))+1))</f>
        <v>0</v>
      </c>
      <c r="BE17" s="110" t="n">
        <f aca="false">IF(OR(OR($B17="",$E17="",$F17=""),$K17&lt;&gt;"نعم",$M17="نعم"),0,MAX(0,MIN($F17,EOMONTH(DATE(cfg_FY,12,1),0))-MAX($E17,DATE(cfg_FY,12,1))+1))</f>
        <v>0</v>
      </c>
    </row>
    <row r="18" customFormat="false" ht="15" hidden="false" customHeight="false" outlineLevel="0" collapsed="false">
      <c r="A18" s="93" t="str">
        <f aca="false">IF(B18="","",ROW()-5)</f>
        <v/>
      </c>
      <c r="B18" s="79"/>
      <c r="C18" s="80" t="str">
        <f aca="false">IF(B18="","",IFERROR(INDEX(الموظفون!$C$6:$C$105,MATCH(B18,الموظفون!$B$6:$B$105,0)),"✖ رقم غير موجود"))</f>
        <v/>
      </c>
      <c r="D18" s="79"/>
      <c r="E18" s="94"/>
      <c r="F18" s="94"/>
      <c r="G18" s="57" t="str">
        <f aca="false">IF(OR($B18="",$E18="",$F18=""),"",MAX(0,F18-E18+1))</f>
        <v/>
      </c>
      <c r="H18" s="58" t="str">
        <f aca="false">IF(D18="","",IFERROR(VLOOKUP(D18,cfg_LT,2,FALSE()),1))</f>
        <v/>
      </c>
      <c r="I18" s="82"/>
      <c r="J18" s="58" t="str">
        <f aca="false">IF(D18="","",IF(I18&lt;&gt;"",I18,H18))</f>
        <v/>
      </c>
      <c r="K18" s="80" t="str">
        <f aca="false">IF(D18="","",IFERROR(VLOOKUP($D18,cfg_LT,3,FALSE()),""))</f>
        <v/>
      </c>
      <c r="L18" s="80" t="str">
        <f aca="false">IF(D18="","",IFERROR(VLOOKUP($D18,cfg_LT,4,FALSE()),""))</f>
        <v/>
      </c>
      <c r="M18" s="80" t="str">
        <f aca="false">IF(D18="","",IFERROR(VLOOKUP($D18,cfg_LT,5,FALSE()),""))</f>
        <v/>
      </c>
      <c r="N18" s="97" t="n">
        <f aca="false">IF(OR(OR($B18="",$E18="",$F18=""),M18&lt;&gt;"نعم"),0,G18*J18*IFERROR(INDEX(الموظفون!$R$6:$R$105,MATCH(B18,الموظفون!$B$6:$B$105,0)),0)/cfg_DAYS_M)</f>
        <v>0</v>
      </c>
      <c r="O18" s="93" t="str">
        <f aca="false">IF(OR(OR($B18="",$E18="",$F18=""),M18&lt;&gt;"نعم"),"",IF(YEAR(E18)=cfg_FY,MONTH(E18),""))</f>
        <v/>
      </c>
      <c r="P18" s="80" t="str">
        <f aca="false">IF(B18="","",IF(OR(D18="",E18="",F18=""),"⚠ أكمل النوع والتواريخ",IF(F18&lt;E18,"✖ النهاية قبل البداية",IF(COUNTIFS($B$6:$B$505,B18,$E$6:$E$505,"&lt;="&amp;F18,$F$6:$F$505,"&gt;="&amp;E18)&gt;1,"⚠ تداخل مع سجل آخر",IF(E18&gt;cfg_VAL_DATE,"⏳ قادمة",IF(F18&lt;cfg_VAL_DATE,"✔ منتهية","✈ جارية في تاريخ التقرير"))))))</f>
        <v/>
      </c>
      <c r="Q18" s="79"/>
      <c r="R18" s="57" t="n">
        <f aca="false">IF(OR(OR($B18="",$E18="",$F18=""),L18&lt;&gt;"لا"),0,MAX(0,MIN(F18,cfg_Y_START-1)-E18+1))</f>
        <v>0</v>
      </c>
      <c r="S18" s="57" t="n">
        <f aca="false">IF(OR(OR($B18="",$E18="",$F18=""),L18&lt;&gt;"لا"),0,MAX(0,MIN(F18,cfg_VAL_DATE)-E18+1))</f>
        <v>0</v>
      </c>
      <c r="T18" s="57" t="n">
        <f aca="false">IF(OR(OR($B18="",$E18="",$F18=""),K18&lt;&gt;"نعم"),0,IF(M18="نعم",IF(AND(ISNUMBER(O18),N(O18)&lt;=cfg_VAL_M),G18,0),MAX(0,MIN(F18,cfg_VAL_DATE)-MAX(E18,cfg_Y_START)+1)))</f>
        <v>0</v>
      </c>
      <c r="V18" s="57" t="n">
        <f aca="false">IF(OR($B18="",$E18="",$F18=""),0,MAX(0,MIN($F18,EOMONTH(DATE(cfg_FY,1,1),0))-MAX($E18,DATE(cfg_FY,1,1))+1)*(1-IF($M18="نعم",0,N($J18))))</f>
        <v>0</v>
      </c>
      <c r="W18" s="57" t="n">
        <f aca="false">IF(OR($B18="",$E18="",$F18=""),0,MAX(0,MIN($F18,EOMONTH(DATE(cfg_FY,2,1),0))-MAX($E18,DATE(cfg_FY,2,1))+1)*(1-IF($M18="نعم",0,N($J18))))</f>
        <v>0</v>
      </c>
      <c r="X18" s="57" t="n">
        <f aca="false">IF(OR($B18="",$E18="",$F18=""),0,MAX(0,MIN($F18,EOMONTH(DATE(cfg_FY,3,1),0))-MAX($E18,DATE(cfg_FY,3,1))+1)*(1-IF($M18="نعم",0,N($J18))))</f>
        <v>0</v>
      </c>
      <c r="Y18" s="57" t="n">
        <f aca="false">IF(OR($B18="",$E18="",$F18=""),0,MAX(0,MIN($F18,EOMONTH(DATE(cfg_FY,4,1),0))-MAX($E18,DATE(cfg_FY,4,1))+1)*(1-IF($M18="نعم",0,N($J18))))</f>
        <v>0</v>
      </c>
      <c r="Z18" s="57" t="n">
        <f aca="false">IF(OR($B18="",$E18="",$F18=""),0,MAX(0,MIN($F18,EOMONTH(DATE(cfg_FY,5,1),0))-MAX($E18,DATE(cfg_FY,5,1))+1)*(1-IF($M18="نعم",0,N($J18))))</f>
        <v>0</v>
      </c>
      <c r="AA18" s="57" t="n">
        <f aca="false">IF(OR($B18="",$E18="",$F18=""),0,MAX(0,MIN($F18,EOMONTH(DATE(cfg_FY,6,1),0))-MAX($E18,DATE(cfg_FY,6,1))+1)*(1-IF($M18="نعم",0,N($J18))))</f>
        <v>0</v>
      </c>
      <c r="AB18" s="57" t="n">
        <f aca="false">IF(OR($B18="",$E18="",$F18=""),0,MAX(0,MIN($F18,EOMONTH(DATE(cfg_FY,7,1),0))-MAX($E18,DATE(cfg_FY,7,1))+1)*(1-IF($M18="نعم",0,N($J18))))</f>
        <v>0</v>
      </c>
      <c r="AC18" s="57" t="n">
        <f aca="false">IF(OR($B18="",$E18="",$F18=""),0,MAX(0,MIN($F18,EOMONTH(DATE(cfg_FY,8,1),0))-MAX($E18,DATE(cfg_FY,8,1))+1)*(1-IF($M18="نعم",0,N($J18))))</f>
        <v>0</v>
      </c>
      <c r="AD18" s="57" t="n">
        <f aca="false">IF(OR($B18="",$E18="",$F18=""),0,MAX(0,MIN($F18,EOMONTH(DATE(cfg_FY,9,1),0))-MAX($E18,DATE(cfg_FY,9,1))+1)*(1-IF($M18="نعم",0,N($J18))))</f>
        <v>0</v>
      </c>
      <c r="AE18" s="57" t="n">
        <f aca="false">IF(OR($B18="",$E18="",$F18=""),0,MAX(0,MIN($F18,EOMONTH(DATE(cfg_FY,10,1),0))-MAX($E18,DATE(cfg_FY,10,1))+1)*(1-IF($M18="نعم",0,N($J18))))</f>
        <v>0</v>
      </c>
      <c r="AF18" s="57" t="n">
        <f aca="false">IF(OR($B18="",$E18="",$F18=""),0,MAX(0,MIN($F18,EOMONTH(DATE(cfg_FY,11,1),0))-MAX($E18,DATE(cfg_FY,11,1))+1)*(1-IF($M18="نعم",0,N($J18))))</f>
        <v>0</v>
      </c>
      <c r="AG18" s="57" t="n">
        <f aca="false">IF(OR($B18="",$E18="",$F18=""),0,MAX(0,MIN($F18,EOMONTH(DATE(cfg_FY,12,1),0))-MAX($E18,DATE(cfg_FY,12,1))+1)*(1-IF($M18="نعم",0,N($J18))))</f>
        <v>0</v>
      </c>
      <c r="AH18" s="57" t="n">
        <f aca="false">IF(OR(OR($B18="",$E18="",$F18=""),$L18&lt;&gt;"لا"),0,MAX(0,MIN($F18,EOMONTH(DATE(cfg_FY,1,1),0))-$E18+1))</f>
        <v>0</v>
      </c>
      <c r="AI18" s="57" t="n">
        <f aca="false">IF(OR(OR($B18="",$E18="",$F18=""),$L18&lt;&gt;"لا"),0,MAX(0,MIN($F18,EOMONTH(DATE(cfg_FY,2,1),0))-$E18+1))</f>
        <v>0</v>
      </c>
      <c r="AJ18" s="57" t="n">
        <f aca="false">IF(OR(OR($B18="",$E18="",$F18=""),$L18&lt;&gt;"لا"),0,MAX(0,MIN($F18,EOMONTH(DATE(cfg_FY,3,1),0))-$E18+1))</f>
        <v>0</v>
      </c>
      <c r="AK18" s="57" t="n">
        <f aca="false">IF(OR(OR($B18="",$E18="",$F18=""),$L18&lt;&gt;"لا"),0,MAX(0,MIN($F18,EOMONTH(DATE(cfg_FY,4,1),0))-$E18+1))</f>
        <v>0</v>
      </c>
      <c r="AL18" s="57" t="n">
        <f aca="false">IF(OR(OR($B18="",$E18="",$F18=""),$L18&lt;&gt;"لا"),0,MAX(0,MIN($F18,EOMONTH(DATE(cfg_FY,5,1),0))-$E18+1))</f>
        <v>0</v>
      </c>
      <c r="AM18" s="57" t="n">
        <f aca="false">IF(OR(OR($B18="",$E18="",$F18=""),$L18&lt;&gt;"لا"),0,MAX(0,MIN($F18,EOMONTH(DATE(cfg_FY,6,1),0))-$E18+1))</f>
        <v>0</v>
      </c>
      <c r="AN18" s="57" t="n">
        <f aca="false">IF(OR(OR($B18="",$E18="",$F18=""),$L18&lt;&gt;"لا"),0,MAX(0,MIN($F18,EOMONTH(DATE(cfg_FY,7,1),0))-$E18+1))</f>
        <v>0</v>
      </c>
      <c r="AO18" s="57" t="n">
        <f aca="false">IF(OR(OR($B18="",$E18="",$F18=""),$L18&lt;&gt;"لا"),0,MAX(0,MIN($F18,EOMONTH(DATE(cfg_FY,8,1),0))-$E18+1))</f>
        <v>0</v>
      </c>
      <c r="AP18" s="57" t="n">
        <f aca="false">IF(OR(OR($B18="",$E18="",$F18=""),$L18&lt;&gt;"لا"),0,MAX(0,MIN($F18,EOMONTH(DATE(cfg_FY,9,1),0))-$E18+1))</f>
        <v>0</v>
      </c>
      <c r="AQ18" s="57" t="n">
        <f aca="false">IF(OR(OR($B18="",$E18="",$F18=""),$L18&lt;&gt;"لا"),0,MAX(0,MIN($F18,EOMONTH(DATE(cfg_FY,10,1),0))-$E18+1))</f>
        <v>0</v>
      </c>
      <c r="AR18" s="57" t="n">
        <f aca="false">IF(OR(OR($B18="",$E18="",$F18=""),$L18&lt;&gt;"لا"),0,MAX(0,MIN($F18,EOMONTH(DATE(cfg_FY,11,1),0))-$E18+1))</f>
        <v>0</v>
      </c>
      <c r="AS18" s="57" t="n">
        <f aca="false">IF(OR(OR($B18="",$E18="",$F18=""),$L18&lt;&gt;"لا"),0,MAX(0,MIN($F18,EOMONTH(DATE(cfg_FY,12,1),0))-$E18+1))</f>
        <v>0</v>
      </c>
      <c r="AT18" s="57" t="n">
        <f aca="false">IF(OR(OR($B18="",$E18="",$F18=""),$K18&lt;&gt;"نعم",$M18="نعم"),0,MAX(0,MIN($F18,EOMONTH(DATE(cfg_FY,1,1),0))-MAX($E18,DATE(cfg_FY,1,1))+1))</f>
        <v>0</v>
      </c>
      <c r="AU18" s="57" t="n">
        <f aca="false">IF(OR(OR($B18="",$E18="",$F18=""),$K18&lt;&gt;"نعم",$M18="نعم"),0,MAX(0,MIN($F18,EOMONTH(DATE(cfg_FY,2,1),0))-MAX($E18,DATE(cfg_FY,2,1))+1))</f>
        <v>0</v>
      </c>
      <c r="AV18" s="57" t="n">
        <f aca="false">IF(OR(OR($B18="",$E18="",$F18=""),$K18&lt;&gt;"نعم",$M18="نعم"),0,MAX(0,MIN($F18,EOMONTH(DATE(cfg_FY,3,1),0))-MAX($E18,DATE(cfg_FY,3,1))+1))</f>
        <v>0</v>
      </c>
      <c r="AW18" s="57" t="n">
        <f aca="false">IF(OR(OR($B18="",$E18="",$F18=""),$K18&lt;&gt;"نعم",$M18="نعم"),0,MAX(0,MIN($F18,EOMONTH(DATE(cfg_FY,4,1),0))-MAX($E18,DATE(cfg_FY,4,1))+1))</f>
        <v>0</v>
      </c>
      <c r="AX18" s="57" t="n">
        <f aca="false">IF(OR(OR($B18="",$E18="",$F18=""),$K18&lt;&gt;"نعم",$M18="نعم"),0,MAX(0,MIN($F18,EOMONTH(DATE(cfg_FY,5,1),0))-MAX($E18,DATE(cfg_FY,5,1))+1))</f>
        <v>0</v>
      </c>
      <c r="AY18" s="57" t="n">
        <f aca="false">IF(OR(OR($B18="",$E18="",$F18=""),$K18&lt;&gt;"نعم",$M18="نعم"),0,MAX(0,MIN($F18,EOMONTH(DATE(cfg_FY,6,1),0))-MAX($E18,DATE(cfg_FY,6,1))+1))</f>
        <v>0</v>
      </c>
      <c r="AZ18" s="57" t="n">
        <f aca="false">IF(OR(OR($B18="",$E18="",$F18=""),$K18&lt;&gt;"نعم",$M18="نعم"),0,MAX(0,MIN($F18,EOMONTH(DATE(cfg_FY,7,1),0))-MAX($E18,DATE(cfg_FY,7,1))+1))</f>
        <v>0</v>
      </c>
      <c r="BA18" s="57" t="n">
        <f aca="false">IF(OR(OR($B18="",$E18="",$F18=""),$K18&lt;&gt;"نعم",$M18="نعم"),0,MAX(0,MIN($F18,EOMONTH(DATE(cfg_FY,8,1),0))-MAX($E18,DATE(cfg_FY,8,1))+1))</f>
        <v>0</v>
      </c>
      <c r="BB18" s="57" t="n">
        <f aca="false">IF(OR(OR($B18="",$E18="",$F18=""),$K18&lt;&gt;"نعم",$M18="نعم"),0,MAX(0,MIN($F18,EOMONTH(DATE(cfg_FY,9,1),0))-MAX($E18,DATE(cfg_FY,9,1))+1))</f>
        <v>0</v>
      </c>
      <c r="BC18" s="57" t="n">
        <f aca="false">IF(OR(OR($B18="",$E18="",$F18=""),$K18&lt;&gt;"نعم",$M18="نعم"),0,MAX(0,MIN($F18,EOMONTH(DATE(cfg_FY,10,1),0))-MAX($E18,DATE(cfg_FY,10,1))+1))</f>
        <v>0</v>
      </c>
      <c r="BD18" s="57" t="n">
        <f aca="false">IF(OR(OR($B18="",$E18="",$F18=""),$K18&lt;&gt;"نعم",$M18="نعم"),0,MAX(0,MIN($F18,EOMONTH(DATE(cfg_FY,11,1),0))-MAX($E18,DATE(cfg_FY,11,1))+1))</f>
        <v>0</v>
      </c>
      <c r="BE18" s="57" t="n">
        <f aca="false">IF(OR(OR($B18="",$E18="",$F18=""),$K18&lt;&gt;"نعم",$M18="نعم"),0,MAX(0,MIN($F18,EOMONTH(DATE(cfg_FY,12,1),0))-MAX($E18,DATE(cfg_FY,12,1))+1))</f>
        <v>0</v>
      </c>
    </row>
    <row r="19" customFormat="false" ht="15" hidden="false" customHeight="false" outlineLevel="0" collapsed="false">
      <c r="A19" s="100" t="str">
        <f aca="false">IF(B19="","",ROW()-5)</f>
        <v/>
      </c>
      <c r="B19" s="79"/>
      <c r="C19" s="102" t="str">
        <f aca="false">IF(B19="","",IFERROR(INDEX(الموظفون!$C$6:$C$105,MATCH(B19,الموظفون!$B$6:$B$105,0)),"✖ رقم غير موجود"))</f>
        <v/>
      </c>
      <c r="D19" s="79"/>
      <c r="E19" s="94"/>
      <c r="F19" s="94"/>
      <c r="G19" s="110" t="str">
        <f aca="false">IF(OR($B19="",$E19="",$F19=""),"",MAX(0,F19-E19+1))</f>
        <v/>
      </c>
      <c r="H19" s="111" t="str">
        <f aca="false">IF(D19="","",IFERROR(VLOOKUP(D19,cfg_LT,2,FALSE()),1))</f>
        <v/>
      </c>
      <c r="I19" s="82"/>
      <c r="J19" s="111" t="str">
        <f aca="false">IF(D19="","",IF(I19&lt;&gt;"",I19,H19))</f>
        <v/>
      </c>
      <c r="K19" s="102" t="str">
        <f aca="false">IF(D19="","",IFERROR(VLOOKUP($D19,cfg_LT,3,FALSE()),""))</f>
        <v/>
      </c>
      <c r="L19" s="102" t="str">
        <f aca="false">IF(D19="","",IFERROR(VLOOKUP($D19,cfg_LT,4,FALSE()),""))</f>
        <v/>
      </c>
      <c r="M19" s="102" t="str">
        <f aca="false">IF(D19="","",IFERROR(VLOOKUP($D19,cfg_LT,5,FALSE()),""))</f>
        <v/>
      </c>
      <c r="N19" s="101" t="n">
        <f aca="false">IF(OR(OR($B19="",$E19="",$F19=""),M19&lt;&gt;"نعم"),0,G19*J19*IFERROR(INDEX(الموظفون!$R$6:$R$105,MATCH(B19,الموظفون!$B$6:$B$105,0)),0)/cfg_DAYS_M)</f>
        <v>0</v>
      </c>
      <c r="O19" s="100" t="str">
        <f aca="false">IF(OR(OR($B19="",$E19="",$F19=""),M19&lt;&gt;"نعم"),"",IF(YEAR(E19)=cfg_FY,MONTH(E19),""))</f>
        <v/>
      </c>
      <c r="P19" s="102" t="str">
        <f aca="false">IF(B19="","",IF(OR(D19="",E19="",F19=""),"⚠ أكمل النوع والتواريخ",IF(F19&lt;E19,"✖ النهاية قبل البداية",IF(COUNTIFS($B$6:$B$505,B19,$E$6:$E$505,"&lt;="&amp;F19,$F$6:$F$505,"&gt;="&amp;E19)&gt;1,"⚠ تداخل مع سجل آخر",IF(E19&gt;cfg_VAL_DATE,"⏳ قادمة",IF(F19&lt;cfg_VAL_DATE,"✔ منتهية","✈ جارية في تاريخ التقرير"))))))</f>
        <v/>
      </c>
      <c r="Q19" s="79"/>
      <c r="R19" s="110" t="n">
        <f aca="false">IF(OR(OR($B19="",$E19="",$F19=""),L19&lt;&gt;"لا"),0,MAX(0,MIN(F19,cfg_Y_START-1)-E19+1))</f>
        <v>0</v>
      </c>
      <c r="S19" s="110" t="n">
        <f aca="false">IF(OR(OR($B19="",$E19="",$F19=""),L19&lt;&gt;"لا"),0,MAX(0,MIN(F19,cfg_VAL_DATE)-E19+1))</f>
        <v>0</v>
      </c>
      <c r="T19" s="110" t="n">
        <f aca="false">IF(OR(OR($B19="",$E19="",$F19=""),K19&lt;&gt;"نعم"),0,IF(M19="نعم",IF(AND(ISNUMBER(O19),N(O19)&lt;=cfg_VAL_M),G19,0),MAX(0,MIN(F19,cfg_VAL_DATE)-MAX(E19,cfg_Y_START)+1)))</f>
        <v>0</v>
      </c>
      <c r="V19" s="110" t="n">
        <f aca="false">IF(OR($B19="",$E19="",$F19=""),0,MAX(0,MIN($F19,EOMONTH(DATE(cfg_FY,1,1),0))-MAX($E19,DATE(cfg_FY,1,1))+1)*(1-IF($M19="نعم",0,N($J19))))</f>
        <v>0</v>
      </c>
      <c r="W19" s="110" t="n">
        <f aca="false">IF(OR($B19="",$E19="",$F19=""),0,MAX(0,MIN($F19,EOMONTH(DATE(cfg_FY,2,1),0))-MAX($E19,DATE(cfg_FY,2,1))+1)*(1-IF($M19="نعم",0,N($J19))))</f>
        <v>0</v>
      </c>
      <c r="X19" s="110" t="n">
        <f aca="false">IF(OR($B19="",$E19="",$F19=""),0,MAX(0,MIN($F19,EOMONTH(DATE(cfg_FY,3,1),0))-MAX($E19,DATE(cfg_FY,3,1))+1)*(1-IF($M19="نعم",0,N($J19))))</f>
        <v>0</v>
      </c>
      <c r="Y19" s="110" t="n">
        <f aca="false">IF(OR($B19="",$E19="",$F19=""),0,MAX(0,MIN($F19,EOMONTH(DATE(cfg_FY,4,1),0))-MAX($E19,DATE(cfg_FY,4,1))+1)*(1-IF($M19="نعم",0,N($J19))))</f>
        <v>0</v>
      </c>
      <c r="Z19" s="110" t="n">
        <f aca="false">IF(OR($B19="",$E19="",$F19=""),0,MAX(0,MIN($F19,EOMONTH(DATE(cfg_FY,5,1),0))-MAX($E19,DATE(cfg_FY,5,1))+1)*(1-IF($M19="نعم",0,N($J19))))</f>
        <v>0</v>
      </c>
      <c r="AA19" s="110" t="n">
        <f aca="false">IF(OR($B19="",$E19="",$F19=""),0,MAX(0,MIN($F19,EOMONTH(DATE(cfg_FY,6,1),0))-MAX($E19,DATE(cfg_FY,6,1))+1)*(1-IF($M19="نعم",0,N($J19))))</f>
        <v>0</v>
      </c>
      <c r="AB19" s="110" t="n">
        <f aca="false">IF(OR($B19="",$E19="",$F19=""),0,MAX(0,MIN($F19,EOMONTH(DATE(cfg_FY,7,1),0))-MAX($E19,DATE(cfg_FY,7,1))+1)*(1-IF($M19="نعم",0,N($J19))))</f>
        <v>0</v>
      </c>
      <c r="AC19" s="110" t="n">
        <f aca="false">IF(OR($B19="",$E19="",$F19=""),0,MAX(0,MIN($F19,EOMONTH(DATE(cfg_FY,8,1),0))-MAX($E19,DATE(cfg_FY,8,1))+1)*(1-IF($M19="نعم",0,N($J19))))</f>
        <v>0</v>
      </c>
      <c r="AD19" s="110" t="n">
        <f aca="false">IF(OR($B19="",$E19="",$F19=""),0,MAX(0,MIN($F19,EOMONTH(DATE(cfg_FY,9,1),0))-MAX($E19,DATE(cfg_FY,9,1))+1)*(1-IF($M19="نعم",0,N($J19))))</f>
        <v>0</v>
      </c>
      <c r="AE19" s="110" t="n">
        <f aca="false">IF(OR($B19="",$E19="",$F19=""),0,MAX(0,MIN($F19,EOMONTH(DATE(cfg_FY,10,1),0))-MAX($E19,DATE(cfg_FY,10,1))+1)*(1-IF($M19="نعم",0,N($J19))))</f>
        <v>0</v>
      </c>
      <c r="AF19" s="110" t="n">
        <f aca="false">IF(OR($B19="",$E19="",$F19=""),0,MAX(0,MIN($F19,EOMONTH(DATE(cfg_FY,11,1),0))-MAX($E19,DATE(cfg_FY,11,1))+1)*(1-IF($M19="نعم",0,N($J19))))</f>
        <v>0</v>
      </c>
      <c r="AG19" s="110" t="n">
        <f aca="false">IF(OR($B19="",$E19="",$F19=""),0,MAX(0,MIN($F19,EOMONTH(DATE(cfg_FY,12,1),0))-MAX($E19,DATE(cfg_FY,12,1))+1)*(1-IF($M19="نعم",0,N($J19))))</f>
        <v>0</v>
      </c>
      <c r="AH19" s="110" t="n">
        <f aca="false">IF(OR(OR($B19="",$E19="",$F19=""),$L19&lt;&gt;"لا"),0,MAX(0,MIN($F19,EOMONTH(DATE(cfg_FY,1,1),0))-$E19+1))</f>
        <v>0</v>
      </c>
      <c r="AI19" s="110" t="n">
        <f aca="false">IF(OR(OR($B19="",$E19="",$F19=""),$L19&lt;&gt;"لا"),0,MAX(0,MIN($F19,EOMONTH(DATE(cfg_FY,2,1),0))-$E19+1))</f>
        <v>0</v>
      </c>
      <c r="AJ19" s="110" t="n">
        <f aca="false">IF(OR(OR($B19="",$E19="",$F19=""),$L19&lt;&gt;"لا"),0,MAX(0,MIN($F19,EOMONTH(DATE(cfg_FY,3,1),0))-$E19+1))</f>
        <v>0</v>
      </c>
      <c r="AK19" s="110" t="n">
        <f aca="false">IF(OR(OR($B19="",$E19="",$F19=""),$L19&lt;&gt;"لا"),0,MAX(0,MIN($F19,EOMONTH(DATE(cfg_FY,4,1),0))-$E19+1))</f>
        <v>0</v>
      </c>
      <c r="AL19" s="110" t="n">
        <f aca="false">IF(OR(OR($B19="",$E19="",$F19=""),$L19&lt;&gt;"لا"),0,MAX(0,MIN($F19,EOMONTH(DATE(cfg_FY,5,1),0))-$E19+1))</f>
        <v>0</v>
      </c>
      <c r="AM19" s="110" t="n">
        <f aca="false">IF(OR(OR($B19="",$E19="",$F19=""),$L19&lt;&gt;"لا"),0,MAX(0,MIN($F19,EOMONTH(DATE(cfg_FY,6,1),0))-$E19+1))</f>
        <v>0</v>
      </c>
      <c r="AN19" s="110" t="n">
        <f aca="false">IF(OR(OR($B19="",$E19="",$F19=""),$L19&lt;&gt;"لا"),0,MAX(0,MIN($F19,EOMONTH(DATE(cfg_FY,7,1),0))-$E19+1))</f>
        <v>0</v>
      </c>
      <c r="AO19" s="110" t="n">
        <f aca="false">IF(OR(OR($B19="",$E19="",$F19=""),$L19&lt;&gt;"لا"),0,MAX(0,MIN($F19,EOMONTH(DATE(cfg_FY,8,1),0))-$E19+1))</f>
        <v>0</v>
      </c>
      <c r="AP19" s="110" t="n">
        <f aca="false">IF(OR(OR($B19="",$E19="",$F19=""),$L19&lt;&gt;"لا"),0,MAX(0,MIN($F19,EOMONTH(DATE(cfg_FY,9,1),0))-$E19+1))</f>
        <v>0</v>
      </c>
      <c r="AQ19" s="110" t="n">
        <f aca="false">IF(OR(OR($B19="",$E19="",$F19=""),$L19&lt;&gt;"لا"),0,MAX(0,MIN($F19,EOMONTH(DATE(cfg_FY,10,1),0))-$E19+1))</f>
        <v>0</v>
      </c>
      <c r="AR19" s="110" t="n">
        <f aca="false">IF(OR(OR($B19="",$E19="",$F19=""),$L19&lt;&gt;"لا"),0,MAX(0,MIN($F19,EOMONTH(DATE(cfg_FY,11,1),0))-$E19+1))</f>
        <v>0</v>
      </c>
      <c r="AS19" s="110" t="n">
        <f aca="false">IF(OR(OR($B19="",$E19="",$F19=""),$L19&lt;&gt;"لا"),0,MAX(0,MIN($F19,EOMONTH(DATE(cfg_FY,12,1),0))-$E19+1))</f>
        <v>0</v>
      </c>
      <c r="AT19" s="110" t="n">
        <f aca="false">IF(OR(OR($B19="",$E19="",$F19=""),$K19&lt;&gt;"نعم",$M19="نعم"),0,MAX(0,MIN($F19,EOMONTH(DATE(cfg_FY,1,1),0))-MAX($E19,DATE(cfg_FY,1,1))+1))</f>
        <v>0</v>
      </c>
      <c r="AU19" s="110" t="n">
        <f aca="false">IF(OR(OR($B19="",$E19="",$F19=""),$K19&lt;&gt;"نعم",$M19="نعم"),0,MAX(0,MIN($F19,EOMONTH(DATE(cfg_FY,2,1),0))-MAX($E19,DATE(cfg_FY,2,1))+1))</f>
        <v>0</v>
      </c>
      <c r="AV19" s="110" t="n">
        <f aca="false">IF(OR(OR($B19="",$E19="",$F19=""),$K19&lt;&gt;"نعم",$M19="نعم"),0,MAX(0,MIN($F19,EOMONTH(DATE(cfg_FY,3,1),0))-MAX($E19,DATE(cfg_FY,3,1))+1))</f>
        <v>0</v>
      </c>
      <c r="AW19" s="110" t="n">
        <f aca="false">IF(OR(OR($B19="",$E19="",$F19=""),$K19&lt;&gt;"نعم",$M19="نعم"),0,MAX(0,MIN($F19,EOMONTH(DATE(cfg_FY,4,1),0))-MAX($E19,DATE(cfg_FY,4,1))+1))</f>
        <v>0</v>
      </c>
      <c r="AX19" s="110" t="n">
        <f aca="false">IF(OR(OR($B19="",$E19="",$F19=""),$K19&lt;&gt;"نعم",$M19="نعم"),0,MAX(0,MIN($F19,EOMONTH(DATE(cfg_FY,5,1),0))-MAX($E19,DATE(cfg_FY,5,1))+1))</f>
        <v>0</v>
      </c>
      <c r="AY19" s="110" t="n">
        <f aca="false">IF(OR(OR($B19="",$E19="",$F19=""),$K19&lt;&gt;"نعم",$M19="نعم"),0,MAX(0,MIN($F19,EOMONTH(DATE(cfg_FY,6,1),0))-MAX($E19,DATE(cfg_FY,6,1))+1))</f>
        <v>0</v>
      </c>
      <c r="AZ19" s="110" t="n">
        <f aca="false">IF(OR(OR($B19="",$E19="",$F19=""),$K19&lt;&gt;"نعم",$M19="نعم"),0,MAX(0,MIN($F19,EOMONTH(DATE(cfg_FY,7,1),0))-MAX($E19,DATE(cfg_FY,7,1))+1))</f>
        <v>0</v>
      </c>
      <c r="BA19" s="110" t="n">
        <f aca="false">IF(OR(OR($B19="",$E19="",$F19=""),$K19&lt;&gt;"نعم",$M19="نعم"),0,MAX(0,MIN($F19,EOMONTH(DATE(cfg_FY,8,1),0))-MAX($E19,DATE(cfg_FY,8,1))+1))</f>
        <v>0</v>
      </c>
      <c r="BB19" s="110" t="n">
        <f aca="false">IF(OR(OR($B19="",$E19="",$F19=""),$K19&lt;&gt;"نعم",$M19="نعم"),0,MAX(0,MIN($F19,EOMONTH(DATE(cfg_FY,9,1),0))-MAX($E19,DATE(cfg_FY,9,1))+1))</f>
        <v>0</v>
      </c>
      <c r="BC19" s="110" t="n">
        <f aca="false">IF(OR(OR($B19="",$E19="",$F19=""),$K19&lt;&gt;"نعم",$M19="نعم"),0,MAX(0,MIN($F19,EOMONTH(DATE(cfg_FY,10,1),0))-MAX($E19,DATE(cfg_FY,10,1))+1))</f>
        <v>0</v>
      </c>
      <c r="BD19" s="110" t="n">
        <f aca="false">IF(OR(OR($B19="",$E19="",$F19=""),$K19&lt;&gt;"نعم",$M19="نعم"),0,MAX(0,MIN($F19,EOMONTH(DATE(cfg_FY,11,1),0))-MAX($E19,DATE(cfg_FY,11,1))+1))</f>
        <v>0</v>
      </c>
      <c r="BE19" s="110" t="n">
        <f aca="false">IF(OR(OR($B19="",$E19="",$F19=""),$K19&lt;&gt;"نعم",$M19="نعم"),0,MAX(0,MIN($F19,EOMONTH(DATE(cfg_FY,12,1),0))-MAX($E19,DATE(cfg_FY,12,1))+1))</f>
        <v>0</v>
      </c>
    </row>
    <row r="20" customFormat="false" ht="15" hidden="false" customHeight="false" outlineLevel="0" collapsed="false">
      <c r="A20" s="93" t="str">
        <f aca="false">IF(B20="","",ROW()-5)</f>
        <v/>
      </c>
      <c r="B20" s="79"/>
      <c r="C20" s="80" t="str">
        <f aca="false">IF(B20="","",IFERROR(INDEX(الموظفون!$C$6:$C$105,MATCH(B20,الموظفون!$B$6:$B$105,0)),"✖ رقم غير موجود"))</f>
        <v/>
      </c>
      <c r="D20" s="79"/>
      <c r="E20" s="94"/>
      <c r="F20" s="94"/>
      <c r="G20" s="57" t="str">
        <f aca="false">IF(OR($B20="",$E20="",$F20=""),"",MAX(0,F20-E20+1))</f>
        <v/>
      </c>
      <c r="H20" s="58" t="str">
        <f aca="false">IF(D20="","",IFERROR(VLOOKUP(D20,cfg_LT,2,FALSE()),1))</f>
        <v/>
      </c>
      <c r="I20" s="82"/>
      <c r="J20" s="58" t="str">
        <f aca="false">IF(D20="","",IF(I20&lt;&gt;"",I20,H20))</f>
        <v/>
      </c>
      <c r="K20" s="80" t="str">
        <f aca="false">IF(D20="","",IFERROR(VLOOKUP($D20,cfg_LT,3,FALSE()),""))</f>
        <v/>
      </c>
      <c r="L20" s="80" t="str">
        <f aca="false">IF(D20="","",IFERROR(VLOOKUP($D20,cfg_LT,4,FALSE()),""))</f>
        <v/>
      </c>
      <c r="M20" s="80" t="str">
        <f aca="false">IF(D20="","",IFERROR(VLOOKUP($D20,cfg_LT,5,FALSE()),""))</f>
        <v/>
      </c>
      <c r="N20" s="97" t="n">
        <f aca="false">IF(OR(OR($B20="",$E20="",$F20=""),M20&lt;&gt;"نعم"),0,G20*J20*IFERROR(INDEX(الموظفون!$R$6:$R$105,MATCH(B20,الموظفون!$B$6:$B$105,0)),0)/cfg_DAYS_M)</f>
        <v>0</v>
      </c>
      <c r="O20" s="93" t="str">
        <f aca="false">IF(OR(OR($B20="",$E20="",$F20=""),M20&lt;&gt;"نعم"),"",IF(YEAR(E20)=cfg_FY,MONTH(E20),""))</f>
        <v/>
      </c>
      <c r="P20" s="80" t="str">
        <f aca="false">IF(B20="","",IF(OR(D20="",E20="",F20=""),"⚠ أكمل النوع والتواريخ",IF(F20&lt;E20,"✖ النهاية قبل البداية",IF(COUNTIFS($B$6:$B$505,B20,$E$6:$E$505,"&lt;="&amp;F20,$F$6:$F$505,"&gt;="&amp;E20)&gt;1,"⚠ تداخل مع سجل آخر",IF(E20&gt;cfg_VAL_DATE,"⏳ قادمة",IF(F20&lt;cfg_VAL_DATE,"✔ منتهية","✈ جارية في تاريخ التقرير"))))))</f>
        <v/>
      </c>
      <c r="Q20" s="79"/>
      <c r="R20" s="57" t="n">
        <f aca="false">IF(OR(OR($B20="",$E20="",$F20=""),L20&lt;&gt;"لا"),0,MAX(0,MIN(F20,cfg_Y_START-1)-E20+1))</f>
        <v>0</v>
      </c>
      <c r="S20" s="57" t="n">
        <f aca="false">IF(OR(OR($B20="",$E20="",$F20=""),L20&lt;&gt;"لا"),0,MAX(0,MIN(F20,cfg_VAL_DATE)-E20+1))</f>
        <v>0</v>
      </c>
      <c r="T20" s="57" t="n">
        <f aca="false">IF(OR(OR($B20="",$E20="",$F20=""),K20&lt;&gt;"نعم"),0,IF(M20="نعم",IF(AND(ISNUMBER(O20),N(O20)&lt;=cfg_VAL_M),G20,0),MAX(0,MIN(F20,cfg_VAL_DATE)-MAX(E20,cfg_Y_START)+1)))</f>
        <v>0</v>
      </c>
      <c r="V20" s="57" t="n">
        <f aca="false">IF(OR($B20="",$E20="",$F20=""),0,MAX(0,MIN($F20,EOMONTH(DATE(cfg_FY,1,1),0))-MAX($E20,DATE(cfg_FY,1,1))+1)*(1-IF($M20="نعم",0,N($J20))))</f>
        <v>0</v>
      </c>
      <c r="W20" s="57" t="n">
        <f aca="false">IF(OR($B20="",$E20="",$F20=""),0,MAX(0,MIN($F20,EOMONTH(DATE(cfg_FY,2,1),0))-MAX($E20,DATE(cfg_FY,2,1))+1)*(1-IF($M20="نعم",0,N($J20))))</f>
        <v>0</v>
      </c>
      <c r="X20" s="57" t="n">
        <f aca="false">IF(OR($B20="",$E20="",$F20=""),0,MAX(0,MIN($F20,EOMONTH(DATE(cfg_FY,3,1),0))-MAX($E20,DATE(cfg_FY,3,1))+1)*(1-IF($M20="نعم",0,N($J20))))</f>
        <v>0</v>
      </c>
      <c r="Y20" s="57" t="n">
        <f aca="false">IF(OR($B20="",$E20="",$F20=""),0,MAX(0,MIN($F20,EOMONTH(DATE(cfg_FY,4,1),0))-MAX($E20,DATE(cfg_FY,4,1))+1)*(1-IF($M20="نعم",0,N($J20))))</f>
        <v>0</v>
      </c>
      <c r="Z20" s="57" t="n">
        <f aca="false">IF(OR($B20="",$E20="",$F20=""),0,MAX(0,MIN($F20,EOMONTH(DATE(cfg_FY,5,1),0))-MAX($E20,DATE(cfg_FY,5,1))+1)*(1-IF($M20="نعم",0,N($J20))))</f>
        <v>0</v>
      </c>
      <c r="AA20" s="57" t="n">
        <f aca="false">IF(OR($B20="",$E20="",$F20=""),0,MAX(0,MIN($F20,EOMONTH(DATE(cfg_FY,6,1),0))-MAX($E20,DATE(cfg_FY,6,1))+1)*(1-IF($M20="نعم",0,N($J20))))</f>
        <v>0</v>
      </c>
      <c r="AB20" s="57" t="n">
        <f aca="false">IF(OR($B20="",$E20="",$F20=""),0,MAX(0,MIN($F20,EOMONTH(DATE(cfg_FY,7,1),0))-MAX($E20,DATE(cfg_FY,7,1))+1)*(1-IF($M20="نعم",0,N($J20))))</f>
        <v>0</v>
      </c>
      <c r="AC20" s="57" t="n">
        <f aca="false">IF(OR($B20="",$E20="",$F20=""),0,MAX(0,MIN($F20,EOMONTH(DATE(cfg_FY,8,1),0))-MAX($E20,DATE(cfg_FY,8,1))+1)*(1-IF($M20="نعم",0,N($J20))))</f>
        <v>0</v>
      </c>
      <c r="AD20" s="57" t="n">
        <f aca="false">IF(OR($B20="",$E20="",$F20=""),0,MAX(0,MIN($F20,EOMONTH(DATE(cfg_FY,9,1),0))-MAX($E20,DATE(cfg_FY,9,1))+1)*(1-IF($M20="نعم",0,N($J20))))</f>
        <v>0</v>
      </c>
      <c r="AE20" s="57" t="n">
        <f aca="false">IF(OR($B20="",$E20="",$F20=""),0,MAX(0,MIN($F20,EOMONTH(DATE(cfg_FY,10,1),0))-MAX($E20,DATE(cfg_FY,10,1))+1)*(1-IF($M20="نعم",0,N($J20))))</f>
        <v>0</v>
      </c>
      <c r="AF20" s="57" t="n">
        <f aca="false">IF(OR($B20="",$E20="",$F20=""),0,MAX(0,MIN($F20,EOMONTH(DATE(cfg_FY,11,1),0))-MAX($E20,DATE(cfg_FY,11,1))+1)*(1-IF($M20="نعم",0,N($J20))))</f>
        <v>0</v>
      </c>
      <c r="AG20" s="57" t="n">
        <f aca="false">IF(OR($B20="",$E20="",$F20=""),0,MAX(0,MIN($F20,EOMONTH(DATE(cfg_FY,12,1),0))-MAX($E20,DATE(cfg_FY,12,1))+1)*(1-IF($M20="نعم",0,N($J20))))</f>
        <v>0</v>
      </c>
      <c r="AH20" s="57" t="n">
        <f aca="false">IF(OR(OR($B20="",$E20="",$F20=""),$L20&lt;&gt;"لا"),0,MAX(0,MIN($F20,EOMONTH(DATE(cfg_FY,1,1),0))-$E20+1))</f>
        <v>0</v>
      </c>
      <c r="AI20" s="57" t="n">
        <f aca="false">IF(OR(OR($B20="",$E20="",$F20=""),$L20&lt;&gt;"لا"),0,MAX(0,MIN($F20,EOMONTH(DATE(cfg_FY,2,1),0))-$E20+1))</f>
        <v>0</v>
      </c>
      <c r="AJ20" s="57" t="n">
        <f aca="false">IF(OR(OR($B20="",$E20="",$F20=""),$L20&lt;&gt;"لا"),0,MAX(0,MIN($F20,EOMONTH(DATE(cfg_FY,3,1),0))-$E20+1))</f>
        <v>0</v>
      </c>
      <c r="AK20" s="57" t="n">
        <f aca="false">IF(OR(OR($B20="",$E20="",$F20=""),$L20&lt;&gt;"لا"),0,MAX(0,MIN($F20,EOMONTH(DATE(cfg_FY,4,1),0))-$E20+1))</f>
        <v>0</v>
      </c>
      <c r="AL20" s="57" t="n">
        <f aca="false">IF(OR(OR($B20="",$E20="",$F20=""),$L20&lt;&gt;"لا"),0,MAX(0,MIN($F20,EOMONTH(DATE(cfg_FY,5,1),0))-$E20+1))</f>
        <v>0</v>
      </c>
      <c r="AM20" s="57" t="n">
        <f aca="false">IF(OR(OR($B20="",$E20="",$F20=""),$L20&lt;&gt;"لا"),0,MAX(0,MIN($F20,EOMONTH(DATE(cfg_FY,6,1),0))-$E20+1))</f>
        <v>0</v>
      </c>
      <c r="AN20" s="57" t="n">
        <f aca="false">IF(OR(OR($B20="",$E20="",$F20=""),$L20&lt;&gt;"لا"),0,MAX(0,MIN($F20,EOMONTH(DATE(cfg_FY,7,1),0))-$E20+1))</f>
        <v>0</v>
      </c>
      <c r="AO20" s="57" t="n">
        <f aca="false">IF(OR(OR($B20="",$E20="",$F20=""),$L20&lt;&gt;"لا"),0,MAX(0,MIN($F20,EOMONTH(DATE(cfg_FY,8,1),0))-$E20+1))</f>
        <v>0</v>
      </c>
      <c r="AP20" s="57" t="n">
        <f aca="false">IF(OR(OR($B20="",$E20="",$F20=""),$L20&lt;&gt;"لا"),0,MAX(0,MIN($F20,EOMONTH(DATE(cfg_FY,9,1),0))-$E20+1))</f>
        <v>0</v>
      </c>
      <c r="AQ20" s="57" t="n">
        <f aca="false">IF(OR(OR($B20="",$E20="",$F20=""),$L20&lt;&gt;"لا"),0,MAX(0,MIN($F20,EOMONTH(DATE(cfg_FY,10,1),0))-$E20+1))</f>
        <v>0</v>
      </c>
      <c r="AR20" s="57" t="n">
        <f aca="false">IF(OR(OR($B20="",$E20="",$F20=""),$L20&lt;&gt;"لا"),0,MAX(0,MIN($F20,EOMONTH(DATE(cfg_FY,11,1),0))-$E20+1))</f>
        <v>0</v>
      </c>
      <c r="AS20" s="57" t="n">
        <f aca="false">IF(OR(OR($B20="",$E20="",$F20=""),$L20&lt;&gt;"لا"),0,MAX(0,MIN($F20,EOMONTH(DATE(cfg_FY,12,1),0))-$E20+1))</f>
        <v>0</v>
      </c>
      <c r="AT20" s="57" t="n">
        <f aca="false">IF(OR(OR($B20="",$E20="",$F20=""),$K20&lt;&gt;"نعم",$M20="نعم"),0,MAX(0,MIN($F20,EOMONTH(DATE(cfg_FY,1,1),0))-MAX($E20,DATE(cfg_FY,1,1))+1))</f>
        <v>0</v>
      </c>
      <c r="AU20" s="57" t="n">
        <f aca="false">IF(OR(OR($B20="",$E20="",$F20=""),$K20&lt;&gt;"نعم",$M20="نعم"),0,MAX(0,MIN($F20,EOMONTH(DATE(cfg_FY,2,1),0))-MAX($E20,DATE(cfg_FY,2,1))+1))</f>
        <v>0</v>
      </c>
      <c r="AV20" s="57" t="n">
        <f aca="false">IF(OR(OR($B20="",$E20="",$F20=""),$K20&lt;&gt;"نعم",$M20="نعم"),0,MAX(0,MIN($F20,EOMONTH(DATE(cfg_FY,3,1),0))-MAX($E20,DATE(cfg_FY,3,1))+1))</f>
        <v>0</v>
      </c>
      <c r="AW20" s="57" t="n">
        <f aca="false">IF(OR(OR($B20="",$E20="",$F20=""),$K20&lt;&gt;"نعم",$M20="نعم"),0,MAX(0,MIN($F20,EOMONTH(DATE(cfg_FY,4,1),0))-MAX($E20,DATE(cfg_FY,4,1))+1))</f>
        <v>0</v>
      </c>
      <c r="AX20" s="57" t="n">
        <f aca="false">IF(OR(OR($B20="",$E20="",$F20=""),$K20&lt;&gt;"نعم",$M20="نعم"),0,MAX(0,MIN($F20,EOMONTH(DATE(cfg_FY,5,1),0))-MAX($E20,DATE(cfg_FY,5,1))+1))</f>
        <v>0</v>
      </c>
      <c r="AY20" s="57" t="n">
        <f aca="false">IF(OR(OR($B20="",$E20="",$F20=""),$K20&lt;&gt;"نعم",$M20="نعم"),0,MAX(0,MIN($F20,EOMONTH(DATE(cfg_FY,6,1),0))-MAX($E20,DATE(cfg_FY,6,1))+1))</f>
        <v>0</v>
      </c>
      <c r="AZ20" s="57" t="n">
        <f aca="false">IF(OR(OR($B20="",$E20="",$F20=""),$K20&lt;&gt;"نعم",$M20="نعم"),0,MAX(0,MIN($F20,EOMONTH(DATE(cfg_FY,7,1),0))-MAX($E20,DATE(cfg_FY,7,1))+1))</f>
        <v>0</v>
      </c>
      <c r="BA20" s="57" t="n">
        <f aca="false">IF(OR(OR($B20="",$E20="",$F20=""),$K20&lt;&gt;"نعم",$M20="نعم"),0,MAX(0,MIN($F20,EOMONTH(DATE(cfg_FY,8,1),0))-MAX($E20,DATE(cfg_FY,8,1))+1))</f>
        <v>0</v>
      </c>
      <c r="BB20" s="57" t="n">
        <f aca="false">IF(OR(OR($B20="",$E20="",$F20=""),$K20&lt;&gt;"نعم",$M20="نعم"),0,MAX(0,MIN($F20,EOMONTH(DATE(cfg_FY,9,1),0))-MAX($E20,DATE(cfg_FY,9,1))+1))</f>
        <v>0</v>
      </c>
      <c r="BC20" s="57" t="n">
        <f aca="false">IF(OR(OR($B20="",$E20="",$F20=""),$K20&lt;&gt;"نعم",$M20="نعم"),0,MAX(0,MIN($F20,EOMONTH(DATE(cfg_FY,10,1),0))-MAX($E20,DATE(cfg_FY,10,1))+1))</f>
        <v>0</v>
      </c>
      <c r="BD20" s="57" t="n">
        <f aca="false">IF(OR(OR($B20="",$E20="",$F20=""),$K20&lt;&gt;"نعم",$M20="نعم"),0,MAX(0,MIN($F20,EOMONTH(DATE(cfg_FY,11,1),0))-MAX($E20,DATE(cfg_FY,11,1))+1))</f>
        <v>0</v>
      </c>
      <c r="BE20" s="57" t="n">
        <f aca="false">IF(OR(OR($B20="",$E20="",$F20=""),$K20&lt;&gt;"نعم",$M20="نعم"),0,MAX(0,MIN($F20,EOMONTH(DATE(cfg_FY,12,1),0))-MAX($E20,DATE(cfg_FY,12,1))+1))</f>
        <v>0</v>
      </c>
    </row>
    <row r="21" customFormat="false" ht="15" hidden="false" customHeight="false" outlineLevel="0" collapsed="false">
      <c r="A21" s="100" t="str">
        <f aca="false">IF(B21="","",ROW()-5)</f>
        <v/>
      </c>
      <c r="B21" s="79"/>
      <c r="C21" s="102" t="str">
        <f aca="false">IF(B21="","",IFERROR(INDEX(الموظفون!$C$6:$C$105,MATCH(B21,الموظفون!$B$6:$B$105,0)),"✖ رقم غير موجود"))</f>
        <v/>
      </c>
      <c r="D21" s="79"/>
      <c r="E21" s="94"/>
      <c r="F21" s="94"/>
      <c r="G21" s="110" t="str">
        <f aca="false">IF(OR($B21="",$E21="",$F21=""),"",MAX(0,F21-E21+1))</f>
        <v/>
      </c>
      <c r="H21" s="111" t="str">
        <f aca="false">IF(D21="","",IFERROR(VLOOKUP(D21,cfg_LT,2,FALSE()),1))</f>
        <v/>
      </c>
      <c r="I21" s="82"/>
      <c r="J21" s="111" t="str">
        <f aca="false">IF(D21="","",IF(I21&lt;&gt;"",I21,H21))</f>
        <v/>
      </c>
      <c r="K21" s="102" t="str">
        <f aca="false">IF(D21="","",IFERROR(VLOOKUP($D21,cfg_LT,3,FALSE()),""))</f>
        <v/>
      </c>
      <c r="L21" s="102" t="str">
        <f aca="false">IF(D21="","",IFERROR(VLOOKUP($D21,cfg_LT,4,FALSE()),""))</f>
        <v/>
      </c>
      <c r="M21" s="102" t="str">
        <f aca="false">IF(D21="","",IFERROR(VLOOKUP($D21,cfg_LT,5,FALSE()),""))</f>
        <v/>
      </c>
      <c r="N21" s="101" t="n">
        <f aca="false">IF(OR(OR($B21="",$E21="",$F21=""),M21&lt;&gt;"نعم"),0,G21*J21*IFERROR(INDEX(الموظفون!$R$6:$R$105,MATCH(B21,الموظفون!$B$6:$B$105,0)),0)/cfg_DAYS_M)</f>
        <v>0</v>
      </c>
      <c r="O21" s="100" t="str">
        <f aca="false">IF(OR(OR($B21="",$E21="",$F21=""),M21&lt;&gt;"نعم"),"",IF(YEAR(E21)=cfg_FY,MONTH(E21),""))</f>
        <v/>
      </c>
      <c r="P21" s="102" t="str">
        <f aca="false">IF(B21="","",IF(OR(D21="",E21="",F21=""),"⚠ أكمل النوع والتواريخ",IF(F21&lt;E21,"✖ النهاية قبل البداية",IF(COUNTIFS($B$6:$B$505,B21,$E$6:$E$505,"&lt;="&amp;F21,$F$6:$F$505,"&gt;="&amp;E21)&gt;1,"⚠ تداخل مع سجل آخر",IF(E21&gt;cfg_VAL_DATE,"⏳ قادمة",IF(F21&lt;cfg_VAL_DATE,"✔ منتهية","✈ جارية في تاريخ التقرير"))))))</f>
        <v/>
      </c>
      <c r="Q21" s="79"/>
      <c r="R21" s="110" t="n">
        <f aca="false">IF(OR(OR($B21="",$E21="",$F21=""),L21&lt;&gt;"لا"),0,MAX(0,MIN(F21,cfg_Y_START-1)-E21+1))</f>
        <v>0</v>
      </c>
      <c r="S21" s="110" t="n">
        <f aca="false">IF(OR(OR($B21="",$E21="",$F21=""),L21&lt;&gt;"لا"),0,MAX(0,MIN(F21,cfg_VAL_DATE)-E21+1))</f>
        <v>0</v>
      </c>
      <c r="T21" s="110" t="n">
        <f aca="false">IF(OR(OR($B21="",$E21="",$F21=""),K21&lt;&gt;"نعم"),0,IF(M21="نعم",IF(AND(ISNUMBER(O21),N(O21)&lt;=cfg_VAL_M),G21,0),MAX(0,MIN(F21,cfg_VAL_DATE)-MAX(E21,cfg_Y_START)+1)))</f>
        <v>0</v>
      </c>
      <c r="V21" s="110" t="n">
        <f aca="false">IF(OR($B21="",$E21="",$F21=""),0,MAX(0,MIN($F21,EOMONTH(DATE(cfg_FY,1,1),0))-MAX($E21,DATE(cfg_FY,1,1))+1)*(1-IF($M21="نعم",0,N($J21))))</f>
        <v>0</v>
      </c>
      <c r="W21" s="110" t="n">
        <f aca="false">IF(OR($B21="",$E21="",$F21=""),0,MAX(0,MIN($F21,EOMONTH(DATE(cfg_FY,2,1),0))-MAX($E21,DATE(cfg_FY,2,1))+1)*(1-IF($M21="نعم",0,N($J21))))</f>
        <v>0</v>
      </c>
      <c r="X21" s="110" t="n">
        <f aca="false">IF(OR($B21="",$E21="",$F21=""),0,MAX(0,MIN($F21,EOMONTH(DATE(cfg_FY,3,1),0))-MAX($E21,DATE(cfg_FY,3,1))+1)*(1-IF($M21="نعم",0,N($J21))))</f>
        <v>0</v>
      </c>
      <c r="Y21" s="110" t="n">
        <f aca="false">IF(OR($B21="",$E21="",$F21=""),0,MAX(0,MIN($F21,EOMONTH(DATE(cfg_FY,4,1),0))-MAX($E21,DATE(cfg_FY,4,1))+1)*(1-IF($M21="نعم",0,N($J21))))</f>
        <v>0</v>
      </c>
      <c r="Z21" s="110" t="n">
        <f aca="false">IF(OR($B21="",$E21="",$F21=""),0,MAX(0,MIN($F21,EOMONTH(DATE(cfg_FY,5,1),0))-MAX($E21,DATE(cfg_FY,5,1))+1)*(1-IF($M21="نعم",0,N($J21))))</f>
        <v>0</v>
      </c>
      <c r="AA21" s="110" t="n">
        <f aca="false">IF(OR($B21="",$E21="",$F21=""),0,MAX(0,MIN($F21,EOMONTH(DATE(cfg_FY,6,1),0))-MAX($E21,DATE(cfg_FY,6,1))+1)*(1-IF($M21="نعم",0,N($J21))))</f>
        <v>0</v>
      </c>
      <c r="AB21" s="110" t="n">
        <f aca="false">IF(OR($B21="",$E21="",$F21=""),0,MAX(0,MIN($F21,EOMONTH(DATE(cfg_FY,7,1),0))-MAX($E21,DATE(cfg_FY,7,1))+1)*(1-IF($M21="نعم",0,N($J21))))</f>
        <v>0</v>
      </c>
      <c r="AC21" s="110" t="n">
        <f aca="false">IF(OR($B21="",$E21="",$F21=""),0,MAX(0,MIN($F21,EOMONTH(DATE(cfg_FY,8,1),0))-MAX($E21,DATE(cfg_FY,8,1))+1)*(1-IF($M21="نعم",0,N($J21))))</f>
        <v>0</v>
      </c>
      <c r="AD21" s="110" t="n">
        <f aca="false">IF(OR($B21="",$E21="",$F21=""),0,MAX(0,MIN($F21,EOMONTH(DATE(cfg_FY,9,1),0))-MAX($E21,DATE(cfg_FY,9,1))+1)*(1-IF($M21="نعم",0,N($J21))))</f>
        <v>0</v>
      </c>
      <c r="AE21" s="110" t="n">
        <f aca="false">IF(OR($B21="",$E21="",$F21=""),0,MAX(0,MIN($F21,EOMONTH(DATE(cfg_FY,10,1),0))-MAX($E21,DATE(cfg_FY,10,1))+1)*(1-IF($M21="نعم",0,N($J21))))</f>
        <v>0</v>
      </c>
      <c r="AF21" s="110" t="n">
        <f aca="false">IF(OR($B21="",$E21="",$F21=""),0,MAX(0,MIN($F21,EOMONTH(DATE(cfg_FY,11,1),0))-MAX($E21,DATE(cfg_FY,11,1))+1)*(1-IF($M21="نعم",0,N($J21))))</f>
        <v>0</v>
      </c>
      <c r="AG21" s="110" t="n">
        <f aca="false">IF(OR($B21="",$E21="",$F21=""),0,MAX(0,MIN($F21,EOMONTH(DATE(cfg_FY,12,1),0))-MAX($E21,DATE(cfg_FY,12,1))+1)*(1-IF($M21="نعم",0,N($J21))))</f>
        <v>0</v>
      </c>
      <c r="AH21" s="110" t="n">
        <f aca="false">IF(OR(OR($B21="",$E21="",$F21=""),$L21&lt;&gt;"لا"),0,MAX(0,MIN($F21,EOMONTH(DATE(cfg_FY,1,1),0))-$E21+1))</f>
        <v>0</v>
      </c>
      <c r="AI21" s="110" t="n">
        <f aca="false">IF(OR(OR($B21="",$E21="",$F21=""),$L21&lt;&gt;"لا"),0,MAX(0,MIN($F21,EOMONTH(DATE(cfg_FY,2,1),0))-$E21+1))</f>
        <v>0</v>
      </c>
      <c r="AJ21" s="110" t="n">
        <f aca="false">IF(OR(OR($B21="",$E21="",$F21=""),$L21&lt;&gt;"لا"),0,MAX(0,MIN($F21,EOMONTH(DATE(cfg_FY,3,1),0))-$E21+1))</f>
        <v>0</v>
      </c>
      <c r="AK21" s="110" t="n">
        <f aca="false">IF(OR(OR($B21="",$E21="",$F21=""),$L21&lt;&gt;"لا"),0,MAX(0,MIN($F21,EOMONTH(DATE(cfg_FY,4,1),0))-$E21+1))</f>
        <v>0</v>
      </c>
      <c r="AL21" s="110" t="n">
        <f aca="false">IF(OR(OR($B21="",$E21="",$F21=""),$L21&lt;&gt;"لا"),0,MAX(0,MIN($F21,EOMONTH(DATE(cfg_FY,5,1),0))-$E21+1))</f>
        <v>0</v>
      </c>
      <c r="AM21" s="110" t="n">
        <f aca="false">IF(OR(OR($B21="",$E21="",$F21=""),$L21&lt;&gt;"لا"),0,MAX(0,MIN($F21,EOMONTH(DATE(cfg_FY,6,1),0))-$E21+1))</f>
        <v>0</v>
      </c>
      <c r="AN21" s="110" t="n">
        <f aca="false">IF(OR(OR($B21="",$E21="",$F21=""),$L21&lt;&gt;"لا"),0,MAX(0,MIN($F21,EOMONTH(DATE(cfg_FY,7,1),0))-$E21+1))</f>
        <v>0</v>
      </c>
      <c r="AO21" s="110" t="n">
        <f aca="false">IF(OR(OR($B21="",$E21="",$F21=""),$L21&lt;&gt;"لا"),0,MAX(0,MIN($F21,EOMONTH(DATE(cfg_FY,8,1),0))-$E21+1))</f>
        <v>0</v>
      </c>
      <c r="AP21" s="110" t="n">
        <f aca="false">IF(OR(OR($B21="",$E21="",$F21=""),$L21&lt;&gt;"لا"),0,MAX(0,MIN($F21,EOMONTH(DATE(cfg_FY,9,1),0))-$E21+1))</f>
        <v>0</v>
      </c>
      <c r="AQ21" s="110" t="n">
        <f aca="false">IF(OR(OR($B21="",$E21="",$F21=""),$L21&lt;&gt;"لا"),0,MAX(0,MIN($F21,EOMONTH(DATE(cfg_FY,10,1),0))-$E21+1))</f>
        <v>0</v>
      </c>
      <c r="AR21" s="110" t="n">
        <f aca="false">IF(OR(OR($B21="",$E21="",$F21=""),$L21&lt;&gt;"لا"),0,MAX(0,MIN($F21,EOMONTH(DATE(cfg_FY,11,1),0))-$E21+1))</f>
        <v>0</v>
      </c>
      <c r="AS21" s="110" t="n">
        <f aca="false">IF(OR(OR($B21="",$E21="",$F21=""),$L21&lt;&gt;"لا"),0,MAX(0,MIN($F21,EOMONTH(DATE(cfg_FY,12,1),0))-$E21+1))</f>
        <v>0</v>
      </c>
      <c r="AT21" s="110" t="n">
        <f aca="false">IF(OR(OR($B21="",$E21="",$F21=""),$K21&lt;&gt;"نعم",$M21="نعم"),0,MAX(0,MIN($F21,EOMONTH(DATE(cfg_FY,1,1),0))-MAX($E21,DATE(cfg_FY,1,1))+1))</f>
        <v>0</v>
      </c>
      <c r="AU21" s="110" t="n">
        <f aca="false">IF(OR(OR($B21="",$E21="",$F21=""),$K21&lt;&gt;"نعم",$M21="نعم"),0,MAX(0,MIN($F21,EOMONTH(DATE(cfg_FY,2,1),0))-MAX($E21,DATE(cfg_FY,2,1))+1))</f>
        <v>0</v>
      </c>
      <c r="AV21" s="110" t="n">
        <f aca="false">IF(OR(OR($B21="",$E21="",$F21=""),$K21&lt;&gt;"نعم",$M21="نعم"),0,MAX(0,MIN($F21,EOMONTH(DATE(cfg_FY,3,1),0))-MAX($E21,DATE(cfg_FY,3,1))+1))</f>
        <v>0</v>
      </c>
      <c r="AW21" s="110" t="n">
        <f aca="false">IF(OR(OR($B21="",$E21="",$F21=""),$K21&lt;&gt;"نعم",$M21="نعم"),0,MAX(0,MIN($F21,EOMONTH(DATE(cfg_FY,4,1),0))-MAX($E21,DATE(cfg_FY,4,1))+1))</f>
        <v>0</v>
      </c>
      <c r="AX21" s="110" t="n">
        <f aca="false">IF(OR(OR($B21="",$E21="",$F21=""),$K21&lt;&gt;"نعم",$M21="نعم"),0,MAX(0,MIN($F21,EOMONTH(DATE(cfg_FY,5,1),0))-MAX($E21,DATE(cfg_FY,5,1))+1))</f>
        <v>0</v>
      </c>
      <c r="AY21" s="110" t="n">
        <f aca="false">IF(OR(OR($B21="",$E21="",$F21=""),$K21&lt;&gt;"نعم",$M21="نعم"),0,MAX(0,MIN($F21,EOMONTH(DATE(cfg_FY,6,1),0))-MAX($E21,DATE(cfg_FY,6,1))+1))</f>
        <v>0</v>
      </c>
      <c r="AZ21" s="110" t="n">
        <f aca="false">IF(OR(OR($B21="",$E21="",$F21=""),$K21&lt;&gt;"نعم",$M21="نعم"),0,MAX(0,MIN($F21,EOMONTH(DATE(cfg_FY,7,1),0))-MAX($E21,DATE(cfg_FY,7,1))+1))</f>
        <v>0</v>
      </c>
      <c r="BA21" s="110" t="n">
        <f aca="false">IF(OR(OR($B21="",$E21="",$F21=""),$K21&lt;&gt;"نعم",$M21="نعم"),0,MAX(0,MIN($F21,EOMONTH(DATE(cfg_FY,8,1),0))-MAX($E21,DATE(cfg_FY,8,1))+1))</f>
        <v>0</v>
      </c>
      <c r="BB21" s="110" t="n">
        <f aca="false">IF(OR(OR($B21="",$E21="",$F21=""),$K21&lt;&gt;"نعم",$M21="نعم"),0,MAX(0,MIN($F21,EOMONTH(DATE(cfg_FY,9,1),0))-MAX($E21,DATE(cfg_FY,9,1))+1))</f>
        <v>0</v>
      </c>
      <c r="BC21" s="110" t="n">
        <f aca="false">IF(OR(OR($B21="",$E21="",$F21=""),$K21&lt;&gt;"نعم",$M21="نعم"),0,MAX(0,MIN($F21,EOMONTH(DATE(cfg_FY,10,1),0))-MAX($E21,DATE(cfg_FY,10,1))+1))</f>
        <v>0</v>
      </c>
      <c r="BD21" s="110" t="n">
        <f aca="false">IF(OR(OR($B21="",$E21="",$F21=""),$K21&lt;&gt;"نعم",$M21="نعم"),0,MAX(0,MIN($F21,EOMONTH(DATE(cfg_FY,11,1),0))-MAX($E21,DATE(cfg_FY,11,1))+1))</f>
        <v>0</v>
      </c>
      <c r="BE21" s="110" t="n">
        <f aca="false">IF(OR(OR($B21="",$E21="",$F21=""),$K21&lt;&gt;"نعم",$M21="نعم"),0,MAX(0,MIN($F21,EOMONTH(DATE(cfg_FY,12,1),0))-MAX($E21,DATE(cfg_FY,12,1))+1))</f>
        <v>0</v>
      </c>
    </row>
    <row r="22" customFormat="false" ht="15" hidden="false" customHeight="false" outlineLevel="0" collapsed="false">
      <c r="A22" s="93" t="str">
        <f aca="false">IF(B22="","",ROW()-5)</f>
        <v/>
      </c>
      <c r="B22" s="79"/>
      <c r="C22" s="80" t="str">
        <f aca="false">IF(B22="","",IFERROR(INDEX(الموظفون!$C$6:$C$105,MATCH(B22,الموظفون!$B$6:$B$105,0)),"✖ رقم غير موجود"))</f>
        <v/>
      </c>
      <c r="D22" s="79"/>
      <c r="E22" s="94"/>
      <c r="F22" s="94"/>
      <c r="G22" s="57" t="str">
        <f aca="false">IF(OR($B22="",$E22="",$F22=""),"",MAX(0,F22-E22+1))</f>
        <v/>
      </c>
      <c r="H22" s="58" t="str">
        <f aca="false">IF(D22="","",IFERROR(VLOOKUP(D22,cfg_LT,2,FALSE()),1))</f>
        <v/>
      </c>
      <c r="I22" s="82"/>
      <c r="J22" s="58" t="str">
        <f aca="false">IF(D22="","",IF(I22&lt;&gt;"",I22,H22))</f>
        <v/>
      </c>
      <c r="K22" s="80" t="str">
        <f aca="false">IF(D22="","",IFERROR(VLOOKUP($D22,cfg_LT,3,FALSE()),""))</f>
        <v/>
      </c>
      <c r="L22" s="80" t="str">
        <f aca="false">IF(D22="","",IFERROR(VLOOKUP($D22,cfg_LT,4,FALSE()),""))</f>
        <v/>
      </c>
      <c r="M22" s="80" t="str">
        <f aca="false">IF(D22="","",IFERROR(VLOOKUP($D22,cfg_LT,5,FALSE()),""))</f>
        <v/>
      </c>
      <c r="N22" s="97" t="n">
        <f aca="false">IF(OR(OR($B22="",$E22="",$F22=""),M22&lt;&gt;"نعم"),0,G22*J22*IFERROR(INDEX(الموظفون!$R$6:$R$105,MATCH(B22,الموظفون!$B$6:$B$105,0)),0)/cfg_DAYS_M)</f>
        <v>0</v>
      </c>
      <c r="O22" s="93" t="str">
        <f aca="false">IF(OR(OR($B22="",$E22="",$F22=""),M22&lt;&gt;"نعم"),"",IF(YEAR(E22)=cfg_FY,MONTH(E22),""))</f>
        <v/>
      </c>
      <c r="P22" s="80" t="str">
        <f aca="false">IF(B22="","",IF(OR(D22="",E22="",F22=""),"⚠ أكمل النوع والتواريخ",IF(F22&lt;E22,"✖ النهاية قبل البداية",IF(COUNTIFS($B$6:$B$505,B22,$E$6:$E$505,"&lt;="&amp;F22,$F$6:$F$505,"&gt;="&amp;E22)&gt;1,"⚠ تداخل مع سجل آخر",IF(E22&gt;cfg_VAL_DATE,"⏳ قادمة",IF(F22&lt;cfg_VAL_DATE,"✔ منتهية","✈ جارية في تاريخ التقرير"))))))</f>
        <v/>
      </c>
      <c r="Q22" s="79"/>
      <c r="R22" s="57" t="n">
        <f aca="false">IF(OR(OR($B22="",$E22="",$F22=""),L22&lt;&gt;"لا"),0,MAX(0,MIN(F22,cfg_Y_START-1)-E22+1))</f>
        <v>0</v>
      </c>
      <c r="S22" s="57" t="n">
        <f aca="false">IF(OR(OR($B22="",$E22="",$F22=""),L22&lt;&gt;"لا"),0,MAX(0,MIN(F22,cfg_VAL_DATE)-E22+1))</f>
        <v>0</v>
      </c>
      <c r="T22" s="57" t="n">
        <f aca="false">IF(OR(OR($B22="",$E22="",$F22=""),K22&lt;&gt;"نعم"),0,IF(M22="نعم",IF(AND(ISNUMBER(O22),N(O22)&lt;=cfg_VAL_M),G22,0),MAX(0,MIN(F22,cfg_VAL_DATE)-MAX(E22,cfg_Y_START)+1)))</f>
        <v>0</v>
      </c>
      <c r="V22" s="57" t="n">
        <f aca="false">IF(OR($B22="",$E22="",$F22=""),0,MAX(0,MIN($F22,EOMONTH(DATE(cfg_FY,1,1),0))-MAX($E22,DATE(cfg_FY,1,1))+1)*(1-IF($M22="نعم",0,N($J22))))</f>
        <v>0</v>
      </c>
      <c r="W22" s="57" t="n">
        <f aca="false">IF(OR($B22="",$E22="",$F22=""),0,MAX(0,MIN($F22,EOMONTH(DATE(cfg_FY,2,1),0))-MAX($E22,DATE(cfg_FY,2,1))+1)*(1-IF($M22="نعم",0,N($J22))))</f>
        <v>0</v>
      </c>
      <c r="X22" s="57" t="n">
        <f aca="false">IF(OR($B22="",$E22="",$F22=""),0,MAX(0,MIN($F22,EOMONTH(DATE(cfg_FY,3,1),0))-MAX($E22,DATE(cfg_FY,3,1))+1)*(1-IF($M22="نعم",0,N($J22))))</f>
        <v>0</v>
      </c>
      <c r="Y22" s="57" t="n">
        <f aca="false">IF(OR($B22="",$E22="",$F22=""),0,MAX(0,MIN($F22,EOMONTH(DATE(cfg_FY,4,1),0))-MAX($E22,DATE(cfg_FY,4,1))+1)*(1-IF($M22="نعم",0,N($J22))))</f>
        <v>0</v>
      </c>
      <c r="Z22" s="57" t="n">
        <f aca="false">IF(OR($B22="",$E22="",$F22=""),0,MAX(0,MIN($F22,EOMONTH(DATE(cfg_FY,5,1),0))-MAX($E22,DATE(cfg_FY,5,1))+1)*(1-IF($M22="نعم",0,N($J22))))</f>
        <v>0</v>
      </c>
      <c r="AA22" s="57" t="n">
        <f aca="false">IF(OR($B22="",$E22="",$F22=""),0,MAX(0,MIN($F22,EOMONTH(DATE(cfg_FY,6,1),0))-MAX($E22,DATE(cfg_FY,6,1))+1)*(1-IF($M22="نعم",0,N($J22))))</f>
        <v>0</v>
      </c>
      <c r="AB22" s="57" t="n">
        <f aca="false">IF(OR($B22="",$E22="",$F22=""),0,MAX(0,MIN($F22,EOMONTH(DATE(cfg_FY,7,1),0))-MAX($E22,DATE(cfg_FY,7,1))+1)*(1-IF($M22="نعم",0,N($J22))))</f>
        <v>0</v>
      </c>
      <c r="AC22" s="57" t="n">
        <f aca="false">IF(OR($B22="",$E22="",$F22=""),0,MAX(0,MIN($F22,EOMONTH(DATE(cfg_FY,8,1),0))-MAX($E22,DATE(cfg_FY,8,1))+1)*(1-IF($M22="نعم",0,N($J22))))</f>
        <v>0</v>
      </c>
      <c r="AD22" s="57" t="n">
        <f aca="false">IF(OR($B22="",$E22="",$F22=""),0,MAX(0,MIN($F22,EOMONTH(DATE(cfg_FY,9,1),0))-MAX($E22,DATE(cfg_FY,9,1))+1)*(1-IF($M22="نعم",0,N($J22))))</f>
        <v>0</v>
      </c>
      <c r="AE22" s="57" t="n">
        <f aca="false">IF(OR($B22="",$E22="",$F22=""),0,MAX(0,MIN($F22,EOMONTH(DATE(cfg_FY,10,1),0))-MAX($E22,DATE(cfg_FY,10,1))+1)*(1-IF($M22="نعم",0,N($J22))))</f>
        <v>0</v>
      </c>
      <c r="AF22" s="57" t="n">
        <f aca="false">IF(OR($B22="",$E22="",$F22=""),0,MAX(0,MIN($F22,EOMONTH(DATE(cfg_FY,11,1),0))-MAX($E22,DATE(cfg_FY,11,1))+1)*(1-IF($M22="نعم",0,N($J22))))</f>
        <v>0</v>
      </c>
      <c r="AG22" s="57" t="n">
        <f aca="false">IF(OR($B22="",$E22="",$F22=""),0,MAX(0,MIN($F22,EOMONTH(DATE(cfg_FY,12,1),0))-MAX($E22,DATE(cfg_FY,12,1))+1)*(1-IF($M22="نعم",0,N($J22))))</f>
        <v>0</v>
      </c>
      <c r="AH22" s="57" t="n">
        <f aca="false">IF(OR(OR($B22="",$E22="",$F22=""),$L22&lt;&gt;"لا"),0,MAX(0,MIN($F22,EOMONTH(DATE(cfg_FY,1,1),0))-$E22+1))</f>
        <v>0</v>
      </c>
      <c r="AI22" s="57" t="n">
        <f aca="false">IF(OR(OR($B22="",$E22="",$F22=""),$L22&lt;&gt;"لا"),0,MAX(0,MIN($F22,EOMONTH(DATE(cfg_FY,2,1),0))-$E22+1))</f>
        <v>0</v>
      </c>
      <c r="AJ22" s="57" t="n">
        <f aca="false">IF(OR(OR($B22="",$E22="",$F22=""),$L22&lt;&gt;"لا"),0,MAX(0,MIN($F22,EOMONTH(DATE(cfg_FY,3,1),0))-$E22+1))</f>
        <v>0</v>
      </c>
      <c r="AK22" s="57" t="n">
        <f aca="false">IF(OR(OR($B22="",$E22="",$F22=""),$L22&lt;&gt;"لا"),0,MAX(0,MIN($F22,EOMONTH(DATE(cfg_FY,4,1),0))-$E22+1))</f>
        <v>0</v>
      </c>
      <c r="AL22" s="57" t="n">
        <f aca="false">IF(OR(OR($B22="",$E22="",$F22=""),$L22&lt;&gt;"لا"),0,MAX(0,MIN($F22,EOMONTH(DATE(cfg_FY,5,1),0))-$E22+1))</f>
        <v>0</v>
      </c>
      <c r="AM22" s="57" t="n">
        <f aca="false">IF(OR(OR($B22="",$E22="",$F22=""),$L22&lt;&gt;"لا"),0,MAX(0,MIN($F22,EOMONTH(DATE(cfg_FY,6,1),0))-$E22+1))</f>
        <v>0</v>
      </c>
      <c r="AN22" s="57" t="n">
        <f aca="false">IF(OR(OR($B22="",$E22="",$F22=""),$L22&lt;&gt;"لا"),0,MAX(0,MIN($F22,EOMONTH(DATE(cfg_FY,7,1),0))-$E22+1))</f>
        <v>0</v>
      </c>
      <c r="AO22" s="57" t="n">
        <f aca="false">IF(OR(OR($B22="",$E22="",$F22=""),$L22&lt;&gt;"لا"),0,MAX(0,MIN($F22,EOMONTH(DATE(cfg_FY,8,1),0))-$E22+1))</f>
        <v>0</v>
      </c>
      <c r="AP22" s="57" t="n">
        <f aca="false">IF(OR(OR($B22="",$E22="",$F22=""),$L22&lt;&gt;"لا"),0,MAX(0,MIN($F22,EOMONTH(DATE(cfg_FY,9,1),0))-$E22+1))</f>
        <v>0</v>
      </c>
      <c r="AQ22" s="57" t="n">
        <f aca="false">IF(OR(OR($B22="",$E22="",$F22=""),$L22&lt;&gt;"لا"),0,MAX(0,MIN($F22,EOMONTH(DATE(cfg_FY,10,1),0))-$E22+1))</f>
        <v>0</v>
      </c>
      <c r="AR22" s="57" t="n">
        <f aca="false">IF(OR(OR($B22="",$E22="",$F22=""),$L22&lt;&gt;"لا"),0,MAX(0,MIN($F22,EOMONTH(DATE(cfg_FY,11,1),0))-$E22+1))</f>
        <v>0</v>
      </c>
      <c r="AS22" s="57" t="n">
        <f aca="false">IF(OR(OR($B22="",$E22="",$F22=""),$L22&lt;&gt;"لا"),0,MAX(0,MIN($F22,EOMONTH(DATE(cfg_FY,12,1),0))-$E22+1))</f>
        <v>0</v>
      </c>
      <c r="AT22" s="57" t="n">
        <f aca="false">IF(OR(OR($B22="",$E22="",$F22=""),$K22&lt;&gt;"نعم",$M22="نعم"),0,MAX(0,MIN($F22,EOMONTH(DATE(cfg_FY,1,1),0))-MAX($E22,DATE(cfg_FY,1,1))+1))</f>
        <v>0</v>
      </c>
      <c r="AU22" s="57" t="n">
        <f aca="false">IF(OR(OR($B22="",$E22="",$F22=""),$K22&lt;&gt;"نعم",$M22="نعم"),0,MAX(0,MIN($F22,EOMONTH(DATE(cfg_FY,2,1),0))-MAX($E22,DATE(cfg_FY,2,1))+1))</f>
        <v>0</v>
      </c>
      <c r="AV22" s="57" t="n">
        <f aca="false">IF(OR(OR($B22="",$E22="",$F22=""),$K22&lt;&gt;"نعم",$M22="نعم"),0,MAX(0,MIN($F22,EOMONTH(DATE(cfg_FY,3,1),0))-MAX($E22,DATE(cfg_FY,3,1))+1))</f>
        <v>0</v>
      </c>
      <c r="AW22" s="57" t="n">
        <f aca="false">IF(OR(OR($B22="",$E22="",$F22=""),$K22&lt;&gt;"نعم",$M22="نعم"),0,MAX(0,MIN($F22,EOMONTH(DATE(cfg_FY,4,1),0))-MAX($E22,DATE(cfg_FY,4,1))+1))</f>
        <v>0</v>
      </c>
      <c r="AX22" s="57" t="n">
        <f aca="false">IF(OR(OR($B22="",$E22="",$F22=""),$K22&lt;&gt;"نعم",$M22="نعم"),0,MAX(0,MIN($F22,EOMONTH(DATE(cfg_FY,5,1),0))-MAX($E22,DATE(cfg_FY,5,1))+1))</f>
        <v>0</v>
      </c>
      <c r="AY22" s="57" t="n">
        <f aca="false">IF(OR(OR($B22="",$E22="",$F22=""),$K22&lt;&gt;"نعم",$M22="نعم"),0,MAX(0,MIN($F22,EOMONTH(DATE(cfg_FY,6,1),0))-MAX($E22,DATE(cfg_FY,6,1))+1))</f>
        <v>0</v>
      </c>
      <c r="AZ22" s="57" t="n">
        <f aca="false">IF(OR(OR($B22="",$E22="",$F22=""),$K22&lt;&gt;"نعم",$M22="نعم"),0,MAX(0,MIN($F22,EOMONTH(DATE(cfg_FY,7,1),0))-MAX($E22,DATE(cfg_FY,7,1))+1))</f>
        <v>0</v>
      </c>
      <c r="BA22" s="57" t="n">
        <f aca="false">IF(OR(OR($B22="",$E22="",$F22=""),$K22&lt;&gt;"نعم",$M22="نعم"),0,MAX(0,MIN($F22,EOMONTH(DATE(cfg_FY,8,1),0))-MAX($E22,DATE(cfg_FY,8,1))+1))</f>
        <v>0</v>
      </c>
      <c r="BB22" s="57" t="n">
        <f aca="false">IF(OR(OR($B22="",$E22="",$F22=""),$K22&lt;&gt;"نعم",$M22="نعم"),0,MAX(0,MIN($F22,EOMONTH(DATE(cfg_FY,9,1),0))-MAX($E22,DATE(cfg_FY,9,1))+1))</f>
        <v>0</v>
      </c>
      <c r="BC22" s="57" t="n">
        <f aca="false">IF(OR(OR($B22="",$E22="",$F22=""),$K22&lt;&gt;"نعم",$M22="نعم"),0,MAX(0,MIN($F22,EOMONTH(DATE(cfg_FY,10,1),0))-MAX($E22,DATE(cfg_FY,10,1))+1))</f>
        <v>0</v>
      </c>
      <c r="BD22" s="57" t="n">
        <f aca="false">IF(OR(OR($B22="",$E22="",$F22=""),$K22&lt;&gt;"نعم",$M22="نعم"),0,MAX(0,MIN($F22,EOMONTH(DATE(cfg_FY,11,1),0))-MAX($E22,DATE(cfg_FY,11,1))+1))</f>
        <v>0</v>
      </c>
      <c r="BE22" s="57" t="n">
        <f aca="false">IF(OR(OR($B22="",$E22="",$F22=""),$K22&lt;&gt;"نعم",$M22="نعم"),0,MAX(0,MIN($F22,EOMONTH(DATE(cfg_FY,12,1),0))-MAX($E22,DATE(cfg_FY,12,1))+1))</f>
        <v>0</v>
      </c>
    </row>
    <row r="23" customFormat="false" ht="15" hidden="false" customHeight="false" outlineLevel="0" collapsed="false">
      <c r="A23" s="100" t="str">
        <f aca="false">IF(B23="","",ROW()-5)</f>
        <v/>
      </c>
      <c r="B23" s="79"/>
      <c r="C23" s="102" t="str">
        <f aca="false">IF(B23="","",IFERROR(INDEX(الموظفون!$C$6:$C$105,MATCH(B23,الموظفون!$B$6:$B$105,0)),"✖ رقم غير موجود"))</f>
        <v/>
      </c>
      <c r="D23" s="79"/>
      <c r="E23" s="94"/>
      <c r="F23" s="94"/>
      <c r="G23" s="110" t="str">
        <f aca="false">IF(OR($B23="",$E23="",$F23=""),"",MAX(0,F23-E23+1))</f>
        <v/>
      </c>
      <c r="H23" s="111" t="str">
        <f aca="false">IF(D23="","",IFERROR(VLOOKUP(D23,cfg_LT,2,FALSE()),1))</f>
        <v/>
      </c>
      <c r="I23" s="82"/>
      <c r="J23" s="111" t="str">
        <f aca="false">IF(D23="","",IF(I23&lt;&gt;"",I23,H23))</f>
        <v/>
      </c>
      <c r="K23" s="102" t="str">
        <f aca="false">IF(D23="","",IFERROR(VLOOKUP($D23,cfg_LT,3,FALSE()),""))</f>
        <v/>
      </c>
      <c r="L23" s="102" t="str">
        <f aca="false">IF(D23="","",IFERROR(VLOOKUP($D23,cfg_LT,4,FALSE()),""))</f>
        <v/>
      </c>
      <c r="M23" s="102" t="str">
        <f aca="false">IF(D23="","",IFERROR(VLOOKUP($D23,cfg_LT,5,FALSE()),""))</f>
        <v/>
      </c>
      <c r="N23" s="101" t="n">
        <f aca="false">IF(OR(OR($B23="",$E23="",$F23=""),M23&lt;&gt;"نعم"),0,G23*J23*IFERROR(INDEX(الموظفون!$R$6:$R$105,MATCH(B23,الموظفون!$B$6:$B$105,0)),0)/cfg_DAYS_M)</f>
        <v>0</v>
      </c>
      <c r="O23" s="100" t="str">
        <f aca="false">IF(OR(OR($B23="",$E23="",$F23=""),M23&lt;&gt;"نعم"),"",IF(YEAR(E23)=cfg_FY,MONTH(E23),""))</f>
        <v/>
      </c>
      <c r="P23" s="102" t="str">
        <f aca="false">IF(B23="","",IF(OR(D23="",E23="",F23=""),"⚠ أكمل النوع والتواريخ",IF(F23&lt;E23,"✖ النهاية قبل البداية",IF(COUNTIFS($B$6:$B$505,B23,$E$6:$E$505,"&lt;="&amp;F23,$F$6:$F$505,"&gt;="&amp;E23)&gt;1,"⚠ تداخل مع سجل آخر",IF(E23&gt;cfg_VAL_DATE,"⏳ قادمة",IF(F23&lt;cfg_VAL_DATE,"✔ منتهية","✈ جارية في تاريخ التقرير"))))))</f>
        <v/>
      </c>
      <c r="Q23" s="79"/>
      <c r="R23" s="110" t="n">
        <f aca="false">IF(OR(OR($B23="",$E23="",$F23=""),L23&lt;&gt;"لا"),0,MAX(0,MIN(F23,cfg_Y_START-1)-E23+1))</f>
        <v>0</v>
      </c>
      <c r="S23" s="110" t="n">
        <f aca="false">IF(OR(OR($B23="",$E23="",$F23=""),L23&lt;&gt;"لا"),0,MAX(0,MIN(F23,cfg_VAL_DATE)-E23+1))</f>
        <v>0</v>
      </c>
      <c r="T23" s="110" t="n">
        <f aca="false">IF(OR(OR($B23="",$E23="",$F23=""),K23&lt;&gt;"نعم"),0,IF(M23="نعم",IF(AND(ISNUMBER(O23),N(O23)&lt;=cfg_VAL_M),G23,0),MAX(0,MIN(F23,cfg_VAL_DATE)-MAX(E23,cfg_Y_START)+1)))</f>
        <v>0</v>
      </c>
      <c r="V23" s="110" t="n">
        <f aca="false">IF(OR($B23="",$E23="",$F23=""),0,MAX(0,MIN($F23,EOMONTH(DATE(cfg_FY,1,1),0))-MAX($E23,DATE(cfg_FY,1,1))+1)*(1-IF($M23="نعم",0,N($J23))))</f>
        <v>0</v>
      </c>
      <c r="W23" s="110" t="n">
        <f aca="false">IF(OR($B23="",$E23="",$F23=""),0,MAX(0,MIN($F23,EOMONTH(DATE(cfg_FY,2,1),0))-MAX($E23,DATE(cfg_FY,2,1))+1)*(1-IF($M23="نعم",0,N($J23))))</f>
        <v>0</v>
      </c>
      <c r="X23" s="110" t="n">
        <f aca="false">IF(OR($B23="",$E23="",$F23=""),0,MAX(0,MIN($F23,EOMONTH(DATE(cfg_FY,3,1),0))-MAX($E23,DATE(cfg_FY,3,1))+1)*(1-IF($M23="نعم",0,N($J23))))</f>
        <v>0</v>
      </c>
      <c r="Y23" s="110" t="n">
        <f aca="false">IF(OR($B23="",$E23="",$F23=""),0,MAX(0,MIN($F23,EOMONTH(DATE(cfg_FY,4,1),0))-MAX($E23,DATE(cfg_FY,4,1))+1)*(1-IF($M23="نعم",0,N($J23))))</f>
        <v>0</v>
      </c>
      <c r="Z23" s="110" t="n">
        <f aca="false">IF(OR($B23="",$E23="",$F23=""),0,MAX(0,MIN($F23,EOMONTH(DATE(cfg_FY,5,1),0))-MAX($E23,DATE(cfg_FY,5,1))+1)*(1-IF($M23="نعم",0,N($J23))))</f>
        <v>0</v>
      </c>
      <c r="AA23" s="110" t="n">
        <f aca="false">IF(OR($B23="",$E23="",$F23=""),0,MAX(0,MIN($F23,EOMONTH(DATE(cfg_FY,6,1),0))-MAX($E23,DATE(cfg_FY,6,1))+1)*(1-IF($M23="نعم",0,N($J23))))</f>
        <v>0</v>
      </c>
      <c r="AB23" s="110" t="n">
        <f aca="false">IF(OR($B23="",$E23="",$F23=""),0,MAX(0,MIN($F23,EOMONTH(DATE(cfg_FY,7,1),0))-MAX($E23,DATE(cfg_FY,7,1))+1)*(1-IF($M23="نعم",0,N($J23))))</f>
        <v>0</v>
      </c>
      <c r="AC23" s="110" t="n">
        <f aca="false">IF(OR($B23="",$E23="",$F23=""),0,MAX(0,MIN($F23,EOMONTH(DATE(cfg_FY,8,1),0))-MAX($E23,DATE(cfg_FY,8,1))+1)*(1-IF($M23="نعم",0,N($J23))))</f>
        <v>0</v>
      </c>
      <c r="AD23" s="110" t="n">
        <f aca="false">IF(OR($B23="",$E23="",$F23=""),0,MAX(0,MIN($F23,EOMONTH(DATE(cfg_FY,9,1),0))-MAX($E23,DATE(cfg_FY,9,1))+1)*(1-IF($M23="نعم",0,N($J23))))</f>
        <v>0</v>
      </c>
      <c r="AE23" s="110" t="n">
        <f aca="false">IF(OR($B23="",$E23="",$F23=""),0,MAX(0,MIN($F23,EOMONTH(DATE(cfg_FY,10,1),0))-MAX($E23,DATE(cfg_FY,10,1))+1)*(1-IF($M23="نعم",0,N($J23))))</f>
        <v>0</v>
      </c>
      <c r="AF23" s="110" t="n">
        <f aca="false">IF(OR($B23="",$E23="",$F23=""),0,MAX(0,MIN($F23,EOMONTH(DATE(cfg_FY,11,1),0))-MAX($E23,DATE(cfg_FY,11,1))+1)*(1-IF($M23="نعم",0,N($J23))))</f>
        <v>0</v>
      </c>
      <c r="AG23" s="110" t="n">
        <f aca="false">IF(OR($B23="",$E23="",$F23=""),0,MAX(0,MIN($F23,EOMONTH(DATE(cfg_FY,12,1),0))-MAX($E23,DATE(cfg_FY,12,1))+1)*(1-IF($M23="نعم",0,N($J23))))</f>
        <v>0</v>
      </c>
      <c r="AH23" s="110" t="n">
        <f aca="false">IF(OR(OR($B23="",$E23="",$F23=""),$L23&lt;&gt;"لا"),0,MAX(0,MIN($F23,EOMONTH(DATE(cfg_FY,1,1),0))-$E23+1))</f>
        <v>0</v>
      </c>
      <c r="AI23" s="110" t="n">
        <f aca="false">IF(OR(OR($B23="",$E23="",$F23=""),$L23&lt;&gt;"لا"),0,MAX(0,MIN($F23,EOMONTH(DATE(cfg_FY,2,1),0))-$E23+1))</f>
        <v>0</v>
      </c>
      <c r="AJ23" s="110" t="n">
        <f aca="false">IF(OR(OR($B23="",$E23="",$F23=""),$L23&lt;&gt;"لا"),0,MAX(0,MIN($F23,EOMONTH(DATE(cfg_FY,3,1),0))-$E23+1))</f>
        <v>0</v>
      </c>
      <c r="AK23" s="110" t="n">
        <f aca="false">IF(OR(OR($B23="",$E23="",$F23=""),$L23&lt;&gt;"لا"),0,MAX(0,MIN($F23,EOMONTH(DATE(cfg_FY,4,1),0))-$E23+1))</f>
        <v>0</v>
      </c>
      <c r="AL23" s="110" t="n">
        <f aca="false">IF(OR(OR($B23="",$E23="",$F23=""),$L23&lt;&gt;"لا"),0,MAX(0,MIN($F23,EOMONTH(DATE(cfg_FY,5,1),0))-$E23+1))</f>
        <v>0</v>
      </c>
      <c r="AM23" s="110" t="n">
        <f aca="false">IF(OR(OR($B23="",$E23="",$F23=""),$L23&lt;&gt;"لا"),0,MAX(0,MIN($F23,EOMONTH(DATE(cfg_FY,6,1),0))-$E23+1))</f>
        <v>0</v>
      </c>
      <c r="AN23" s="110" t="n">
        <f aca="false">IF(OR(OR($B23="",$E23="",$F23=""),$L23&lt;&gt;"لا"),0,MAX(0,MIN($F23,EOMONTH(DATE(cfg_FY,7,1),0))-$E23+1))</f>
        <v>0</v>
      </c>
      <c r="AO23" s="110" t="n">
        <f aca="false">IF(OR(OR($B23="",$E23="",$F23=""),$L23&lt;&gt;"لا"),0,MAX(0,MIN($F23,EOMONTH(DATE(cfg_FY,8,1),0))-$E23+1))</f>
        <v>0</v>
      </c>
      <c r="AP23" s="110" t="n">
        <f aca="false">IF(OR(OR($B23="",$E23="",$F23=""),$L23&lt;&gt;"لا"),0,MAX(0,MIN($F23,EOMONTH(DATE(cfg_FY,9,1),0))-$E23+1))</f>
        <v>0</v>
      </c>
      <c r="AQ23" s="110" t="n">
        <f aca="false">IF(OR(OR($B23="",$E23="",$F23=""),$L23&lt;&gt;"لا"),0,MAX(0,MIN($F23,EOMONTH(DATE(cfg_FY,10,1),0))-$E23+1))</f>
        <v>0</v>
      </c>
      <c r="AR23" s="110" t="n">
        <f aca="false">IF(OR(OR($B23="",$E23="",$F23=""),$L23&lt;&gt;"لا"),0,MAX(0,MIN($F23,EOMONTH(DATE(cfg_FY,11,1),0))-$E23+1))</f>
        <v>0</v>
      </c>
      <c r="AS23" s="110" t="n">
        <f aca="false">IF(OR(OR($B23="",$E23="",$F23=""),$L23&lt;&gt;"لا"),0,MAX(0,MIN($F23,EOMONTH(DATE(cfg_FY,12,1),0))-$E23+1))</f>
        <v>0</v>
      </c>
      <c r="AT23" s="110" t="n">
        <f aca="false">IF(OR(OR($B23="",$E23="",$F23=""),$K23&lt;&gt;"نعم",$M23="نعم"),0,MAX(0,MIN($F23,EOMONTH(DATE(cfg_FY,1,1),0))-MAX($E23,DATE(cfg_FY,1,1))+1))</f>
        <v>0</v>
      </c>
      <c r="AU23" s="110" t="n">
        <f aca="false">IF(OR(OR($B23="",$E23="",$F23=""),$K23&lt;&gt;"نعم",$M23="نعم"),0,MAX(0,MIN($F23,EOMONTH(DATE(cfg_FY,2,1),0))-MAX($E23,DATE(cfg_FY,2,1))+1))</f>
        <v>0</v>
      </c>
      <c r="AV23" s="110" t="n">
        <f aca="false">IF(OR(OR($B23="",$E23="",$F23=""),$K23&lt;&gt;"نعم",$M23="نعم"),0,MAX(0,MIN($F23,EOMONTH(DATE(cfg_FY,3,1),0))-MAX($E23,DATE(cfg_FY,3,1))+1))</f>
        <v>0</v>
      </c>
      <c r="AW23" s="110" t="n">
        <f aca="false">IF(OR(OR($B23="",$E23="",$F23=""),$K23&lt;&gt;"نعم",$M23="نعم"),0,MAX(0,MIN($F23,EOMONTH(DATE(cfg_FY,4,1),0))-MAX($E23,DATE(cfg_FY,4,1))+1))</f>
        <v>0</v>
      </c>
      <c r="AX23" s="110" t="n">
        <f aca="false">IF(OR(OR($B23="",$E23="",$F23=""),$K23&lt;&gt;"نعم",$M23="نعم"),0,MAX(0,MIN($F23,EOMONTH(DATE(cfg_FY,5,1),0))-MAX($E23,DATE(cfg_FY,5,1))+1))</f>
        <v>0</v>
      </c>
      <c r="AY23" s="110" t="n">
        <f aca="false">IF(OR(OR($B23="",$E23="",$F23=""),$K23&lt;&gt;"نعم",$M23="نعم"),0,MAX(0,MIN($F23,EOMONTH(DATE(cfg_FY,6,1),0))-MAX($E23,DATE(cfg_FY,6,1))+1))</f>
        <v>0</v>
      </c>
      <c r="AZ23" s="110" t="n">
        <f aca="false">IF(OR(OR($B23="",$E23="",$F23=""),$K23&lt;&gt;"نعم",$M23="نعم"),0,MAX(0,MIN($F23,EOMONTH(DATE(cfg_FY,7,1),0))-MAX($E23,DATE(cfg_FY,7,1))+1))</f>
        <v>0</v>
      </c>
      <c r="BA23" s="110" t="n">
        <f aca="false">IF(OR(OR($B23="",$E23="",$F23=""),$K23&lt;&gt;"نعم",$M23="نعم"),0,MAX(0,MIN($F23,EOMONTH(DATE(cfg_FY,8,1),0))-MAX($E23,DATE(cfg_FY,8,1))+1))</f>
        <v>0</v>
      </c>
      <c r="BB23" s="110" t="n">
        <f aca="false">IF(OR(OR($B23="",$E23="",$F23=""),$K23&lt;&gt;"نعم",$M23="نعم"),0,MAX(0,MIN($F23,EOMONTH(DATE(cfg_FY,9,1),0))-MAX($E23,DATE(cfg_FY,9,1))+1))</f>
        <v>0</v>
      </c>
      <c r="BC23" s="110" t="n">
        <f aca="false">IF(OR(OR($B23="",$E23="",$F23=""),$K23&lt;&gt;"نعم",$M23="نعم"),0,MAX(0,MIN($F23,EOMONTH(DATE(cfg_FY,10,1),0))-MAX($E23,DATE(cfg_FY,10,1))+1))</f>
        <v>0</v>
      </c>
      <c r="BD23" s="110" t="n">
        <f aca="false">IF(OR(OR($B23="",$E23="",$F23=""),$K23&lt;&gt;"نعم",$M23="نعم"),0,MAX(0,MIN($F23,EOMONTH(DATE(cfg_FY,11,1),0))-MAX($E23,DATE(cfg_FY,11,1))+1))</f>
        <v>0</v>
      </c>
      <c r="BE23" s="110" t="n">
        <f aca="false">IF(OR(OR($B23="",$E23="",$F23=""),$K23&lt;&gt;"نعم",$M23="نعم"),0,MAX(0,MIN($F23,EOMONTH(DATE(cfg_FY,12,1),0))-MAX($E23,DATE(cfg_FY,12,1))+1))</f>
        <v>0</v>
      </c>
    </row>
    <row r="24" customFormat="false" ht="15" hidden="false" customHeight="false" outlineLevel="0" collapsed="false">
      <c r="A24" s="93" t="str">
        <f aca="false">IF(B24="","",ROW()-5)</f>
        <v/>
      </c>
      <c r="B24" s="79"/>
      <c r="C24" s="80" t="str">
        <f aca="false">IF(B24="","",IFERROR(INDEX(الموظفون!$C$6:$C$105,MATCH(B24,الموظفون!$B$6:$B$105,0)),"✖ رقم غير موجود"))</f>
        <v/>
      </c>
      <c r="D24" s="79"/>
      <c r="E24" s="94"/>
      <c r="F24" s="94"/>
      <c r="G24" s="57" t="str">
        <f aca="false">IF(OR($B24="",$E24="",$F24=""),"",MAX(0,F24-E24+1))</f>
        <v/>
      </c>
      <c r="H24" s="58" t="str">
        <f aca="false">IF(D24="","",IFERROR(VLOOKUP(D24,cfg_LT,2,FALSE()),1))</f>
        <v/>
      </c>
      <c r="I24" s="82"/>
      <c r="J24" s="58" t="str">
        <f aca="false">IF(D24="","",IF(I24&lt;&gt;"",I24,H24))</f>
        <v/>
      </c>
      <c r="K24" s="80" t="str">
        <f aca="false">IF(D24="","",IFERROR(VLOOKUP($D24,cfg_LT,3,FALSE()),""))</f>
        <v/>
      </c>
      <c r="L24" s="80" t="str">
        <f aca="false">IF(D24="","",IFERROR(VLOOKUP($D24,cfg_LT,4,FALSE()),""))</f>
        <v/>
      </c>
      <c r="M24" s="80" t="str">
        <f aca="false">IF(D24="","",IFERROR(VLOOKUP($D24,cfg_LT,5,FALSE()),""))</f>
        <v/>
      </c>
      <c r="N24" s="97" t="n">
        <f aca="false">IF(OR(OR($B24="",$E24="",$F24=""),M24&lt;&gt;"نعم"),0,G24*J24*IFERROR(INDEX(الموظفون!$R$6:$R$105,MATCH(B24,الموظفون!$B$6:$B$105,0)),0)/cfg_DAYS_M)</f>
        <v>0</v>
      </c>
      <c r="O24" s="93" t="str">
        <f aca="false">IF(OR(OR($B24="",$E24="",$F24=""),M24&lt;&gt;"نعم"),"",IF(YEAR(E24)=cfg_FY,MONTH(E24),""))</f>
        <v/>
      </c>
      <c r="P24" s="80" t="str">
        <f aca="false">IF(B24="","",IF(OR(D24="",E24="",F24=""),"⚠ أكمل النوع والتواريخ",IF(F24&lt;E24,"✖ النهاية قبل البداية",IF(COUNTIFS($B$6:$B$505,B24,$E$6:$E$505,"&lt;="&amp;F24,$F$6:$F$505,"&gt;="&amp;E24)&gt;1,"⚠ تداخل مع سجل آخر",IF(E24&gt;cfg_VAL_DATE,"⏳ قادمة",IF(F24&lt;cfg_VAL_DATE,"✔ منتهية","✈ جارية في تاريخ التقرير"))))))</f>
        <v/>
      </c>
      <c r="Q24" s="79"/>
      <c r="R24" s="57" t="n">
        <f aca="false">IF(OR(OR($B24="",$E24="",$F24=""),L24&lt;&gt;"لا"),0,MAX(0,MIN(F24,cfg_Y_START-1)-E24+1))</f>
        <v>0</v>
      </c>
      <c r="S24" s="57" t="n">
        <f aca="false">IF(OR(OR($B24="",$E24="",$F24=""),L24&lt;&gt;"لا"),0,MAX(0,MIN(F24,cfg_VAL_DATE)-E24+1))</f>
        <v>0</v>
      </c>
      <c r="T24" s="57" t="n">
        <f aca="false">IF(OR(OR($B24="",$E24="",$F24=""),K24&lt;&gt;"نعم"),0,IF(M24="نعم",IF(AND(ISNUMBER(O24),N(O24)&lt;=cfg_VAL_M),G24,0),MAX(0,MIN(F24,cfg_VAL_DATE)-MAX(E24,cfg_Y_START)+1)))</f>
        <v>0</v>
      </c>
      <c r="V24" s="57" t="n">
        <f aca="false">IF(OR($B24="",$E24="",$F24=""),0,MAX(0,MIN($F24,EOMONTH(DATE(cfg_FY,1,1),0))-MAX($E24,DATE(cfg_FY,1,1))+1)*(1-IF($M24="نعم",0,N($J24))))</f>
        <v>0</v>
      </c>
      <c r="W24" s="57" t="n">
        <f aca="false">IF(OR($B24="",$E24="",$F24=""),0,MAX(0,MIN($F24,EOMONTH(DATE(cfg_FY,2,1),0))-MAX($E24,DATE(cfg_FY,2,1))+1)*(1-IF($M24="نعم",0,N($J24))))</f>
        <v>0</v>
      </c>
      <c r="X24" s="57" t="n">
        <f aca="false">IF(OR($B24="",$E24="",$F24=""),0,MAX(0,MIN($F24,EOMONTH(DATE(cfg_FY,3,1),0))-MAX($E24,DATE(cfg_FY,3,1))+1)*(1-IF($M24="نعم",0,N($J24))))</f>
        <v>0</v>
      </c>
      <c r="Y24" s="57" t="n">
        <f aca="false">IF(OR($B24="",$E24="",$F24=""),0,MAX(0,MIN($F24,EOMONTH(DATE(cfg_FY,4,1),0))-MAX($E24,DATE(cfg_FY,4,1))+1)*(1-IF($M24="نعم",0,N($J24))))</f>
        <v>0</v>
      </c>
      <c r="Z24" s="57" t="n">
        <f aca="false">IF(OR($B24="",$E24="",$F24=""),0,MAX(0,MIN($F24,EOMONTH(DATE(cfg_FY,5,1),0))-MAX($E24,DATE(cfg_FY,5,1))+1)*(1-IF($M24="نعم",0,N($J24))))</f>
        <v>0</v>
      </c>
      <c r="AA24" s="57" t="n">
        <f aca="false">IF(OR($B24="",$E24="",$F24=""),0,MAX(0,MIN($F24,EOMONTH(DATE(cfg_FY,6,1),0))-MAX($E24,DATE(cfg_FY,6,1))+1)*(1-IF($M24="نعم",0,N($J24))))</f>
        <v>0</v>
      </c>
      <c r="AB24" s="57" t="n">
        <f aca="false">IF(OR($B24="",$E24="",$F24=""),0,MAX(0,MIN($F24,EOMONTH(DATE(cfg_FY,7,1),0))-MAX($E24,DATE(cfg_FY,7,1))+1)*(1-IF($M24="نعم",0,N($J24))))</f>
        <v>0</v>
      </c>
      <c r="AC24" s="57" t="n">
        <f aca="false">IF(OR($B24="",$E24="",$F24=""),0,MAX(0,MIN($F24,EOMONTH(DATE(cfg_FY,8,1),0))-MAX($E24,DATE(cfg_FY,8,1))+1)*(1-IF($M24="نعم",0,N($J24))))</f>
        <v>0</v>
      </c>
      <c r="AD24" s="57" t="n">
        <f aca="false">IF(OR($B24="",$E24="",$F24=""),0,MAX(0,MIN($F24,EOMONTH(DATE(cfg_FY,9,1),0))-MAX($E24,DATE(cfg_FY,9,1))+1)*(1-IF($M24="نعم",0,N($J24))))</f>
        <v>0</v>
      </c>
      <c r="AE24" s="57" t="n">
        <f aca="false">IF(OR($B24="",$E24="",$F24=""),0,MAX(0,MIN($F24,EOMONTH(DATE(cfg_FY,10,1),0))-MAX($E24,DATE(cfg_FY,10,1))+1)*(1-IF($M24="نعم",0,N($J24))))</f>
        <v>0</v>
      </c>
      <c r="AF24" s="57" t="n">
        <f aca="false">IF(OR($B24="",$E24="",$F24=""),0,MAX(0,MIN($F24,EOMONTH(DATE(cfg_FY,11,1),0))-MAX($E24,DATE(cfg_FY,11,1))+1)*(1-IF($M24="نعم",0,N($J24))))</f>
        <v>0</v>
      </c>
      <c r="AG24" s="57" t="n">
        <f aca="false">IF(OR($B24="",$E24="",$F24=""),0,MAX(0,MIN($F24,EOMONTH(DATE(cfg_FY,12,1),0))-MAX($E24,DATE(cfg_FY,12,1))+1)*(1-IF($M24="نعم",0,N($J24))))</f>
        <v>0</v>
      </c>
      <c r="AH24" s="57" t="n">
        <f aca="false">IF(OR(OR($B24="",$E24="",$F24=""),$L24&lt;&gt;"لا"),0,MAX(0,MIN($F24,EOMONTH(DATE(cfg_FY,1,1),0))-$E24+1))</f>
        <v>0</v>
      </c>
      <c r="AI24" s="57" t="n">
        <f aca="false">IF(OR(OR($B24="",$E24="",$F24=""),$L24&lt;&gt;"لا"),0,MAX(0,MIN($F24,EOMONTH(DATE(cfg_FY,2,1),0))-$E24+1))</f>
        <v>0</v>
      </c>
      <c r="AJ24" s="57" t="n">
        <f aca="false">IF(OR(OR($B24="",$E24="",$F24=""),$L24&lt;&gt;"لا"),0,MAX(0,MIN($F24,EOMONTH(DATE(cfg_FY,3,1),0))-$E24+1))</f>
        <v>0</v>
      </c>
      <c r="AK24" s="57" t="n">
        <f aca="false">IF(OR(OR($B24="",$E24="",$F24=""),$L24&lt;&gt;"لا"),0,MAX(0,MIN($F24,EOMONTH(DATE(cfg_FY,4,1),0))-$E24+1))</f>
        <v>0</v>
      </c>
      <c r="AL24" s="57" t="n">
        <f aca="false">IF(OR(OR($B24="",$E24="",$F24=""),$L24&lt;&gt;"لا"),0,MAX(0,MIN($F24,EOMONTH(DATE(cfg_FY,5,1),0))-$E24+1))</f>
        <v>0</v>
      </c>
      <c r="AM24" s="57" t="n">
        <f aca="false">IF(OR(OR($B24="",$E24="",$F24=""),$L24&lt;&gt;"لا"),0,MAX(0,MIN($F24,EOMONTH(DATE(cfg_FY,6,1),0))-$E24+1))</f>
        <v>0</v>
      </c>
      <c r="AN24" s="57" t="n">
        <f aca="false">IF(OR(OR($B24="",$E24="",$F24=""),$L24&lt;&gt;"لا"),0,MAX(0,MIN($F24,EOMONTH(DATE(cfg_FY,7,1),0))-$E24+1))</f>
        <v>0</v>
      </c>
      <c r="AO24" s="57" t="n">
        <f aca="false">IF(OR(OR($B24="",$E24="",$F24=""),$L24&lt;&gt;"لا"),0,MAX(0,MIN($F24,EOMONTH(DATE(cfg_FY,8,1),0))-$E24+1))</f>
        <v>0</v>
      </c>
      <c r="AP24" s="57" t="n">
        <f aca="false">IF(OR(OR($B24="",$E24="",$F24=""),$L24&lt;&gt;"لا"),0,MAX(0,MIN($F24,EOMONTH(DATE(cfg_FY,9,1),0))-$E24+1))</f>
        <v>0</v>
      </c>
      <c r="AQ24" s="57" t="n">
        <f aca="false">IF(OR(OR($B24="",$E24="",$F24=""),$L24&lt;&gt;"لا"),0,MAX(0,MIN($F24,EOMONTH(DATE(cfg_FY,10,1),0))-$E24+1))</f>
        <v>0</v>
      </c>
      <c r="AR24" s="57" t="n">
        <f aca="false">IF(OR(OR($B24="",$E24="",$F24=""),$L24&lt;&gt;"لا"),0,MAX(0,MIN($F24,EOMONTH(DATE(cfg_FY,11,1),0))-$E24+1))</f>
        <v>0</v>
      </c>
      <c r="AS24" s="57" t="n">
        <f aca="false">IF(OR(OR($B24="",$E24="",$F24=""),$L24&lt;&gt;"لا"),0,MAX(0,MIN($F24,EOMONTH(DATE(cfg_FY,12,1),0))-$E24+1))</f>
        <v>0</v>
      </c>
      <c r="AT24" s="57" t="n">
        <f aca="false">IF(OR(OR($B24="",$E24="",$F24=""),$K24&lt;&gt;"نعم",$M24="نعم"),0,MAX(0,MIN($F24,EOMONTH(DATE(cfg_FY,1,1),0))-MAX($E24,DATE(cfg_FY,1,1))+1))</f>
        <v>0</v>
      </c>
      <c r="AU24" s="57" t="n">
        <f aca="false">IF(OR(OR($B24="",$E24="",$F24=""),$K24&lt;&gt;"نعم",$M24="نعم"),0,MAX(0,MIN($F24,EOMONTH(DATE(cfg_FY,2,1),0))-MAX($E24,DATE(cfg_FY,2,1))+1))</f>
        <v>0</v>
      </c>
      <c r="AV24" s="57" t="n">
        <f aca="false">IF(OR(OR($B24="",$E24="",$F24=""),$K24&lt;&gt;"نعم",$M24="نعم"),0,MAX(0,MIN($F24,EOMONTH(DATE(cfg_FY,3,1),0))-MAX($E24,DATE(cfg_FY,3,1))+1))</f>
        <v>0</v>
      </c>
      <c r="AW24" s="57" t="n">
        <f aca="false">IF(OR(OR($B24="",$E24="",$F24=""),$K24&lt;&gt;"نعم",$M24="نعم"),0,MAX(0,MIN($F24,EOMONTH(DATE(cfg_FY,4,1),0))-MAX($E24,DATE(cfg_FY,4,1))+1))</f>
        <v>0</v>
      </c>
      <c r="AX24" s="57" t="n">
        <f aca="false">IF(OR(OR($B24="",$E24="",$F24=""),$K24&lt;&gt;"نعم",$M24="نعم"),0,MAX(0,MIN($F24,EOMONTH(DATE(cfg_FY,5,1),0))-MAX($E24,DATE(cfg_FY,5,1))+1))</f>
        <v>0</v>
      </c>
      <c r="AY24" s="57" t="n">
        <f aca="false">IF(OR(OR($B24="",$E24="",$F24=""),$K24&lt;&gt;"نعم",$M24="نعم"),0,MAX(0,MIN($F24,EOMONTH(DATE(cfg_FY,6,1),0))-MAX($E24,DATE(cfg_FY,6,1))+1))</f>
        <v>0</v>
      </c>
      <c r="AZ24" s="57" t="n">
        <f aca="false">IF(OR(OR($B24="",$E24="",$F24=""),$K24&lt;&gt;"نعم",$M24="نعم"),0,MAX(0,MIN($F24,EOMONTH(DATE(cfg_FY,7,1),0))-MAX($E24,DATE(cfg_FY,7,1))+1))</f>
        <v>0</v>
      </c>
      <c r="BA24" s="57" t="n">
        <f aca="false">IF(OR(OR($B24="",$E24="",$F24=""),$K24&lt;&gt;"نعم",$M24="نعم"),0,MAX(0,MIN($F24,EOMONTH(DATE(cfg_FY,8,1),0))-MAX($E24,DATE(cfg_FY,8,1))+1))</f>
        <v>0</v>
      </c>
      <c r="BB24" s="57" t="n">
        <f aca="false">IF(OR(OR($B24="",$E24="",$F24=""),$K24&lt;&gt;"نعم",$M24="نعم"),0,MAX(0,MIN($F24,EOMONTH(DATE(cfg_FY,9,1),0))-MAX($E24,DATE(cfg_FY,9,1))+1))</f>
        <v>0</v>
      </c>
      <c r="BC24" s="57" t="n">
        <f aca="false">IF(OR(OR($B24="",$E24="",$F24=""),$K24&lt;&gt;"نعم",$M24="نعم"),0,MAX(0,MIN($F24,EOMONTH(DATE(cfg_FY,10,1),0))-MAX($E24,DATE(cfg_FY,10,1))+1))</f>
        <v>0</v>
      </c>
      <c r="BD24" s="57" t="n">
        <f aca="false">IF(OR(OR($B24="",$E24="",$F24=""),$K24&lt;&gt;"نعم",$M24="نعم"),0,MAX(0,MIN($F24,EOMONTH(DATE(cfg_FY,11,1),0))-MAX($E24,DATE(cfg_FY,11,1))+1))</f>
        <v>0</v>
      </c>
      <c r="BE24" s="57" t="n">
        <f aca="false">IF(OR(OR($B24="",$E24="",$F24=""),$K24&lt;&gt;"نعم",$M24="نعم"),0,MAX(0,MIN($F24,EOMONTH(DATE(cfg_FY,12,1),0))-MAX($E24,DATE(cfg_FY,12,1))+1))</f>
        <v>0</v>
      </c>
    </row>
    <row r="25" customFormat="false" ht="15" hidden="false" customHeight="false" outlineLevel="0" collapsed="false">
      <c r="A25" s="100" t="str">
        <f aca="false">IF(B25="","",ROW()-5)</f>
        <v/>
      </c>
      <c r="B25" s="79"/>
      <c r="C25" s="102" t="str">
        <f aca="false">IF(B25="","",IFERROR(INDEX(الموظفون!$C$6:$C$105,MATCH(B25,الموظفون!$B$6:$B$105,0)),"✖ رقم غير موجود"))</f>
        <v/>
      </c>
      <c r="D25" s="79"/>
      <c r="E25" s="94"/>
      <c r="F25" s="94"/>
      <c r="G25" s="110" t="str">
        <f aca="false">IF(OR($B25="",$E25="",$F25=""),"",MAX(0,F25-E25+1))</f>
        <v/>
      </c>
      <c r="H25" s="111" t="str">
        <f aca="false">IF(D25="","",IFERROR(VLOOKUP(D25,cfg_LT,2,FALSE()),1))</f>
        <v/>
      </c>
      <c r="I25" s="82"/>
      <c r="J25" s="111" t="str">
        <f aca="false">IF(D25="","",IF(I25&lt;&gt;"",I25,H25))</f>
        <v/>
      </c>
      <c r="K25" s="102" t="str">
        <f aca="false">IF(D25="","",IFERROR(VLOOKUP($D25,cfg_LT,3,FALSE()),""))</f>
        <v/>
      </c>
      <c r="L25" s="102" t="str">
        <f aca="false">IF(D25="","",IFERROR(VLOOKUP($D25,cfg_LT,4,FALSE()),""))</f>
        <v/>
      </c>
      <c r="M25" s="102" t="str">
        <f aca="false">IF(D25="","",IFERROR(VLOOKUP($D25,cfg_LT,5,FALSE()),""))</f>
        <v/>
      </c>
      <c r="N25" s="101" t="n">
        <f aca="false">IF(OR(OR($B25="",$E25="",$F25=""),M25&lt;&gt;"نعم"),0,G25*J25*IFERROR(INDEX(الموظفون!$R$6:$R$105,MATCH(B25,الموظفون!$B$6:$B$105,0)),0)/cfg_DAYS_M)</f>
        <v>0</v>
      </c>
      <c r="O25" s="100" t="str">
        <f aca="false">IF(OR(OR($B25="",$E25="",$F25=""),M25&lt;&gt;"نعم"),"",IF(YEAR(E25)=cfg_FY,MONTH(E25),""))</f>
        <v/>
      </c>
      <c r="P25" s="102" t="str">
        <f aca="false">IF(B25="","",IF(OR(D25="",E25="",F25=""),"⚠ أكمل النوع والتواريخ",IF(F25&lt;E25,"✖ النهاية قبل البداية",IF(COUNTIFS($B$6:$B$505,B25,$E$6:$E$505,"&lt;="&amp;F25,$F$6:$F$505,"&gt;="&amp;E25)&gt;1,"⚠ تداخل مع سجل آخر",IF(E25&gt;cfg_VAL_DATE,"⏳ قادمة",IF(F25&lt;cfg_VAL_DATE,"✔ منتهية","✈ جارية في تاريخ التقرير"))))))</f>
        <v/>
      </c>
      <c r="Q25" s="79"/>
      <c r="R25" s="110" t="n">
        <f aca="false">IF(OR(OR($B25="",$E25="",$F25=""),L25&lt;&gt;"لا"),0,MAX(0,MIN(F25,cfg_Y_START-1)-E25+1))</f>
        <v>0</v>
      </c>
      <c r="S25" s="110" t="n">
        <f aca="false">IF(OR(OR($B25="",$E25="",$F25=""),L25&lt;&gt;"لا"),0,MAX(0,MIN(F25,cfg_VAL_DATE)-E25+1))</f>
        <v>0</v>
      </c>
      <c r="T25" s="110" t="n">
        <f aca="false">IF(OR(OR($B25="",$E25="",$F25=""),K25&lt;&gt;"نعم"),0,IF(M25="نعم",IF(AND(ISNUMBER(O25),N(O25)&lt;=cfg_VAL_M),G25,0),MAX(0,MIN(F25,cfg_VAL_DATE)-MAX(E25,cfg_Y_START)+1)))</f>
        <v>0</v>
      </c>
      <c r="V25" s="110" t="n">
        <f aca="false">IF(OR($B25="",$E25="",$F25=""),0,MAX(0,MIN($F25,EOMONTH(DATE(cfg_FY,1,1),0))-MAX($E25,DATE(cfg_FY,1,1))+1)*(1-IF($M25="نعم",0,N($J25))))</f>
        <v>0</v>
      </c>
      <c r="W25" s="110" t="n">
        <f aca="false">IF(OR($B25="",$E25="",$F25=""),0,MAX(0,MIN($F25,EOMONTH(DATE(cfg_FY,2,1),0))-MAX($E25,DATE(cfg_FY,2,1))+1)*(1-IF($M25="نعم",0,N($J25))))</f>
        <v>0</v>
      </c>
      <c r="X25" s="110" t="n">
        <f aca="false">IF(OR($B25="",$E25="",$F25=""),0,MAX(0,MIN($F25,EOMONTH(DATE(cfg_FY,3,1),0))-MAX($E25,DATE(cfg_FY,3,1))+1)*(1-IF($M25="نعم",0,N($J25))))</f>
        <v>0</v>
      </c>
      <c r="Y25" s="110" t="n">
        <f aca="false">IF(OR($B25="",$E25="",$F25=""),0,MAX(0,MIN($F25,EOMONTH(DATE(cfg_FY,4,1),0))-MAX($E25,DATE(cfg_FY,4,1))+1)*(1-IF($M25="نعم",0,N($J25))))</f>
        <v>0</v>
      </c>
      <c r="Z25" s="110" t="n">
        <f aca="false">IF(OR($B25="",$E25="",$F25=""),0,MAX(0,MIN($F25,EOMONTH(DATE(cfg_FY,5,1),0))-MAX($E25,DATE(cfg_FY,5,1))+1)*(1-IF($M25="نعم",0,N($J25))))</f>
        <v>0</v>
      </c>
      <c r="AA25" s="110" t="n">
        <f aca="false">IF(OR($B25="",$E25="",$F25=""),0,MAX(0,MIN($F25,EOMONTH(DATE(cfg_FY,6,1),0))-MAX($E25,DATE(cfg_FY,6,1))+1)*(1-IF($M25="نعم",0,N($J25))))</f>
        <v>0</v>
      </c>
      <c r="AB25" s="110" t="n">
        <f aca="false">IF(OR($B25="",$E25="",$F25=""),0,MAX(0,MIN($F25,EOMONTH(DATE(cfg_FY,7,1),0))-MAX($E25,DATE(cfg_FY,7,1))+1)*(1-IF($M25="نعم",0,N($J25))))</f>
        <v>0</v>
      </c>
      <c r="AC25" s="110" t="n">
        <f aca="false">IF(OR($B25="",$E25="",$F25=""),0,MAX(0,MIN($F25,EOMONTH(DATE(cfg_FY,8,1),0))-MAX($E25,DATE(cfg_FY,8,1))+1)*(1-IF($M25="نعم",0,N($J25))))</f>
        <v>0</v>
      </c>
      <c r="AD25" s="110" t="n">
        <f aca="false">IF(OR($B25="",$E25="",$F25=""),0,MAX(0,MIN($F25,EOMONTH(DATE(cfg_FY,9,1),0))-MAX($E25,DATE(cfg_FY,9,1))+1)*(1-IF($M25="نعم",0,N($J25))))</f>
        <v>0</v>
      </c>
      <c r="AE25" s="110" t="n">
        <f aca="false">IF(OR($B25="",$E25="",$F25=""),0,MAX(0,MIN($F25,EOMONTH(DATE(cfg_FY,10,1),0))-MAX($E25,DATE(cfg_FY,10,1))+1)*(1-IF($M25="نعم",0,N($J25))))</f>
        <v>0</v>
      </c>
      <c r="AF25" s="110" t="n">
        <f aca="false">IF(OR($B25="",$E25="",$F25=""),0,MAX(0,MIN($F25,EOMONTH(DATE(cfg_FY,11,1),0))-MAX($E25,DATE(cfg_FY,11,1))+1)*(1-IF($M25="نعم",0,N($J25))))</f>
        <v>0</v>
      </c>
      <c r="AG25" s="110" t="n">
        <f aca="false">IF(OR($B25="",$E25="",$F25=""),0,MAX(0,MIN($F25,EOMONTH(DATE(cfg_FY,12,1),0))-MAX($E25,DATE(cfg_FY,12,1))+1)*(1-IF($M25="نعم",0,N($J25))))</f>
        <v>0</v>
      </c>
      <c r="AH25" s="110" t="n">
        <f aca="false">IF(OR(OR($B25="",$E25="",$F25=""),$L25&lt;&gt;"لا"),0,MAX(0,MIN($F25,EOMONTH(DATE(cfg_FY,1,1),0))-$E25+1))</f>
        <v>0</v>
      </c>
      <c r="AI25" s="110" t="n">
        <f aca="false">IF(OR(OR($B25="",$E25="",$F25=""),$L25&lt;&gt;"لا"),0,MAX(0,MIN($F25,EOMONTH(DATE(cfg_FY,2,1),0))-$E25+1))</f>
        <v>0</v>
      </c>
      <c r="AJ25" s="110" t="n">
        <f aca="false">IF(OR(OR($B25="",$E25="",$F25=""),$L25&lt;&gt;"لا"),0,MAX(0,MIN($F25,EOMONTH(DATE(cfg_FY,3,1),0))-$E25+1))</f>
        <v>0</v>
      </c>
      <c r="AK25" s="110" t="n">
        <f aca="false">IF(OR(OR($B25="",$E25="",$F25=""),$L25&lt;&gt;"لا"),0,MAX(0,MIN($F25,EOMONTH(DATE(cfg_FY,4,1),0))-$E25+1))</f>
        <v>0</v>
      </c>
      <c r="AL25" s="110" t="n">
        <f aca="false">IF(OR(OR($B25="",$E25="",$F25=""),$L25&lt;&gt;"لا"),0,MAX(0,MIN($F25,EOMONTH(DATE(cfg_FY,5,1),0))-$E25+1))</f>
        <v>0</v>
      </c>
      <c r="AM25" s="110" t="n">
        <f aca="false">IF(OR(OR($B25="",$E25="",$F25=""),$L25&lt;&gt;"لا"),0,MAX(0,MIN($F25,EOMONTH(DATE(cfg_FY,6,1),0))-$E25+1))</f>
        <v>0</v>
      </c>
      <c r="AN25" s="110" t="n">
        <f aca="false">IF(OR(OR($B25="",$E25="",$F25=""),$L25&lt;&gt;"لا"),0,MAX(0,MIN($F25,EOMONTH(DATE(cfg_FY,7,1),0))-$E25+1))</f>
        <v>0</v>
      </c>
      <c r="AO25" s="110" t="n">
        <f aca="false">IF(OR(OR($B25="",$E25="",$F25=""),$L25&lt;&gt;"لا"),0,MAX(0,MIN($F25,EOMONTH(DATE(cfg_FY,8,1),0))-$E25+1))</f>
        <v>0</v>
      </c>
      <c r="AP25" s="110" t="n">
        <f aca="false">IF(OR(OR($B25="",$E25="",$F25=""),$L25&lt;&gt;"لا"),0,MAX(0,MIN($F25,EOMONTH(DATE(cfg_FY,9,1),0))-$E25+1))</f>
        <v>0</v>
      </c>
      <c r="AQ25" s="110" t="n">
        <f aca="false">IF(OR(OR($B25="",$E25="",$F25=""),$L25&lt;&gt;"لا"),0,MAX(0,MIN($F25,EOMONTH(DATE(cfg_FY,10,1),0))-$E25+1))</f>
        <v>0</v>
      </c>
      <c r="AR25" s="110" t="n">
        <f aca="false">IF(OR(OR($B25="",$E25="",$F25=""),$L25&lt;&gt;"لا"),0,MAX(0,MIN($F25,EOMONTH(DATE(cfg_FY,11,1),0))-$E25+1))</f>
        <v>0</v>
      </c>
      <c r="AS25" s="110" t="n">
        <f aca="false">IF(OR(OR($B25="",$E25="",$F25=""),$L25&lt;&gt;"لا"),0,MAX(0,MIN($F25,EOMONTH(DATE(cfg_FY,12,1),0))-$E25+1))</f>
        <v>0</v>
      </c>
      <c r="AT25" s="110" t="n">
        <f aca="false">IF(OR(OR($B25="",$E25="",$F25=""),$K25&lt;&gt;"نعم",$M25="نعم"),0,MAX(0,MIN($F25,EOMONTH(DATE(cfg_FY,1,1),0))-MAX($E25,DATE(cfg_FY,1,1))+1))</f>
        <v>0</v>
      </c>
      <c r="AU25" s="110" t="n">
        <f aca="false">IF(OR(OR($B25="",$E25="",$F25=""),$K25&lt;&gt;"نعم",$M25="نعم"),0,MAX(0,MIN($F25,EOMONTH(DATE(cfg_FY,2,1),0))-MAX($E25,DATE(cfg_FY,2,1))+1))</f>
        <v>0</v>
      </c>
      <c r="AV25" s="110" t="n">
        <f aca="false">IF(OR(OR($B25="",$E25="",$F25=""),$K25&lt;&gt;"نعم",$M25="نعم"),0,MAX(0,MIN($F25,EOMONTH(DATE(cfg_FY,3,1),0))-MAX($E25,DATE(cfg_FY,3,1))+1))</f>
        <v>0</v>
      </c>
      <c r="AW25" s="110" t="n">
        <f aca="false">IF(OR(OR($B25="",$E25="",$F25=""),$K25&lt;&gt;"نعم",$M25="نعم"),0,MAX(0,MIN($F25,EOMONTH(DATE(cfg_FY,4,1),0))-MAX($E25,DATE(cfg_FY,4,1))+1))</f>
        <v>0</v>
      </c>
      <c r="AX25" s="110" t="n">
        <f aca="false">IF(OR(OR($B25="",$E25="",$F25=""),$K25&lt;&gt;"نعم",$M25="نعم"),0,MAX(0,MIN($F25,EOMONTH(DATE(cfg_FY,5,1),0))-MAX($E25,DATE(cfg_FY,5,1))+1))</f>
        <v>0</v>
      </c>
      <c r="AY25" s="110" t="n">
        <f aca="false">IF(OR(OR($B25="",$E25="",$F25=""),$K25&lt;&gt;"نعم",$M25="نعم"),0,MAX(0,MIN($F25,EOMONTH(DATE(cfg_FY,6,1),0))-MAX($E25,DATE(cfg_FY,6,1))+1))</f>
        <v>0</v>
      </c>
      <c r="AZ25" s="110" t="n">
        <f aca="false">IF(OR(OR($B25="",$E25="",$F25=""),$K25&lt;&gt;"نعم",$M25="نعم"),0,MAX(0,MIN($F25,EOMONTH(DATE(cfg_FY,7,1),0))-MAX($E25,DATE(cfg_FY,7,1))+1))</f>
        <v>0</v>
      </c>
      <c r="BA25" s="110" t="n">
        <f aca="false">IF(OR(OR($B25="",$E25="",$F25=""),$K25&lt;&gt;"نعم",$M25="نعم"),0,MAX(0,MIN($F25,EOMONTH(DATE(cfg_FY,8,1),0))-MAX($E25,DATE(cfg_FY,8,1))+1))</f>
        <v>0</v>
      </c>
      <c r="BB25" s="110" t="n">
        <f aca="false">IF(OR(OR($B25="",$E25="",$F25=""),$K25&lt;&gt;"نعم",$M25="نعم"),0,MAX(0,MIN($F25,EOMONTH(DATE(cfg_FY,9,1),0))-MAX($E25,DATE(cfg_FY,9,1))+1))</f>
        <v>0</v>
      </c>
      <c r="BC25" s="110" t="n">
        <f aca="false">IF(OR(OR($B25="",$E25="",$F25=""),$K25&lt;&gt;"نعم",$M25="نعم"),0,MAX(0,MIN($F25,EOMONTH(DATE(cfg_FY,10,1),0))-MAX($E25,DATE(cfg_FY,10,1))+1))</f>
        <v>0</v>
      </c>
      <c r="BD25" s="110" t="n">
        <f aca="false">IF(OR(OR($B25="",$E25="",$F25=""),$K25&lt;&gt;"نعم",$M25="نعم"),0,MAX(0,MIN($F25,EOMONTH(DATE(cfg_FY,11,1),0))-MAX($E25,DATE(cfg_FY,11,1))+1))</f>
        <v>0</v>
      </c>
      <c r="BE25" s="110" t="n">
        <f aca="false">IF(OR(OR($B25="",$E25="",$F25=""),$K25&lt;&gt;"نعم",$M25="نعم"),0,MAX(0,MIN($F25,EOMONTH(DATE(cfg_FY,12,1),0))-MAX($E25,DATE(cfg_FY,12,1))+1))</f>
        <v>0</v>
      </c>
    </row>
    <row r="26" customFormat="false" ht="15" hidden="false" customHeight="false" outlineLevel="0" collapsed="false">
      <c r="A26" s="93" t="str">
        <f aca="false">IF(B26="","",ROW()-5)</f>
        <v/>
      </c>
      <c r="B26" s="79"/>
      <c r="C26" s="80" t="str">
        <f aca="false">IF(B26="","",IFERROR(INDEX(الموظفون!$C$6:$C$105,MATCH(B26,الموظفون!$B$6:$B$105,0)),"✖ رقم غير موجود"))</f>
        <v/>
      </c>
      <c r="D26" s="79"/>
      <c r="E26" s="94"/>
      <c r="F26" s="94"/>
      <c r="G26" s="57" t="str">
        <f aca="false">IF(OR($B26="",$E26="",$F26=""),"",MAX(0,F26-E26+1))</f>
        <v/>
      </c>
      <c r="H26" s="58" t="str">
        <f aca="false">IF(D26="","",IFERROR(VLOOKUP(D26,cfg_LT,2,FALSE()),1))</f>
        <v/>
      </c>
      <c r="I26" s="82"/>
      <c r="J26" s="58" t="str">
        <f aca="false">IF(D26="","",IF(I26&lt;&gt;"",I26,H26))</f>
        <v/>
      </c>
      <c r="K26" s="80" t="str">
        <f aca="false">IF(D26="","",IFERROR(VLOOKUP($D26,cfg_LT,3,FALSE()),""))</f>
        <v/>
      </c>
      <c r="L26" s="80" t="str">
        <f aca="false">IF(D26="","",IFERROR(VLOOKUP($D26,cfg_LT,4,FALSE()),""))</f>
        <v/>
      </c>
      <c r="M26" s="80" t="str">
        <f aca="false">IF(D26="","",IFERROR(VLOOKUP($D26,cfg_LT,5,FALSE()),""))</f>
        <v/>
      </c>
      <c r="N26" s="97" t="n">
        <f aca="false">IF(OR(OR($B26="",$E26="",$F26=""),M26&lt;&gt;"نعم"),0,G26*J26*IFERROR(INDEX(الموظفون!$R$6:$R$105,MATCH(B26,الموظفون!$B$6:$B$105,0)),0)/cfg_DAYS_M)</f>
        <v>0</v>
      </c>
      <c r="O26" s="93" t="str">
        <f aca="false">IF(OR(OR($B26="",$E26="",$F26=""),M26&lt;&gt;"نعم"),"",IF(YEAR(E26)=cfg_FY,MONTH(E26),""))</f>
        <v/>
      </c>
      <c r="P26" s="80" t="str">
        <f aca="false">IF(B26="","",IF(OR(D26="",E26="",F26=""),"⚠ أكمل النوع والتواريخ",IF(F26&lt;E26,"✖ النهاية قبل البداية",IF(COUNTIFS($B$6:$B$505,B26,$E$6:$E$505,"&lt;="&amp;F26,$F$6:$F$505,"&gt;="&amp;E26)&gt;1,"⚠ تداخل مع سجل آخر",IF(E26&gt;cfg_VAL_DATE,"⏳ قادمة",IF(F26&lt;cfg_VAL_DATE,"✔ منتهية","✈ جارية في تاريخ التقرير"))))))</f>
        <v/>
      </c>
      <c r="Q26" s="79"/>
      <c r="R26" s="57" t="n">
        <f aca="false">IF(OR(OR($B26="",$E26="",$F26=""),L26&lt;&gt;"لا"),0,MAX(0,MIN(F26,cfg_Y_START-1)-E26+1))</f>
        <v>0</v>
      </c>
      <c r="S26" s="57" t="n">
        <f aca="false">IF(OR(OR($B26="",$E26="",$F26=""),L26&lt;&gt;"لا"),0,MAX(0,MIN(F26,cfg_VAL_DATE)-E26+1))</f>
        <v>0</v>
      </c>
      <c r="T26" s="57" t="n">
        <f aca="false">IF(OR(OR($B26="",$E26="",$F26=""),K26&lt;&gt;"نعم"),0,IF(M26="نعم",IF(AND(ISNUMBER(O26),N(O26)&lt;=cfg_VAL_M),G26,0),MAX(0,MIN(F26,cfg_VAL_DATE)-MAX(E26,cfg_Y_START)+1)))</f>
        <v>0</v>
      </c>
      <c r="V26" s="57" t="n">
        <f aca="false">IF(OR($B26="",$E26="",$F26=""),0,MAX(0,MIN($F26,EOMONTH(DATE(cfg_FY,1,1),0))-MAX($E26,DATE(cfg_FY,1,1))+1)*(1-IF($M26="نعم",0,N($J26))))</f>
        <v>0</v>
      </c>
      <c r="W26" s="57" t="n">
        <f aca="false">IF(OR($B26="",$E26="",$F26=""),0,MAX(0,MIN($F26,EOMONTH(DATE(cfg_FY,2,1),0))-MAX($E26,DATE(cfg_FY,2,1))+1)*(1-IF($M26="نعم",0,N($J26))))</f>
        <v>0</v>
      </c>
      <c r="X26" s="57" t="n">
        <f aca="false">IF(OR($B26="",$E26="",$F26=""),0,MAX(0,MIN($F26,EOMONTH(DATE(cfg_FY,3,1),0))-MAX($E26,DATE(cfg_FY,3,1))+1)*(1-IF($M26="نعم",0,N($J26))))</f>
        <v>0</v>
      </c>
      <c r="Y26" s="57" t="n">
        <f aca="false">IF(OR($B26="",$E26="",$F26=""),0,MAX(0,MIN($F26,EOMONTH(DATE(cfg_FY,4,1),0))-MAX($E26,DATE(cfg_FY,4,1))+1)*(1-IF($M26="نعم",0,N($J26))))</f>
        <v>0</v>
      </c>
      <c r="Z26" s="57" t="n">
        <f aca="false">IF(OR($B26="",$E26="",$F26=""),0,MAX(0,MIN($F26,EOMONTH(DATE(cfg_FY,5,1),0))-MAX($E26,DATE(cfg_FY,5,1))+1)*(1-IF($M26="نعم",0,N($J26))))</f>
        <v>0</v>
      </c>
      <c r="AA26" s="57" t="n">
        <f aca="false">IF(OR($B26="",$E26="",$F26=""),0,MAX(0,MIN($F26,EOMONTH(DATE(cfg_FY,6,1),0))-MAX($E26,DATE(cfg_FY,6,1))+1)*(1-IF($M26="نعم",0,N($J26))))</f>
        <v>0</v>
      </c>
      <c r="AB26" s="57" t="n">
        <f aca="false">IF(OR($B26="",$E26="",$F26=""),0,MAX(0,MIN($F26,EOMONTH(DATE(cfg_FY,7,1),0))-MAX($E26,DATE(cfg_FY,7,1))+1)*(1-IF($M26="نعم",0,N($J26))))</f>
        <v>0</v>
      </c>
      <c r="AC26" s="57" t="n">
        <f aca="false">IF(OR($B26="",$E26="",$F26=""),0,MAX(0,MIN($F26,EOMONTH(DATE(cfg_FY,8,1),0))-MAX($E26,DATE(cfg_FY,8,1))+1)*(1-IF($M26="نعم",0,N($J26))))</f>
        <v>0</v>
      </c>
      <c r="AD26" s="57" t="n">
        <f aca="false">IF(OR($B26="",$E26="",$F26=""),0,MAX(0,MIN($F26,EOMONTH(DATE(cfg_FY,9,1),0))-MAX($E26,DATE(cfg_FY,9,1))+1)*(1-IF($M26="نعم",0,N($J26))))</f>
        <v>0</v>
      </c>
      <c r="AE26" s="57" t="n">
        <f aca="false">IF(OR($B26="",$E26="",$F26=""),0,MAX(0,MIN($F26,EOMONTH(DATE(cfg_FY,10,1),0))-MAX($E26,DATE(cfg_FY,10,1))+1)*(1-IF($M26="نعم",0,N($J26))))</f>
        <v>0</v>
      </c>
      <c r="AF26" s="57" t="n">
        <f aca="false">IF(OR($B26="",$E26="",$F26=""),0,MAX(0,MIN($F26,EOMONTH(DATE(cfg_FY,11,1),0))-MAX($E26,DATE(cfg_FY,11,1))+1)*(1-IF($M26="نعم",0,N($J26))))</f>
        <v>0</v>
      </c>
      <c r="AG26" s="57" t="n">
        <f aca="false">IF(OR($B26="",$E26="",$F26=""),0,MAX(0,MIN($F26,EOMONTH(DATE(cfg_FY,12,1),0))-MAX($E26,DATE(cfg_FY,12,1))+1)*(1-IF($M26="نعم",0,N($J26))))</f>
        <v>0</v>
      </c>
      <c r="AH26" s="57" t="n">
        <f aca="false">IF(OR(OR($B26="",$E26="",$F26=""),$L26&lt;&gt;"لا"),0,MAX(0,MIN($F26,EOMONTH(DATE(cfg_FY,1,1),0))-$E26+1))</f>
        <v>0</v>
      </c>
      <c r="AI26" s="57" t="n">
        <f aca="false">IF(OR(OR($B26="",$E26="",$F26=""),$L26&lt;&gt;"لا"),0,MAX(0,MIN($F26,EOMONTH(DATE(cfg_FY,2,1),0))-$E26+1))</f>
        <v>0</v>
      </c>
      <c r="AJ26" s="57" t="n">
        <f aca="false">IF(OR(OR($B26="",$E26="",$F26=""),$L26&lt;&gt;"لا"),0,MAX(0,MIN($F26,EOMONTH(DATE(cfg_FY,3,1),0))-$E26+1))</f>
        <v>0</v>
      </c>
      <c r="AK26" s="57" t="n">
        <f aca="false">IF(OR(OR($B26="",$E26="",$F26=""),$L26&lt;&gt;"لا"),0,MAX(0,MIN($F26,EOMONTH(DATE(cfg_FY,4,1),0))-$E26+1))</f>
        <v>0</v>
      </c>
      <c r="AL26" s="57" t="n">
        <f aca="false">IF(OR(OR($B26="",$E26="",$F26=""),$L26&lt;&gt;"لا"),0,MAX(0,MIN($F26,EOMONTH(DATE(cfg_FY,5,1),0))-$E26+1))</f>
        <v>0</v>
      </c>
      <c r="AM26" s="57" t="n">
        <f aca="false">IF(OR(OR($B26="",$E26="",$F26=""),$L26&lt;&gt;"لا"),0,MAX(0,MIN($F26,EOMONTH(DATE(cfg_FY,6,1),0))-$E26+1))</f>
        <v>0</v>
      </c>
      <c r="AN26" s="57" t="n">
        <f aca="false">IF(OR(OR($B26="",$E26="",$F26=""),$L26&lt;&gt;"لا"),0,MAX(0,MIN($F26,EOMONTH(DATE(cfg_FY,7,1),0))-$E26+1))</f>
        <v>0</v>
      </c>
      <c r="AO26" s="57" t="n">
        <f aca="false">IF(OR(OR($B26="",$E26="",$F26=""),$L26&lt;&gt;"لا"),0,MAX(0,MIN($F26,EOMONTH(DATE(cfg_FY,8,1),0))-$E26+1))</f>
        <v>0</v>
      </c>
      <c r="AP26" s="57" t="n">
        <f aca="false">IF(OR(OR($B26="",$E26="",$F26=""),$L26&lt;&gt;"لا"),0,MAX(0,MIN($F26,EOMONTH(DATE(cfg_FY,9,1),0))-$E26+1))</f>
        <v>0</v>
      </c>
      <c r="AQ26" s="57" t="n">
        <f aca="false">IF(OR(OR($B26="",$E26="",$F26=""),$L26&lt;&gt;"لا"),0,MAX(0,MIN($F26,EOMONTH(DATE(cfg_FY,10,1),0))-$E26+1))</f>
        <v>0</v>
      </c>
      <c r="AR26" s="57" t="n">
        <f aca="false">IF(OR(OR($B26="",$E26="",$F26=""),$L26&lt;&gt;"لا"),0,MAX(0,MIN($F26,EOMONTH(DATE(cfg_FY,11,1),0))-$E26+1))</f>
        <v>0</v>
      </c>
      <c r="AS26" s="57" t="n">
        <f aca="false">IF(OR(OR($B26="",$E26="",$F26=""),$L26&lt;&gt;"لا"),0,MAX(0,MIN($F26,EOMONTH(DATE(cfg_FY,12,1),0))-$E26+1))</f>
        <v>0</v>
      </c>
      <c r="AT26" s="57" t="n">
        <f aca="false">IF(OR(OR($B26="",$E26="",$F26=""),$K26&lt;&gt;"نعم",$M26="نعم"),0,MAX(0,MIN($F26,EOMONTH(DATE(cfg_FY,1,1),0))-MAX($E26,DATE(cfg_FY,1,1))+1))</f>
        <v>0</v>
      </c>
      <c r="AU26" s="57" t="n">
        <f aca="false">IF(OR(OR($B26="",$E26="",$F26=""),$K26&lt;&gt;"نعم",$M26="نعم"),0,MAX(0,MIN($F26,EOMONTH(DATE(cfg_FY,2,1),0))-MAX($E26,DATE(cfg_FY,2,1))+1))</f>
        <v>0</v>
      </c>
      <c r="AV26" s="57" t="n">
        <f aca="false">IF(OR(OR($B26="",$E26="",$F26=""),$K26&lt;&gt;"نعم",$M26="نعم"),0,MAX(0,MIN($F26,EOMONTH(DATE(cfg_FY,3,1),0))-MAX($E26,DATE(cfg_FY,3,1))+1))</f>
        <v>0</v>
      </c>
      <c r="AW26" s="57" t="n">
        <f aca="false">IF(OR(OR($B26="",$E26="",$F26=""),$K26&lt;&gt;"نعم",$M26="نعم"),0,MAX(0,MIN($F26,EOMONTH(DATE(cfg_FY,4,1),0))-MAX($E26,DATE(cfg_FY,4,1))+1))</f>
        <v>0</v>
      </c>
      <c r="AX26" s="57" t="n">
        <f aca="false">IF(OR(OR($B26="",$E26="",$F26=""),$K26&lt;&gt;"نعم",$M26="نعم"),0,MAX(0,MIN($F26,EOMONTH(DATE(cfg_FY,5,1),0))-MAX($E26,DATE(cfg_FY,5,1))+1))</f>
        <v>0</v>
      </c>
      <c r="AY26" s="57" t="n">
        <f aca="false">IF(OR(OR($B26="",$E26="",$F26=""),$K26&lt;&gt;"نعم",$M26="نعم"),0,MAX(0,MIN($F26,EOMONTH(DATE(cfg_FY,6,1),0))-MAX($E26,DATE(cfg_FY,6,1))+1))</f>
        <v>0</v>
      </c>
      <c r="AZ26" s="57" t="n">
        <f aca="false">IF(OR(OR($B26="",$E26="",$F26=""),$K26&lt;&gt;"نعم",$M26="نعم"),0,MAX(0,MIN($F26,EOMONTH(DATE(cfg_FY,7,1),0))-MAX($E26,DATE(cfg_FY,7,1))+1))</f>
        <v>0</v>
      </c>
      <c r="BA26" s="57" t="n">
        <f aca="false">IF(OR(OR($B26="",$E26="",$F26=""),$K26&lt;&gt;"نعم",$M26="نعم"),0,MAX(0,MIN($F26,EOMONTH(DATE(cfg_FY,8,1),0))-MAX($E26,DATE(cfg_FY,8,1))+1))</f>
        <v>0</v>
      </c>
      <c r="BB26" s="57" t="n">
        <f aca="false">IF(OR(OR($B26="",$E26="",$F26=""),$K26&lt;&gt;"نعم",$M26="نعم"),0,MAX(0,MIN($F26,EOMONTH(DATE(cfg_FY,9,1),0))-MAX($E26,DATE(cfg_FY,9,1))+1))</f>
        <v>0</v>
      </c>
      <c r="BC26" s="57" t="n">
        <f aca="false">IF(OR(OR($B26="",$E26="",$F26=""),$K26&lt;&gt;"نعم",$M26="نعم"),0,MAX(0,MIN($F26,EOMONTH(DATE(cfg_FY,10,1),0))-MAX($E26,DATE(cfg_FY,10,1))+1))</f>
        <v>0</v>
      </c>
      <c r="BD26" s="57" t="n">
        <f aca="false">IF(OR(OR($B26="",$E26="",$F26=""),$K26&lt;&gt;"نعم",$M26="نعم"),0,MAX(0,MIN($F26,EOMONTH(DATE(cfg_FY,11,1),0))-MAX($E26,DATE(cfg_FY,11,1))+1))</f>
        <v>0</v>
      </c>
      <c r="BE26" s="57" t="n">
        <f aca="false">IF(OR(OR($B26="",$E26="",$F26=""),$K26&lt;&gt;"نعم",$M26="نعم"),0,MAX(0,MIN($F26,EOMONTH(DATE(cfg_FY,12,1),0))-MAX($E26,DATE(cfg_FY,12,1))+1))</f>
        <v>0</v>
      </c>
    </row>
    <row r="27" customFormat="false" ht="15" hidden="false" customHeight="false" outlineLevel="0" collapsed="false">
      <c r="A27" s="100" t="str">
        <f aca="false">IF(B27="","",ROW()-5)</f>
        <v/>
      </c>
      <c r="B27" s="79"/>
      <c r="C27" s="102" t="str">
        <f aca="false">IF(B27="","",IFERROR(INDEX(الموظفون!$C$6:$C$105,MATCH(B27,الموظفون!$B$6:$B$105,0)),"✖ رقم غير موجود"))</f>
        <v/>
      </c>
      <c r="D27" s="79"/>
      <c r="E27" s="94"/>
      <c r="F27" s="94"/>
      <c r="G27" s="110" t="str">
        <f aca="false">IF(OR($B27="",$E27="",$F27=""),"",MAX(0,F27-E27+1))</f>
        <v/>
      </c>
      <c r="H27" s="111" t="str">
        <f aca="false">IF(D27="","",IFERROR(VLOOKUP(D27,cfg_LT,2,FALSE()),1))</f>
        <v/>
      </c>
      <c r="I27" s="82"/>
      <c r="J27" s="111" t="str">
        <f aca="false">IF(D27="","",IF(I27&lt;&gt;"",I27,H27))</f>
        <v/>
      </c>
      <c r="K27" s="102" t="str">
        <f aca="false">IF(D27="","",IFERROR(VLOOKUP($D27,cfg_LT,3,FALSE()),""))</f>
        <v/>
      </c>
      <c r="L27" s="102" t="str">
        <f aca="false">IF(D27="","",IFERROR(VLOOKUP($D27,cfg_LT,4,FALSE()),""))</f>
        <v/>
      </c>
      <c r="M27" s="102" t="str">
        <f aca="false">IF(D27="","",IFERROR(VLOOKUP($D27,cfg_LT,5,FALSE()),""))</f>
        <v/>
      </c>
      <c r="N27" s="101" t="n">
        <f aca="false">IF(OR(OR($B27="",$E27="",$F27=""),M27&lt;&gt;"نعم"),0,G27*J27*IFERROR(INDEX(الموظفون!$R$6:$R$105,MATCH(B27,الموظفون!$B$6:$B$105,0)),0)/cfg_DAYS_M)</f>
        <v>0</v>
      </c>
      <c r="O27" s="100" t="str">
        <f aca="false">IF(OR(OR($B27="",$E27="",$F27=""),M27&lt;&gt;"نعم"),"",IF(YEAR(E27)=cfg_FY,MONTH(E27),""))</f>
        <v/>
      </c>
      <c r="P27" s="102" t="str">
        <f aca="false">IF(B27="","",IF(OR(D27="",E27="",F27=""),"⚠ أكمل النوع والتواريخ",IF(F27&lt;E27,"✖ النهاية قبل البداية",IF(COUNTIFS($B$6:$B$505,B27,$E$6:$E$505,"&lt;="&amp;F27,$F$6:$F$505,"&gt;="&amp;E27)&gt;1,"⚠ تداخل مع سجل آخر",IF(E27&gt;cfg_VAL_DATE,"⏳ قادمة",IF(F27&lt;cfg_VAL_DATE,"✔ منتهية","✈ جارية في تاريخ التقرير"))))))</f>
        <v/>
      </c>
      <c r="Q27" s="79"/>
      <c r="R27" s="110" t="n">
        <f aca="false">IF(OR(OR($B27="",$E27="",$F27=""),L27&lt;&gt;"لا"),0,MAX(0,MIN(F27,cfg_Y_START-1)-E27+1))</f>
        <v>0</v>
      </c>
      <c r="S27" s="110" t="n">
        <f aca="false">IF(OR(OR($B27="",$E27="",$F27=""),L27&lt;&gt;"لا"),0,MAX(0,MIN(F27,cfg_VAL_DATE)-E27+1))</f>
        <v>0</v>
      </c>
      <c r="T27" s="110" t="n">
        <f aca="false">IF(OR(OR($B27="",$E27="",$F27=""),K27&lt;&gt;"نعم"),0,IF(M27="نعم",IF(AND(ISNUMBER(O27),N(O27)&lt;=cfg_VAL_M),G27,0),MAX(0,MIN(F27,cfg_VAL_DATE)-MAX(E27,cfg_Y_START)+1)))</f>
        <v>0</v>
      </c>
      <c r="V27" s="110" t="n">
        <f aca="false">IF(OR($B27="",$E27="",$F27=""),0,MAX(0,MIN($F27,EOMONTH(DATE(cfg_FY,1,1),0))-MAX($E27,DATE(cfg_FY,1,1))+1)*(1-IF($M27="نعم",0,N($J27))))</f>
        <v>0</v>
      </c>
      <c r="W27" s="110" t="n">
        <f aca="false">IF(OR($B27="",$E27="",$F27=""),0,MAX(0,MIN($F27,EOMONTH(DATE(cfg_FY,2,1),0))-MAX($E27,DATE(cfg_FY,2,1))+1)*(1-IF($M27="نعم",0,N($J27))))</f>
        <v>0</v>
      </c>
      <c r="X27" s="110" t="n">
        <f aca="false">IF(OR($B27="",$E27="",$F27=""),0,MAX(0,MIN($F27,EOMONTH(DATE(cfg_FY,3,1),0))-MAX($E27,DATE(cfg_FY,3,1))+1)*(1-IF($M27="نعم",0,N($J27))))</f>
        <v>0</v>
      </c>
      <c r="Y27" s="110" t="n">
        <f aca="false">IF(OR($B27="",$E27="",$F27=""),0,MAX(0,MIN($F27,EOMONTH(DATE(cfg_FY,4,1),0))-MAX($E27,DATE(cfg_FY,4,1))+1)*(1-IF($M27="نعم",0,N($J27))))</f>
        <v>0</v>
      </c>
      <c r="Z27" s="110" t="n">
        <f aca="false">IF(OR($B27="",$E27="",$F27=""),0,MAX(0,MIN($F27,EOMONTH(DATE(cfg_FY,5,1),0))-MAX($E27,DATE(cfg_FY,5,1))+1)*(1-IF($M27="نعم",0,N($J27))))</f>
        <v>0</v>
      </c>
      <c r="AA27" s="110" t="n">
        <f aca="false">IF(OR($B27="",$E27="",$F27=""),0,MAX(0,MIN($F27,EOMONTH(DATE(cfg_FY,6,1),0))-MAX($E27,DATE(cfg_FY,6,1))+1)*(1-IF($M27="نعم",0,N($J27))))</f>
        <v>0</v>
      </c>
      <c r="AB27" s="110" t="n">
        <f aca="false">IF(OR($B27="",$E27="",$F27=""),0,MAX(0,MIN($F27,EOMONTH(DATE(cfg_FY,7,1),0))-MAX($E27,DATE(cfg_FY,7,1))+1)*(1-IF($M27="نعم",0,N($J27))))</f>
        <v>0</v>
      </c>
      <c r="AC27" s="110" t="n">
        <f aca="false">IF(OR($B27="",$E27="",$F27=""),0,MAX(0,MIN($F27,EOMONTH(DATE(cfg_FY,8,1),0))-MAX($E27,DATE(cfg_FY,8,1))+1)*(1-IF($M27="نعم",0,N($J27))))</f>
        <v>0</v>
      </c>
      <c r="AD27" s="110" t="n">
        <f aca="false">IF(OR($B27="",$E27="",$F27=""),0,MAX(0,MIN($F27,EOMONTH(DATE(cfg_FY,9,1),0))-MAX($E27,DATE(cfg_FY,9,1))+1)*(1-IF($M27="نعم",0,N($J27))))</f>
        <v>0</v>
      </c>
      <c r="AE27" s="110" t="n">
        <f aca="false">IF(OR($B27="",$E27="",$F27=""),0,MAX(0,MIN($F27,EOMONTH(DATE(cfg_FY,10,1),0))-MAX($E27,DATE(cfg_FY,10,1))+1)*(1-IF($M27="نعم",0,N($J27))))</f>
        <v>0</v>
      </c>
      <c r="AF27" s="110" t="n">
        <f aca="false">IF(OR($B27="",$E27="",$F27=""),0,MAX(0,MIN($F27,EOMONTH(DATE(cfg_FY,11,1),0))-MAX($E27,DATE(cfg_FY,11,1))+1)*(1-IF($M27="نعم",0,N($J27))))</f>
        <v>0</v>
      </c>
      <c r="AG27" s="110" t="n">
        <f aca="false">IF(OR($B27="",$E27="",$F27=""),0,MAX(0,MIN($F27,EOMONTH(DATE(cfg_FY,12,1),0))-MAX($E27,DATE(cfg_FY,12,1))+1)*(1-IF($M27="نعم",0,N($J27))))</f>
        <v>0</v>
      </c>
      <c r="AH27" s="110" t="n">
        <f aca="false">IF(OR(OR($B27="",$E27="",$F27=""),$L27&lt;&gt;"لا"),0,MAX(0,MIN($F27,EOMONTH(DATE(cfg_FY,1,1),0))-$E27+1))</f>
        <v>0</v>
      </c>
      <c r="AI27" s="110" t="n">
        <f aca="false">IF(OR(OR($B27="",$E27="",$F27=""),$L27&lt;&gt;"لا"),0,MAX(0,MIN($F27,EOMONTH(DATE(cfg_FY,2,1),0))-$E27+1))</f>
        <v>0</v>
      </c>
      <c r="AJ27" s="110" t="n">
        <f aca="false">IF(OR(OR($B27="",$E27="",$F27=""),$L27&lt;&gt;"لا"),0,MAX(0,MIN($F27,EOMONTH(DATE(cfg_FY,3,1),0))-$E27+1))</f>
        <v>0</v>
      </c>
      <c r="AK27" s="110" t="n">
        <f aca="false">IF(OR(OR($B27="",$E27="",$F27=""),$L27&lt;&gt;"لا"),0,MAX(0,MIN($F27,EOMONTH(DATE(cfg_FY,4,1),0))-$E27+1))</f>
        <v>0</v>
      </c>
      <c r="AL27" s="110" t="n">
        <f aca="false">IF(OR(OR($B27="",$E27="",$F27=""),$L27&lt;&gt;"لا"),0,MAX(0,MIN($F27,EOMONTH(DATE(cfg_FY,5,1),0))-$E27+1))</f>
        <v>0</v>
      </c>
      <c r="AM27" s="110" t="n">
        <f aca="false">IF(OR(OR($B27="",$E27="",$F27=""),$L27&lt;&gt;"لا"),0,MAX(0,MIN($F27,EOMONTH(DATE(cfg_FY,6,1),0))-$E27+1))</f>
        <v>0</v>
      </c>
      <c r="AN27" s="110" t="n">
        <f aca="false">IF(OR(OR($B27="",$E27="",$F27=""),$L27&lt;&gt;"لا"),0,MAX(0,MIN($F27,EOMONTH(DATE(cfg_FY,7,1),0))-$E27+1))</f>
        <v>0</v>
      </c>
      <c r="AO27" s="110" t="n">
        <f aca="false">IF(OR(OR($B27="",$E27="",$F27=""),$L27&lt;&gt;"لا"),0,MAX(0,MIN($F27,EOMONTH(DATE(cfg_FY,8,1),0))-$E27+1))</f>
        <v>0</v>
      </c>
      <c r="AP27" s="110" t="n">
        <f aca="false">IF(OR(OR($B27="",$E27="",$F27=""),$L27&lt;&gt;"لا"),0,MAX(0,MIN($F27,EOMONTH(DATE(cfg_FY,9,1),0))-$E27+1))</f>
        <v>0</v>
      </c>
      <c r="AQ27" s="110" t="n">
        <f aca="false">IF(OR(OR($B27="",$E27="",$F27=""),$L27&lt;&gt;"لا"),0,MAX(0,MIN($F27,EOMONTH(DATE(cfg_FY,10,1),0))-$E27+1))</f>
        <v>0</v>
      </c>
      <c r="AR27" s="110" t="n">
        <f aca="false">IF(OR(OR($B27="",$E27="",$F27=""),$L27&lt;&gt;"لا"),0,MAX(0,MIN($F27,EOMONTH(DATE(cfg_FY,11,1),0))-$E27+1))</f>
        <v>0</v>
      </c>
      <c r="AS27" s="110" t="n">
        <f aca="false">IF(OR(OR($B27="",$E27="",$F27=""),$L27&lt;&gt;"لا"),0,MAX(0,MIN($F27,EOMONTH(DATE(cfg_FY,12,1),0))-$E27+1))</f>
        <v>0</v>
      </c>
      <c r="AT27" s="110" t="n">
        <f aca="false">IF(OR(OR($B27="",$E27="",$F27=""),$K27&lt;&gt;"نعم",$M27="نعم"),0,MAX(0,MIN($F27,EOMONTH(DATE(cfg_FY,1,1),0))-MAX($E27,DATE(cfg_FY,1,1))+1))</f>
        <v>0</v>
      </c>
      <c r="AU27" s="110" t="n">
        <f aca="false">IF(OR(OR($B27="",$E27="",$F27=""),$K27&lt;&gt;"نعم",$M27="نعم"),0,MAX(0,MIN($F27,EOMONTH(DATE(cfg_FY,2,1),0))-MAX($E27,DATE(cfg_FY,2,1))+1))</f>
        <v>0</v>
      </c>
      <c r="AV27" s="110" t="n">
        <f aca="false">IF(OR(OR($B27="",$E27="",$F27=""),$K27&lt;&gt;"نعم",$M27="نعم"),0,MAX(0,MIN($F27,EOMONTH(DATE(cfg_FY,3,1),0))-MAX($E27,DATE(cfg_FY,3,1))+1))</f>
        <v>0</v>
      </c>
      <c r="AW27" s="110" t="n">
        <f aca="false">IF(OR(OR($B27="",$E27="",$F27=""),$K27&lt;&gt;"نعم",$M27="نعم"),0,MAX(0,MIN($F27,EOMONTH(DATE(cfg_FY,4,1),0))-MAX($E27,DATE(cfg_FY,4,1))+1))</f>
        <v>0</v>
      </c>
      <c r="AX27" s="110" t="n">
        <f aca="false">IF(OR(OR($B27="",$E27="",$F27=""),$K27&lt;&gt;"نعم",$M27="نعم"),0,MAX(0,MIN($F27,EOMONTH(DATE(cfg_FY,5,1),0))-MAX($E27,DATE(cfg_FY,5,1))+1))</f>
        <v>0</v>
      </c>
      <c r="AY27" s="110" t="n">
        <f aca="false">IF(OR(OR($B27="",$E27="",$F27=""),$K27&lt;&gt;"نعم",$M27="نعم"),0,MAX(0,MIN($F27,EOMONTH(DATE(cfg_FY,6,1),0))-MAX($E27,DATE(cfg_FY,6,1))+1))</f>
        <v>0</v>
      </c>
      <c r="AZ27" s="110" t="n">
        <f aca="false">IF(OR(OR($B27="",$E27="",$F27=""),$K27&lt;&gt;"نعم",$M27="نعم"),0,MAX(0,MIN($F27,EOMONTH(DATE(cfg_FY,7,1),0))-MAX($E27,DATE(cfg_FY,7,1))+1))</f>
        <v>0</v>
      </c>
      <c r="BA27" s="110" t="n">
        <f aca="false">IF(OR(OR($B27="",$E27="",$F27=""),$K27&lt;&gt;"نعم",$M27="نعم"),0,MAX(0,MIN($F27,EOMONTH(DATE(cfg_FY,8,1),0))-MAX($E27,DATE(cfg_FY,8,1))+1))</f>
        <v>0</v>
      </c>
      <c r="BB27" s="110" t="n">
        <f aca="false">IF(OR(OR($B27="",$E27="",$F27=""),$K27&lt;&gt;"نعم",$M27="نعم"),0,MAX(0,MIN($F27,EOMONTH(DATE(cfg_FY,9,1),0))-MAX($E27,DATE(cfg_FY,9,1))+1))</f>
        <v>0</v>
      </c>
      <c r="BC27" s="110" t="n">
        <f aca="false">IF(OR(OR($B27="",$E27="",$F27=""),$K27&lt;&gt;"نعم",$M27="نعم"),0,MAX(0,MIN($F27,EOMONTH(DATE(cfg_FY,10,1),0))-MAX($E27,DATE(cfg_FY,10,1))+1))</f>
        <v>0</v>
      </c>
      <c r="BD27" s="110" t="n">
        <f aca="false">IF(OR(OR($B27="",$E27="",$F27=""),$K27&lt;&gt;"نعم",$M27="نعم"),0,MAX(0,MIN($F27,EOMONTH(DATE(cfg_FY,11,1),0))-MAX($E27,DATE(cfg_FY,11,1))+1))</f>
        <v>0</v>
      </c>
      <c r="BE27" s="110" t="n">
        <f aca="false">IF(OR(OR($B27="",$E27="",$F27=""),$K27&lt;&gt;"نعم",$M27="نعم"),0,MAX(0,MIN($F27,EOMONTH(DATE(cfg_FY,12,1),0))-MAX($E27,DATE(cfg_FY,12,1))+1))</f>
        <v>0</v>
      </c>
    </row>
    <row r="28" customFormat="false" ht="15" hidden="false" customHeight="false" outlineLevel="0" collapsed="false">
      <c r="A28" s="93" t="str">
        <f aca="false">IF(B28="","",ROW()-5)</f>
        <v/>
      </c>
      <c r="B28" s="79"/>
      <c r="C28" s="80" t="str">
        <f aca="false">IF(B28="","",IFERROR(INDEX(الموظفون!$C$6:$C$105,MATCH(B28,الموظفون!$B$6:$B$105,0)),"✖ رقم غير موجود"))</f>
        <v/>
      </c>
      <c r="D28" s="79"/>
      <c r="E28" s="94"/>
      <c r="F28" s="94"/>
      <c r="G28" s="57" t="str">
        <f aca="false">IF(OR($B28="",$E28="",$F28=""),"",MAX(0,F28-E28+1))</f>
        <v/>
      </c>
      <c r="H28" s="58" t="str">
        <f aca="false">IF(D28="","",IFERROR(VLOOKUP(D28,cfg_LT,2,FALSE()),1))</f>
        <v/>
      </c>
      <c r="I28" s="82"/>
      <c r="J28" s="58" t="str">
        <f aca="false">IF(D28="","",IF(I28&lt;&gt;"",I28,H28))</f>
        <v/>
      </c>
      <c r="K28" s="80" t="str">
        <f aca="false">IF(D28="","",IFERROR(VLOOKUP($D28,cfg_LT,3,FALSE()),""))</f>
        <v/>
      </c>
      <c r="L28" s="80" t="str">
        <f aca="false">IF(D28="","",IFERROR(VLOOKUP($D28,cfg_LT,4,FALSE()),""))</f>
        <v/>
      </c>
      <c r="M28" s="80" t="str">
        <f aca="false">IF(D28="","",IFERROR(VLOOKUP($D28,cfg_LT,5,FALSE()),""))</f>
        <v/>
      </c>
      <c r="N28" s="97" t="n">
        <f aca="false">IF(OR(OR($B28="",$E28="",$F28=""),M28&lt;&gt;"نعم"),0,G28*J28*IFERROR(INDEX(الموظفون!$R$6:$R$105,MATCH(B28,الموظفون!$B$6:$B$105,0)),0)/cfg_DAYS_M)</f>
        <v>0</v>
      </c>
      <c r="O28" s="93" t="str">
        <f aca="false">IF(OR(OR($B28="",$E28="",$F28=""),M28&lt;&gt;"نعم"),"",IF(YEAR(E28)=cfg_FY,MONTH(E28),""))</f>
        <v/>
      </c>
      <c r="P28" s="80" t="str">
        <f aca="false">IF(B28="","",IF(OR(D28="",E28="",F28=""),"⚠ أكمل النوع والتواريخ",IF(F28&lt;E28,"✖ النهاية قبل البداية",IF(COUNTIFS($B$6:$B$505,B28,$E$6:$E$505,"&lt;="&amp;F28,$F$6:$F$505,"&gt;="&amp;E28)&gt;1,"⚠ تداخل مع سجل آخر",IF(E28&gt;cfg_VAL_DATE,"⏳ قادمة",IF(F28&lt;cfg_VAL_DATE,"✔ منتهية","✈ جارية في تاريخ التقرير"))))))</f>
        <v/>
      </c>
      <c r="Q28" s="79"/>
      <c r="R28" s="57" t="n">
        <f aca="false">IF(OR(OR($B28="",$E28="",$F28=""),L28&lt;&gt;"لا"),0,MAX(0,MIN(F28,cfg_Y_START-1)-E28+1))</f>
        <v>0</v>
      </c>
      <c r="S28" s="57" t="n">
        <f aca="false">IF(OR(OR($B28="",$E28="",$F28=""),L28&lt;&gt;"لا"),0,MAX(0,MIN(F28,cfg_VAL_DATE)-E28+1))</f>
        <v>0</v>
      </c>
      <c r="T28" s="57" t="n">
        <f aca="false">IF(OR(OR($B28="",$E28="",$F28=""),K28&lt;&gt;"نعم"),0,IF(M28="نعم",IF(AND(ISNUMBER(O28),N(O28)&lt;=cfg_VAL_M),G28,0),MAX(0,MIN(F28,cfg_VAL_DATE)-MAX(E28,cfg_Y_START)+1)))</f>
        <v>0</v>
      </c>
      <c r="V28" s="57" t="n">
        <f aca="false">IF(OR($B28="",$E28="",$F28=""),0,MAX(0,MIN($F28,EOMONTH(DATE(cfg_FY,1,1),0))-MAX($E28,DATE(cfg_FY,1,1))+1)*(1-IF($M28="نعم",0,N($J28))))</f>
        <v>0</v>
      </c>
      <c r="W28" s="57" t="n">
        <f aca="false">IF(OR($B28="",$E28="",$F28=""),0,MAX(0,MIN($F28,EOMONTH(DATE(cfg_FY,2,1),0))-MAX($E28,DATE(cfg_FY,2,1))+1)*(1-IF($M28="نعم",0,N($J28))))</f>
        <v>0</v>
      </c>
      <c r="X28" s="57" t="n">
        <f aca="false">IF(OR($B28="",$E28="",$F28=""),0,MAX(0,MIN($F28,EOMONTH(DATE(cfg_FY,3,1),0))-MAX($E28,DATE(cfg_FY,3,1))+1)*(1-IF($M28="نعم",0,N($J28))))</f>
        <v>0</v>
      </c>
      <c r="Y28" s="57" t="n">
        <f aca="false">IF(OR($B28="",$E28="",$F28=""),0,MAX(0,MIN($F28,EOMONTH(DATE(cfg_FY,4,1),0))-MAX($E28,DATE(cfg_FY,4,1))+1)*(1-IF($M28="نعم",0,N($J28))))</f>
        <v>0</v>
      </c>
      <c r="Z28" s="57" t="n">
        <f aca="false">IF(OR($B28="",$E28="",$F28=""),0,MAX(0,MIN($F28,EOMONTH(DATE(cfg_FY,5,1),0))-MAX($E28,DATE(cfg_FY,5,1))+1)*(1-IF($M28="نعم",0,N($J28))))</f>
        <v>0</v>
      </c>
      <c r="AA28" s="57" t="n">
        <f aca="false">IF(OR($B28="",$E28="",$F28=""),0,MAX(0,MIN($F28,EOMONTH(DATE(cfg_FY,6,1),0))-MAX($E28,DATE(cfg_FY,6,1))+1)*(1-IF($M28="نعم",0,N($J28))))</f>
        <v>0</v>
      </c>
      <c r="AB28" s="57" t="n">
        <f aca="false">IF(OR($B28="",$E28="",$F28=""),0,MAX(0,MIN($F28,EOMONTH(DATE(cfg_FY,7,1),0))-MAX($E28,DATE(cfg_FY,7,1))+1)*(1-IF($M28="نعم",0,N($J28))))</f>
        <v>0</v>
      </c>
      <c r="AC28" s="57" t="n">
        <f aca="false">IF(OR($B28="",$E28="",$F28=""),0,MAX(0,MIN($F28,EOMONTH(DATE(cfg_FY,8,1),0))-MAX($E28,DATE(cfg_FY,8,1))+1)*(1-IF($M28="نعم",0,N($J28))))</f>
        <v>0</v>
      </c>
      <c r="AD28" s="57" t="n">
        <f aca="false">IF(OR($B28="",$E28="",$F28=""),0,MAX(0,MIN($F28,EOMONTH(DATE(cfg_FY,9,1),0))-MAX($E28,DATE(cfg_FY,9,1))+1)*(1-IF($M28="نعم",0,N($J28))))</f>
        <v>0</v>
      </c>
      <c r="AE28" s="57" t="n">
        <f aca="false">IF(OR($B28="",$E28="",$F28=""),0,MAX(0,MIN($F28,EOMONTH(DATE(cfg_FY,10,1),0))-MAX($E28,DATE(cfg_FY,10,1))+1)*(1-IF($M28="نعم",0,N($J28))))</f>
        <v>0</v>
      </c>
      <c r="AF28" s="57" t="n">
        <f aca="false">IF(OR($B28="",$E28="",$F28=""),0,MAX(0,MIN($F28,EOMONTH(DATE(cfg_FY,11,1),0))-MAX($E28,DATE(cfg_FY,11,1))+1)*(1-IF($M28="نعم",0,N($J28))))</f>
        <v>0</v>
      </c>
      <c r="AG28" s="57" t="n">
        <f aca="false">IF(OR($B28="",$E28="",$F28=""),0,MAX(0,MIN($F28,EOMONTH(DATE(cfg_FY,12,1),0))-MAX($E28,DATE(cfg_FY,12,1))+1)*(1-IF($M28="نعم",0,N($J28))))</f>
        <v>0</v>
      </c>
      <c r="AH28" s="57" t="n">
        <f aca="false">IF(OR(OR($B28="",$E28="",$F28=""),$L28&lt;&gt;"لا"),0,MAX(0,MIN($F28,EOMONTH(DATE(cfg_FY,1,1),0))-$E28+1))</f>
        <v>0</v>
      </c>
      <c r="AI28" s="57" t="n">
        <f aca="false">IF(OR(OR($B28="",$E28="",$F28=""),$L28&lt;&gt;"لا"),0,MAX(0,MIN($F28,EOMONTH(DATE(cfg_FY,2,1),0))-$E28+1))</f>
        <v>0</v>
      </c>
      <c r="AJ28" s="57" t="n">
        <f aca="false">IF(OR(OR($B28="",$E28="",$F28=""),$L28&lt;&gt;"لا"),0,MAX(0,MIN($F28,EOMONTH(DATE(cfg_FY,3,1),0))-$E28+1))</f>
        <v>0</v>
      </c>
      <c r="AK28" s="57" t="n">
        <f aca="false">IF(OR(OR($B28="",$E28="",$F28=""),$L28&lt;&gt;"لا"),0,MAX(0,MIN($F28,EOMONTH(DATE(cfg_FY,4,1),0))-$E28+1))</f>
        <v>0</v>
      </c>
      <c r="AL28" s="57" t="n">
        <f aca="false">IF(OR(OR($B28="",$E28="",$F28=""),$L28&lt;&gt;"لا"),0,MAX(0,MIN($F28,EOMONTH(DATE(cfg_FY,5,1),0))-$E28+1))</f>
        <v>0</v>
      </c>
      <c r="AM28" s="57" t="n">
        <f aca="false">IF(OR(OR($B28="",$E28="",$F28=""),$L28&lt;&gt;"لا"),0,MAX(0,MIN($F28,EOMONTH(DATE(cfg_FY,6,1),0))-$E28+1))</f>
        <v>0</v>
      </c>
      <c r="AN28" s="57" t="n">
        <f aca="false">IF(OR(OR($B28="",$E28="",$F28=""),$L28&lt;&gt;"لا"),0,MAX(0,MIN($F28,EOMONTH(DATE(cfg_FY,7,1),0))-$E28+1))</f>
        <v>0</v>
      </c>
      <c r="AO28" s="57" t="n">
        <f aca="false">IF(OR(OR($B28="",$E28="",$F28=""),$L28&lt;&gt;"لا"),0,MAX(0,MIN($F28,EOMONTH(DATE(cfg_FY,8,1),0))-$E28+1))</f>
        <v>0</v>
      </c>
      <c r="AP28" s="57" t="n">
        <f aca="false">IF(OR(OR($B28="",$E28="",$F28=""),$L28&lt;&gt;"لا"),0,MAX(0,MIN($F28,EOMONTH(DATE(cfg_FY,9,1),0))-$E28+1))</f>
        <v>0</v>
      </c>
      <c r="AQ28" s="57" t="n">
        <f aca="false">IF(OR(OR($B28="",$E28="",$F28=""),$L28&lt;&gt;"لا"),0,MAX(0,MIN($F28,EOMONTH(DATE(cfg_FY,10,1),0))-$E28+1))</f>
        <v>0</v>
      </c>
      <c r="AR28" s="57" t="n">
        <f aca="false">IF(OR(OR($B28="",$E28="",$F28=""),$L28&lt;&gt;"لا"),0,MAX(0,MIN($F28,EOMONTH(DATE(cfg_FY,11,1),0))-$E28+1))</f>
        <v>0</v>
      </c>
      <c r="AS28" s="57" t="n">
        <f aca="false">IF(OR(OR($B28="",$E28="",$F28=""),$L28&lt;&gt;"لا"),0,MAX(0,MIN($F28,EOMONTH(DATE(cfg_FY,12,1),0))-$E28+1))</f>
        <v>0</v>
      </c>
      <c r="AT28" s="57" t="n">
        <f aca="false">IF(OR(OR($B28="",$E28="",$F28=""),$K28&lt;&gt;"نعم",$M28="نعم"),0,MAX(0,MIN($F28,EOMONTH(DATE(cfg_FY,1,1),0))-MAX($E28,DATE(cfg_FY,1,1))+1))</f>
        <v>0</v>
      </c>
      <c r="AU28" s="57" t="n">
        <f aca="false">IF(OR(OR($B28="",$E28="",$F28=""),$K28&lt;&gt;"نعم",$M28="نعم"),0,MAX(0,MIN($F28,EOMONTH(DATE(cfg_FY,2,1),0))-MAX($E28,DATE(cfg_FY,2,1))+1))</f>
        <v>0</v>
      </c>
      <c r="AV28" s="57" t="n">
        <f aca="false">IF(OR(OR($B28="",$E28="",$F28=""),$K28&lt;&gt;"نعم",$M28="نعم"),0,MAX(0,MIN($F28,EOMONTH(DATE(cfg_FY,3,1),0))-MAX($E28,DATE(cfg_FY,3,1))+1))</f>
        <v>0</v>
      </c>
      <c r="AW28" s="57" t="n">
        <f aca="false">IF(OR(OR($B28="",$E28="",$F28=""),$K28&lt;&gt;"نعم",$M28="نعم"),0,MAX(0,MIN($F28,EOMONTH(DATE(cfg_FY,4,1),0))-MAX($E28,DATE(cfg_FY,4,1))+1))</f>
        <v>0</v>
      </c>
      <c r="AX28" s="57" t="n">
        <f aca="false">IF(OR(OR($B28="",$E28="",$F28=""),$K28&lt;&gt;"نعم",$M28="نعم"),0,MAX(0,MIN($F28,EOMONTH(DATE(cfg_FY,5,1),0))-MAX($E28,DATE(cfg_FY,5,1))+1))</f>
        <v>0</v>
      </c>
      <c r="AY28" s="57" t="n">
        <f aca="false">IF(OR(OR($B28="",$E28="",$F28=""),$K28&lt;&gt;"نعم",$M28="نعم"),0,MAX(0,MIN($F28,EOMONTH(DATE(cfg_FY,6,1),0))-MAX($E28,DATE(cfg_FY,6,1))+1))</f>
        <v>0</v>
      </c>
      <c r="AZ28" s="57" t="n">
        <f aca="false">IF(OR(OR($B28="",$E28="",$F28=""),$K28&lt;&gt;"نعم",$M28="نعم"),0,MAX(0,MIN($F28,EOMONTH(DATE(cfg_FY,7,1),0))-MAX($E28,DATE(cfg_FY,7,1))+1))</f>
        <v>0</v>
      </c>
      <c r="BA28" s="57" t="n">
        <f aca="false">IF(OR(OR($B28="",$E28="",$F28=""),$K28&lt;&gt;"نعم",$M28="نعم"),0,MAX(0,MIN($F28,EOMONTH(DATE(cfg_FY,8,1),0))-MAX($E28,DATE(cfg_FY,8,1))+1))</f>
        <v>0</v>
      </c>
      <c r="BB28" s="57" t="n">
        <f aca="false">IF(OR(OR($B28="",$E28="",$F28=""),$K28&lt;&gt;"نعم",$M28="نعم"),0,MAX(0,MIN($F28,EOMONTH(DATE(cfg_FY,9,1),0))-MAX($E28,DATE(cfg_FY,9,1))+1))</f>
        <v>0</v>
      </c>
      <c r="BC28" s="57" t="n">
        <f aca="false">IF(OR(OR($B28="",$E28="",$F28=""),$K28&lt;&gt;"نعم",$M28="نعم"),0,MAX(0,MIN($F28,EOMONTH(DATE(cfg_FY,10,1),0))-MAX($E28,DATE(cfg_FY,10,1))+1))</f>
        <v>0</v>
      </c>
      <c r="BD28" s="57" t="n">
        <f aca="false">IF(OR(OR($B28="",$E28="",$F28=""),$K28&lt;&gt;"نعم",$M28="نعم"),0,MAX(0,MIN($F28,EOMONTH(DATE(cfg_FY,11,1),0))-MAX($E28,DATE(cfg_FY,11,1))+1))</f>
        <v>0</v>
      </c>
      <c r="BE28" s="57" t="n">
        <f aca="false">IF(OR(OR($B28="",$E28="",$F28=""),$K28&lt;&gt;"نعم",$M28="نعم"),0,MAX(0,MIN($F28,EOMONTH(DATE(cfg_FY,12,1),0))-MAX($E28,DATE(cfg_FY,12,1))+1))</f>
        <v>0</v>
      </c>
    </row>
    <row r="29" customFormat="false" ht="15" hidden="false" customHeight="false" outlineLevel="0" collapsed="false">
      <c r="A29" s="100" t="str">
        <f aca="false">IF(B29="","",ROW()-5)</f>
        <v/>
      </c>
      <c r="B29" s="79"/>
      <c r="C29" s="102" t="str">
        <f aca="false">IF(B29="","",IFERROR(INDEX(الموظفون!$C$6:$C$105,MATCH(B29,الموظفون!$B$6:$B$105,0)),"✖ رقم غير موجود"))</f>
        <v/>
      </c>
      <c r="D29" s="79"/>
      <c r="E29" s="94"/>
      <c r="F29" s="94"/>
      <c r="G29" s="110" t="str">
        <f aca="false">IF(OR($B29="",$E29="",$F29=""),"",MAX(0,F29-E29+1))</f>
        <v/>
      </c>
      <c r="H29" s="111" t="str">
        <f aca="false">IF(D29="","",IFERROR(VLOOKUP(D29,cfg_LT,2,FALSE()),1))</f>
        <v/>
      </c>
      <c r="I29" s="82"/>
      <c r="J29" s="111" t="str">
        <f aca="false">IF(D29="","",IF(I29&lt;&gt;"",I29,H29))</f>
        <v/>
      </c>
      <c r="K29" s="102" t="str">
        <f aca="false">IF(D29="","",IFERROR(VLOOKUP($D29,cfg_LT,3,FALSE()),""))</f>
        <v/>
      </c>
      <c r="L29" s="102" t="str">
        <f aca="false">IF(D29="","",IFERROR(VLOOKUP($D29,cfg_LT,4,FALSE()),""))</f>
        <v/>
      </c>
      <c r="M29" s="102" t="str">
        <f aca="false">IF(D29="","",IFERROR(VLOOKUP($D29,cfg_LT,5,FALSE()),""))</f>
        <v/>
      </c>
      <c r="N29" s="101" t="n">
        <f aca="false">IF(OR(OR($B29="",$E29="",$F29=""),M29&lt;&gt;"نعم"),0,G29*J29*IFERROR(INDEX(الموظفون!$R$6:$R$105,MATCH(B29,الموظفون!$B$6:$B$105,0)),0)/cfg_DAYS_M)</f>
        <v>0</v>
      </c>
      <c r="O29" s="100" t="str">
        <f aca="false">IF(OR(OR($B29="",$E29="",$F29=""),M29&lt;&gt;"نعم"),"",IF(YEAR(E29)=cfg_FY,MONTH(E29),""))</f>
        <v/>
      </c>
      <c r="P29" s="102" t="str">
        <f aca="false">IF(B29="","",IF(OR(D29="",E29="",F29=""),"⚠ أكمل النوع والتواريخ",IF(F29&lt;E29,"✖ النهاية قبل البداية",IF(COUNTIFS($B$6:$B$505,B29,$E$6:$E$505,"&lt;="&amp;F29,$F$6:$F$505,"&gt;="&amp;E29)&gt;1,"⚠ تداخل مع سجل آخر",IF(E29&gt;cfg_VAL_DATE,"⏳ قادمة",IF(F29&lt;cfg_VAL_DATE,"✔ منتهية","✈ جارية في تاريخ التقرير"))))))</f>
        <v/>
      </c>
      <c r="Q29" s="79"/>
      <c r="R29" s="110" t="n">
        <f aca="false">IF(OR(OR($B29="",$E29="",$F29=""),L29&lt;&gt;"لا"),0,MAX(0,MIN(F29,cfg_Y_START-1)-E29+1))</f>
        <v>0</v>
      </c>
      <c r="S29" s="110" t="n">
        <f aca="false">IF(OR(OR($B29="",$E29="",$F29=""),L29&lt;&gt;"لا"),0,MAX(0,MIN(F29,cfg_VAL_DATE)-E29+1))</f>
        <v>0</v>
      </c>
      <c r="T29" s="110" t="n">
        <f aca="false">IF(OR(OR($B29="",$E29="",$F29=""),K29&lt;&gt;"نعم"),0,IF(M29="نعم",IF(AND(ISNUMBER(O29),N(O29)&lt;=cfg_VAL_M),G29,0),MAX(0,MIN(F29,cfg_VAL_DATE)-MAX(E29,cfg_Y_START)+1)))</f>
        <v>0</v>
      </c>
      <c r="V29" s="110" t="n">
        <f aca="false">IF(OR($B29="",$E29="",$F29=""),0,MAX(0,MIN($F29,EOMONTH(DATE(cfg_FY,1,1),0))-MAX($E29,DATE(cfg_FY,1,1))+1)*(1-IF($M29="نعم",0,N($J29))))</f>
        <v>0</v>
      </c>
      <c r="W29" s="110" t="n">
        <f aca="false">IF(OR($B29="",$E29="",$F29=""),0,MAX(0,MIN($F29,EOMONTH(DATE(cfg_FY,2,1),0))-MAX($E29,DATE(cfg_FY,2,1))+1)*(1-IF($M29="نعم",0,N($J29))))</f>
        <v>0</v>
      </c>
      <c r="X29" s="110" t="n">
        <f aca="false">IF(OR($B29="",$E29="",$F29=""),0,MAX(0,MIN($F29,EOMONTH(DATE(cfg_FY,3,1),0))-MAX($E29,DATE(cfg_FY,3,1))+1)*(1-IF($M29="نعم",0,N($J29))))</f>
        <v>0</v>
      </c>
      <c r="Y29" s="110" t="n">
        <f aca="false">IF(OR($B29="",$E29="",$F29=""),0,MAX(0,MIN($F29,EOMONTH(DATE(cfg_FY,4,1),0))-MAX($E29,DATE(cfg_FY,4,1))+1)*(1-IF($M29="نعم",0,N($J29))))</f>
        <v>0</v>
      </c>
      <c r="Z29" s="110" t="n">
        <f aca="false">IF(OR($B29="",$E29="",$F29=""),0,MAX(0,MIN($F29,EOMONTH(DATE(cfg_FY,5,1),0))-MAX($E29,DATE(cfg_FY,5,1))+1)*(1-IF($M29="نعم",0,N($J29))))</f>
        <v>0</v>
      </c>
      <c r="AA29" s="110" t="n">
        <f aca="false">IF(OR($B29="",$E29="",$F29=""),0,MAX(0,MIN($F29,EOMONTH(DATE(cfg_FY,6,1),0))-MAX($E29,DATE(cfg_FY,6,1))+1)*(1-IF($M29="نعم",0,N($J29))))</f>
        <v>0</v>
      </c>
      <c r="AB29" s="110" t="n">
        <f aca="false">IF(OR($B29="",$E29="",$F29=""),0,MAX(0,MIN($F29,EOMONTH(DATE(cfg_FY,7,1),0))-MAX($E29,DATE(cfg_FY,7,1))+1)*(1-IF($M29="نعم",0,N($J29))))</f>
        <v>0</v>
      </c>
      <c r="AC29" s="110" t="n">
        <f aca="false">IF(OR($B29="",$E29="",$F29=""),0,MAX(0,MIN($F29,EOMONTH(DATE(cfg_FY,8,1),0))-MAX($E29,DATE(cfg_FY,8,1))+1)*(1-IF($M29="نعم",0,N($J29))))</f>
        <v>0</v>
      </c>
      <c r="AD29" s="110" t="n">
        <f aca="false">IF(OR($B29="",$E29="",$F29=""),0,MAX(0,MIN($F29,EOMONTH(DATE(cfg_FY,9,1),0))-MAX($E29,DATE(cfg_FY,9,1))+1)*(1-IF($M29="نعم",0,N($J29))))</f>
        <v>0</v>
      </c>
      <c r="AE29" s="110" t="n">
        <f aca="false">IF(OR($B29="",$E29="",$F29=""),0,MAX(0,MIN($F29,EOMONTH(DATE(cfg_FY,10,1),0))-MAX($E29,DATE(cfg_FY,10,1))+1)*(1-IF($M29="نعم",0,N($J29))))</f>
        <v>0</v>
      </c>
      <c r="AF29" s="110" t="n">
        <f aca="false">IF(OR($B29="",$E29="",$F29=""),0,MAX(0,MIN($F29,EOMONTH(DATE(cfg_FY,11,1),0))-MAX($E29,DATE(cfg_FY,11,1))+1)*(1-IF($M29="نعم",0,N($J29))))</f>
        <v>0</v>
      </c>
      <c r="AG29" s="110" t="n">
        <f aca="false">IF(OR($B29="",$E29="",$F29=""),0,MAX(0,MIN($F29,EOMONTH(DATE(cfg_FY,12,1),0))-MAX($E29,DATE(cfg_FY,12,1))+1)*(1-IF($M29="نعم",0,N($J29))))</f>
        <v>0</v>
      </c>
      <c r="AH29" s="110" t="n">
        <f aca="false">IF(OR(OR($B29="",$E29="",$F29=""),$L29&lt;&gt;"لا"),0,MAX(0,MIN($F29,EOMONTH(DATE(cfg_FY,1,1),0))-$E29+1))</f>
        <v>0</v>
      </c>
      <c r="AI29" s="110" t="n">
        <f aca="false">IF(OR(OR($B29="",$E29="",$F29=""),$L29&lt;&gt;"لا"),0,MAX(0,MIN($F29,EOMONTH(DATE(cfg_FY,2,1),0))-$E29+1))</f>
        <v>0</v>
      </c>
      <c r="AJ29" s="110" t="n">
        <f aca="false">IF(OR(OR($B29="",$E29="",$F29=""),$L29&lt;&gt;"لا"),0,MAX(0,MIN($F29,EOMONTH(DATE(cfg_FY,3,1),0))-$E29+1))</f>
        <v>0</v>
      </c>
      <c r="AK29" s="110" t="n">
        <f aca="false">IF(OR(OR($B29="",$E29="",$F29=""),$L29&lt;&gt;"لا"),0,MAX(0,MIN($F29,EOMONTH(DATE(cfg_FY,4,1),0))-$E29+1))</f>
        <v>0</v>
      </c>
      <c r="AL29" s="110" t="n">
        <f aca="false">IF(OR(OR($B29="",$E29="",$F29=""),$L29&lt;&gt;"لا"),0,MAX(0,MIN($F29,EOMONTH(DATE(cfg_FY,5,1),0))-$E29+1))</f>
        <v>0</v>
      </c>
      <c r="AM29" s="110" t="n">
        <f aca="false">IF(OR(OR($B29="",$E29="",$F29=""),$L29&lt;&gt;"لا"),0,MAX(0,MIN($F29,EOMONTH(DATE(cfg_FY,6,1),0))-$E29+1))</f>
        <v>0</v>
      </c>
      <c r="AN29" s="110" t="n">
        <f aca="false">IF(OR(OR($B29="",$E29="",$F29=""),$L29&lt;&gt;"لا"),0,MAX(0,MIN($F29,EOMONTH(DATE(cfg_FY,7,1),0))-$E29+1))</f>
        <v>0</v>
      </c>
      <c r="AO29" s="110" t="n">
        <f aca="false">IF(OR(OR($B29="",$E29="",$F29=""),$L29&lt;&gt;"لا"),0,MAX(0,MIN($F29,EOMONTH(DATE(cfg_FY,8,1),0))-$E29+1))</f>
        <v>0</v>
      </c>
      <c r="AP29" s="110" t="n">
        <f aca="false">IF(OR(OR($B29="",$E29="",$F29=""),$L29&lt;&gt;"لا"),0,MAX(0,MIN($F29,EOMONTH(DATE(cfg_FY,9,1),0))-$E29+1))</f>
        <v>0</v>
      </c>
      <c r="AQ29" s="110" t="n">
        <f aca="false">IF(OR(OR($B29="",$E29="",$F29=""),$L29&lt;&gt;"لا"),0,MAX(0,MIN($F29,EOMONTH(DATE(cfg_FY,10,1),0))-$E29+1))</f>
        <v>0</v>
      </c>
      <c r="AR29" s="110" t="n">
        <f aca="false">IF(OR(OR($B29="",$E29="",$F29=""),$L29&lt;&gt;"لا"),0,MAX(0,MIN($F29,EOMONTH(DATE(cfg_FY,11,1),0))-$E29+1))</f>
        <v>0</v>
      </c>
      <c r="AS29" s="110" t="n">
        <f aca="false">IF(OR(OR($B29="",$E29="",$F29=""),$L29&lt;&gt;"لا"),0,MAX(0,MIN($F29,EOMONTH(DATE(cfg_FY,12,1),0))-$E29+1))</f>
        <v>0</v>
      </c>
      <c r="AT29" s="110" t="n">
        <f aca="false">IF(OR(OR($B29="",$E29="",$F29=""),$K29&lt;&gt;"نعم",$M29="نعم"),0,MAX(0,MIN($F29,EOMONTH(DATE(cfg_FY,1,1),0))-MAX($E29,DATE(cfg_FY,1,1))+1))</f>
        <v>0</v>
      </c>
      <c r="AU29" s="110" t="n">
        <f aca="false">IF(OR(OR($B29="",$E29="",$F29=""),$K29&lt;&gt;"نعم",$M29="نعم"),0,MAX(0,MIN($F29,EOMONTH(DATE(cfg_FY,2,1),0))-MAX($E29,DATE(cfg_FY,2,1))+1))</f>
        <v>0</v>
      </c>
      <c r="AV29" s="110" t="n">
        <f aca="false">IF(OR(OR($B29="",$E29="",$F29=""),$K29&lt;&gt;"نعم",$M29="نعم"),0,MAX(0,MIN($F29,EOMONTH(DATE(cfg_FY,3,1),0))-MAX($E29,DATE(cfg_FY,3,1))+1))</f>
        <v>0</v>
      </c>
      <c r="AW29" s="110" t="n">
        <f aca="false">IF(OR(OR($B29="",$E29="",$F29=""),$K29&lt;&gt;"نعم",$M29="نعم"),0,MAX(0,MIN($F29,EOMONTH(DATE(cfg_FY,4,1),0))-MAX($E29,DATE(cfg_FY,4,1))+1))</f>
        <v>0</v>
      </c>
      <c r="AX29" s="110" t="n">
        <f aca="false">IF(OR(OR($B29="",$E29="",$F29=""),$K29&lt;&gt;"نعم",$M29="نعم"),0,MAX(0,MIN($F29,EOMONTH(DATE(cfg_FY,5,1),0))-MAX($E29,DATE(cfg_FY,5,1))+1))</f>
        <v>0</v>
      </c>
      <c r="AY29" s="110" t="n">
        <f aca="false">IF(OR(OR($B29="",$E29="",$F29=""),$K29&lt;&gt;"نعم",$M29="نعم"),0,MAX(0,MIN($F29,EOMONTH(DATE(cfg_FY,6,1),0))-MAX($E29,DATE(cfg_FY,6,1))+1))</f>
        <v>0</v>
      </c>
      <c r="AZ29" s="110" t="n">
        <f aca="false">IF(OR(OR($B29="",$E29="",$F29=""),$K29&lt;&gt;"نعم",$M29="نعم"),0,MAX(0,MIN($F29,EOMONTH(DATE(cfg_FY,7,1),0))-MAX($E29,DATE(cfg_FY,7,1))+1))</f>
        <v>0</v>
      </c>
      <c r="BA29" s="110" t="n">
        <f aca="false">IF(OR(OR($B29="",$E29="",$F29=""),$K29&lt;&gt;"نعم",$M29="نعم"),0,MAX(0,MIN($F29,EOMONTH(DATE(cfg_FY,8,1),0))-MAX($E29,DATE(cfg_FY,8,1))+1))</f>
        <v>0</v>
      </c>
      <c r="BB29" s="110" t="n">
        <f aca="false">IF(OR(OR($B29="",$E29="",$F29=""),$K29&lt;&gt;"نعم",$M29="نعم"),0,MAX(0,MIN($F29,EOMONTH(DATE(cfg_FY,9,1),0))-MAX($E29,DATE(cfg_FY,9,1))+1))</f>
        <v>0</v>
      </c>
      <c r="BC29" s="110" t="n">
        <f aca="false">IF(OR(OR($B29="",$E29="",$F29=""),$K29&lt;&gt;"نعم",$M29="نعم"),0,MAX(0,MIN($F29,EOMONTH(DATE(cfg_FY,10,1),0))-MAX($E29,DATE(cfg_FY,10,1))+1))</f>
        <v>0</v>
      </c>
      <c r="BD29" s="110" t="n">
        <f aca="false">IF(OR(OR($B29="",$E29="",$F29=""),$K29&lt;&gt;"نعم",$M29="نعم"),0,MAX(0,MIN($F29,EOMONTH(DATE(cfg_FY,11,1),0))-MAX($E29,DATE(cfg_FY,11,1))+1))</f>
        <v>0</v>
      </c>
      <c r="BE29" s="110" t="n">
        <f aca="false">IF(OR(OR($B29="",$E29="",$F29=""),$K29&lt;&gt;"نعم",$M29="نعم"),0,MAX(0,MIN($F29,EOMONTH(DATE(cfg_FY,12,1),0))-MAX($E29,DATE(cfg_FY,12,1))+1))</f>
        <v>0</v>
      </c>
    </row>
    <row r="30" customFormat="false" ht="15" hidden="false" customHeight="false" outlineLevel="0" collapsed="false">
      <c r="A30" s="93" t="str">
        <f aca="false">IF(B30="","",ROW()-5)</f>
        <v/>
      </c>
      <c r="B30" s="79"/>
      <c r="C30" s="80" t="str">
        <f aca="false">IF(B30="","",IFERROR(INDEX(الموظفون!$C$6:$C$105,MATCH(B30,الموظفون!$B$6:$B$105,0)),"✖ رقم غير موجود"))</f>
        <v/>
      </c>
      <c r="D30" s="79"/>
      <c r="E30" s="94"/>
      <c r="F30" s="94"/>
      <c r="G30" s="57" t="str">
        <f aca="false">IF(OR($B30="",$E30="",$F30=""),"",MAX(0,F30-E30+1))</f>
        <v/>
      </c>
      <c r="H30" s="58" t="str">
        <f aca="false">IF(D30="","",IFERROR(VLOOKUP(D30,cfg_LT,2,FALSE()),1))</f>
        <v/>
      </c>
      <c r="I30" s="82"/>
      <c r="J30" s="58" t="str">
        <f aca="false">IF(D30="","",IF(I30&lt;&gt;"",I30,H30))</f>
        <v/>
      </c>
      <c r="K30" s="80" t="str">
        <f aca="false">IF(D30="","",IFERROR(VLOOKUP($D30,cfg_LT,3,FALSE()),""))</f>
        <v/>
      </c>
      <c r="L30" s="80" t="str">
        <f aca="false">IF(D30="","",IFERROR(VLOOKUP($D30,cfg_LT,4,FALSE()),""))</f>
        <v/>
      </c>
      <c r="M30" s="80" t="str">
        <f aca="false">IF(D30="","",IFERROR(VLOOKUP($D30,cfg_LT,5,FALSE()),""))</f>
        <v/>
      </c>
      <c r="N30" s="97" t="n">
        <f aca="false">IF(OR(OR($B30="",$E30="",$F30=""),M30&lt;&gt;"نعم"),0,G30*J30*IFERROR(INDEX(الموظفون!$R$6:$R$105,MATCH(B30,الموظفون!$B$6:$B$105,0)),0)/cfg_DAYS_M)</f>
        <v>0</v>
      </c>
      <c r="O30" s="93" t="str">
        <f aca="false">IF(OR(OR($B30="",$E30="",$F30=""),M30&lt;&gt;"نعم"),"",IF(YEAR(E30)=cfg_FY,MONTH(E30),""))</f>
        <v/>
      </c>
      <c r="P30" s="80" t="str">
        <f aca="false">IF(B30="","",IF(OR(D30="",E30="",F30=""),"⚠ أكمل النوع والتواريخ",IF(F30&lt;E30,"✖ النهاية قبل البداية",IF(COUNTIFS($B$6:$B$505,B30,$E$6:$E$505,"&lt;="&amp;F30,$F$6:$F$505,"&gt;="&amp;E30)&gt;1,"⚠ تداخل مع سجل آخر",IF(E30&gt;cfg_VAL_DATE,"⏳ قادمة",IF(F30&lt;cfg_VAL_DATE,"✔ منتهية","✈ جارية في تاريخ التقرير"))))))</f>
        <v/>
      </c>
      <c r="Q30" s="79"/>
      <c r="R30" s="57" t="n">
        <f aca="false">IF(OR(OR($B30="",$E30="",$F30=""),L30&lt;&gt;"لا"),0,MAX(0,MIN(F30,cfg_Y_START-1)-E30+1))</f>
        <v>0</v>
      </c>
      <c r="S30" s="57" t="n">
        <f aca="false">IF(OR(OR($B30="",$E30="",$F30=""),L30&lt;&gt;"لا"),0,MAX(0,MIN(F30,cfg_VAL_DATE)-E30+1))</f>
        <v>0</v>
      </c>
      <c r="T30" s="57" t="n">
        <f aca="false">IF(OR(OR($B30="",$E30="",$F30=""),K30&lt;&gt;"نعم"),0,IF(M30="نعم",IF(AND(ISNUMBER(O30),N(O30)&lt;=cfg_VAL_M),G30,0),MAX(0,MIN(F30,cfg_VAL_DATE)-MAX(E30,cfg_Y_START)+1)))</f>
        <v>0</v>
      </c>
      <c r="V30" s="57" t="n">
        <f aca="false">IF(OR($B30="",$E30="",$F30=""),0,MAX(0,MIN($F30,EOMONTH(DATE(cfg_FY,1,1),0))-MAX($E30,DATE(cfg_FY,1,1))+1)*(1-IF($M30="نعم",0,N($J30))))</f>
        <v>0</v>
      </c>
      <c r="W30" s="57" t="n">
        <f aca="false">IF(OR($B30="",$E30="",$F30=""),0,MAX(0,MIN($F30,EOMONTH(DATE(cfg_FY,2,1),0))-MAX($E30,DATE(cfg_FY,2,1))+1)*(1-IF($M30="نعم",0,N($J30))))</f>
        <v>0</v>
      </c>
      <c r="X30" s="57" t="n">
        <f aca="false">IF(OR($B30="",$E30="",$F30=""),0,MAX(0,MIN($F30,EOMONTH(DATE(cfg_FY,3,1),0))-MAX($E30,DATE(cfg_FY,3,1))+1)*(1-IF($M30="نعم",0,N($J30))))</f>
        <v>0</v>
      </c>
      <c r="Y30" s="57" t="n">
        <f aca="false">IF(OR($B30="",$E30="",$F30=""),0,MAX(0,MIN($F30,EOMONTH(DATE(cfg_FY,4,1),0))-MAX($E30,DATE(cfg_FY,4,1))+1)*(1-IF($M30="نعم",0,N($J30))))</f>
        <v>0</v>
      </c>
      <c r="Z30" s="57" t="n">
        <f aca="false">IF(OR($B30="",$E30="",$F30=""),0,MAX(0,MIN($F30,EOMONTH(DATE(cfg_FY,5,1),0))-MAX($E30,DATE(cfg_FY,5,1))+1)*(1-IF($M30="نعم",0,N($J30))))</f>
        <v>0</v>
      </c>
      <c r="AA30" s="57" t="n">
        <f aca="false">IF(OR($B30="",$E30="",$F30=""),0,MAX(0,MIN($F30,EOMONTH(DATE(cfg_FY,6,1),0))-MAX($E30,DATE(cfg_FY,6,1))+1)*(1-IF($M30="نعم",0,N($J30))))</f>
        <v>0</v>
      </c>
      <c r="AB30" s="57" t="n">
        <f aca="false">IF(OR($B30="",$E30="",$F30=""),0,MAX(0,MIN($F30,EOMONTH(DATE(cfg_FY,7,1),0))-MAX($E30,DATE(cfg_FY,7,1))+1)*(1-IF($M30="نعم",0,N($J30))))</f>
        <v>0</v>
      </c>
      <c r="AC30" s="57" t="n">
        <f aca="false">IF(OR($B30="",$E30="",$F30=""),0,MAX(0,MIN($F30,EOMONTH(DATE(cfg_FY,8,1),0))-MAX($E30,DATE(cfg_FY,8,1))+1)*(1-IF($M30="نعم",0,N($J30))))</f>
        <v>0</v>
      </c>
      <c r="AD30" s="57" t="n">
        <f aca="false">IF(OR($B30="",$E30="",$F30=""),0,MAX(0,MIN($F30,EOMONTH(DATE(cfg_FY,9,1),0))-MAX($E30,DATE(cfg_FY,9,1))+1)*(1-IF($M30="نعم",0,N($J30))))</f>
        <v>0</v>
      </c>
      <c r="AE30" s="57" t="n">
        <f aca="false">IF(OR($B30="",$E30="",$F30=""),0,MAX(0,MIN($F30,EOMONTH(DATE(cfg_FY,10,1),0))-MAX($E30,DATE(cfg_FY,10,1))+1)*(1-IF($M30="نعم",0,N($J30))))</f>
        <v>0</v>
      </c>
      <c r="AF30" s="57" t="n">
        <f aca="false">IF(OR($B30="",$E30="",$F30=""),0,MAX(0,MIN($F30,EOMONTH(DATE(cfg_FY,11,1),0))-MAX($E30,DATE(cfg_FY,11,1))+1)*(1-IF($M30="نعم",0,N($J30))))</f>
        <v>0</v>
      </c>
      <c r="AG30" s="57" t="n">
        <f aca="false">IF(OR($B30="",$E30="",$F30=""),0,MAX(0,MIN($F30,EOMONTH(DATE(cfg_FY,12,1),0))-MAX($E30,DATE(cfg_FY,12,1))+1)*(1-IF($M30="نعم",0,N($J30))))</f>
        <v>0</v>
      </c>
      <c r="AH30" s="57" t="n">
        <f aca="false">IF(OR(OR($B30="",$E30="",$F30=""),$L30&lt;&gt;"لا"),0,MAX(0,MIN($F30,EOMONTH(DATE(cfg_FY,1,1),0))-$E30+1))</f>
        <v>0</v>
      </c>
      <c r="AI30" s="57" t="n">
        <f aca="false">IF(OR(OR($B30="",$E30="",$F30=""),$L30&lt;&gt;"لا"),0,MAX(0,MIN($F30,EOMONTH(DATE(cfg_FY,2,1),0))-$E30+1))</f>
        <v>0</v>
      </c>
      <c r="AJ30" s="57" t="n">
        <f aca="false">IF(OR(OR($B30="",$E30="",$F30=""),$L30&lt;&gt;"لا"),0,MAX(0,MIN($F30,EOMONTH(DATE(cfg_FY,3,1),0))-$E30+1))</f>
        <v>0</v>
      </c>
      <c r="AK30" s="57" t="n">
        <f aca="false">IF(OR(OR($B30="",$E30="",$F30=""),$L30&lt;&gt;"لا"),0,MAX(0,MIN($F30,EOMONTH(DATE(cfg_FY,4,1),0))-$E30+1))</f>
        <v>0</v>
      </c>
      <c r="AL30" s="57" t="n">
        <f aca="false">IF(OR(OR($B30="",$E30="",$F30=""),$L30&lt;&gt;"لا"),0,MAX(0,MIN($F30,EOMONTH(DATE(cfg_FY,5,1),0))-$E30+1))</f>
        <v>0</v>
      </c>
      <c r="AM30" s="57" t="n">
        <f aca="false">IF(OR(OR($B30="",$E30="",$F30=""),$L30&lt;&gt;"لا"),0,MAX(0,MIN($F30,EOMONTH(DATE(cfg_FY,6,1),0))-$E30+1))</f>
        <v>0</v>
      </c>
      <c r="AN30" s="57" t="n">
        <f aca="false">IF(OR(OR($B30="",$E30="",$F30=""),$L30&lt;&gt;"لا"),0,MAX(0,MIN($F30,EOMONTH(DATE(cfg_FY,7,1),0))-$E30+1))</f>
        <v>0</v>
      </c>
      <c r="AO30" s="57" t="n">
        <f aca="false">IF(OR(OR($B30="",$E30="",$F30=""),$L30&lt;&gt;"لا"),0,MAX(0,MIN($F30,EOMONTH(DATE(cfg_FY,8,1),0))-$E30+1))</f>
        <v>0</v>
      </c>
      <c r="AP30" s="57" t="n">
        <f aca="false">IF(OR(OR($B30="",$E30="",$F30=""),$L30&lt;&gt;"لا"),0,MAX(0,MIN($F30,EOMONTH(DATE(cfg_FY,9,1),0))-$E30+1))</f>
        <v>0</v>
      </c>
      <c r="AQ30" s="57" t="n">
        <f aca="false">IF(OR(OR($B30="",$E30="",$F30=""),$L30&lt;&gt;"لا"),0,MAX(0,MIN($F30,EOMONTH(DATE(cfg_FY,10,1),0))-$E30+1))</f>
        <v>0</v>
      </c>
      <c r="AR30" s="57" t="n">
        <f aca="false">IF(OR(OR($B30="",$E30="",$F30=""),$L30&lt;&gt;"لا"),0,MAX(0,MIN($F30,EOMONTH(DATE(cfg_FY,11,1),0))-$E30+1))</f>
        <v>0</v>
      </c>
      <c r="AS30" s="57" t="n">
        <f aca="false">IF(OR(OR($B30="",$E30="",$F30=""),$L30&lt;&gt;"لا"),0,MAX(0,MIN($F30,EOMONTH(DATE(cfg_FY,12,1),0))-$E30+1))</f>
        <v>0</v>
      </c>
      <c r="AT30" s="57" t="n">
        <f aca="false">IF(OR(OR($B30="",$E30="",$F30=""),$K30&lt;&gt;"نعم",$M30="نعم"),0,MAX(0,MIN($F30,EOMONTH(DATE(cfg_FY,1,1),0))-MAX($E30,DATE(cfg_FY,1,1))+1))</f>
        <v>0</v>
      </c>
      <c r="AU30" s="57" t="n">
        <f aca="false">IF(OR(OR($B30="",$E30="",$F30=""),$K30&lt;&gt;"نعم",$M30="نعم"),0,MAX(0,MIN($F30,EOMONTH(DATE(cfg_FY,2,1),0))-MAX($E30,DATE(cfg_FY,2,1))+1))</f>
        <v>0</v>
      </c>
      <c r="AV30" s="57" t="n">
        <f aca="false">IF(OR(OR($B30="",$E30="",$F30=""),$K30&lt;&gt;"نعم",$M30="نعم"),0,MAX(0,MIN($F30,EOMONTH(DATE(cfg_FY,3,1),0))-MAX($E30,DATE(cfg_FY,3,1))+1))</f>
        <v>0</v>
      </c>
      <c r="AW30" s="57" t="n">
        <f aca="false">IF(OR(OR($B30="",$E30="",$F30=""),$K30&lt;&gt;"نعم",$M30="نعم"),0,MAX(0,MIN($F30,EOMONTH(DATE(cfg_FY,4,1),0))-MAX($E30,DATE(cfg_FY,4,1))+1))</f>
        <v>0</v>
      </c>
      <c r="AX30" s="57" t="n">
        <f aca="false">IF(OR(OR($B30="",$E30="",$F30=""),$K30&lt;&gt;"نعم",$M30="نعم"),0,MAX(0,MIN($F30,EOMONTH(DATE(cfg_FY,5,1),0))-MAX($E30,DATE(cfg_FY,5,1))+1))</f>
        <v>0</v>
      </c>
      <c r="AY30" s="57" t="n">
        <f aca="false">IF(OR(OR($B30="",$E30="",$F30=""),$K30&lt;&gt;"نعم",$M30="نعم"),0,MAX(0,MIN($F30,EOMONTH(DATE(cfg_FY,6,1),0))-MAX($E30,DATE(cfg_FY,6,1))+1))</f>
        <v>0</v>
      </c>
      <c r="AZ30" s="57" t="n">
        <f aca="false">IF(OR(OR($B30="",$E30="",$F30=""),$K30&lt;&gt;"نعم",$M30="نعم"),0,MAX(0,MIN($F30,EOMONTH(DATE(cfg_FY,7,1),0))-MAX($E30,DATE(cfg_FY,7,1))+1))</f>
        <v>0</v>
      </c>
      <c r="BA30" s="57" t="n">
        <f aca="false">IF(OR(OR($B30="",$E30="",$F30=""),$K30&lt;&gt;"نعم",$M30="نعم"),0,MAX(0,MIN($F30,EOMONTH(DATE(cfg_FY,8,1),0))-MAX($E30,DATE(cfg_FY,8,1))+1))</f>
        <v>0</v>
      </c>
      <c r="BB30" s="57" t="n">
        <f aca="false">IF(OR(OR($B30="",$E30="",$F30=""),$K30&lt;&gt;"نعم",$M30="نعم"),0,MAX(0,MIN($F30,EOMONTH(DATE(cfg_FY,9,1),0))-MAX($E30,DATE(cfg_FY,9,1))+1))</f>
        <v>0</v>
      </c>
      <c r="BC30" s="57" t="n">
        <f aca="false">IF(OR(OR($B30="",$E30="",$F30=""),$K30&lt;&gt;"نعم",$M30="نعم"),0,MAX(0,MIN($F30,EOMONTH(DATE(cfg_FY,10,1),0))-MAX($E30,DATE(cfg_FY,10,1))+1))</f>
        <v>0</v>
      </c>
      <c r="BD30" s="57" t="n">
        <f aca="false">IF(OR(OR($B30="",$E30="",$F30=""),$K30&lt;&gt;"نعم",$M30="نعم"),0,MAX(0,MIN($F30,EOMONTH(DATE(cfg_FY,11,1),0))-MAX($E30,DATE(cfg_FY,11,1))+1))</f>
        <v>0</v>
      </c>
      <c r="BE30" s="57" t="n">
        <f aca="false">IF(OR(OR($B30="",$E30="",$F30=""),$K30&lt;&gt;"نعم",$M30="نعم"),0,MAX(0,MIN($F30,EOMONTH(DATE(cfg_FY,12,1),0))-MAX($E30,DATE(cfg_FY,12,1))+1))</f>
        <v>0</v>
      </c>
    </row>
    <row r="31" customFormat="false" ht="15" hidden="false" customHeight="false" outlineLevel="0" collapsed="false">
      <c r="A31" s="100" t="str">
        <f aca="false">IF(B31="","",ROW()-5)</f>
        <v/>
      </c>
      <c r="B31" s="79"/>
      <c r="C31" s="102" t="str">
        <f aca="false">IF(B31="","",IFERROR(INDEX(الموظفون!$C$6:$C$105,MATCH(B31,الموظفون!$B$6:$B$105,0)),"✖ رقم غير موجود"))</f>
        <v/>
      </c>
      <c r="D31" s="79"/>
      <c r="E31" s="94"/>
      <c r="F31" s="94"/>
      <c r="G31" s="110" t="str">
        <f aca="false">IF(OR($B31="",$E31="",$F31=""),"",MAX(0,F31-E31+1))</f>
        <v/>
      </c>
      <c r="H31" s="111" t="str">
        <f aca="false">IF(D31="","",IFERROR(VLOOKUP(D31,cfg_LT,2,FALSE()),1))</f>
        <v/>
      </c>
      <c r="I31" s="82"/>
      <c r="J31" s="111" t="str">
        <f aca="false">IF(D31="","",IF(I31&lt;&gt;"",I31,H31))</f>
        <v/>
      </c>
      <c r="K31" s="102" t="str">
        <f aca="false">IF(D31="","",IFERROR(VLOOKUP($D31,cfg_LT,3,FALSE()),""))</f>
        <v/>
      </c>
      <c r="L31" s="102" t="str">
        <f aca="false">IF(D31="","",IFERROR(VLOOKUP($D31,cfg_LT,4,FALSE()),""))</f>
        <v/>
      </c>
      <c r="M31" s="102" t="str">
        <f aca="false">IF(D31="","",IFERROR(VLOOKUP($D31,cfg_LT,5,FALSE()),""))</f>
        <v/>
      </c>
      <c r="N31" s="101" t="n">
        <f aca="false">IF(OR(OR($B31="",$E31="",$F31=""),M31&lt;&gt;"نعم"),0,G31*J31*IFERROR(INDEX(الموظفون!$R$6:$R$105,MATCH(B31,الموظفون!$B$6:$B$105,0)),0)/cfg_DAYS_M)</f>
        <v>0</v>
      </c>
      <c r="O31" s="100" t="str">
        <f aca="false">IF(OR(OR($B31="",$E31="",$F31=""),M31&lt;&gt;"نعم"),"",IF(YEAR(E31)=cfg_FY,MONTH(E31),""))</f>
        <v/>
      </c>
      <c r="P31" s="102" t="str">
        <f aca="false">IF(B31="","",IF(OR(D31="",E31="",F31=""),"⚠ أكمل النوع والتواريخ",IF(F31&lt;E31,"✖ النهاية قبل البداية",IF(COUNTIFS($B$6:$B$505,B31,$E$6:$E$505,"&lt;="&amp;F31,$F$6:$F$505,"&gt;="&amp;E31)&gt;1,"⚠ تداخل مع سجل آخر",IF(E31&gt;cfg_VAL_DATE,"⏳ قادمة",IF(F31&lt;cfg_VAL_DATE,"✔ منتهية","✈ جارية في تاريخ التقرير"))))))</f>
        <v/>
      </c>
      <c r="Q31" s="79"/>
      <c r="R31" s="110" t="n">
        <f aca="false">IF(OR(OR($B31="",$E31="",$F31=""),L31&lt;&gt;"لا"),0,MAX(0,MIN(F31,cfg_Y_START-1)-E31+1))</f>
        <v>0</v>
      </c>
      <c r="S31" s="110" t="n">
        <f aca="false">IF(OR(OR($B31="",$E31="",$F31=""),L31&lt;&gt;"لا"),0,MAX(0,MIN(F31,cfg_VAL_DATE)-E31+1))</f>
        <v>0</v>
      </c>
      <c r="T31" s="110" t="n">
        <f aca="false">IF(OR(OR($B31="",$E31="",$F31=""),K31&lt;&gt;"نعم"),0,IF(M31="نعم",IF(AND(ISNUMBER(O31),N(O31)&lt;=cfg_VAL_M),G31,0),MAX(0,MIN(F31,cfg_VAL_DATE)-MAX(E31,cfg_Y_START)+1)))</f>
        <v>0</v>
      </c>
      <c r="V31" s="110" t="n">
        <f aca="false">IF(OR($B31="",$E31="",$F31=""),0,MAX(0,MIN($F31,EOMONTH(DATE(cfg_FY,1,1),0))-MAX($E31,DATE(cfg_FY,1,1))+1)*(1-IF($M31="نعم",0,N($J31))))</f>
        <v>0</v>
      </c>
      <c r="W31" s="110" t="n">
        <f aca="false">IF(OR($B31="",$E31="",$F31=""),0,MAX(0,MIN($F31,EOMONTH(DATE(cfg_FY,2,1),0))-MAX($E31,DATE(cfg_FY,2,1))+1)*(1-IF($M31="نعم",0,N($J31))))</f>
        <v>0</v>
      </c>
      <c r="X31" s="110" t="n">
        <f aca="false">IF(OR($B31="",$E31="",$F31=""),0,MAX(0,MIN($F31,EOMONTH(DATE(cfg_FY,3,1),0))-MAX($E31,DATE(cfg_FY,3,1))+1)*(1-IF($M31="نعم",0,N($J31))))</f>
        <v>0</v>
      </c>
      <c r="Y31" s="110" t="n">
        <f aca="false">IF(OR($B31="",$E31="",$F31=""),0,MAX(0,MIN($F31,EOMONTH(DATE(cfg_FY,4,1),0))-MAX($E31,DATE(cfg_FY,4,1))+1)*(1-IF($M31="نعم",0,N($J31))))</f>
        <v>0</v>
      </c>
      <c r="Z31" s="110" t="n">
        <f aca="false">IF(OR($B31="",$E31="",$F31=""),0,MAX(0,MIN($F31,EOMONTH(DATE(cfg_FY,5,1),0))-MAX($E31,DATE(cfg_FY,5,1))+1)*(1-IF($M31="نعم",0,N($J31))))</f>
        <v>0</v>
      </c>
      <c r="AA31" s="110" t="n">
        <f aca="false">IF(OR($B31="",$E31="",$F31=""),0,MAX(0,MIN($F31,EOMONTH(DATE(cfg_FY,6,1),0))-MAX($E31,DATE(cfg_FY,6,1))+1)*(1-IF($M31="نعم",0,N($J31))))</f>
        <v>0</v>
      </c>
      <c r="AB31" s="110" t="n">
        <f aca="false">IF(OR($B31="",$E31="",$F31=""),0,MAX(0,MIN($F31,EOMONTH(DATE(cfg_FY,7,1),0))-MAX($E31,DATE(cfg_FY,7,1))+1)*(1-IF($M31="نعم",0,N($J31))))</f>
        <v>0</v>
      </c>
      <c r="AC31" s="110" t="n">
        <f aca="false">IF(OR($B31="",$E31="",$F31=""),0,MAX(0,MIN($F31,EOMONTH(DATE(cfg_FY,8,1),0))-MAX($E31,DATE(cfg_FY,8,1))+1)*(1-IF($M31="نعم",0,N($J31))))</f>
        <v>0</v>
      </c>
      <c r="AD31" s="110" t="n">
        <f aca="false">IF(OR($B31="",$E31="",$F31=""),0,MAX(0,MIN($F31,EOMONTH(DATE(cfg_FY,9,1),0))-MAX($E31,DATE(cfg_FY,9,1))+1)*(1-IF($M31="نعم",0,N($J31))))</f>
        <v>0</v>
      </c>
      <c r="AE31" s="110" t="n">
        <f aca="false">IF(OR($B31="",$E31="",$F31=""),0,MAX(0,MIN($F31,EOMONTH(DATE(cfg_FY,10,1),0))-MAX($E31,DATE(cfg_FY,10,1))+1)*(1-IF($M31="نعم",0,N($J31))))</f>
        <v>0</v>
      </c>
      <c r="AF31" s="110" t="n">
        <f aca="false">IF(OR($B31="",$E31="",$F31=""),0,MAX(0,MIN($F31,EOMONTH(DATE(cfg_FY,11,1),0))-MAX($E31,DATE(cfg_FY,11,1))+1)*(1-IF($M31="نعم",0,N($J31))))</f>
        <v>0</v>
      </c>
      <c r="AG31" s="110" t="n">
        <f aca="false">IF(OR($B31="",$E31="",$F31=""),0,MAX(0,MIN($F31,EOMONTH(DATE(cfg_FY,12,1),0))-MAX($E31,DATE(cfg_FY,12,1))+1)*(1-IF($M31="نعم",0,N($J31))))</f>
        <v>0</v>
      </c>
      <c r="AH31" s="110" t="n">
        <f aca="false">IF(OR(OR($B31="",$E31="",$F31=""),$L31&lt;&gt;"لا"),0,MAX(0,MIN($F31,EOMONTH(DATE(cfg_FY,1,1),0))-$E31+1))</f>
        <v>0</v>
      </c>
      <c r="AI31" s="110" t="n">
        <f aca="false">IF(OR(OR($B31="",$E31="",$F31=""),$L31&lt;&gt;"لا"),0,MAX(0,MIN($F31,EOMONTH(DATE(cfg_FY,2,1),0))-$E31+1))</f>
        <v>0</v>
      </c>
      <c r="AJ31" s="110" t="n">
        <f aca="false">IF(OR(OR($B31="",$E31="",$F31=""),$L31&lt;&gt;"لا"),0,MAX(0,MIN($F31,EOMONTH(DATE(cfg_FY,3,1),0))-$E31+1))</f>
        <v>0</v>
      </c>
      <c r="AK31" s="110" t="n">
        <f aca="false">IF(OR(OR($B31="",$E31="",$F31=""),$L31&lt;&gt;"لا"),0,MAX(0,MIN($F31,EOMONTH(DATE(cfg_FY,4,1),0))-$E31+1))</f>
        <v>0</v>
      </c>
      <c r="AL31" s="110" t="n">
        <f aca="false">IF(OR(OR($B31="",$E31="",$F31=""),$L31&lt;&gt;"لا"),0,MAX(0,MIN($F31,EOMONTH(DATE(cfg_FY,5,1),0))-$E31+1))</f>
        <v>0</v>
      </c>
      <c r="AM31" s="110" t="n">
        <f aca="false">IF(OR(OR($B31="",$E31="",$F31=""),$L31&lt;&gt;"لا"),0,MAX(0,MIN($F31,EOMONTH(DATE(cfg_FY,6,1),0))-$E31+1))</f>
        <v>0</v>
      </c>
      <c r="AN31" s="110" t="n">
        <f aca="false">IF(OR(OR($B31="",$E31="",$F31=""),$L31&lt;&gt;"لا"),0,MAX(0,MIN($F31,EOMONTH(DATE(cfg_FY,7,1),0))-$E31+1))</f>
        <v>0</v>
      </c>
      <c r="AO31" s="110" t="n">
        <f aca="false">IF(OR(OR($B31="",$E31="",$F31=""),$L31&lt;&gt;"لا"),0,MAX(0,MIN($F31,EOMONTH(DATE(cfg_FY,8,1),0))-$E31+1))</f>
        <v>0</v>
      </c>
      <c r="AP31" s="110" t="n">
        <f aca="false">IF(OR(OR($B31="",$E31="",$F31=""),$L31&lt;&gt;"لا"),0,MAX(0,MIN($F31,EOMONTH(DATE(cfg_FY,9,1),0))-$E31+1))</f>
        <v>0</v>
      </c>
      <c r="AQ31" s="110" t="n">
        <f aca="false">IF(OR(OR($B31="",$E31="",$F31=""),$L31&lt;&gt;"لا"),0,MAX(0,MIN($F31,EOMONTH(DATE(cfg_FY,10,1),0))-$E31+1))</f>
        <v>0</v>
      </c>
      <c r="AR31" s="110" t="n">
        <f aca="false">IF(OR(OR($B31="",$E31="",$F31=""),$L31&lt;&gt;"لا"),0,MAX(0,MIN($F31,EOMONTH(DATE(cfg_FY,11,1),0))-$E31+1))</f>
        <v>0</v>
      </c>
      <c r="AS31" s="110" t="n">
        <f aca="false">IF(OR(OR($B31="",$E31="",$F31=""),$L31&lt;&gt;"لا"),0,MAX(0,MIN($F31,EOMONTH(DATE(cfg_FY,12,1),0))-$E31+1))</f>
        <v>0</v>
      </c>
      <c r="AT31" s="110" t="n">
        <f aca="false">IF(OR(OR($B31="",$E31="",$F31=""),$K31&lt;&gt;"نعم",$M31="نعم"),0,MAX(0,MIN($F31,EOMONTH(DATE(cfg_FY,1,1),0))-MAX($E31,DATE(cfg_FY,1,1))+1))</f>
        <v>0</v>
      </c>
      <c r="AU31" s="110" t="n">
        <f aca="false">IF(OR(OR($B31="",$E31="",$F31=""),$K31&lt;&gt;"نعم",$M31="نعم"),0,MAX(0,MIN($F31,EOMONTH(DATE(cfg_FY,2,1),0))-MAX($E31,DATE(cfg_FY,2,1))+1))</f>
        <v>0</v>
      </c>
      <c r="AV31" s="110" t="n">
        <f aca="false">IF(OR(OR($B31="",$E31="",$F31=""),$K31&lt;&gt;"نعم",$M31="نعم"),0,MAX(0,MIN($F31,EOMONTH(DATE(cfg_FY,3,1),0))-MAX($E31,DATE(cfg_FY,3,1))+1))</f>
        <v>0</v>
      </c>
      <c r="AW31" s="110" t="n">
        <f aca="false">IF(OR(OR($B31="",$E31="",$F31=""),$K31&lt;&gt;"نعم",$M31="نعم"),0,MAX(0,MIN($F31,EOMONTH(DATE(cfg_FY,4,1),0))-MAX($E31,DATE(cfg_FY,4,1))+1))</f>
        <v>0</v>
      </c>
      <c r="AX31" s="110" t="n">
        <f aca="false">IF(OR(OR($B31="",$E31="",$F31=""),$K31&lt;&gt;"نعم",$M31="نعم"),0,MAX(0,MIN($F31,EOMONTH(DATE(cfg_FY,5,1),0))-MAX($E31,DATE(cfg_FY,5,1))+1))</f>
        <v>0</v>
      </c>
      <c r="AY31" s="110" t="n">
        <f aca="false">IF(OR(OR($B31="",$E31="",$F31=""),$K31&lt;&gt;"نعم",$M31="نعم"),0,MAX(0,MIN($F31,EOMONTH(DATE(cfg_FY,6,1),0))-MAX($E31,DATE(cfg_FY,6,1))+1))</f>
        <v>0</v>
      </c>
      <c r="AZ31" s="110" t="n">
        <f aca="false">IF(OR(OR($B31="",$E31="",$F31=""),$K31&lt;&gt;"نعم",$M31="نعم"),0,MAX(0,MIN($F31,EOMONTH(DATE(cfg_FY,7,1),0))-MAX($E31,DATE(cfg_FY,7,1))+1))</f>
        <v>0</v>
      </c>
      <c r="BA31" s="110" t="n">
        <f aca="false">IF(OR(OR($B31="",$E31="",$F31=""),$K31&lt;&gt;"نعم",$M31="نعم"),0,MAX(0,MIN($F31,EOMONTH(DATE(cfg_FY,8,1),0))-MAX($E31,DATE(cfg_FY,8,1))+1))</f>
        <v>0</v>
      </c>
      <c r="BB31" s="110" t="n">
        <f aca="false">IF(OR(OR($B31="",$E31="",$F31=""),$K31&lt;&gt;"نعم",$M31="نعم"),0,MAX(0,MIN($F31,EOMONTH(DATE(cfg_FY,9,1),0))-MAX($E31,DATE(cfg_FY,9,1))+1))</f>
        <v>0</v>
      </c>
      <c r="BC31" s="110" t="n">
        <f aca="false">IF(OR(OR($B31="",$E31="",$F31=""),$K31&lt;&gt;"نعم",$M31="نعم"),0,MAX(0,MIN($F31,EOMONTH(DATE(cfg_FY,10,1),0))-MAX($E31,DATE(cfg_FY,10,1))+1))</f>
        <v>0</v>
      </c>
      <c r="BD31" s="110" t="n">
        <f aca="false">IF(OR(OR($B31="",$E31="",$F31=""),$K31&lt;&gt;"نعم",$M31="نعم"),0,MAX(0,MIN($F31,EOMONTH(DATE(cfg_FY,11,1),0))-MAX($E31,DATE(cfg_FY,11,1))+1))</f>
        <v>0</v>
      </c>
      <c r="BE31" s="110" t="n">
        <f aca="false">IF(OR(OR($B31="",$E31="",$F31=""),$K31&lt;&gt;"نعم",$M31="نعم"),0,MAX(0,MIN($F31,EOMONTH(DATE(cfg_FY,12,1),0))-MAX($E31,DATE(cfg_FY,12,1))+1))</f>
        <v>0</v>
      </c>
    </row>
    <row r="32" customFormat="false" ht="15" hidden="false" customHeight="false" outlineLevel="0" collapsed="false">
      <c r="A32" s="93" t="str">
        <f aca="false">IF(B32="","",ROW()-5)</f>
        <v/>
      </c>
      <c r="B32" s="79"/>
      <c r="C32" s="80" t="str">
        <f aca="false">IF(B32="","",IFERROR(INDEX(الموظفون!$C$6:$C$105,MATCH(B32,الموظفون!$B$6:$B$105,0)),"✖ رقم غير موجود"))</f>
        <v/>
      </c>
      <c r="D32" s="79"/>
      <c r="E32" s="94"/>
      <c r="F32" s="94"/>
      <c r="G32" s="57" t="str">
        <f aca="false">IF(OR($B32="",$E32="",$F32=""),"",MAX(0,F32-E32+1))</f>
        <v/>
      </c>
      <c r="H32" s="58" t="str">
        <f aca="false">IF(D32="","",IFERROR(VLOOKUP(D32,cfg_LT,2,FALSE()),1))</f>
        <v/>
      </c>
      <c r="I32" s="82"/>
      <c r="J32" s="58" t="str">
        <f aca="false">IF(D32="","",IF(I32&lt;&gt;"",I32,H32))</f>
        <v/>
      </c>
      <c r="K32" s="80" t="str">
        <f aca="false">IF(D32="","",IFERROR(VLOOKUP($D32,cfg_LT,3,FALSE()),""))</f>
        <v/>
      </c>
      <c r="L32" s="80" t="str">
        <f aca="false">IF(D32="","",IFERROR(VLOOKUP($D32,cfg_LT,4,FALSE()),""))</f>
        <v/>
      </c>
      <c r="M32" s="80" t="str">
        <f aca="false">IF(D32="","",IFERROR(VLOOKUP($D32,cfg_LT,5,FALSE()),""))</f>
        <v/>
      </c>
      <c r="N32" s="97" t="n">
        <f aca="false">IF(OR(OR($B32="",$E32="",$F32=""),M32&lt;&gt;"نعم"),0,G32*J32*IFERROR(INDEX(الموظفون!$R$6:$R$105,MATCH(B32,الموظفون!$B$6:$B$105,0)),0)/cfg_DAYS_M)</f>
        <v>0</v>
      </c>
      <c r="O32" s="93" t="str">
        <f aca="false">IF(OR(OR($B32="",$E32="",$F32=""),M32&lt;&gt;"نعم"),"",IF(YEAR(E32)=cfg_FY,MONTH(E32),""))</f>
        <v/>
      </c>
      <c r="P32" s="80" t="str">
        <f aca="false">IF(B32="","",IF(OR(D32="",E32="",F32=""),"⚠ أكمل النوع والتواريخ",IF(F32&lt;E32,"✖ النهاية قبل البداية",IF(COUNTIFS($B$6:$B$505,B32,$E$6:$E$505,"&lt;="&amp;F32,$F$6:$F$505,"&gt;="&amp;E32)&gt;1,"⚠ تداخل مع سجل آخر",IF(E32&gt;cfg_VAL_DATE,"⏳ قادمة",IF(F32&lt;cfg_VAL_DATE,"✔ منتهية","✈ جارية في تاريخ التقرير"))))))</f>
        <v/>
      </c>
      <c r="Q32" s="79"/>
      <c r="R32" s="57" t="n">
        <f aca="false">IF(OR(OR($B32="",$E32="",$F32=""),L32&lt;&gt;"لا"),0,MAX(0,MIN(F32,cfg_Y_START-1)-E32+1))</f>
        <v>0</v>
      </c>
      <c r="S32" s="57" t="n">
        <f aca="false">IF(OR(OR($B32="",$E32="",$F32=""),L32&lt;&gt;"لا"),0,MAX(0,MIN(F32,cfg_VAL_DATE)-E32+1))</f>
        <v>0</v>
      </c>
      <c r="T32" s="57" t="n">
        <f aca="false">IF(OR(OR($B32="",$E32="",$F32=""),K32&lt;&gt;"نعم"),0,IF(M32="نعم",IF(AND(ISNUMBER(O32),N(O32)&lt;=cfg_VAL_M),G32,0),MAX(0,MIN(F32,cfg_VAL_DATE)-MAX(E32,cfg_Y_START)+1)))</f>
        <v>0</v>
      </c>
      <c r="V32" s="57" t="n">
        <f aca="false">IF(OR($B32="",$E32="",$F32=""),0,MAX(0,MIN($F32,EOMONTH(DATE(cfg_FY,1,1),0))-MAX($E32,DATE(cfg_FY,1,1))+1)*(1-IF($M32="نعم",0,N($J32))))</f>
        <v>0</v>
      </c>
      <c r="W32" s="57" t="n">
        <f aca="false">IF(OR($B32="",$E32="",$F32=""),0,MAX(0,MIN($F32,EOMONTH(DATE(cfg_FY,2,1),0))-MAX($E32,DATE(cfg_FY,2,1))+1)*(1-IF($M32="نعم",0,N($J32))))</f>
        <v>0</v>
      </c>
      <c r="X32" s="57" t="n">
        <f aca="false">IF(OR($B32="",$E32="",$F32=""),0,MAX(0,MIN($F32,EOMONTH(DATE(cfg_FY,3,1),0))-MAX($E32,DATE(cfg_FY,3,1))+1)*(1-IF($M32="نعم",0,N($J32))))</f>
        <v>0</v>
      </c>
      <c r="Y32" s="57" t="n">
        <f aca="false">IF(OR($B32="",$E32="",$F32=""),0,MAX(0,MIN($F32,EOMONTH(DATE(cfg_FY,4,1),0))-MAX($E32,DATE(cfg_FY,4,1))+1)*(1-IF($M32="نعم",0,N($J32))))</f>
        <v>0</v>
      </c>
      <c r="Z32" s="57" t="n">
        <f aca="false">IF(OR($B32="",$E32="",$F32=""),0,MAX(0,MIN($F32,EOMONTH(DATE(cfg_FY,5,1),0))-MAX($E32,DATE(cfg_FY,5,1))+1)*(1-IF($M32="نعم",0,N($J32))))</f>
        <v>0</v>
      </c>
      <c r="AA32" s="57" t="n">
        <f aca="false">IF(OR($B32="",$E32="",$F32=""),0,MAX(0,MIN($F32,EOMONTH(DATE(cfg_FY,6,1),0))-MAX($E32,DATE(cfg_FY,6,1))+1)*(1-IF($M32="نعم",0,N($J32))))</f>
        <v>0</v>
      </c>
      <c r="AB32" s="57" t="n">
        <f aca="false">IF(OR($B32="",$E32="",$F32=""),0,MAX(0,MIN($F32,EOMONTH(DATE(cfg_FY,7,1),0))-MAX($E32,DATE(cfg_FY,7,1))+1)*(1-IF($M32="نعم",0,N($J32))))</f>
        <v>0</v>
      </c>
      <c r="AC32" s="57" t="n">
        <f aca="false">IF(OR($B32="",$E32="",$F32=""),0,MAX(0,MIN($F32,EOMONTH(DATE(cfg_FY,8,1),0))-MAX($E32,DATE(cfg_FY,8,1))+1)*(1-IF($M32="نعم",0,N($J32))))</f>
        <v>0</v>
      </c>
      <c r="AD32" s="57" t="n">
        <f aca="false">IF(OR($B32="",$E32="",$F32=""),0,MAX(0,MIN($F32,EOMONTH(DATE(cfg_FY,9,1),0))-MAX($E32,DATE(cfg_FY,9,1))+1)*(1-IF($M32="نعم",0,N($J32))))</f>
        <v>0</v>
      </c>
      <c r="AE32" s="57" t="n">
        <f aca="false">IF(OR($B32="",$E32="",$F32=""),0,MAX(0,MIN($F32,EOMONTH(DATE(cfg_FY,10,1),0))-MAX($E32,DATE(cfg_FY,10,1))+1)*(1-IF($M32="نعم",0,N($J32))))</f>
        <v>0</v>
      </c>
      <c r="AF32" s="57" t="n">
        <f aca="false">IF(OR($B32="",$E32="",$F32=""),0,MAX(0,MIN($F32,EOMONTH(DATE(cfg_FY,11,1),0))-MAX($E32,DATE(cfg_FY,11,1))+1)*(1-IF($M32="نعم",0,N($J32))))</f>
        <v>0</v>
      </c>
      <c r="AG32" s="57" t="n">
        <f aca="false">IF(OR($B32="",$E32="",$F32=""),0,MAX(0,MIN($F32,EOMONTH(DATE(cfg_FY,12,1),0))-MAX($E32,DATE(cfg_FY,12,1))+1)*(1-IF($M32="نعم",0,N($J32))))</f>
        <v>0</v>
      </c>
      <c r="AH32" s="57" t="n">
        <f aca="false">IF(OR(OR($B32="",$E32="",$F32=""),$L32&lt;&gt;"لا"),0,MAX(0,MIN($F32,EOMONTH(DATE(cfg_FY,1,1),0))-$E32+1))</f>
        <v>0</v>
      </c>
      <c r="AI32" s="57" t="n">
        <f aca="false">IF(OR(OR($B32="",$E32="",$F32=""),$L32&lt;&gt;"لا"),0,MAX(0,MIN($F32,EOMONTH(DATE(cfg_FY,2,1),0))-$E32+1))</f>
        <v>0</v>
      </c>
      <c r="AJ32" s="57" t="n">
        <f aca="false">IF(OR(OR($B32="",$E32="",$F32=""),$L32&lt;&gt;"لا"),0,MAX(0,MIN($F32,EOMONTH(DATE(cfg_FY,3,1),0))-$E32+1))</f>
        <v>0</v>
      </c>
      <c r="AK32" s="57" t="n">
        <f aca="false">IF(OR(OR($B32="",$E32="",$F32=""),$L32&lt;&gt;"لا"),0,MAX(0,MIN($F32,EOMONTH(DATE(cfg_FY,4,1),0))-$E32+1))</f>
        <v>0</v>
      </c>
      <c r="AL32" s="57" t="n">
        <f aca="false">IF(OR(OR($B32="",$E32="",$F32=""),$L32&lt;&gt;"لا"),0,MAX(0,MIN($F32,EOMONTH(DATE(cfg_FY,5,1),0))-$E32+1))</f>
        <v>0</v>
      </c>
      <c r="AM32" s="57" t="n">
        <f aca="false">IF(OR(OR($B32="",$E32="",$F32=""),$L32&lt;&gt;"لا"),0,MAX(0,MIN($F32,EOMONTH(DATE(cfg_FY,6,1),0))-$E32+1))</f>
        <v>0</v>
      </c>
      <c r="AN32" s="57" t="n">
        <f aca="false">IF(OR(OR($B32="",$E32="",$F32=""),$L32&lt;&gt;"لا"),0,MAX(0,MIN($F32,EOMONTH(DATE(cfg_FY,7,1),0))-$E32+1))</f>
        <v>0</v>
      </c>
      <c r="AO32" s="57" t="n">
        <f aca="false">IF(OR(OR($B32="",$E32="",$F32=""),$L32&lt;&gt;"لا"),0,MAX(0,MIN($F32,EOMONTH(DATE(cfg_FY,8,1),0))-$E32+1))</f>
        <v>0</v>
      </c>
      <c r="AP32" s="57" t="n">
        <f aca="false">IF(OR(OR($B32="",$E32="",$F32=""),$L32&lt;&gt;"لا"),0,MAX(0,MIN($F32,EOMONTH(DATE(cfg_FY,9,1),0))-$E32+1))</f>
        <v>0</v>
      </c>
      <c r="AQ32" s="57" t="n">
        <f aca="false">IF(OR(OR($B32="",$E32="",$F32=""),$L32&lt;&gt;"لا"),0,MAX(0,MIN($F32,EOMONTH(DATE(cfg_FY,10,1),0))-$E32+1))</f>
        <v>0</v>
      </c>
      <c r="AR32" s="57" t="n">
        <f aca="false">IF(OR(OR($B32="",$E32="",$F32=""),$L32&lt;&gt;"لا"),0,MAX(0,MIN($F32,EOMONTH(DATE(cfg_FY,11,1),0))-$E32+1))</f>
        <v>0</v>
      </c>
      <c r="AS32" s="57" t="n">
        <f aca="false">IF(OR(OR($B32="",$E32="",$F32=""),$L32&lt;&gt;"لا"),0,MAX(0,MIN($F32,EOMONTH(DATE(cfg_FY,12,1),0))-$E32+1))</f>
        <v>0</v>
      </c>
      <c r="AT32" s="57" t="n">
        <f aca="false">IF(OR(OR($B32="",$E32="",$F32=""),$K32&lt;&gt;"نعم",$M32="نعم"),0,MAX(0,MIN($F32,EOMONTH(DATE(cfg_FY,1,1),0))-MAX($E32,DATE(cfg_FY,1,1))+1))</f>
        <v>0</v>
      </c>
      <c r="AU32" s="57" t="n">
        <f aca="false">IF(OR(OR($B32="",$E32="",$F32=""),$K32&lt;&gt;"نعم",$M32="نعم"),0,MAX(0,MIN($F32,EOMONTH(DATE(cfg_FY,2,1),0))-MAX($E32,DATE(cfg_FY,2,1))+1))</f>
        <v>0</v>
      </c>
      <c r="AV32" s="57" t="n">
        <f aca="false">IF(OR(OR($B32="",$E32="",$F32=""),$K32&lt;&gt;"نعم",$M32="نعم"),0,MAX(0,MIN($F32,EOMONTH(DATE(cfg_FY,3,1),0))-MAX($E32,DATE(cfg_FY,3,1))+1))</f>
        <v>0</v>
      </c>
      <c r="AW32" s="57" t="n">
        <f aca="false">IF(OR(OR($B32="",$E32="",$F32=""),$K32&lt;&gt;"نعم",$M32="نعم"),0,MAX(0,MIN($F32,EOMONTH(DATE(cfg_FY,4,1),0))-MAX($E32,DATE(cfg_FY,4,1))+1))</f>
        <v>0</v>
      </c>
      <c r="AX32" s="57" t="n">
        <f aca="false">IF(OR(OR($B32="",$E32="",$F32=""),$K32&lt;&gt;"نعم",$M32="نعم"),0,MAX(0,MIN($F32,EOMONTH(DATE(cfg_FY,5,1),0))-MAX($E32,DATE(cfg_FY,5,1))+1))</f>
        <v>0</v>
      </c>
      <c r="AY32" s="57" t="n">
        <f aca="false">IF(OR(OR($B32="",$E32="",$F32=""),$K32&lt;&gt;"نعم",$M32="نعم"),0,MAX(0,MIN($F32,EOMONTH(DATE(cfg_FY,6,1),0))-MAX($E32,DATE(cfg_FY,6,1))+1))</f>
        <v>0</v>
      </c>
      <c r="AZ32" s="57" t="n">
        <f aca="false">IF(OR(OR($B32="",$E32="",$F32=""),$K32&lt;&gt;"نعم",$M32="نعم"),0,MAX(0,MIN($F32,EOMONTH(DATE(cfg_FY,7,1),0))-MAX($E32,DATE(cfg_FY,7,1))+1))</f>
        <v>0</v>
      </c>
      <c r="BA32" s="57" t="n">
        <f aca="false">IF(OR(OR($B32="",$E32="",$F32=""),$K32&lt;&gt;"نعم",$M32="نعم"),0,MAX(0,MIN($F32,EOMONTH(DATE(cfg_FY,8,1),0))-MAX($E32,DATE(cfg_FY,8,1))+1))</f>
        <v>0</v>
      </c>
      <c r="BB32" s="57" t="n">
        <f aca="false">IF(OR(OR($B32="",$E32="",$F32=""),$K32&lt;&gt;"نعم",$M32="نعم"),0,MAX(0,MIN($F32,EOMONTH(DATE(cfg_FY,9,1),0))-MAX($E32,DATE(cfg_FY,9,1))+1))</f>
        <v>0</v>
      </c>
      <c r="BC32" s="57" t="n">
        <f aca="false">IF(OR(OR($B32="",$E32="",$F32=""),$K32&lt;&gt;"نعم",$M32="نعم"),0,MAX(0,MIN($F32,EOMONTH(DATE(cfg_FY,10,1),0))-MAX($E32,DATE(cfg_FY,10,1))+1))</f>
        <v>0</v>
      </c>
      <c r="BD32" s="57" t="n">
        <f aca="false">IF(OR(OR($B32="",$E32="",$F32=""),$K32&lt;&gt;"نعم",$M32="نعم"),0,MAX(0,MIN($F32,EOMONTH(DATE(cfg_FY,11,1),0))-MAX($E32,DATE(cfg_FY,11,1))+1))</f>
        <v>0</v>
      </c>
      <c r="BE32" s="57" t="n">
        <f aca="false">IF(OR(OR($B32="",$E32="",$F32=""),$K32&lt;&gt;"نعم",$M32="نعم"),0,MAX(0,MIN($F32,EOMONTH(DATE(cfg_FY,12,1),0))-MAX($E32,DATE(cfg_FY,12,1))+1))</f>
        <v>0</v>
      </c>
    </row>
    <row r="33" customFormat="false" ht="15" hidden="false" customHeight="false" outlineLevel="0" collapsed="false">
      <c r="A33" s="100" t="str">
        <f aca="false">IF(B33="","",ROW()-5)</f>
        <v/>
      </c>
      <c r="B33" s="79"/>
      <c r="C33" s="102" t="str">
        <f aca="false">IF(B33="","",IFERROR(INDEX(الموظفون!$C$6:$C$105,MATCH(B33,الموظفون!$B$6:$B$105,0)),"✖ رقم غير موجود"))</f>
        <v/>
      </c>
      <c r="D33" s="79"/>
      <c r="E33" s="94"/>
      <c r="F33" s="94"/>
      <c r="G33" s="110" t="str">
        <f aca="false">IF(OR($B33="",$E33="",$F33=""),"",MAX(0,F33-E33+1))</f>
        <v/>
      </c>
      <c r="H33" s="111" t="str">
        <f aca="false">IF(D33="","",IFERROR(VLOOKUP(D33,cfg_LT,2,FALSE()),1))</f>
        <v/>
      </c>
      <c r="I33" s="82"/>
      <c r="J33" s="111" t="str">
        <f aca="false">IF(D33="","",IF(I33&lt;&gt;"",I33,H33))</f>
        <v/>
      </c>
      <c r="K33" s="102" t="str">
        <f aca="false">IF(D33="","",IFERROR(VLOOKUP($D33,cfg_LT,3,FALSE()),""))</f>
        <v/>
      </c>
      <c r="L33" s="102" t="str">
        <f aca="false">IF(D33="","",IFERROR(VLOOKUP($D33,cfg_LT,4,FALSE()),""))</f>
        <v/>
      </c>
      <c r="M33" s="102" t="str">
        <f aca="false">IF(D33="","",IFERROR(VLOOKUP($D33,cfg_LT,5,FALSE()),""))</f>
        <v/>
      </c>
      <c r="N33" s="101" t="n">
        <f aca="false">IF(OR(OR($B33="",$E33="",$F33=""),M33&lt;&gt;"نعم"),0,G33*J33*IFERROR(INDEX(الموظفون!$R$6:$R$105,MATCH(B33,الموظفون!$B$6:$B$105,0)),0)/cfg_DAYS_M)</f>
        <v>0</v>
      </c>
      <c r="O33" s="100" t="str">
        <f aca="false">IF(OR(OR($B33="",$E33="",$F33=""),M33&lt;&gt;"نعم"),"",IF(YEAR(E33)=cfg_FY,MONTH(E33),""))</f>
        <v/>
      </c>
      <c r="P33" s="102" t="str">
        <f aca="false">IF(B33="","",IF(OR(D33="",E33="",F33=""),"⚠ أكمل النوع والتواريخ",IF(F33&lt;E33,"✖ النهاية قبل البداية",IF(COUNTIFS($B$6:$B$505,B33,$E$6:$E$505,"&lt;="&amp;F33,$F$6:$F$505,"&gt;="&amp;E33)&gt;1,"⚠ تداخل مع سجل آخر",IF(E33&gt;cfg_VAL_DATE,"⏳ قادمة",IF(F33&lt;cfg_VAL_DATE,"✔ منتهية","✈ جارية في تاريخ التقرير"))))))</f>
        <v/>
      </c>
      <c r="Q33" s="79"/>
      <c r="R33" s="110" t="n">
        <f aca="false">IF(OR(OR($B33="",$E33="",$F33=""),L33&lt;&gt;"لا"),0,MAX(0,MIN(F33,cfg_Y_START-1)-E33+1))</f>
        <v>0</v>
      </c>
      <c r="S33" s="110" t="n">
        <f aca="false">IF(OR(OR($B33="",$E33="",$F33=""),L33&lt;&gt;"لا"),0,MAX(0,MIN(F33,cfg_VAL_DATE)-E33+1))</f>
        <v>0</v>
      </c>
      <c r="T33" s="110" t="n">
        <f aca="false">IF(OR(OR($B33="",$E33="",$F33=""),K33&lt;&gt;"نعم"),0,IF(M33="نعم",IF(AND(ISNUMBER(O33),N(O33)&lt;=cfg_VAL_M),G33,0),MAX(0,MIN(F33,cfg_VAL_DATE)-MAX(E33,cfg_Y_START)+1)))</f>
        <v>0</v>
      </c>
      <c r="V33" s="110" t="n">
        <f aca="false">IF(OR($B33="",$E33="",$F33=""),0,MAX(0,MIN($F33,EOMONTH(DATE(cfg_FY,1,1),0))-MAX($E33,DATE(cfg_FY,1,1))+1)*(1-IF($M33="نعم",0,N($J33))))</f>
        <v>0</v>
      </c>
      <c r="W33" s="110" t="n">
        <f aca="false">IF(OR($B33="",$E33="",$F33=""),0,MAX(0,MIN($F33,EOMONTH(DATE(cfg_FY,2,1),0))-MAX($E33,DATE(cfg_FY,2,1))+1)*(1-IF($M33="نعم",0,N($J33))))</f>
        <v>0</v>
      </c>
      <c r="X33" s="110" t="n">
        <f aca="false">IF(OR($B33="",$E33="",$F33=""),0,MAX(0,MIN($F33,EOMONTH(DATE(cfg_FY,3,1),0))-MAX($E33,DATE(cfg_FY,3,1))+1)*(1-IF($M33="نعم",0,N($J33))))</f>
        <v>0</v>
      </c>
      <c r="Y33" s="110" t="n">
        <f aca="false">IF(OR($B33="",$E33="",$F33=""),0,MAX(0,MIN($F33,EOMONTH(DATE(cfg_FY,4,1),0))-MAX($E33,DATE(cfg_FY,4,1))+1)*(1-IF($M33="نعم",0,N($J33))))</f>
        <v>0</v>
      </c>
      <c r="Z33" s="110" t="n">
        <f aca="false">IF(OR($B33="",$E33="",$F33=""),0,MAX(0,MIN($F33,EOMONTH(DATE(cfg_FY,5,1),0))-MAX($E33,DATE(cfg_FY,5,1))+1)*(1-IF($M33="نعم",0,N($J33))))</f>
        <v>0</v>
      </c>
      <c r="AA33" s="110" t="n">
        <f aca="false">IF(OR($B33="",$E33="",$F33=""),0,MAX(0,MIN($F33,EOMONTH(DATE(cfg_FY,6,1),0))-MAX($E33,DATE(cfg_FY,6,1))+1)*(1-IF($M33="نعم",0,N($J33))))</f>
        <v>0</v>
      </c>
      <c r="AB33" s="110" t="n">
        <f aca="false">IF(OR($B33="",$E33="",$F33=""),0,MAX(0,MIN($F33,EOMONTH(DATE(cfg_FY,7,1),0))-MAX($E33,DATE(cfg_FY,7,1))+1)*(1-IF($M33="نعم",0,N($J33))))</f>
        <v>0</v>
      </c>
      <c r="AC33" s="110" t="n">
        <f aca="false">IF(OR($B33="",$E33="",$F33=""),0,MAX(0,MIN($F33,EOMONTH(DATE(cfg_FY,8,1),0))-MAX($E33,DATE(cfg_FY,8,1))+1)*(1-IF($M33="نعم",0,N($J33))))</f>
        <v>0</v>
      </c>
      <c r="AD33" s="110" t="n">
        <f aca="false">IF(OR($B33="",$E33="",$F33=""),0,MAX(0,MIN($F33,EOMONTH(DATE(cfg_FY,9,1),0))-MAX($E33,DATE(cfg_FY,9,1))+1)*(1-IF($M33="نعم",0,N($J33))))</f>
        <v>0</v>
      </c>
      <c r="AE33" s="110" t="n">
        <f aca="false">IF(OR($B33="",$E33="",$F33=""),0,MAX(0,MIN($F33,EOMONTH(DATE(cfg_FY,10,1),0))-MAX($E33,DATE(cfg_FY,10,1))+1)*(1-IF($M33="نعم",0,N($J33))))</f>
        <v>0</v>
      </c>
      <c r="AF33" s="110" t="n">
        <f aca="false">IF(OR($B33="",$E33="",$F33=""),0,MAX(0,MIN($F33,EOMONTH(DATE(cfg_FY,11,1),0))-MAX($E33,DATE(cfg_FY,11,1))+1)*(1-IF($M33="نعم",0,N($J33))))</f>
        <v>0</v>
      </c>
      <c r="AG33" s="110" t="n">
        <f aca="false">IF(OR($B33="",$E33="",$F33=""),0,MAX(0,MIN($F33,EOMONTH(DATE(cfg_FY,12,1),0))-MAX($E33,DATE(cfg_FY,12,1))+1)*(1-IF($M33="نعم",0,N($J33))))</f>
        <v>0</v>
      </c>
      <c r="AH33" s="110" t="n">
        <f aca="false">IF(OR(OR($B33="",$E33="",$F33=""),$L33&lt;&gt;"لا"),0,MAX(0,MIN($F33,EOMONTH(DATE(cfg_FY,1,1),0))-$E33+1))</f>
        <v>0</v>
      </c>
      <c r="AI33" s="110" t="n">
        <f aca="false">IF(OR(OR($B33="",$E33="",$F33=""),$L33&lt;&gt;"لا"),0,MAX(0,MIN($F33,EOMONTH(DATE(cfg_FY,2,1),0))-$E33+1))</f>
        <v>0</v>
      </c>
      <c r="AJ33" s="110" t="n">
        <f aca="false">IF(OR(OR($B33="",$E33="",$F33=""),$L33&lt;&gt;"لا"),0,MAX(0,MIN($F33,EOMONTH(DATE(cfg_FY,3,1),0))-$E33+1))</f>
        <v>0</v>
      </c>
      <c r="AK33" s="110" t="n">
        <f aca="false">IF(OR(OR($B33="",$E33="",$F33=""),$L33&lt;&gt;"لا"),0,MAX(0,MIN($F33,EOMONTH(DATE(cfg_FY,4,1),0))-$E33+1))</f>
        <v>0</v>
      </c>
      <c r="AL33" s="110" t="n">
        <f aca="false">IF(OR(OR($B33="",$E33="",$F33=""),$L33&lt;&gt;"لا"),0,MAX(0,MIN($F33,EOMONTH(DATE(cfg_FY,5,1),0))-$E33+1))</f>
        <v>0</v>
      </c>
      <c r="AM33" s="110" t="n">
        <f aca="false">IF(OR(OR($B33="",$E33="",$F33=""),$L33&lt;&gt;"لا"),0,MAX(0,MIN($F33,EOMONTH(DATE(cfg_FY,6,1),0))-$E33+1))</f>
        <v>0</v>
      </c>
      <c r="AN33" s="110" t="n">
        <f aca="false">IF(OR(OR($B33="",$E33="",$F33=""),$L33&lt;&gt;"لا"),0,MAX(0,MIN($F33,EOMONTH(DATE(cfg_FY,7,1),0))-$E33+1))</f>
        <v>0</v>
      </c>
      <c r="AO33" s="110" t="n">
        <f aca="false">IF(OR(OR($B33="",$E33="",$F33=""),$L33&lt;&gt;"لا"),0,MAX(0,MIN($F33,EOMONTH(DATE(cfg_FY,8,1),0))-$E33+1))</f>
        <v>0</v>
      </c>
      <c r="AP33" s="110" t="n">
        <f aca="false">IF(OR(OR($B33="",$E33="",$F33=""),$L33&lt;&gt;"لا"),0,MAX(0,MIN($F33,EOMONTH(DATE(cfg_FY,9,1),0))-$E33+1))</f>
        <v>0</v>
      </c>
      <c r="AQ33" s="110" t="n">
        <f aca="false">IF(OR(OR($B33="",$E33="",$F33=""),$L33&lt;&gt;"لا"),0,MAX(0,MIN($F33,EOMONTH(DATE(cfg_FY,10,1),0))-$E33+1))</f>
        <v>0</v>
      </c>
      <c r="AR33" s="110" t="n">
        <f aca="false">IF(OR(OR($B33="",$E33="",$F33=""),$L33&lt;&gt;"لا"),0,MAX(0,MIN($F33,EOMONTH(DATE(cfg_FY,11,1),0))-$E33+1))</f>
        <v>0</v>
      </c>
      <c r="AS33" s="110" t="n">
        <f aca="false">IF(OR(OR($B33="",$E33="",$F33=""),$L33&lt;&gt;"لا"),0,MAX(0,MIN($F33,EOMONTH(DATE(cfg_FY,12,1),0))-$E33+1))</f>
        <v>0</v>
      </c>
      <c r="AT33" s="110" t="n">
        <f aca="false">IF(OR(OR($B33="",$E33="",$F33=""),$K33&lt;&gt;"نعم",$M33="نعم"),0,MAX(0,MIN($F33,EOMONTH(DATE(cfg_FY,1,1),0))-MAX($E33,DATE(cfg_FY,1,1))+1))</f>
        <v>0</v>
      </c>
      <c r="AU33" s="110" t="n">
        <f aca="false">IF(OR(OR($B33="",$E33="",$F33=""),$K33&lt;&gt;"نعم",$M33="نعم"),0,MAX(0,MIN($F33,EOMONTH(DATE(cfg_FY,2,1),0))-MAX($E33,DATE(cfg_FY,2,1))+1))</f>
        <v>0</v>
      </c>
      <c r="AV33" s="110" t="n">
        <f aca="false">IF(OR(OR($B33="",$E33="",$F33=""),$K33&lt;&gt;"نعم",$M33="نعم"),0,MAX(0,MIN($F33,EOMONTH(DATE(cfg_FY,3,1),0))-MAX($E33,DATE(cfg_FY,3,1))+1))</f>
        <v>0</v>
      </c>
      <c r="AW33" s="110" t="n">
        <f aca="false">IF(OR(OR($B33="",$E33="",$F33=""),$K33&lt;&gt;"نعم",$M33="نعم"),0,MAX(0,MIN($F33,EOMONTH(DATE(cfg_FY,4,1),0))-MAX($E33,DATE(cfg_FY,4,1))+1))</f>
        <v>0</v>
      </c>
      <c r="AX33" s="110" t="n">
        <f aca="false">IF(OR(OR($B33="",$E33="",$F33=""),$K33&lt;&gt;"نعم",$M33="نعم"),0,MAX(0,MIN($F33,EOMONTH(DATE(cfg_FY,5,1),0))-MAX($E33,DATE(cfg_FY,5,1))+1))</f>
        <v>0</v>
      </c>
      <c r="AY33" s="110" t="n">
        <f aca="false">IF(OR(OR($B33="",$E33="",$F33=""),$K33&lt;&gt;"نعم",$M33="نعم"),0,MAX(0,MIN($F33,EOMONTH(DATE(cfg_FY,6,1),0))-MAX($E33,DATE(cfg_FY,6,1))+1))</f>
        <v>0</v>
      </c>
      <c r="AZ33" s="110" t="n">
        <f aca="false">IF(OR(OR($B33="",$E33="",$F33=""),$K33&lt;&gt;"نعم",$M33="نعم"),0,MAX(0,MIN($F33,EOMONTH(DATE(cfg_FY,7,1),0))-MAX($E33,DATE(cfg_FY,7,1))+1))</f>
        <v>0</v>
      </c>
      <c r="BA33" s="110" t="n">
        <f aca="false">IF(OR(OR($B33="",$E33="",$F33=""),$K33&lt;&gt;"نعم",$M33="نعم"),0,MAX(0,MIN($F33,EOMONTH(DATE(cfg_FY,8,1),0))-MAX($E33,DATE(cfg_FY,8,1))+1))</f>
        <v>0</v>
      </c>
      <c r="BB33" s="110" t="n">
        <f aca="false">IF(OR(OR($B33="",$E33="",$F33=""),$K33&lt;&gt;"نعم",$M33="نعم"),0,MAX(0,MIN($F33,EOMONTH(DATE(cfg_FY,9,1),0))-MAX($E33,DATE(cfg_FY,9,1))+1))</f>
        <v>0</v>
      </c>
      <c r="BC33" s="110" t="n">
        <f aca="false">IF(OR(OR($B33="",$E33="",$F33=""),$K33&lt;&gt;"نعم",$M33="نعم"),0,MAX(0,MIN($F33,EOMONTH(DATE(cfg_FY,10,1),0))-MAX($E33,DATE(cfg_FY,10,1))+1))</f>
        <v>0</v>
      </c>
      <c r="BD33" s="110" t="n">
        <f aca="false">IF(OR(OR($B33="",$E33="",$F33=""),$K33&lt;&gt;"نعم",$M33="نعم"),0,MAX(0,MIN($F33,EOMONTH(DATE(cfg_FY,11,1),0))-MAX($E33,DATE(cfg_FY,11,1))+1))</f>
        <v>0</v>
      </c>
      <c r="BE33" s="110" t="n">
        <f aca="false">IF(OR(OR($B33="",$E33="",$F33=""),$K33&lt;&gt;"نعم",$M33="نعم"),0,MAX(0,MIN($F33,EOMONTH(DATE(cfg_FY,12,1),0))-MAX($E33,DATE(cfg_FY,12,1))+1))</f>
        <v>0</v>
      </c>
    </row>
    <row r="34" customFormat="false" ht="15" hidden="false" customHeight="false" outlineLevel="0" collapsed="false">
      <c r="A34" s="93" t="str">
        <f aca="false">IF(B34="","",ROW()-5)</f>
        <v/>
      </c>
      <c r="B34" s="79"/>
      <c r="C34" s="80" t="str">
        <f aca="false">IF(B34="","",IFERROR(INDEX(الموظفون!$C$6:$C$105,MATCH(B34,الموظفون!$B$6:$B$105,0)),"✖ رقم غير موجود"))</f>
        <v/>
      </c>
      <c r="D34" s="79"/>
      <c r="E34" s="94"/>
      <c r="F34" s="94"/>
      <c r="G34" s="57" t="str">
        <f aca="false">IF(OR($B34="",$E34="",$F34=""),"",MAX(0,F34-E34+1))</f>
        <v/>
      </c>
      <c r="H34" s="58" t="str">
        <f aca="false">IF(D34="","",IFERROR(VLOOKUP(D34,cfg_LT,2,FALSE()),1))</f>
        <v/>
      </c>
      <c r="I34" s="82"/>
      <c r="J34" s="58" t="str">
        <f aca="false">IF(D34="","",IF(I34&lt;&gt;"",I34,H34))</f>
        <v/>
      </c>
      <c r="K34" s="80" t="str">
        <f aca="false">IF(D34="","",IFERROR(VLOOKUP($D34,cfg_LT,3,FALSE()),""))</f>
        <v/>
      </c>
      <c r="L34" s="80" t="str">
        <f aca="false">IF(D34="","",IFERROR(VLOOKUP($D34,cfg_LT,4,FALSE()),""))</f>
        <v/>
      </c>
      <c r="M34" s="80" t="str">
        <f aca="false">IF(D34="","",IFERROR(VLOOKUP($D34,cfg_LT,5,FALSE()),""))</f>
        <v/>
      </c>
      <c r="N34" s="97" t="n">
        <f aca="false">IF(OR(OR($B34="",$E34="",$F34=""),M34&lt;&gt;"نعم"),0,G34*J34*IFERROR(INDEX(الموظفون!$R$6:$R$105,MATCH(B34,الموظفون!$B$6:$B$105,0)),0)/cfg_DAYS_M)</f>
        <v>0</v>
      </c>
      <c r="O34" s="93" t="str">
        <f aca="false">IF(OR(OR($B34="",$E34="",$F34=""),M34&lt;&gt;"نعم"),"",IF(YEAR(E34)=cfg_FY,MONTH(E34),""))</f>
        <v/>
      </c>
      <c r="P34" s="80" t="str">
        <f aca="false">IF(B34="","",IF(OR(D34="",E34="",F34=""),"⚠ أكمل النوع والتواريخ",IF(F34&lt;E34,"✖ النهاية قبل البداية",IF(COUNTIFS($B$6:$B$505,B34,$E$6:$E$505,"&lt;="&amp;F34,$F$6:$F$505,"&gt;="&amp;E34)&gt;1,"⚠ تداخل مع سجل آخر",IF(E34&gt;cfg_VAL_DATE,"⏳ قادمة",IF(F34&lt;cfg_VAL_DATE,"✔ منتهية","✈ جارية في تاريخ التقرير"))))))</f>
        <v/>
      </c>
      <c r="Q34" s="79"/>
      <c r="R34" s="57" t="n">
        <f aca="false">IF(OR(OR($B34="",$E34="",$F34=""),L34&lt;&gt;"لا"),0,MAX(0,MIN(F34,cfg_Y_START-1)-E34+1))</f>
        <v>0</v>
      </c>
      <c r="S34" s="57" t="n">
        <f aca="false">IF(OR(OR($B34="",$E34="",$F34=""),L34&lt;&gt;"لا"),0,MAX(0,MIN(F34,cfg_VAL_DATE)-E34+1))</f>
        <v>0</v>
      </c>
      <c r="T34" s="57" t="n">
        <f aca="false">IF(OR(OR($B34="",$E34="",$F34=""),K34&lt;&gt;"نعم"),0,IF(M34="نعم",IF(AND(ISNUMBER(O34),N(O34)&lt;=cfg_VAL_M),G34,0),MAX(0,MIN(F34,cfg_VAL_DATE)-MAX(E34,cfg_Y_START)+1)))</f>
        <v>0</v>
      </c>
      <c r="V34" s="57" t="n">
        <f aca="false">IF(OR($B34="",$E34="",$F34=""),0,MAX(0,MIN($F34,EOMONTH(DATE(cfg_FY,1,1),0))-MAX($E34,DATE(cfg_FY,1,1))+1)*(1-IF($M34="نعم",0,N($J34))))</f>
        <v>0</v>
      </c>
      <c r="W34" s="57" t="n">
        <f aca="false">IF(OR($B34="",$E34="",$F34=""),0,MAX(0,MIN($F34,EOMONTH(DATE(cfg_FY,2,1),0))-MAX($E34,DATE(cfg_FY,2,1))+1)*(1-IF($M34="نعم",0,N($J34))))</f>
        <v>0</v>
      </c>
      <c r="X34" s="57" t="n">
        <f aca="false">IF(OR($B34="",$E34="",$F34=""),0,MAX(0,MIN($F34,EOMONTH(DATE(cfg_FY,3,1),0))-MAX($E34,DATE(cfg_FY,3,1))+1)*(1-IF($M34="نعم",0,N($J34))))</f>
        <v>0</v>
      </c>
      <c r="Y34" s="57" t="n">
        <f aca="false">IF(OR($B34="",$E34="",$F34=""),0,MAX(0,MIN($F34,EOMONTH(DATE(cfg_FY,4,1),0))-MAX($E34,DATE(cfg_FY,4,1))+1)*(1-IF($M34="نعم",0,N($J34))))</f>
        <v>0</v>
      </c>
      <c r="Z34" s="57" t="n">
        <f aca="false">IF(OR($B34="",$E34="",$F34=""),0,MAX(0,MIN($F34,EOMONTH(DATE(cfg_FY,5,1),0))-MAX($E34,DATE(cfg_FY,5,1))+1)*(1-IF($M34="نعم",0,N($J34))))</f>
        <v>0</v>
      </c>
      <c r="AA34" s="57" t="n">
        <f aca="false">IF(OR($B34="",$E34="",$F34=""),0,MAX(0,MIN($F34,EOMONTH(DATE(cfg_FY,6,1),0))-MAX($E34,DATE(cfg_FY,6,1))+1)*(1-IF($M34="نعم",0,N($J34))))</f>
        <v>0</v>
      </c>
      <c r="AB34" s="57" t="n">
        <f aca="false">IF(OR($B34="",$E34="",$F34=""),0,MAX(0,MIN($F34,EOMONTH(DATE(cfg_FY,7,1),0))-MAX($E34,DATE(cfg_FY,7,1))+1)*(1-IF($M34="نعم",0,N($J34))))</f>
        <v>0</v>
      </c>
      <c r="AC34" s="57" t="n">
        <f aca="false">IF(OR($B34="",$E34="",$F34=""),0,MAX(0,MIN($F34,EOMONTH(DATE(cfg_FY,8,1),0))-MAX($E34,DATE(cfg_FY,8,1))+1)*(1-IF($M34="نعم",0,N($J34))))</f>
        <v>0</v>
      </c>
      <c r="AD34" s="57" t="n">
        <f aca="false">IF(OR($B34="",$E34="",$F34=""),0,MAX(0,MIN($F34,EOMONTH(DATE(cfg_FY,9,1),0))-MAX($E34,DATE(cfg_FY,9,1))+1)*(1-IF($M34="نعم",0,N($J34))))</f>
        <v>0</v>
      </c>
      <c r="AE34" s="57" t="n">
        <f aca="false">IF(OR($B34="",$E34="",$F34=""),0,MAX(0,MIN($F34,EOMONTH(DATE(cfg_FY,10,1),0))-MAX($E34,DATE(cfg_FY,10,1))+1)*(1-IF($M34="نعم",0,N($J34))))</f>
        <v>0</v>
      </c>
      <c r="AF34" s="57" t="n">
        <f aca="false">IF(OR($B34="",$E34="",$F34=""),0,MAX(0,MIN($F34,EOMONTH(DATE(cfg_FY,11,1),0))-MAX($E34,DATE(cfg_FY,11,1))+1)*(1-IF($M34="نعم",0,N($J34))))</f>
        <v>0</v>
      </c>
      <c r="AG34" s="57" t="n">
        <f aca="false">IF(OR($B34="",$E34="",$F34=""),0,MAX(0,MIN($F34,EOMONTH(DATE(cfg_FY,12,1),0))-MAX($E34,DATE(cfg_FY,12,1))+1)*(1-IF($M34="نعم",0,N($J34))))</f>
        <v>0</v>
      </c>
      <c r="AH34" s="57" t="n">
        <f aca="false">IF(OR(OR($B34="",$E34="",$F34=""),$L34&lt;&gt;"لا"),0,MAX(0,MIN($F34,EOMONTH(DATE(cfg_FY,1,1),0))-$E34+1))</f>
        <v>0</v>
      </c>
      <c r="AI34" s="57" t="n">
        <f aca="false">IF(OR(OR($B34="",$E34="",$F34=""),$L34&lt;&gt;"لا"),0,MAX(0,MIN($F34,EOMONTH(DATE(cfg_FY,2,1),0))-$E34+1))</f>
        <v>0</v>
      </c>
      <c r="AJ34" s="57" t="n">
        <f aca="false">IF(OR(OR($B34="",$E34="",$F34=""),$L34&lt;&gt;"لا"),0,MAX(0,MIN($F34,EOMONTH(DATE(cfg_FY,3,1),0))-$E34+1))</f>
        <v>0</v>
      </c>
      <c r="AK34" s="57" t="n">
        <f aca="false">IF(OR(OR($B34="",$E34="",$F34=""),$L34&lt;&gt;"لا"),0,MAX(0,MIN($F34,EOMONTH(DATE(cfg_FY,4,1),0))-$E34+1))</f>
        <v>0</v>
      </c>
      <c r="AL34" s="57" t="n">
        <f aca="false">IF(OR(OR($B34="",$E34="",$F34=""),$L34&lt;&gt;"لا"),0,MAX(0,MIN($F34,EOMONTH(DATE(cfg_FY,5,1),0))-$E34+1))</f>
        <v>0</v>
      </c>
      <c r="AM34" s="57" t="n">
        <f aca="false">IF(OR(OR($B34="",$E34="",$F34=""),$L34&lt;&gt;"لا"),0,MAX(0,MIN($F34,EOMONTH(DATE(cfg_FY,6,1),0))-$E34+1))</f>
        <v>0</v>
      </c>
      <c r="AN34" s="57" t="n">
        <f aca="false">IF(OR(OR($B34="",$E34="",$F34=""),$L34&lt;&gt;"لا"),0,MAX(0,MIN($F34,EOMONTH(DATE(cfg_FY,7,1),0))-$E34+1))</f>
        <v>0</v>
      </c>
      <c r="AO34" s="57" t="n">
        <f aca="false">IF(OR(OR($B34="",$E34="",$F34=""),$L34&lt;&gt;"لا"),0,MAX(0,MIN($F34,EOMONTH(DATE(cfg_FY,8,1),0))-$E34+1))</f>
        <v>0</v>
      </c>
      <c r="AP34" s="57" t="n">
        <f aca="false">IF(OR(OR($B34="",$E34="",$F34=""),$L34&lt;&gt;"لا"),0,MAX(0,MIN($F34,EOMONTH(DATE(cfg_FY,9,1),0))-$E34+1))</f>
        <v>0</v>
      </c>
      <c r="AQ34" s="57" t="n">
        <f aca="false">IF(OR(OR($B34="",$E34="",$F34=""),$L34&lt;&gt;"لا"),0,MAX(0,MIN($F34,EOMONTH(DATE(cfg_FY,10,1),0))-$E34+1))</f>
        <v>0</v>
      </c>
      <c r="AR34" s="57" t="n">
        <f aca="false">IF(OR(OR($B34="",$E34="",$F34=""),$L34&lt;&gt;"لا"),0,MAX(0,MIN($F34,EOMONTH(DATE(cfg_FY,11,1),0))-$E34+1))</f>
        <v>0</v>
      </c>
      <c r="AS34" s="57" t="n">
        <f aca="false">IF(OR(OR($B34="",$E34="",$F34=""),$L34&lt;&gt;"لا"),0,MAX(0,MIN($F34,EOMONTH(DATE(cfg_FY,12,1),0))-$E34+1))</f>
        <v>0</v>
      </c>
      <c r="AT34" s="57" t="n">
        <f aca="false">IF(OR(OR($B34="",$E34="",$F34=""),$K34&lt;&gt;"نعم",$M34="نعم"),0,MAX(0,MIN($F34,EOMONTH(DATE(cfg_FY,1,1),0))-MAX($E34,DATE(cfg_FY,1,1))+1))</f>
        <v>0</v>
      </c>
      <c r="AU34" s="57" t="n">
        <f aca="false">IF(OR(OR($B34="",$E34="",$F34=""),$K34&lt;&gt;"نعم",$M34="نعم"),0,MAX(0,MIN($F34,EOMONTH(DATE(cfg_FY,2,1),0))-MAX($E34,DATE(cfg_FY,2,1))+1))</f>
        <v>0</v>
      </c>
      <c r="AV34" s="57" t="n">
        <f aca="false">IF(OR(OR($B34="",$E34="",$F34=""),$K34&lt;&gt;"نعم",$M34="نعم"),0,MAX(0,MIN($F34,EOMONTH(DATE(cfg_FY,3,1),0))-MAX($E34,DATE(cfg_FY,3,1))+1))</f>
        <v>0</v>
      </c>
      <c r="AW34" s="57" t="n">
        <f aca="false">IF(OR(OR($B34="",$E34="",$F34=""),$K34&lt;&gt;"نعم",$M34="نعم"),0,MAX(0,MIN($F34,EOMONTH(DATE(cfg_FY,4,1),0))-MAX($E34,DATE(cfg_FY,4,1))+1))</f>
        <v>0</v>
      </c>
      <c r="AX34" s="57" t="n">
        <f aca="false">IF(OR(OR($B34="",$E34="",$F34=""),$K34&lt;&gt;"نعم",$M34="نعم"),0,MAX(0,MIN($F34,EOMONTH(DATE(cfg_FY,5,1),0))-MAX($E34,DATE(cfg_FY,5,1))+1))</f>
        <v>0</v>
      </c>
      <c r="AY34" s="57" t="n">
        <f aca="false">IF(OR(OR($B34="",$E34="",$F34=""),$K34&lt;&gt;"نعم",$M34="نعم"),0,MAX(0,MIN($F34,EOMONTH(DATE(cfg_FY,6,1),0))-MAX($E34,DATE(cfg_FY,6,1))+1))</f>
        <v>0</v>
      </c>
      <c r="AZ34" s="57" t="n">
        <f aca="false">IF(OR(OR($B34="",$E34="",$F34=""),$K34&lt;&gt;"نعم",$M34="نعم"),0,MAX(0,MIN($F34,EOMONTH(DATE(cfg_FY,7,1),0))-MAX($E34,DATE(cfg_FY,7,1))+1))</f>
        <v>0</v>
      </c>
      <c r="BA34" s="57" t="n">
        <f aca="false">IF(OR(OR($B34="",$E34="",$F34=""),$K34&lt;&gt;"نعم",$M34="نعم"),0,MAX(0,MIN($F34,EOMONTH(DATE(cfg_FY,8,1),0))-MAX($E34,DATE(cfg_FY,8,1))+1))</f>
        <v>0</v>
      </c>
      <c r="BB34" s="57" t="n">
        <f aca="false">IF(OR(OR($B34="",$E34="",$F34=""),$K34&lt;&gt;"نعم",$M34="نعم"),0,MAX(0,MIN($F34,EOMONTH(DATE(cfg_FY,9,1),0))-MAX($E34,DATE(cfg_FY,9,1))+1))</f>
        <v>0</v>
      </c>
      <c r="BC34" s="57" t="n">
        <f aca="false">IF(OR(OR($B34="",$E34="",$F34=""),$K34&lt;&gt;"نعم",$M34="نعم"),0,MAX(0,MIN($F34,EOMONTH(DATE(cfg_FY,10,1),0))-MAX($E34,DATE(cfg_FY,10,1))+1))</f>
        <v>0</v>
      </c>
      <c r="BD34" s="57" t="n">
        <f aca="false">IF(OR(OR($B34="",$E34="",$F34=""),$K34&lt;&gt;"نعم",$M34="نعم"),0,MAX(0,MIN($F34,EOMONTH(DATE(cfg_FY,11,1),0))-MAX($E34,DATE(cfg_FY,11,1))+1))</f>
        <v>0</v>
      </c>
      <c r="BE34" s="57" t="n">
        <f aca="false">IF(OR(OR($B34="",$E34="",$F34=""),$K34&lt;&gt;"نعم",$M34="نعم"),0,MAX(0,MIN($F34,EOMONTH(DATE(cfg_FY,12,1),0))-MAX($E34,DATE(cfg_FY,12,1))+1))</f>
        <v>0</v>
      </c>
    </row>
    <row r="35" customFormat="false" ht="15" hidden="false" customHeight="false" outlineLevel="0" collapsed="false">
      <c r="A35" s="100" t="str">
        <f aca="false">IF(B35="","",ROW()-5)</f>
        <v/>
      </c>
      <c r="B35" s="79"/>
      <c r="C35" s="102" t="str">
        <f aca="false">IF(B35="","",IFERROR(INDEX(الموظفون!$C$6:$C$105,MATCH(B35,الموظفون!$B$6:$B$105,0)),"✖ رقم غير موجود"))</f>
        <v/>
      </c>
      <c r="D35" s="79"/>
      <c r="E35" s="94"/>
      <c r="F35" s="94"/>
      <c r="G35" s="110" t="str">
        <f aca="false">IF(OR($B35="",$E35="",$F35=""),"",MAX(0,F35-E35+1))</f>
        <v/>
      </c>
      <c r="H35" s="111" t="str">
        <f aca="false">IF(D35="","",IFERROR(VLOOKUP(D35,cfg_LT,2,FALSE()),1))</f>
        <v/>
      </c>
      <c r="I35" s="82"/>
      <c r="J35" s="111" t="str">
        <f aca="false">IF(D35="","",IF(I35&lt;&gt;"",I35,H35))</f>
        <v/>
      </c>
      <c r="K35" s="102" t="str">
        <f aca="false">IF(D35="","",IFERROR(VLOOKUP($D35,cfg_LT,3,FALSE()),""))</f>
        <v/>
      </c>
      <c r="L35" s="102" t="str">
        <f aca="false">IF(D35="","",IFERROR(VLOOKUP($D35,cfg_LT,4,FALSE()),""))</f>
        <v/>
      </c>
      <c r="M35" s="102" t="str">
        <f aca="false">IF(D35="","",IFERROR(VLOOKUP($D35,cfg_LT,5,FALSE()),""))</f>
        <v/>
      </c>
      <c r="N35" s="101" t="n">
        <f aca="false">IF(OR(OR($B35="",$E35="",$F35=""),M35&lt;&gt;"نعم"),0,G35*J35*IFERROR(INDEX(الموظفون!$R$6:$R$105,MATCH(B35,الموظفون!$B$6:$B$105,0)),0)/cfg_DAYS_M)</f>
        <v>0</v>
      </c>
      <c r="O35" s="100" t="str">
        <f aca="false">IF(OR(OR($B35="",$E35="",$F35=""),M35&lt;&gt;"نعم"),"",IF(YEAR(E35)=cfg_FY,MONTH(E35),""))</f>
        <v/>
      </c>
      <c r="P35" s="102" t="str">
        <f aca="false">IF(B35="","",IF(OR(D35="",E35="",F35=""),"⚠ أكمل النوع والتواريخ",IF(F35&lt;E35,"✖ النهاية قبل البداية",IF(COUNTIFS($B$6:$B$505,B35,$E$6:$E$505,"&lt;="&amp;F35,$F$6:$F$505,"&gt;="&amp;E35)&gt;1,"⚠ تداخل مع سجل آخر",IF(E35&gt;cfg_VAL_DATE,"⏳ قادمة",IF(F35&lt;cfg_VAL_DATE,"✔ منتهية","✈ جارية في تاريخ التقرير"))))))</f>
        <v/>
      </c>
      <c r="Q35" s="79"/>
      <c r="R35" s="110" t="n">
        <f aca="false">IF(OR(OR($B35="",$E35="",$F35=""),L35&lt;&gt;"لا"),0,MAX(0,MIN(F35,cfg_Y_START-1)-E35+1))</f>
        <v>0</v>
      </c>
      <c r="S35" s="110" t="n">
        <f aca="false">IF(OR(OR($B35="",$E35="",$F35=""),L35&lt;&gt;"لا"),0,MAX(0,MIN(F35,cfg_VAL_DATE)-E35+1))</f>
        <v>0</v>
      </c>
      <c r="T35" s="110" t="n">
        <f aca="false">IF(OR(OR($B35="",$E35="",$F35=""),K35&lt;&gt;"نعم"),0,IF(M35="نعم",IF(AND(ISNUMBER(O35),N(O35)&lt;=cfg_VAL_M),G35,0),MAX(0,MIN(F35,cfg_VAL_DATE)-MAX(E35,cfg_Y_START)+1)))</f>
        <v>0</v>
      </c>
      <c r="V35" s="110" t="n">
        <f aca="false">IF(OR($B35="",$E35="",$F35=""),0,MAX(0,MIN($F35,EOMONTH(DATE(cfg_FY,1,1),0))-MAX($E35,DATE(cfg_FY,1,1))+1)*(1-IF($M35="نعم",0,N($J35))))</f>
        <v>0</v>
      </c>
      <c r="W35" s="110" t="n">
        <f aca="false">IF(OR($B35="",$E35="",$F35=""),0,MAX(0,MIN($F35,EOMONTH(DATE(cfg_FY,2,1),0))-MAX($E35,DATE(cfg_FY,2,1))+1)*(1-IF($M35="نعم",0,N($J35))))</f>
        <v>0</v>
      </c>
      <c r="X35" s="110" t="n">
        <f aca="false">IF(OR($B35="",$E35="",$F35=""),0,MAX(0,MIN($F35,EOMONTH(DATE(cfg_FY,3,1),0))-MAX($E35,DATE(cfg_FY,3,1))+1)*(1-IF($M35="نعم",0,N($J35))))</f>
        <v>0</v>
      </c>
      <c r="Y35" s="110" t="n">
        <f aca="false">IF(OR($B35="",$E35="",$F35=""),0,MAX(0,MIN($F35,EOMONTH(DATE(cfg_FY,4,1),0))-MAX($E35,DATE(cfg_FY,4,1))+1)*(1-IF($M35="نعم",0,N($J35))))</f>
        <v>0</v>
      </c>
      <c r="Z35" s="110" t="n">
        <f aca="false">IF(OR($B35="",$E35="",$F35=""),0,MAX(0,MIN($F35,EOMONTH(DATE(cfg_FY,5,1),0))-MAX($E35,DATE(cfg_FY,5,1))+1)*(1-IF($M35="نعم",0,N($J35))))</f>
        <v>0</v>
      </c>
      <c r="AA35" s="110" t="n">
        <f aca="false">IF(OR($B35="",$E35="",$F35=""),0,MAX(0,MIN($F35,EOMONTH(DATE(cfg_FY,6,1),0))-MAX($E35,DATE(cfg_FY,6,1))+1)*(1-IF($M35="نعم",0,N($J35))))</f>
        <v>0</v>
      </c>
      <c r="AB35" s="110" t="n">
        <f aca="false">IF(OR($B35="",$E35="",$F35=""),0,MAX(0,MIN($F35,EOMONTH(DATE(cfg_FY,7,1),0))-MAX($E35,DATE(cfg_FY,7,1))+1)*(1-IF($M35="نعم",0,N($J35))))</f>
        <v>0</v>
      </c>
      <c r="AC35" s="110" t="n">
        <f aca="false">IF(OR($B35="",$E35="",$F35=""),0,MAX(0,MIN($F35,EOMONTH(DATE(cfg_FY,8,1),0))-MAX($E35,DATE(cfg_FY,8,1))+1)*(1-IF($M35="نعم",0,N($J35))))</f>
        <v>0</v>
      </c>
      <c r="AD35" s="110" t="n">
        <f aca="false">IF(OR($B35="",$E35="",$F35=""),0,MAX(0,MIN($F35,EOMONTH(DATE(cfg_FY,9,1),0))-MAX($E35,DATE(cfg_FY,9,1))+1)*(1-IF($M35="نعم",0,N($J35))))</f>
        <v>0</v>
      </c>
      <c r="AE35" s="110" t="n">
        <f aca="false">IF(OR($B35="",$E35="",$F35=""),0,MAX(0,MIN($F35,EOMONTH(DATE(cfg_FY,10,1),0))-MAX($E35,DATE(cfg_FY,10,1))+1)*(1-IF($M35="نعم",0,N($J35))))</f>
        <v>0</v>
      </c>
      <c r="AF35" s="110" t="n">
        <f aca="false">IF(OR($B35="",$E35="",$F35=""),0,MAX(0,MIN($F35,EOMONTH(DATE(cfg_FY,11,1),0))-MAX($E35,DATE(cfg_FY,11,1))+1)*(1-IF($M35="نعم",0,N($J35))))</f>
        <v>0</v>
      </c>
      <c r="AG35" s="110" t="n">
        <f aca="false">IF(OR($B35="",$E35="",$F35=""),0,MAX(0,MIN($F35,EOMONTH(DATE(cfg_FY,12,1),0))-MAX($E35,DATE(cfg_FY,12,1))+1)*(1-IF($M35="نعم",0,N($J35))))</f>
        <v>0</v>
      </c>
      <c r="AH35" s="110" t="n">
        <f aca="false">IF(OR(OR($B35="",$E35="",$F35=""),$L35&lt;&gt;"لا"),0,MAX(0,MIN($F35,EOMONTH(DATE(cfg_FY,1,1),0))-$E35+1))</f>
        <v>0</v>
      </c>
      <c r="AI35" s="110" t="n">
        <f aca="false">IF(OR(OR($B35="",$E35="",$F35=""),$L35&lt;&gt;"لا"),0,MAX(0,MIN($F35,EOMONTH(DATE(cfg_FY,2,1),0))-$E35+1))</f>
        <v>0</v>
      </c>
      <c r="AJ35" s="110" t="n">
        <f aca="false">IF(OR(OR($B35="",$E35="",$F35=""),$L35&lt;&gt;"لا"),0,MAX(0,MIN($F35,EOMONTH(DATE(cfg_FY,3,1),0))-$E35+1))</f>
        <v>0</v>
      </c>
      <c r="AK35" s="110" t="n">
        <f aca="false">IF(OR(OR($B35="",$E35="",$F35=""),$L35&lt;&gt;"لا"),0,MAX(0,MIN($F35,EOMONTH(DATE(cfg_FY,4,1),0))-$E35+1))</f>
        <v>0</v>
      </c>
      <c r="AL35" s="110" t="n">
        <f aca="false">IF(OR(OR($B35="",$E35="",$F35=""),$L35&lt;&gt;"لا"),0,MAX(0,MIN($F35,EOMONTH(DATE(cfg_FY,5,1),0))-$E35+1))</f>
        <v>0</v>
      </c>
      <c r="AM35" s="110" t="n">
        <f aca="false">IF(OR(OR($B35="",$E35="",$F35=""),$L35&lt;&gt;"لا"),0,MAX(0,MIN($F35,EOMONTH(DATE(cfg_FY,6,1),0))-$E35+1))</f>
        <v>0</v>
      </c>
      <c r="AN35" s="110" t="n">
        <f aca="false">IF(OR(OR($B35="",$E35="",$F35=""),$L35&lt;&gt;"لا"),0,MAX(0,MIN($F35,EOMONTH(DATE(cfg_FY,7,1),0))-$E35+1))</f>
        <v>0</v>
      </c>
      <c r="AO35" s="110" t="n">
        <f aca="false">IF(OR(OR($B35="",$E35="",$F35=""),$L35&lt;&gt;"لا"),0,MAX(0,MIN($F35,EOMONTH(DATE(cfg_FY,8,1),0))-$E35+1))</f>
        <v>0</v>
      </c>
      <c r="AP35" s="110" t="n">
        <f aca="false">IF(OR(OR($B35="",$E35="",$F35=""),$L35&lt;&gt;"لا"),0,MAX(0,MIN($F35,EOMONTH(DATE(cfg_FY,9,1),0))-$E35+1))</f>
        <v>0</v>
      </c>
      <c r="AQ35" s="110" t="n">
        <f aca="false">IF(OR(OR($B35="",$E35="",$F35=""),$L35&lt;&gt;"لا"),0,MAX(0,MIN($F35,EOMONTH(DATE(cfg_FY,10,1),0))-$E35+1))</f>
        <v>0</v>
      </c>
      <c r="AR35" s="110" t="n">
        <f aca="false">IF(OR(OR($B35="",$E35="",$F35=""),$L35&lt;&gt;"لا"),0,MAX(0,MIN($F35,EOMONTH(DATE(cfg_FY,11,1),0))-$E35+1))</f>
        <v>0</v>
      </c>
      <c r="AS35" s="110" t="n">
        <f aca="false">IF(OR(OR($B35="",$E35="",$F35=""),$L35&lt;&gt;"لا"),0,MAX(0,MIN($F35,EOMONTH(DATE(cfg_FY,12,1),0))-$E35+1))</f>
        <v>0</v>
      </c>
      <c r="AT35" s="110" t="n">
        <f aca="false">IF(OR(OR($B35="",$E35="",$F35=""),$K35&lt;&gt;"نعم",$M35="نعم"),0,MAX(0,MIN($F35,EOMONTH(DATE(cfg_FY,1,1),0))-MAX($E35,DATE(cfg_FY,1,1))+1))</f>
        <v>0</v>
      </c>
      <c r="AU35" s="110" t="n">
        <f aca="false">IF(OR(OR($B35="",$E35="",$F35=""),$K35&lt;&gt;"نعم",$M35="نعم"),0,MAX(0,MIN($F35,EOMONTH(DATE(cfg_FY,2,1),0))-MAX($E35,DATE(cfg_FY,2,1))+1))</f>
        <v>0</v>
      </c>
      <c r="AV35" s="110" t="n">
        <f aca="false">IF(OR(OR($B35="",$E35="",$F35=""),$K35&lt;&gt;"نعم",$M35="نعم"),0,MAX(0,MIN($F35,EOMONTH(DATE(cfg_FY,3,1),0))-MAX($E35,DATE(cfg_FY,3,1))+1))</f>
        <v>0</v>
      </c>
      <c r="AW35" s="110" t="n">
        <f aca="false">IF(OR(OR($B35="",$E35="",$F35=""),$K35&lt;&gt;"نعم",$M35="نعم"),0,MAX(0,MIN($F35,EOMONTH(DATE(cfg_FY,4,1),0))-MAX($E35,DATE(cfg_FY,4,1))+1))</f>
        <v>0</v>
      </c>
      <c r="AX35" s="110" t="n">
        <f aca="false">IF(OR(OR($B35="",$E35="",$F35=""),$K35&lt;&gt;"نعم",$M35="نعم"),0,MAX(0,MIN($F35,EOMONTH(DATE(cfg_FY,5,1),0))-MAX($E35,DATE(cfg_FY,5,1))+1))</f>
        <v>0</v>
      </c>
      <c r="AY35" s="110" t="n">
        <f aca="false">IF(OR(OR($B35="",$E35="",$F35=""),$K35&lt;&gt;"نعم",$M35="نعم"),0,MAX(0,MIN($F35,EOMONTH(DATE(cfg_FY,6,1),0))-MAX($E35,DATE(cfg_FY,6,1))+1))</f>
        <v>0</v>
      </c>
      <c r="AZ35" s="110" t="n">
        <f aca="false">IF(OR(OR($B35="",$E35="",$F35=""),$K35&lt;&gt;"نعم",$M35="نعم"),0,MAX(0,MIN($F35,EOMONTH(DATE(cfg_FY,7,1),0))-MAX($E35,DATE(cfg_FY,7,1))+1))</f>
        <v>0</v>
      </c>
      <c r="BA35" s="110" t="n">
        <f aca="false">IF(OR(OR($B35="",$E35="",$F35=""),$K35&lt;&gt;"نعم",$M35="نعم"),0,MAX(0,MIN($F35,EOMONTH(DATE(cfg_FY,8,1),0))-MAX($E35,DATE(cfg_FY,8,1))+1))</f>
        <v>0</v>
      </c>
      <c r="BB35" s="110" t="n">
        <f aca="false">IF(OR(OR($B35="",$E35="",$F35=""),$K35&lt;&gt;"نعم",$M35="نعم"),0,MAX(0,MIN($F35,EOMONTH(DATE(cfg_FY,9,1),0))-MAX($E35,DATE(cfg_FY,9,1))+1))</f>
        <v>0</v>
      </c>
      <c r="BC35" s="110" t="n">
        <f aca="false">IF(OR(OR($B35="",$E35="",$F35=""),$K35&lt;&gt;"نعم",$M35="نعم"),0,MAX(0,MIN($F35,EOMONTH(DATE(cfg_FY,10,1),0))-MAX($E35,DATE(cfg_FY,10,1))+1))</f>
        <v>0</v>
      </c>
      <c r="BD35" s="110" t="n">
        <f aca="false">IF(OR(OR($B35="",$E35="",$F35=""),$K35&lt;&gt;"نعم",$M35="نعم"),0,MAX(0,MIN($F35,EOMONTH(DATE(cfg_FY,11,1),0))-MAX($E35,DATE(cfg_FY,11,1))+1))</f>
        <v>0</v>
      </c>
      <c r="BE35" s="110" t="n">
        <f aca="false">IF(OR(OR($B35="",$E35="",$F35=""),$K35&lt;&gt;"نعم",$M35="نعم"),0,MAX(0,MIN($F35,EOMONTH(DATE(cfg_FY,12,1),0))-MAX($E35,DATE(cfg_FY,12,1))+1))</f>
        <v>0</v>
      </c>
    </row>
    <row r="36" customFormat="false" ht="15" hidden="false" customHeight="false" outlineLevel="0" collapsed="false">
      <c r="A36" s="93" t="str">
        <f aca="false">IF(B36="","",ROW()-5)</f>
        <v/>
      </c>
      <c r="B36" s="79"/>
      <c r="C36" s="80" t="str">
        <f aca="false">IF(B36="","",IFERROR(INDEX(الموظفون!$C$6:$C$105,MATCH(B36,الموظفون!$B$6:$B$105,0)),"✖ رقم غير موجود"))</f>
        <v/>
      </c>
      <c r="D36" s="79"/>
      <c r="E36" s="94"/>
      <c r="F36" s="94"/>
      <c r="G36" s="57" t="str">
        <f aca="false">IF(OR($B36="",$E36="",$F36=""),"",MAX(0,F36-E36+1))</f>
        <v/>
      </c>
      <c r="H36" s="58" t="str">
        <f aca="false">IF(D36="","",IFERROR(VLOOKUP(D36,cfg_LT,2,FALSE()),1))</f>
        <v/>
      </c>
      <c r="I36" s="82"/>
      <c r="J36" s="58" t="str">
        <f aca="false">IF(D36="","",IF(I36&lt;&gt;"",I36,H36))</f>
        <v/>
      </c>
      <c r="K36" s="80" t="str">
        <f aca="false">IF(D36="","",IFERROR(VLOOKUP($D36,cfg_LT,3,FALSE()),""))</f>
        <v/>
      </c>
      <c r="L36" s="80" t="str">
        <f aca="false">IF(D36="","",IFERROR(VLOOKUP($D36,cfg_LT,4,FALSE()),""))</f>
        <v/>
      </c>
      <c r="M36" s="80" t="str">
        <f aca="false">IF(D36="","",IFERROR(VLOOKUP($D36,cfg_LT,5,FALSE()),""))</f>
        <v/>
      </c>
      <c r="N36" s="97" t="n">
        <f aca="false">IF(OR(OR($B36="",$E36="",$F36=""),M36&lt;&gt;"نعم"),0,G36*J36*IFERROR(INDEX(الموظفون!$R$6:$R$105,MATCH(B36,الموظفون!$B$6:$B$105,0)),0)/cfg_DAYS_M)</f>
        <v>0</v>
      </c>
      <c r="O36" s="93" t="str">
        <f aca="false">IF(OR(OR($B36="",$E36="",$F36=""),M36&lt;&gt;"نعم"),"",IF(YEAR(E36)=cfg_FY,MONTH(E36),""))</f>
        <v/>
      </c>
      <c r="P36" s="80" t="str">
        <f aca="false">IF(B36="","",IF(OR(D36="",E36="",F36=""),"⚠ أكمل النوع والتواريخ",IF(F36&lt;E36,"✖ النهاية قبل البداية",IF(COUNTIFS($B$6:$B$505,B36,$E$6:$E$505,"&lt;="&amp;F36,$F$6:$F$505,"&gt;="&amp;E36)&gt;1,"⚠ تداخل مع سجل آخر",IF(E36&gt;cfg_VAL_DATE,"⏳ قادمة",IF(F36&lt;cfg_VAL_DATE,"✔ منتهية","✈ جارية في تاريخ التقرير"))))))</f>
        <v/>
      </c>
      <c r="Q36" s="79"/>
      <c r="R36" s="57" t="n">
        <f aca="false">IF(OR(OR($B36="",$E36="",$F36=""),L36&lt;&gt;"لا"),0,MAX(0,MIN(F36,cfg_Y_START-1)-E36+1))</f>
        <v>0</v>
      </c>
      <c r="S36" s="57" t="n">
        <f aca="false">IF(OR(OR($B36="",$E36="",$F36=""),L36&lt;&gt;"لا"),0,MAX(0,MIN(F36,cfg_VAL_DATE)-E36+1))</f>
        <v>0</v>
      </c>
      <c r="T36" s="57" t="n">
        <f aca="false">IF(OR(OR($B36="",$E36="",$F36=""),K36&lt;&gt;"نعم"),0,IF(M36="نعم",IF(AND(ISNUMBER(O36),N(O36)&lt;=cfg_VAL_M),G36,0),MAX(0,MIN(F36,cfg_VAL_DATE)-MAX(E36,cfg_Y_START)+1)))</f>
        <v>0</v>
      </c>
      <c r="V36" s="57" t="n">
        <f aca="false">IF(OR($B36="",$E36="",$F36=""),0,MAX(0,MIN($F36,EOMONTH(DATE(cfg_FY,1,1),0))-MAX($E36,DATE(cfg_FY,1,1))+1)*(1-IF($M36="نعم",0,N($J36))))</f>
        <v>0</v>
      </c>
      <c r="W36" s="57" t="n">
        <f aca="false">IF(OR($B36="",$E36="",$F36=""),0,MAX(0,MIN($F36,EOMONTH(DATE(cfg_FY,2,1),0))-MAX($E36,DATE(cfg_FY,2,1))+1)*(1-IF($M36="نعم",0,N($J36))))</f>
        <v>0</v>
      </c>
      <c r="X36" s="57" t="n">
        <f aca="false">IF(OR($B36="",$E36="",$F36=""),0,MAX(0,MIN($F36,EOMONTH(DATE(cfg_FY,3,1),0))-MAX($E36,DATE(cfg_FY,3,1))+1)*(1-IF($M36="نعم",0,N($J36))))</f>
        <v>0</v>
      </c>
      <c r="Y36" s="57" t="n">
        <f aca="false">IF(OR($B36="",$E36="",$F36=""),0,MAX(0,MIN($F36,EOMONTH(DATE(cfg_FY,4,1),0))-MAX($E36,DATE(cfg_FY,4,1))+1)*(1-IF($M36="نعم",0,N($J36))))</f>
        <v>0</v>
      </c>
      <c r="Z36" s="57" t="n">
        <f aca="false">IF(OR($B36="",$E36="",$F36=""),0,MAX(0,MIN($F36,EOMONTH(DATE(cfg_FY,5,1),0))-MAX($E36,DATE(cfg_FY,5,1))+1)*(1-IF($M36="نعم",0,N($J36))))</f>
        <v>0</v>
      </c>
      <c r="AA36" s="57" t="n">
        <f aca="false">IF(OR($B36="",$E36="",$F36=""),0,MAX(0,MIN($F36,EOMONTH(DATE(cfg_FY,6,1),0))-MAX($E36,DATE(cfg_FY,6,1))+1)*(1-IF($M36="نعم",0,N($J36))))</f>
        <v>0</v>
      </c>
      <c r="AB36" s="57" t="n">
        <f aca="false">IF(OR($B36="",$E36="",$F36=""),0,MAX(0,MIN($F36,EOMONTH(DATE(cfg_FY,7,1),0))-MAX($E36,DATE(cfg_FY,7,1))+1)*(1-IF($M36="نعم",0,N($J36))))</f>
        <v>0</v>
      </c>
      <c r="AC36" s="57" t="n">
        <f aca="false">IF(OR($B36="",$E36="",$F36=""),0,MAX(0,MIN($F36,EOMONTH(DATE(cfg_FY,8,1),0))-MAX($E36,DATE(cfg_FY,8,1))+1)*(1-IF($M36="نعم",0,N($J36))))</f>
        <v>0</v>
      </c>
      <c r="AD36" s="57" t="n">
        <f aca="false">IF(OR($B36="",$E36="",$F36=""),0,MAX(0,MIN($F36,EOMONTH(DATE(cfg_FY,9,1),0))-MAX($E36,DATE(cfg_FY,9,1))+1)*(1-IF($M36="نعم",0,N($J36))))</f>
        <v>0</v>
      </c>
      <c r="AE36" s="57" t="n">
        <f aca="false">IF(OR($B36="",$E36="",$F36=""),0,MAX(0,MIN($F36,EOMONTH(DATE(cfg_FY,10,1),0))-MAX($E36,DATE(cfg_FY,10,1))+1)*(1-IF($M36="نعم",0,N($J36))))</f>
        <v>0</v>
      </c>
      <c r="AF36" s="57" t="n">
        <f aca="false">IF(OR($B36="",$E36="",$F36=""),0,MAX(0,MIN($F36,EOMONTH(DATE(cfg_FY,11,1),0))-MAX($E36,DATE(cfg_FY,11,1))+1)*(1-IF($M36="نعم",0,N($J36))))</f>
        <v>0</v>
      </c>
      <c r="AG36" s="57" t="n">
        <f aca="false">IF(OR($B36="",$E36="",$F36=""),0,MAX(0,MIN($F36,EOMONTH(DATE(cfg_FY,12,1),0))-MAX($E36,DATE(cfg_FY,12,1))+1)*(1-IF($M36="نعم",0,N($J36))))</f>
        <v>0</v>
      </c>
      <c r="AH36" s="57" t="n">
        <f aca="false">IF(OR(OR($B36="",$E36="",$F36=""),$L36&lt;&gt;"لا"),0,MAX(0,MIN($F36,EOMONTH(DATE(cfg_FY,1,1),0))-$E36+1))</f>
        <v>0</v>
      </c>
      <c r="AI36" s="57" t="n">
        <f aca="false">IF(OR(OR($B36="",$E36="",$F36=""),$L36&lt;&gt;"لا"),0,MAX(0,MIN($F36,EOMONTH(DATE(cfg_FY,2,1),0))-$E36+1))</f>
        <v>0</v>
      </c>
      <c r="AJ36" s="57" t="n">
        <f aca="false">IF(OR(OR($B36="",$E36="",$F36=""),$L36&lt;&gt;"لا"),0,MAX(0,MIN($F36,EOMONTH(DATE(cfg_FY,3,1),0))-$E36+1))</f>
        <v>0</v>
      </c>
      <c r="AK36" s="57" t="n">
        <f aca="false">IF(OR(OR($B36="",$E36="",$F36=""),$L36&lt;&gt;"لا"),0,MAX(0,MIN($F36,EOMONTH(DATE(cfg_FY,4,1),0))-$E36+1))</f>
        <v>0</v>
      </c>
      <c r="AL36" s="57" t="n">
        <f aca="false">IF(OR(OR($B36="",$E36="",$F36=""),$L36&lt;&gt;"لا"),0,MAX(0,MIN($F36,EOMONTH(DATE(cfg_FY,5,1),0))-$E36+1))</f>
        <v>0</v>
      </c>
      <c r="AM36" s="57" t="n">
        <f aca="false">IF(OR(OR($B36="",$E36="",$F36=""),$L36&lt;&gt;"لا"),0,MAX(0,MIN($F36,EOMONTH(DATE(cfg_FY,6,1),0))-$E36+1))</f>
        <v>0</v>
      </c>
      <c r="AN36" s="57" t="n">
        <f aca="false">IF(OR(OR($B36="",$E36="",$F36=""),$L36&lt;&gt;"لا"),0,MAX(0,MIN($F36,EOMONTH(DATE(cfg_FY,7,1),0))-$E36+1))</f>
        <v>0</v>
      </c>
      <c r="AO36" s="57" t="n">
        <f aca="false">IF(OR(OR($B36="",$E36="",$F36=""),$L36&lt;&gt;"لا"),0,MAX(0,MIN($F36,EOMONTH(DATE(cfg_FY,8,1),0))-$E36+1))</f>
        <v>0</v>
      </c>
      <c r="AP36" s="57" t="n">
        <f aca="false">IF(OR(OR($B36="",$E36="",$F36=""),$L36&lt;&gt;"لا"),0,MAX(0,MIN($F36,EOMONTH(DATE(cfg_FY,9,1),0))-$E36+1))</f>
        <v>0</v>
      </c>
      <c r="AQ36" s="57" t="n">
        <f aca="false">IF(OR(OR($B36="",$E36="",$F36=""),$L36&lt;&gt;"لا"),0,MAX(0,MIN($F36,EOMONTH(DATE(cfg_FY,10,1),0))-$E36+1))</f>
        <v>0</v>
      </c>
      <c r="AR36" s="57" t="n">
        <f aca="false">IF(OR(OR($B36="",$E36="",$F36=""),$L36&lt;&gt;"لا"),0,MAX(0,MIN($F36,EOMONTH(DATE(cfg_FY,11,1),0))-$E36+1))</f>
        <v>0</v>
      </c>
      <c r="AS36" s="57" t="n">
        <f aca="false">IF(OR(OR($B36="",$E36="",$F36=""),$L36&lt;&gt;"لا"),0,MAX(0,MIN($F36,EOMONTH(DATE(cfg_FY,12,1),0))-$E36+1))</f>
        <v>0</v>
      </c>
      <c r="AT36" s="57" t="n">
        <f aca="false">IF(OR(OR($B36="",$E36="",$F36=""),$K36&lt;&gt;"نعم",$M36="نعم"),0,MAX(0,MIN($F36,EOMONTH(DATE(cfg_FY,1,1),0))-MAX($E36,DATE(cfg_FY,1,1))+1))</f>
        <v>0</v>
      </c>
      <c r="AU36" s="57" t="n">
        <f aca="false">IF(OR(OR($B36="",$E36="",$F36=""),$K36&lt;&gt;"نعم",$M36="نعم"),0,MAX(0,MIN($F36,EOMONTH(DATE(cfg_FY,2,1),0))-MAX($E36,DATE(cfg_FY,2,1))+1))</f>
        <v>0</v>
      </c>
      <c r="AV36" s="57" t="n">
        <f aca="false">IF(OR(OR($B36="",$E36="",$F36=""),$K36&lt;&gt;"نعم",$M36="نعم"),0,MAX(0,MIN($F36,EOMONTH(DATE(cfg_FY,3,1),0))-MAX($E36,DATE(cfg_FY,3,1))+1))</f>
        <v>0</v>
      </c>
      <c r="AW36" s="57" t="n">
        <f aca="false">IF(OR(OR($B36="",$E36="",$F36=""),$K36&lt;&gt;"نعم",$M36="نعم"),0,MAX(0,MIN($F36,EOMONTH(DATE(cfg_FY,4,1),0))-MAX($E36,DATE(cfg_FY,4,1))+1))</f>
        <v>0</v>
      </c>
      <c r="AX36" s="57" t="n">
        <f aca="false">IF(OR(OR($B36="",$E36="",$F36=""),$K36&lt;&gt;"نعم",$M36="نعم"),0,MAX(0,MIN($F36,EOMONTH(DATE(cfg_FY,5,1),0))-MAX($E36,DATE(cfg_FY,5,1))+1))</f>
        <v>0</v>
      </c>
      <c r="AY36" s="57" t="n">
        <f aca="false">IF(OR(OR($B36="",$E36="",$F36=""),$K36&lt;&gt;"نعم",$M36="نعم"),0,MAX(0,MIN($F36,EOMONTH(DATE(cfg_FY,6,1),0))-MAX($E36,DATE(cfg_FY,6,1))+1))</f>
        <v>0</v>
      </c>
      <c r="AZ36" s="57" t="n">
        <f aca="false">IF(OR(OR($B36="",$E36="",$F36=""),$K36&lt;&gt;"نعم",$M36="نعم"),0,MAX(0,MIN($F36,EOMONTH(DATE(cfg_FY,7,1),0))-MAX($E36,DATE(cfg_FY,7,1))+1))</f>
        <v>0</v>
      </c>
      <c r="BA36" s="57" t="n">
        <f aca="false">IF(OR(OR($B36="",$E36="",$F36=""),$K36&lt;&gt;"نعم",$M36="نعم"),0,MAX(0,MIN($F36,EOMONTH(DATE(cfg_FY,8,1),0))-MAX($E36,DATE(cfg_FY,8,1))+1))</f>
        <v>0</v>
      </c>
      <c r="BB36" s="57" t="n">
        <f aca="false">IF(OR(OR($B36="",$E36="",$F36=""),$K36&lt;&gt;"نعم",$M36="نعم"),0,MAX(0,MIN($F36,EOMONTH(DATE(cfg_FY,9,1),0))-MAX($E36,DATE(cfg_FY,9,1))+1))</f>
        <v>0</v>
      </c>
      <c r="BC36" s="57" t="n">
        <f aca="false">IF(OR(OR($B36="",$E36="",$F36=""),$K36&lt;&gt;"نعم",$M36="نعم"),0,MAX(0,MIN($F36,EOMONTH(DATE(cfg_FY,10,1),0))-MAX($E36,DATE(cfg_FY,10,1))+1))</f>
        <v>0</v>
      </c>
      <c r="BD36" s="57" t="n">
        <f aca="false">IF(OR(OR($B36="",$E36="",$F36=""),$K36&lt;&gt;"نعم",$M36="نعم"),0,MAX(0,MIN($F36,EOMONTH(DATE(cfg_FY,11,1),0))-MAX($E36,DATE(cfg_FY,11,1))+1))</f>
        <v>0</v>
      </c>
      <c r="BE36" s="57" t="n">
        <f aca="false">IF(OR(OR($B36="",$E36="",$F36=""),$K36&lt;&gt;"نعم",$M36="نعم"),0,MAX(0,MIN($F36,EOMONTH(DATE(cfg_FY,12,1),0))-MAX($E36,DATE(cfg_FY,12,1))+1))</f>
        <v>0</v>
      </c>
    </row>
    <row r="37" customFormat="false" ht="15" hidden="false" customHeight="false" outlineLevel="0" collapsed="false">
      <c r="A37" s="100" t="str">
        <f aca="false">IF(B37="","",ROW()-5)</f>
        <v/>
      </c>
      <c r="B37" s="79"/>
      <c r="C37" s="102" t="str">
        <f aca="false">IF(B37="","",IFERROR(INDEX(الموظفون!$C$6:$C$105,MATCH(B37,الموظفون!$B$6:$B$105,0)),"✖ رقم غير موجود"))</f>
        <v/>
      </c>
      <c r="D37" s="79"/>
      <c r="E37" s="94"/>
      <c r="F37" s="94"/>
      <c r="G37" s="110" t="str">
        <f aca="false">IF(OR($B37="",$E37="",$F37=""),"",MAX(0,F37-E37+1))</f>
        <v/>
      </c>
      <c r="H37" s="111" t="str">
        <f aca="false">IF(D37="","",IFERROR(VLOOKUP(D37,cfg_LT,2,FALSE()),1))</f>
        <v/>
      </c>
      <c r="I37" s="82"/>
      <c r="J37" s="111" t="str">
        <f aca="false">IF(D37="","",IF(I37&lt;&gt;"",I37,H37))</f>
        <v/>
      </c>
      <c r="K37" s="102" t="str">
        <f aca="false">IF(D37="","",IFERROR(VLOOKUP($D37,cfg_LT,3,FALSE()),""))</f>
        <v/>
      </c>
      <c r="L37" s="102" t="str">
        <f aca="false">IF(D37="","",IFERROR(VLOOKUP($D37,cfg_LT,4,FALSE()),""))</f>
        <v/>
      </c>
      <c r="M37" s="102" t="str">
        <f aca="false">IF(D37="","",IFERROR(VLOOKUP($D37,cfg_LT,5,FALSE()),""))</f>
        <v/>
      </c>
      <c r="N37" s="101" t="n">
        <f aca="false">IF(OR(OR($B37="",$E37="",$F37=""),M37&lt;&gt;"نعم"),0,G37*J37*IFERROR(INDEX(الموظفون!$R$6:$R$105,MATCH(B37,الموظفون!$B$6:$B$105,0)),0)/cfg_DAYS_M)</f>
        <v>0</v>
      </c>
      <c r="O37" s="100" t="str">
        <f aca="false">IF(OR(OR($B37="",$E37="",$F37=""),M37&lt;&gt;"نعم"),"",IF(YEAR(E37)=cfg_FY,MONTH(E37),""))</f>
        <v/>
      </c>
      <c r="P37" s="102" t="str">
        <f aca="false">IF(B37="","",IF(OR(D37="",E37="",F37=""),"⚠ أكمل النوع والتواريخ",IF(F37&lt;E37,"✖ النهاية قبل البداية",IF(COUNTIFS($B$6:$B$505,B37,$E$6:$E$505,"&lt;="&amp;F37,$F$6:$F$505,"&gt;="&amp;E37)&gt;1,"⚠ تداخل مع سجل آخر",IF(E37&gt;cfg_VAL_DATE,"⏳ قادمة",IF(F37&lt;cfg_VAL_DATE,"✔ منتهية","✈ جارية في تاريخ التقرير"))))))</f>
        <v/>
      </c>
      <c r="Q37" s="79"/>
      <c r="R37" s="110" t="n">
        <f aca="false">IF(OR(OR($B37="",$E37="",$F37=""),L37&lt;&gt;"لا"),0,MAX(0,MIN(F37,cfg_Y_START-1)-E37+1))</f>
        <v>0</v>
      </c>
      <c r="S37" s="110" t="n">
        <f aca="false">IF(OR(OR($B37="",$E37="",$F37=""),L37&lt;&gt;"لا"),0,MAX(0,MIN(F37,cfg_VAL_DATE)-E37+1))</f>
        <v>0</v>
      </c>
      <c r="T37" s="110" t="n">
        <f aca="false">IF(OR(OR($B37="",$E37="",$F37=""),K37&lt;&gt;"نعم"),0,IF(M37="نعم",IF(AND(ISNUMBER(O37),N(O37)&lt;=cfg_VAL_M),G37,0),MAX(0,MIN(F37,cfg_VAL_DATE)-MAX(E37,cfg_Y_START)+1)))</f>
        <v>0</v>
      </c>
      <c r="V37" s="110" t="n">
        <f aca="false">IF(OR($B37="",$E37="",$F37=""),0,MAX(0,MIN($F37,EOMONTH(DATE(cfg_FY,1,1),0))-MAX($E37,DATE(cfg_FY,1,1))+1)*(1-IF($M37="نعم",0,N($J37))))</f>
        <v>0</v>
      </c>
      <c r="W37" s="110" t="n">
        <f aca="false">IF(OR($B37="",$E37="",$F37=""),0,MAX(0,MIN($F37,EOMONTH(DATE(cfg_FY,2,1),0))-MAX($E37,DATE(cfg_FY,2,1))+1)*(1-IF($M37="نعم",0,N($J37))))</f>
        <v>0</v>
      </c>
      <c r="X37" s="110" t="n">
        <f aca="false">IF(OR($B37="",$E37="",$F37=""),0,MAX(0,MIN($F37,EOMONTH(DATE(cfg_FY,3,1),0))-MAX($E37,DATE(cfg_FY,3,1))+1)*(1-IF($M37="نعم",0,N($J37))))</f>
        <v>0</v>
      </c>
      <c r="Y37" s="110" t="n">
        <f aca="false">IF(OR($B37="",$E37="",$F37=""),0,MAX(0,MIN($F37,EOMONTH(DATE(cfg_FY,4,1),0))-MAX($E37,DATE(cfg_FY,4,1))+1)*(1-IF($M37="نعم",0,N($J37))))</f>
        <v>0</v>
      </c>
      <c r="Z37" s="110" t="n">
        <f aca="false">IF(OR($B37="",$E37="",$F37=""),0,MAX(0,MIN($F37,EOMONTH(DATE(cfg_FY,5,1),0))-MAX($E37,DATE(cfg_FY,5,1))+1)*(1-IF($M37="نعم",0,N($J37))))</f>
        <v>0</v>
      </c>
      <c r="AA37" s="110" t="n">
        <f aca="false">IF(OR($B37="",$E37="",$F37=""),0,MAX(0,MIN($F37,EOMONTH(DATE(cfg_FY,6,1),0))-MAX($E37,DATE(cfg_FY,6,1))+1)*(1-IF($M37="نعم",0,N($J37))))</f>
        <v>0</v>
      </c>
      <c r="AB37" s="110" t="n">
        <f aca="false">IF(OR($B37="",$E37="",$F37=""),0,MAX(0,MIN($F37,EOMONTH(DATE(cfg_FY,7,1),0))-MAX($E37,DATE(cfg_FY,7,1))+1)*(1-IF($M37="نعم",0,N($J37))))</f>
        <v>0</v>
      </c>
      <c r="AC37" s="110" t="n">
        <f aca="false">IF(OR($B37="",$E37="",$F37=""),0,MAX(0,MIN($F37,EOMONTH(DATE(cfg_FY,8,1),0))-MAX($E37,DATE(cfg_FY,8,1))+1)*(1-IF($M37="نعم",0,N($J37))))</f>
        <v>0</v>
      </c>
      <c r="AD37" s="110" t="n">
        <f aca="false">IF(OR($B37="",$E37="",$F37=""),0,MAX(0,MIN($F37,EOMONTH(DATE(cfg_FY,9,1),0))-MAX($E37,DATE(cfg_FY,9,1))+1)*(1-IF($M37="نعم",0,N($J37))))</f>
        <v>0</v>
      </c>
      <c r="AE37" s="110" t="n">
        <f aca="false">IF(OR($B37="",$E37="",$F37=""),0,MAX(0,MIN($F37,EOMONTH(DATE(cfg_FY,10,1),0))-MAX($E37,DATE(cfg_FY,10,1))+1)*(1-IF($M37="نعم",0,N($J37))))</f>
        <v>0</v>
      </c>
      <c r="AF37" s="110" t="n">
        <f aca="false">IF(OR($B37="",$E37="",$F37=""),0,MAX(0,MIN($F37,EOMONTH(DATE(cfg_FY,11,1),0))-MAX($E37,DATE(cfg_FY,11,1))+1)*(1-IF($M37="نعم",0,N($J37))))</f>
        <v>0</v>
      </c>
      <c r="AG37" s="110" t="n">
        <f aca="false">IF(OR($B37="",$E37="",$F37=""),0,MAX(0,MIN($F37,EOMONTH(DATE(cfg_FY,12,1),0))-MAX($E37,DATE(cfg_FY,12,1))+1)*(1-IF($M37="نعم",0,N($J37))))</f>
        <v>0</v>
      </c>
      <c r="AH37" s="110" t="n">
        <f aca="false">IF(OR(OR($B37="",$E37="",$F37=""),$L37&lt;&gt;"لا"),0,MAX(0,MIN($F37,EOMONTH(DATE(cfg_FY,1,1),0))-$E37+1))</f>
        <v>0</v>
      </c>
      <c r="AI37" s="110" t="n">
        <f aca="false">IF(OR(OR($B37="",$E37="",$F37=""),$L37&lt;&gt;"لا"),0,MAX(0,MIN($F37,EOMONTH(DATE(cfg_FY,2,1),0))-$E37+1))</f>
        <v>0</v>
      </c>
      <c r="AJ37" s="110" t="n">
        <f aca="false">IF(OR(OR($B37="",$E37="",$F37=""),$L37&lt;&gt;"لا"),0,MAX(0,MIN($F37,EOMONTH(DATE(cfg_FY,3,1),0))-$E37+1))</f>
        <v>0</v>
      </c>
      <c r="AK37" s="110" t="n">
        <f aca="false">IF(OR(OR($B37="",$E37="",$F37=""),$L37&lt;&gt;"لا"),0,MAX(0,MIN($F37,EOMONTH(DATE(cfg_FY,4,1),0))-$E37+1))</f>
        <v>0</v>
      </c>
      <c r="AL37" s="110" t="n">
        <f aca="false">IF(OR(OR($B37="",$E37="",$F37=""),$L37&lt;&gt;"لا"),0,MAX(0,MIN($F37,EOMONTH(DATE(cfg_FY,5,1),0))-$E37+1))</f>
        <v>0</v>
      </c>
      <c r="AM37" s="110" t="n">
        <f aca="false">IF(OR(OR($B37="",$E37="",$F37=""),$L37&lt;&gt;"لا"),0,MAX(0,MIN($F37,EOMONTH(DATE(cfg_FY,6,1),0))-$E37+1))</f>
        <v>0</v>
      </c>
      <c r="AN37" s="110" t="n">
        <f aca="false">IF(OR(OR($B37="",$E37="",$F37=""),$L37&lt;&gt;"لا"),0,MAX(0,MIN($F37,EOMONTH(DATE(cfg_FY,7,1),0))-$E37+1))</f>
        <v>0</v>
      </c>
      <c r="AO37" s="110" t="n">
        <f aca="false">IF(OR(OR($B37="",$E37="",$F37=""),$L37&lt;&gt;"لا"),0,MAX(0,MIN($F37,EOMONTH(DATE(cfg_FY,8,1),0))-$E37+1))</f>
        <v>0</v>
      </c>
      <c r="AP37" s="110" t="n">
        <f aca="false">IF(OR(OR($B37="",$E37="",$F37=""),$L37&lt;&gt;"لا"),0,MAX(0,MIN($F37,EOMONTH(DATE(cfg_FY,9,1),0))-$E37+1))</f>
        <v>0</v>
      </c>
      <c r="AQ37" s="110" t="n">
        <f aca="false">IF(OR(OR($B37="",$E37="",$F37=""),$L37&lt;&gt;"لا"),0,MAX(0,MIN($F37,EOMONTH(DATE(cfg_FY,10,1),0))-$E37+1))</f>
        <v>0</v>
      </c>
      <c r="AR37" s="110" t="n">
        <f aca="false">IF(OR(OR($B37="",$E37="",$F37=""),$L37&lt;&gt;"لا"),0,MAX(0,MIN($F37,EOMONTH(DATE(cfg_FY,11,1),0))-$E37+1))</f>
        <v>0</v>
      </c>
      <c r="AS37" s="110" t="n">
        <f aca="false">IF(OR(OR($B37="",$E37="",$F37=""),$L37&lt;&gt;"لا"),0,MAX(0,MIN($F37,EOMONTH(DATE(cfg_FY,12,1),0))-$E37+1))</f>
        <v>0</v>
      </c>
      <c r="AT37" s="110" t="n">
        <f aca="false">IF(OR(OR($B37="",$E37="",$F37=""),$K37&lt;&gt;"نعم",$M37="نعم"),0,MAX(0,MIN($F37,EOMONTH(DATE(cfg_FY,1,1),0))-MAX($E37,DATE(cfg_FY,1,1))+1))</f>
        <v>0</v>
      </c>
      <c r="AU37" s="110" t="n">
        <f aca="false">IF(OR(OR($B37="",$E37="",$F37=""),$K37&lt;&gt;"نعم",$M37="نعم"),0,MAX(0,MIN($F37,EOMONTH(DATE(cfg_FY,2,1),0))-MAX($E37,DATE(cfg_FY,2,1))+1))</f>
        <v>0</v>
      </c>
      <c r="AV37" s="110" t="n">
        <f aca="false">IF(OR(OR($B37="",$E37="",$F37=""),$K37&lt;&gt;"نعم",$M37="نعم"),0,MAX(0,MIN($F37,EOMONTH(DATE(cfg_FY,3,1),0))-MAX($E37,DATE(cfg_FY,3,1))+1))</f>
        <v>0</v>
      </c>
      <c r="AW37" s="110" t="n">
        <f aca="false">IF(OR(OR($B37="",$E37="",$F37=""),$K37&lt;&gt;"نعم",$M37="نعم"),0,MAX(0,MIN($F37,EOMONTH(DATE(cfg_FY,4,1),0))-MAX($E37,DATE(cfg_FY,4,1))+1))</f>
        <v>0</v>
      </c>
      <c r="AX37" s="110" t="n">
        <f aca="false">IF(OR(OR($B37="",$E37="",$F37=""),$K37&lt;&gt;"نعم",$M37="نعم"),0,MAX(0,MIN($F37,EOMONTH(DATE(cfg_FY,5,1),0))-MAX($E37,DATE(cfg_FY,5,1))+1))</f>
        <v>0</v>
      </c>
      <c r="AY37" s="110" t="n">
        <f aca="false">IF(OR(OR($B37="",$E37="",$F37=""),$K37&lt;&gt;"نعم",$M37="نعم"),0,MAX(0,MIN($F37,EOMONTH(DATE(cfg_FY,6,1),0))-MAX($E37,DATE(cfg_FY,6,1))+1))</f>
        <v>0</v>
      </c>
      <c r="AZ37" s="110" t="n">
        <f aca="false">IF(OR(OR($B37="",$E37="",$F37=""),$K37&lt;&gt;"نعم",$M37="نعم"),0,MAX(0,MIN($F37,EOMONTH(DATE(cfg_FY,7,1),0))-MAX($E37,DATE(cfg_FY,7,1))+1))</f>
        <v>0</v>
      </c>
      <c r="BA37" s="110" t="n">
        <f aca="false">IF(OR(OR($B37="",$E37="",$F37=""),$K37&lt;&gt;"نعم",$M37="نعم"),0,MAX(0,MIN($F37,EOMONTH(DATE(cfg_FY,8,1),0))-MAX($E37,DATE(cfg_FY,8,1))+1))</f>
        <v>0</v>
      </c>
      <c r="BB37" s="110" t="n">
        <f aca="false">IF(OR(OR($B37="",$E37="",$F37=""),$K37&lt;&gt;"نعم",$M37="نعم"),0,MAX(0,MIN($F37,EOMONTH(DATE(cfg_FY,9,1),0))-MAX($E37,DATE(cfg_FY,9,1))+1))</f>
        <v>0</v>
      </c>
      <c r="BC37" s="110" t="n">
        <f aca="false">IF(OR(OR($B37="",$E37="",$F37=""),$K37&lt;&gt;"نعم",$M37="نعم"),0,MAX(0,MIN($F37,EOMONTH(DATE(cfg_FY,10,1),0))-MAX($E37,DATE(cfg_FY,10,1))+1))</f>
        <v>0</v>
      </c>
      <c r="BD37" s="110" t="n">
        <f aca="false">IF(OR(OR($B37="",$E37="",$F37=""),$K37&lt;&gt;"نعم",$M37="نعم"),0,MAX(0,MIN($F37,EOMONTH(DATE(cfg_FY,11,1),0))-MAX($E37,DATE(cfg_FY,11,1))+1))</f>
        <v>0</v>
      </c>
      <c r="BE37" s="110" t="n">
        <f aca="false">IF(OR(OR($B37="",$E37="",$F37=""),$K37&lt;&gt;"نعم",$M37="نعم"),0,MAX(0,MIN($F37,EOMONTH(DATE(cfg_FY,12,1),0))-MAX($E37,DATE(cfg_FY,12,1))+1))</f>
        <v>0</v>
      </c>
    </row>
    <row r="38" customFormat="false" ht="15" hidden="false" customHeight="false" outlineLevel="0" collapsed="false">
      <c r="A38" s="93" t="str">
        <f aca="false">IF(B38="","",ROW()-5)</f>
        <v/>
      </c>
      <c r="B38" s="79"/>
      <c r="C38" s="80" t="str">
        <f aca="false">IF(B38="","",IFERROR(INDEX(الموظفون!$C$6:$C$105,MATCH(B38,الموظفون!$B$6:$B$105,0)),"✖ رقم غير موجود"))</f>
        <v/>
      </c>
      <c r="D38" s="79"/>
      <c r="E38" s="94"/>
      <c r="F38" s="94"/>
      <c r="G38" s="57" t="str">
        <f aca="false">IF(OR($B38="",$E38="",$F38=""),"",MAX(0,F38-E38+1))</f>
        <v/>
      </c>
      <c r="H38" s="58" t="str">
        <f aca="false">IF(D38="","",IFERROR(VLOOKUP(D38,cfg_LT,2,FALSE()),1))</f>
        <v/>
      </c>
      <c r="I38" s="82"/>
      <c r="J38" s="58" t="str">
        <f aca="false">IF(D38="","",IF(I38&lt;&gt;"",I38,H38))</f>
        <v/>
      </c>
      <c r="K38" s="80" t="str">
        <f aca="false">IF(D38="","",IFERROR(VLOOKUP($D38,cfg_LT,3,FALSE()),""))</f>
        <v/>
      </c>
      <c r="L38" s="80" t="str">
        <f aca="false">IF(D38="","",IFERROR(VLOOKUP($D38,cfg_LT,4,FALSE()),""))</f>
        <v/>
      </c>
      <c r="M38" s="80" t="str">
        <f aca="false">IF(D38="","",IFERROR(VLOOKUP($D38,cfg_LT,5,FALSE()),""))</f>
        <v/>
      </c>
      <c r="N38" s="97" t="n">
        <f aca="false">IF(OR(OR($B38="",$E38="",$F38=""),M38&lt;&gt;"نعم"),0,G38*J38*IFERROR(INDEX(الموظفون!$R$6:$R$105,MATCH(B38,الموظفون!$B$6:$B$105,0)),0)/cfg_DAYS_M)</f>
        <v>0</v>
      </c>
      <c r="O38" s="93" t="str">
        <f aca="false">IF(OR(OR($B38="",$E38="",$F38=""),M38&lt;&gt;"نعم"),"",IF(YEAR(E38)=cfg_FY,MONTH(E38),""))</f>
        <v/>
      </c>
      <c r="P38" s="80" t="str">
        <f aca="false">IF(B38="","",IF(OR(D38="",E38="",F38=""),"⚠ أكمل النوع والتواريخ",IF(F38&lt;E38,"✖ النهاية قبل البداية",IF(COUNTIFS($B$6:$B$505,B38,$E$6:$E$505,"&lt;="&amp;F38,$F$6:$F$505,"&gt;="&amp;E38)&gt;1,"⚠ تداخل مع سجل آخر",IF(E38&gt;cfg_VAL_DATE,"⏳ قادمة",IF(F38&lt;cfg_VAL_DATE,"✔ منتهية","✈ جارية في تاريخ التقرير"))))))</f>
        <v/>
      </c>
      <c r="Q38" s="79"/>
      <c r="R38" s="57" t="n">
        <f aca="false">IF(OR(OR($B38="",$E38="",$F38=""),L38&lt;&gt;"لا"),0,MAX(0,MIN(F38,cfg_Y_START-1)-E38+1))</f>
        <v>0</v>
      </c>
      <c r="S38" s="57" t="n">
        <f aca="false">IF(OR(OR($B38="",$E38="",$F38=""),L38&lt;&gt;"لا"),0,MAX(0,MIN(F38,cfg_VAL_DATE)-E38+1))</f>
        <v>0</v>
      </c>
      <c r="T38" s="57" t="n">
        <f aca="false">IF(OR(OR($B38="",$E38="",$F38=""),K38&lt;&gt;"نعم"),0,IF(M38="نعم",IF(AND(ISNUMBER(O38),N(O38)&lt;=cfg_VAL_M),G38,0),MAX(0,MIN(F38,cfg_VAL_DATE)-MAX(E38,cfg_Y_START)+1)))</f>
        <v>0</v>
      </c>
      <c r="V38" s="57" t="n">
        <f aca="false">IF(OR($B38="",$E38="",$F38=""),0,MAX(0,MIN($F38,EOMONTH(DATE(cfg_FY,1,1),0))-MAX($E38,DATE(cfg_FY,1,1))+1)*(1-IF($M38="نعم",0,N($J38))))</f>
        <v>0</v>
      </c>
      <c r="W38" s="57" t="n">
        <f aca="false">IF(OR($B38="",$E38="",$F38=""),0,MAX(0,MIN($F38,EOMONTH(DATE(cfg_FY,2,1),0))-MAX($E38,DATE(cfg_FY,2,1))+1)*(1-IF($M38="نعم",0,N($J38))))</f>
        <v>0</v>
      </c>
      <c r="X38" s="57" t="n">
        <f aca="false">IF(OR($B38="",$E38="",$F38=""),0,MAX(0,MIN($F38,EOMONTH(DATE(cfg_FY,3,1),0))-MAX($E38,DATE(cfg_FY,3,1))+1)*(1-IF($M38="نعم",0,N($J38))))</f>
        <v>0</v>
      </c>
      <c r="Y38" s="57" t="n">
        <f aca="false">IF(OR($B38="",$E38="",$F38=""),0,MAX(0,MIN($F38,EOMONTH(DATE(cfg_FY,4,1),0))-MAX($E38,DATE(cfg_FY,4,1))+1)*(1-IF($M38="نعم",0,N($J38))))</f>
        <v>0</v>
      </c>
      <c r="Z38" s="57" t="n">
        <f aca="false">IF(OR($B38="",$E38="",$F38=""),0,MAX(0,MIN($F38,EOMONTH(DATE(cfg_FY,5,1),0))-MAX($E38,DATE(cfg_FY,5,1))+1)*(1-IF($M38="نعم",0,N($J38))))</f>
        <v>0</v>
      </c>
      <c r="AA38" s="57" t="n">
        <f aca="false">IF(OR($B38="",$E38="",$F38=""),0,MAX(0,MIN($F38,EOMONTH(DATE(cfg_FY,6,1),0))-MAX($E38,DATE(cfg_FY,6,1))+1)*(1-IF($M38="نعم",0,N($J38))))</f>
        <v>0</v>
      </c>
      <c r="AB38" s="57" t="n">
        <f aca="false">IF(OR($B38="",$E38="",$F38=""),0,MAX(0,MIN($F38,EOMONTH(DATE(cfg_FY,7,1),0))-MAX($E38,DATE(cfg_FY,7,1))+1)*(1-IF($M38="نعم",0,N($J38))))</f>
        <v>0</v>
      </c>
      <c r="AC38" s="57" t="n">
        <f aca="false">IF(OR($B38="",$E38="",$F38=""),0,MAX(0,MIN($F38,EOMONTH(DATE(cfg_FY,8,1),0))-MAX($E38,DATE(cfg_FY,8,1))+1)*(1-IF($M38="نعم",0,N($J38))))</f>
        <v>0</v>
      </c>
      <c r="AD38" s="57" t="n">
        <f aca="false">IF(OR($B38="",$E38="",$F38=""),0,MAX(0,MIN($F38,EOMONTH(DATE(cfg_FY,9,1),0))-MAX($E38,DATE(cfg_FY,9,1))+1)*(1-IF($M38="نعم",0,N($J38))))</f>
        <v>0</v>
      </c>
      <c r="AE38" s="57" t="n">
        <f aca="false">IF(OR($B38="",$E38="",$F38=""),0,MAX(0,MIN($F38,EOMONTH(DATE(cfg_FY,10,1),0))-MAX($E38,DATE(cfg_FY,10,1))+1)*(1-IF($M38="نعم",0,N($J38))))</f>
        <v>0</v>
      </c>
      <c r="AF38" s="57" t="n">
        <f aca="false">IF(OR($B38="",$E38="",$F38=""),0,MAX(0,MIN($F38,EOMONTH(DATE(cfg_FY,11,1),0))-MAX($E38,DATE(cfg_FY,11,1))+1)*(1-IF($M38="نعم",0,N($J38))))</f>
        <v>0</v>
      </c>
      <c r="AG38" s="57" t="n">
        <f aca="false">IF(OR($B38="",$E38="",$F38=""),0,MAX(0,MIN($F38,EOMONTH(DATE(cfg_FY,12,1),0))-MAX($E38,DATE(cfg_FY,12,1))+1)*(1-IF($M38="نعم",0,N($J38))))</f>
        <v>0</v>
      </c>
      <c r="AH38" s="57" t="n">
        <f aca="false">IF(OR(OR($B38="",$E38="",$F38=""),$L38&lt;&gt;"لا"),0,MAX(0,MIN($F38,EOMONTH(DATE(cfg_FY,1,1),0))-$E38+1))</f>
        <v>0</v>
      </c>
      <c r="AI38" s="57" t="n">
        <f aca="false">IF(OR(OR($B38="",$E38="",$F38=""),$L38&lt;&gt;"لا"),0,MAX(0,MIN($F38,EOMONTH(DATE(cfg_FY,2,1),0))-$E38+1))</f>
        <v>0</v>
      </c>
      <c r="AJ38" s="57" t="n">
        <f aca="false">IF(OR(OR($B38="",$E38="",$F38=""),$L38&lt;&gt;"لا"),0,MAX(0,MIN($F38,EOMONTH(DATE(cfg_FY,3,1),0))-$E38+1))</f>
        <v>0</v>
      </c>
      <c r="AK38" s="57" t="n">
        <f aca="false">IF(OR(OR($B38="",$E38="",$F38=""),$L38&lt;&gt;"لا"),0,MAX(0,MIN($F38,EOMONTH(DATE(cfg_FY,4,1),0))-$E38+1))</f>
        <v>0</v>
      </c>
      <c r="AL38" s="57" t="n">
        <f aca="false">IF(OR(OR($B38="",$E38="",$F38=""),$L38&lt;&gt;"لا"),0,MAX(0,MIN($F38,EOMONTH(DATE(cfg_FY,5,1),0))-$E38+1))</f>
        <v>0</v>
      </c>
      <c r="AM38" s="57" t="n">
        <f aca="false">IF(OR(OR($B38="",$E38="",$F38=""),$L38&lt;&gt;"لا"),0,MAX(0,MIN($F38,EOMONTH(DATE(cfg_FY,6,1),0))-$E38+1))</f>
        <v>0</v>
      </c>
      <c r="AN38" s="57" t="n">
        <f aca="false">IF(OR(OR($B38="",$E38="",$F38=""),$L38&lt;&gt;"لا"),0,MAX(0,MIN($F38,EOMONTH(DATE(cfg_FY,7,1),0))-$E38+1))</f>
        <v>0</v>
      </c>
      <c r="AO38" s="57" t="n">
        <f aca="false">IF(OR(OR($B38="",$E38="",$F38=""),$L38&lt;&gt;"لا"),0,MAX(0,MIN($F38,EOMONTH(DATE(cfg_FY,8,1),0))-$E38+1))</f>
        <v>0</v>
      </c>
      <c r="AP38" s="57" t="n">
        <f aca="false">IF(OR(OR($B38="",$E38="",$F38=""),$L38&lt;&gt;"لا"),0,MAX(0,MIN($F38,EOMONTH(DATE(cfg_FY,9,1),0))-$E38+1))</f>
        <v>0</v>
      </c>
      <c r="AQ38" s="57" t="n">
        <f aca="false">IF(OR(OR($B38="",$E38="",$F38=""),$L38&lt;&gt;"لا"),0,MAX(0,MIN($F38,EOMONTH(DATE(cfg_FY,10,1),0))-$E38+1))</f>
        <v>0</v>
      </c>
      <c r="AR38" s="57" t="n">
        <f aca="false">IF(OR(OR($B38="",$E38="",$F38=""),$L38&lt;&gt;"لا"),0,MAX(0,MIN($F38,EOMONTH(DATE(cfg_FY,11,1),0))-$E38+1))</f>
        <v>0</v>
      </c>
      <c r="AS38" s="57" t="n">
        <f aca="false">IF(OR(OR($B38="",$E38="",$F38=""),$L38&lt;&gt;"لا"),0,MAX(0,MIN($F38,EOMONTH(DATE(cfg_FY,12,1),0))-$E38+1))</f>
        <v>0</v>
      </c>
      <c r="AT38" s="57" t="n">
        <f aca="false">IF(OR(OR($B38="",$E38="",$F38=""),$K38&lt;&gt;"نعم",$M38="نعم"),0,MAX(0,MIN($F38,EOMONTH(DATE(cfg_FY,1,1),0))-MAX($E38,DATE(cfg_FY,1,1))+1))</f>
        <v>0</v>
      </c>
      <c r="AU38" s="57" t="n">
        <f aca="false">IF(OR(OR($B38="",$E38="",$F38=""),$K38&lt;&gt;"نعم",$M38="نعم"),0,MAX(0,MIN($F38,EOMONTH(DATE(cfg_FY,2,1),0))-MAX($E38,DATE(cfg_FY,2,1))+1))</f>
        <v>0</v>
      </c>
      <c r="AV38" s="57" t="n">
        <f aca="false">IF(OR(OR($B38="",$E38="",$F38=""),$K38&lt;&gt;"نعم",$M38="نعم"),0,MAX(0,MIN($F38,EOMONTH(DATE(cfg_FY,3,1),0))-MAX($E38,DATE(cfg_FY,3,1))+1))</f>
        <v>0</v>
      </c>
      <c r="AW38" s="57" t="n">
        <f aca="false">IF(OR(OR($B38="",$E38="",$F38=""),$K38&lt;&gt;"نعم",$M38="نعم"),0,MAX(0,MIN($F38,EOMONTH(DATE(cfg_FY,4,1),0))-MAX($E38,DATE(cfg_FY,4,1))+1))</f>
        <v>0</v>
      </c>
      <c r="AX38" s="57" t="n">
        <f aca="false">IF(OR(OR($B38="",$E38="",$F38=""),$K38&lt;&gt;"نعم",$M38="نعم"),0,MAX(0,MIN($F38,EOMONTH(DATE(cfg_FY,5,1),0))-MAX($E38,DATE(cfg_FY,5,1))+1))</f>
        <v>0</v>
      </c>
      <c r="AY38" s="57" t="n">
        <f aca="false">IF(OR(OR($B38="",$E38="",$F38=""),$K38&lt;&gt;"نعم",$M38="نعم"),0,MAX(0,MIN($F38,EOMONTH(DATE(cfg_FY,6,1),0))-MAX($E38,DATE(cfg_FY,6,1))+1))</f>
        <v>0</v>
      </c>
      <c r="AZ38" s="57" t="n">
        <f aca="false">IF(OR(OR($B38="",$E38="",$F38=""),$K38&lt;&gt;"نعم",$M38="نعم"),0,MAX(0,MIN($F38,EOMONTH(DATE(cfg_FY,7,1),0))-MAX($E38,DATE(cfg_FY,7,1))+1))</f>
        <v>0</v>
      </c>
      <c r="BA38" s="57" t="n">
        <f aca="false">IF(OR(OR($B38="",$E38="",$F38=""),$K38&lt;&gt;"نعم",$M38="نعم"),0,MAX(0,MIN($F38,EOMONTH(DATE(cfg_FY,8,1),0))-MAX($E38,DATE(cfg_FY,8,1))+1))</f>
        <v>0</v>
      </c>
      <c r="BB38" s="57" t="n">
        <f aca="false">IF(OR(OR($B38="",$E38="",$F38=""),$K38&lt;&gt;"نعم",$M38="نعم"),0,MAX(0,MIN($F38,EOMONTH(DATE(cfg_FY,9,1),0))-MAX($E38,DATE(cfg_FY,9,1))+1))</f>
        <v>0</v>
      </c>
      <c r="BC38" s="57" t="n">
        <f aca="false">IF(OR(OR($B38="",$E38="",$F38=""),$K38&lt;&gt;"نعم",$M38="نعم"),0,MAX(0,MIN($F38,EOMONTH(DATE(cfg_FY,10,1),0))-MAX($E38,DATE(cfg_FY,10,1))+1))</f>
        <v>0</v>
      </c>
      <c r="BD38" s="57" t="n">
        <f aca="false">IF(OR(OR($B38="",$E38="",$F38=""),$K38&lt;&gt;"نعم",$M38="نعم"),0,MAX(0,MIN($F38,EOMONTH(DATE(cfg_FY,11,1),0))-MAX($E38,DATE(cfg_FY,11,1))+1))</f>
        <v>0</v>
      </c>
      <c r="BE38" s="57" t="n">
        <f aca="false">IF(OR(OR($B38="",$E38="",$F38=""),$K38&lt;&gt;"نعم",$M38="نعم"),0,MAX(0,MIN($F38,EOMONTH(DATE(cfg_FY,12,1),0))-MAX($E38,DATE(cfg_FY,12,1))+1))</f>
        <v>0</v>
      </c>
    </row>
    <row r="39" customFormat="false" ht="15" hidden="false" customHeight="false" outlineLevel="0" collapsed="false">
      <c r="A39" s="100" t="str">
        <f aca="false">IF(B39="","",ROW()-5)</f>
        <v/>
      </c>
      <c r="B39" s="79"/>
      <c r="C39" s="102" t="str">
        <f aca="false">IF(B39="","",IFERROR(INDEX(الموظفون!$C$6:$C$105,MATCH(B39,الموظفون!$B$6:$B$105,0)),"✖ رقم غير موجود"))</f>
        <v/>
      </c>
      <c r="D39" s="79"/>
      <c r="E39" s="94"/>
      <c r="F39" s="94"/>
      <c r="G39" s="110" t="str">
        <f aca="false">IF(OR($B39="",$E39="",$F39=""),"",MAX(0,F39-E39+1))</f>
        <v/>
      </c>
      <c r="H39" s="111" t="str">
        <f aca="false">IF(D39="","",IFERROR(VLOOKUP(D39,cfg_LT,2,FALSE()),1))</f>
        <v/>
      </c>
      <c r="I39" s="82"/>
      <c r="J39" s="111" t="str">
        <f aca="false">IF(D39="","",IF(I39&lt;&gt;"",I39,H39))</f>
        <v/>
      </c>
      <c r="K39" s="102" t="str">
        <f aca="false">IF(D39="","",IFERROR(VLOOKUP($D39,cfg_LT,3,FALSE()),""))</f>
        <v/>
      </c>
      <c r="L39" s="102" t="str">
        <f aca="false">IF(D39="","",IFERROR(VLOOKUP($D39,cfg_LT,4,FALSE()),""))</f>
        <v/>
      </c>
      <c r="M39" s="102" t="str">
        <f aca="false">IF(D39="","",IFERROR(VLOOKUP($D39,cfg_LT,5,FALSE()),""))</f>
        <v/>
      </c>
      <c r="N39" s="101" t="n">
        <f aca="false">IF(OR(OR($B39="",$E39="",$F39=""),M39&lt;&gt;"نعم"),0,G39*J39*IFERROR(INDEX(الموظفون!$R$6:$R$105,MATCH(B39,الموظفون!$B$6:$B$105,0)),0)/cfg_DAYS_M)</f>
        <v>0</v>
      </c>
      <c r="O39" s="100" t="str">
        <f aca="false">IF(OR(OR($B39="",$E39="",$F39=""),M39&lt;&gt;"نعم"),"",IF(YEAR(E39)=cfg_FY,MONTH(E39),""))</f>
        <v/>
      </c>
      <c r="P39" s="102" t="str">
        <f aca="false">IF(B39="","",IF(OR(D39="",E39="",F39=""),"⚠ أكمل النوع والتواريخ",IF(F39&lt;E39,"✖ النهاية قبل البداية",IF(COUNTIFS($B$6:$B$505,B39,$E$6:$E$505,"&lt;="&amp;F39,$F$6:$F$505,"&gt;="&amp;E39)&gt;1,"⚠ تداخل مع سجل آخر",IF(E39&gt;cfg_VAL_DATE,"⏳ قادمة",IF(F39&lt;cfg_VAL_DATE,"✔ منتهية","✈ جارية في تاريخ التقرير"))))))</f>
        <v/>
      </c>
      <c r="Q39" s="79"/>
      <c r="R39" s="110" t="n">
        <f aca="false">IF(OR(OR($B39="",$E39="",$F39=""),L39&lt;&gt;"لا"),0,MAX(0,MIN(F39,cfg_Y_START-1)-E39+1))</f>
        <v>0</v>
      </c>
      <c r="S39" s="110" t="n">
        <f aca="false">IF(OR(OR($B39="",$E39="",$F39=""),L39&lt;&gt;"لا"),0,MAX(0,MIN(F39,cfg_VAL_DATE)-E39+1))</f>
        <v>0</v>
      </c>
      <c r="T39" s="110" t="n">
        <f aca="false">IF(OR(OR($B39="",$E39="",$F39=""),K39&lt;&gt;"نعم"),0,IF(M39="نعم",IF(AND(ISNUMBER(O39),N(O39)&lt;=cfg_VAL_M),G39,0),MAX(0,MIN(F39,cfg_VAL_DATE)-MAX(E39,cfg_Y_START)+1)))</f>
        <v>0</v>
      </c>
      <c r="V39" s="110" t="n">
        <f aca="false">IF(OR($B39="",$E39="",$F39=""),0,MAX(0,MIN($F39,EOMONTH(DATE(cfg_FY,1,1),0))-MAX($E39,DATE(cfg_FY,1,1))+1)*(1-IF($M39="نعم",0,N($J39))))</f>
        <v>0</v>
      </c>
      <c r="W39" s="110" t="n">
        <f aca="false">IF(OR($B39="",$E39="",$F39=""),0,MAX(0,MIN($F39,EOMONTH(DATE(cfg_FY,2,1),0))-MAX($E39,DATE(cfg_FY,2,1))+1)*(1-IF($M39="نعم",0,N($J39))))</f>
        <v>0</v>
      </c>
      <c r="X39" s="110" t="n">
        <f aca="false">IF(OR($B39="",$E39="",$F39=""),0,MAX(0,MIN($F39,EOMONTH(DATE(cfg_FY,3,1),0))-MAX($E39,DATE(cfg_FY,3,1))+1)*(1-IF($M39="نعم",0,N($J39))))</f>
        <v>0</v>
      </c>
      <c r="Y39" s="110" t="n">
        <f aca="false">IF(OR($B39="",$E39="",$F39=""),0,MAX(0,MIN($F39,EOMONTH(DATE(cfg_FY,4,1),0))-MAX($E39,DATE(cfg_FY,4,1))+1)*(1-IF($M39="نعم",0,N($J39))))</f>
        <v>0</v>
      </c>
      <c r="Z39" s="110" t="n">
        <f aca="false">IF(OR($B39="",$E39="",$F39=""),0,MAX(0,MIN($F39,EOMONTH(DATE(cfg_FY,5,1),0))-MAX($E39,DATE(cfg_FY,5,1))+1)*(1-IF($M39="نعم",0,N($J39))))</f>
        <v>0</v>
      </c>
      <c r="AA39" s="110" t="n">
        <f aca="false">IF(OR($B39="",$E39="",$F39=""),0,MAX(0,MIN($F39,EOMONTH(DATE(cfg_FY,6,1),0))-MAX($E39,DATE(cfg_FY,6,1))+1)*(1-IF($M39="نعم",0,N($J39))))</f>
        <v>0</v>
      </c>
      <c r="AB39" s="110" t="n">
        <f aca="false">IF(OR($B39="",$E39="",$F39=""),0,MAX(0,MIN($F39,EOMONTH(DATE(cfg_FY,7,1),0))-MAX($E39,DATE(cfg_FY,7,1))+1)*(1-IF($M39="نعم",0,N($J39))))</f>
        <v>0</v>
      </c>
      <c r="AC39" s="110" t="n">
        <f aca="false">IF(OR($B39="",$E39="",$F39=""),0,MAX(0,MIN($F39,EOMONTH(DATE(cfg_FY,8,1),0))-MAX($E39,DATE(cfg_FY,8,1))+1)*(1-IF($M39="نعم",0,N($J39))))</f>
        <v>0</v>
      </c>
      <c r="AD39" s="110" t="n">
        <f aca="false">IF(OR($B39="",$E39="",$F39=""),0,MAX(0,MIN($F39,EOMONTH(DATE(cfg_FY,9,1),0))-MAX($E39,DATE(cfg_FY,9,1))+1)*(1-IF($M39="نعم",0,N($J39))))</f>
        <v>0</v>
      </c>
      <c r="AE39" s="110" t="n">
        <f aca="false">IF(OR($B39="",$E39="",$F39=""),0,MAX(0,MIN($F39,EOMONTH(DATE(cfg_FY,10,1),0))-MAX($E39,DATE(cfg_FY,10,1))+1)*(1-IF($M39="نعم",0,N($J39))))</f>
        <v>0</v>
      </c>
      <c r="AF39" s="110" t="n">
        <f aca="false">IF(OR($B39="",$E39="",$F39=""),0,MAX(0,MIN($F39,EOMONTH(DATE(cfg_FY,11,1),0))-MAX($E39,DATE(cfg_FY,11,1))+1)*(1-IF($M39="نعم",0,N($J39))))</f>
        <v>0</v>
      </c>
      <c r="AG39" s="110" t="n">
        <f aca="false">IF(OR($B39="",$E39="",$F39=""),0,MAX(0,MIN($F39,EOMONTH(DATE(cfg_FY,12,1),0))-MAX($E39,DATE(cfg_FY,12,1))+1)*(1-IF($M39="نعم",0,N($J39))))</f>
        <v>0</v>
      </c>
      <c r="AH39" s="110" t="n">
        <f aca="false">IF(OR(OR($B39="",$E39="",$F39=""),$L39&lt;&gt;"لا"),0,MAX(0,MIN($F39,EOMONTH(DATE(cfg_FY,1,1),0))-$E39+1))</f>
        <v>0</v>
      </c>
      <c r="AI39" s="110" t="n">
        <f aca="false">IF(OR(OR($B39="",$E39="",$F39=""),$L39&lt;&gt;"لا"),0,MAX(0,MIN($F39,EOMONTH(DATE(cfg_FY,2,1),0))-$E39+1))</f>
        <v>0</v>
      </c>
      <c r="AJ39" s="110" t="n">
        <f aca="false">IF(OR(OR($B39="",$E39="",$F39=""),$L39&lt;&gt;"لا"),0,MAX(0,MIN($F39,EOMONTH(DATE(cfg_FY,3,1),0))-$E39+1))</f>
        <v>0</v>
      </c>
      <c r="AK39" s="110" t="n">
        <f aca="false">IF(OR(OR($B39="",$E39="",$F39=""),$L39&lt;&gt;"لا"),0,MAX(0,MIN($F39,EOMONTH(DATE(cfg_FY,4,1),0))-$E39+1))</f>
        <v>0</v>
      </c>
      <c r="AL39" s="110" t="n">
        <f aca="false">IF(OR(OR($B39="",$E39="",$F39=""),$L39&lt;&gt;"لا"),0,MAX(0,MIN($F39,EOMONTH(DATE(cfg_FY,5,1),0))-$E39+1))</f>
        <v>0</v>
      </c>
      <c r="AM39" s="110" t="n">
        <f aca="false">IF(OR(OR($B39="",$E39="",$F39=""),$L39&lt;&gt;"لا"),0,MAX(0,MIN($F39,EOMONTH(DATE(cfg_FY,6,1),0))-$E39+1))</f>
        <v>0</v>
      </c>
      <c r="AN39" s="110" t="n">
        <f aca="false">IF(OR(OR($B39="",$E39="",$F39=""),$L39&lt;&gt;"لا"),0,MAX(0,MIN($F39,EOMONTH(DATE(cfg_FY,7,1),0))-$E39+1))</f>
        <v>0</v>
      </c>
      <c r="AO39" s="110" t="n">
        <f aca="false">IF(OR(OR($B39="",$E39="",$F39=""),$L39&lt;&gt;"لا"),0,MAX(0,MIN($F39,EOMONTH(DATE(cfg_FY,8,1),0))-$E39+1))</f>
        <v>0</v>
      </c>
      <c r="AP39" s="110" t="n">
        <f aca="false">IF(OR(OR($B39="",$E39="",$F39=""),$L39&lt;&gt;"لا"),0,MAX(0,MIN($F39,EOMONTH(DATE(cfg_FY,9,1),0))-$E39+1))</f>
        <v>0</v>
      </c>
      <c r="AQ39" s="110" t="n">
        <f aca="false">IF(OR(OR($B39="",$E39="",$F39=""),$L39&lt;&gt;"لا"),0,MAX(0,MIN($F39,EOMONTH(DATE(cfg_FY,10,1),0))-$E39+1))</f>
        <v>0</v>
      </c>
      <c r="AR39" s="110" t="n">
        <f aca="false">IF(OR(OR($B39="",$E39="",$F39=""),$L39&lt;&gt;"لا"),0,MAX(0,MIN($F39,EOMONTH(DATE(cfg_FY,11,1),0))-$E39+1))</f>
        <v>0</v>
      </c>
      <c r="AS39" s="110" t="n">
        <f aca="false">IF(OR(OR($B39="",$E39="",$F39=""),$L39&lt;&gt;"لا"),0,MAX(0,MIN($F39,EOMONTH(DATE(cfg_FY,12,1),0))-$E39+1))</f>
        <v>0</v>
      </c>
      <c r="AT39" s="110" t="n">
        <f aca="false">IF(OR(OR($B39="",$E39="",$F39=""),$K39&lt;&gt;"نعم",$M39="نعم"),0,MAX(0,MIN($F39,EOMONTH(DATE(cfg_FY,1,1),0))-MAX($E39,DATE(cfg_FY,1,1))+1))</f>
        <v>0</v>
      </c>
      <c r="AU39" s="110" t="n">
        <f aca="false">IF(OR(OR($B39="",$E39="",$F39=""),$K39&lt;&gt;"نعم",$M39="نعم"),0,MAX(0,MIN($F39,EOMONTH(DATE(cfg_FY,2,1),0))-MAX($E39,DATE(cfg_FY,2,1))+1))</f>
        <v>0</v>
      </c>
      <c r="AV39" s="110" t="n">
        <f aca="false">IF(OR(OR($B39="",$E39="",$F39=""),$K39&lt;&gt;"نعم",$M39="نعم"),0,MAX(0,MIN($F39,EOMONTH(DATE(cfg_FY,3,1),0))-MAX($E39,DATE(cfg_FY,3,1))+1))</f>
        <v>0</v>
      </c>
      <c r="AW39" s="110" t="n">
        <f aca="false">IF(OR(OR($B39="",$E39="",$F39=""),$K39&lt;&gt;"نعم",$M39="نعم"),0,MAX(0,MIN($F39,EOMONTH(DATE(cfg_FY,4,1),0))-MAX($E39,DATE(cfg_FY,4,1))+1))</f>
        <v>0</v>
      </c>
      <c r="AX39" s="110" t="n">
        <f aca="false">IF(OR(OR($B39="",$E39="",$F39=""),$K39&lt;&gt;"نعم",$M39="نعم"),0,MAX(0,MIN($F39,EOMONTH(DATE(cfg_FY,5,1),0))-MAX($E39,DATE(cfg_FY,5,1))+1))</f>
        <v>0</v>
      </c>
      <c r="AY39" s="110" t="n">
        <f aca="false">IF(OR(OR($B39="",$E39="",$F39=""),$K39&lt;&gt;"نعم",$M39="نعم"),0,MAX(0,MIN($F39,EOMONTH(DATE(cfg_FY,6,1),0))-MAX($E39,DATE(cfg_FY,6,1))+1))</f>
        <v>0</v>
      </c>
      <c r="AZ39" s="110" t="n">
        <f aca="false">IF(OR(OR($B39="",$E39="",$F39=""),$K39&lt;&gt;"نعم",$M39="نعم"),0,MAX(0,MIN($F39,EOMONTH(DATE(cfg_FY,7,1),0))-MAX($E39,DATE(cfg_FY,7,1))+1))</f>
        <v>0</v>
      </c>
      <c r="BA39" s="110" t="n">
        <f aca="false">IF(OR(OR($B39="",$E39="",$F39=""),$K39&lt;&gt;"نعم",$M39="نعم"),0,MAX(0,MIN($F39,EOMONTH(DATE(cfg_FY,8,1),0))-MAX($E39,DATE(cfg_FY,8,1))+1))</f>
        <v>0</v>
      </c>
      <c r="BB39" s="110" t="n">
        <f aca="false">IF(OR(OR($B39="",$E39="",$F39=""),$K39&lt;&gt;"نعم",$M39="نعم"),0,MAX(0,MIN($F39,EOMONTH(DATE(cfg_FY,9,1),0))-MAX($E39,DATE(cfg_FY,9,1))+1))</f>
        <v>0</v>
      </c>
      <c r="BC39" s="110" t="n">
        <f aca="false">IF(OR(OR($B39="",$E39="",$F39=""),$K39&lt;&gt;"نعم",$M39="نعم"),0,MAX(0,MIN($F39,EOMONTH(DATE(cfg_FY,10,1),0))-MAX($E39,DATE(cfg_FY,10,1))+1))</f>
        <v>0</v>
      </c>
      <c r="BD39" s="110" t="n">
        <f aca="false">IF(OR(OR($B39="",$E39="",$F39=""),$K39&lt;&gt;"نعم",$M39="نعم"),0,MAX(0,MIN($F39,EOMONTH(DATE(cfg_FY,11,1),0))-MAX($E39,DATE(cfg_FY,11,1))+1))</f>
        <v>0</v>
      </c>
      <c r="BE39" s="110" t="n">
        <f aca="false">IF(OR(OR($B39="",$E39="",$F39=""),$K39&lt;&gt;"نعم",$M39="نعم"),0,MAX(0,MIN($F39,EOMONTH(DATE(cfg_FY,12,1),0))-MAX($E39,DATE(cfg_FY,12,1))+1))</f>
        <v>0</v>
      </c>
    </row>
    <row r="40" customFormat="false" ht="15" hidden="false" customHeight="false" outlineLevel="0" collapsed="false">
      <c r="A40" s="93" t="str">
        <f aca="false">IF(B40="","",ROW()-5)</f>
        <v/>
      </c>
      <c r="B40" s="79"/>
      <c r="C40" s="80" t="str">
        <f aca="false">IF(B40="","",IFERROR(INDEX(الموظفون!$C$6:$C$105,MATCH(B40,الموظفون!$B$6:$B$105,0)),"✖ رقم غير موجود"))</f>
        <v/>
      </c>
      <c r="D40" s="79"/>
      <c r="E40" s="94"/>
      <c r="F40" s="94"/>
      <c r="G40" s="57" t="str">
        <f aca="false">IF(OR($B40="",$E40="",$F40=""),"",MAX(0,F40-E40+1))</f>
        <v/>
      </c>
      <c r="H40" s="58" t="str">
        <f aca="false">IF(D40="","",IFERROR(VLOOKUP(D40,cfg_LT,2,FALSE()),1))</f>
        <v/>
      </c>
      <c r="I40" s="82"/>
      <c r="J40" s="58" t="str">
        <f aca="false">IF(D40="","",IF(I40&lt;&gt;"",I40,H40))</f>
        <v/>
      </c>
      <c r="K40" s="80" t="str">
        <f aca="false">IF(D40="","",IFERROR(VLOOKUP($D40,cfg_LT,3,FALSE()),""))</f>
        <v/>
      </c>
      <c r="L40" s="80" t="str">
        <f aca="false">IF(D40="","",IFERROR(VLOOKUP($D40,cfg_LT,4,FALSE()),""))</f>
        <v/>
      </c>
      <c r="M40" s="80" t="str">
        <f aca="false">IF(D40="","",IFERROR(VLOOKUP($D40,cfg_LT,5,FALSE()),""))</f>
        <v/>
      </c>
      <c r="N40" s="97" t="n">
        <f aca="false">IF(OR(OR($B40="",$E40="",$F40=""),M40&lt;&gt;"نعم"),0,G40*J40*IFERROR(INDEX(الموظفون!$R$6:$R$105,MATCH(B40,الموظفون!$B$6:$B$105,0)),0)/cfg_DAYS_M)</f>
        <v>0</v>
      </c>
      <c r="O40" s="93" t="str">
        <f aca="false">IF(OR(OR($B40="",$E40="",$F40=""),M40&lt;&gt;"نعم"),"",IF(YEAR(E40)=cfg_FY,MONTH(E40),""))</f>
        <v/>
      </c>
      <c r="P40" s="80" t="str">
        <f aca="false">IF(B40="","",IF(OR(D40="",E40="",F40=""),"⚠ أكمل النوع والتواريخ",IF(F40&lt;E40,"✖ النهاية قبل البداية",IF(COUNTIFS($B$6:$B$505,B40,$E$6:$E$505,"&lt;="&amp;F40,$F$6:$F$505,"&gt;="&amp;E40)&gt;1,"⚠ تداخل مع سجل آخر",IF(E40&gt;cfg_VAL_DATE,"⏳ قادمة",IF(F40&lt;cfg_VAL_DATE,"✔ منتهية","✈ جارية في تاريخ التقرير"))))))</f>
        <v/>
      </c>
      <c r="Q40" s="79"/>
      <c r="R40" s="57" t="n">
        <f aca="false">IF(OR(OR($B40="",$E40="",$F40=""),L40&lt;&gt;"لا"),0,MAX(0,MIN(F40,cfg_Y_START-1)-E40+1))</f>
        <v>0</v>
      </c>
      <c r="S40" s="57" t="n">
        <f aca="false">IF(OR(OR($B40="",$E40="",$F40=""),L40&lt;&gt;"لا"),0,MAX(0,MIN(F40,cfg_VAL_DATE)-E40+1))</f>
        <v>0</v>
      </c>
      <c r="T40" s="57" t="n">
        <f aca="false">IF(OR(OR($B40="",$E40="",$F40=""),K40&lt;&gt;"نعم"),0,IF(M40="نعم",IF(AND(ISNUMBER(O40),N(O40)&lt;=cfg_VAL_M),G40,0),MAX(0,MIN(F40,cfg_VAL_DATE)-MAX(E40,cfg_Y_START)+1)))</f>
        <v>0</v>
      </c>
      <c r="V40" s="57" t="n">
        <f aca="false">IF(OR($B40="",$E40="",$F40=""),0,MAX(0,MIN($F40,EOMONTH(DATE(cfg_FY,1,1),0))-MAX($E40,DATE(cfg_FY,1,1))+1)*(1-IF($M40="نعم",0,N($J40))))</f>
        <v>0</v>
      </c>
      <c r="W40" s="57" t="n">
        <f aca="false">IF(OR($B40="",$E40="",$F40=""),0,MAX(0,MIN($F40,EOMONTH(DATE(cfg_FY,2,1),0))-MAX($E40,DATE(cfg_FY,2,1))+1)*(1-IF($M40="نعم",0,N($J40))))</f>
        <v>0</v>
      </c>
      <c r="X40" s="57" t="n">
        <f aca="false">IF(OR($B40="",$E40="",$F40=""),0,MAX(0,MIN($F40,EOMONTH(DATE(cfg_FY,3,1),0))-MAX($E40,DATE(cfg_FY,3,1))+1)*(1-IF($M40="نعم",0,N($J40))))</f>
        <v>0</v>
      </c>
      <c r="Y40" s="57" t="n">
        <f aca="false">IF(OR($B40="",$E40="",$F40=""),0,MAX(0,MIN($F40,EOMONTH(DATE(cfg_FY,4,1),0))-MAX($E40,DATE(cfg_FY,4,1))+1)*(1-IF($M40="نعم",0,N($J40))))</f>
        <v>0</v>
      </c>
      <c r="Z40" s="57" t="n">
        <f aca="false">IF(OR($B40="",$E40="",$F40=""),0,MAX(0,MIN($F40,EOMONTH(DATE(cfg_FY,5,1),0))-MAX($E40,DATE(cfg_FY,5,1))+1)*(1-IF($M40="نعم",0,N($J40))))</f>
        <v>0</v>
      </c>
      <c r="AA40" s="57" t="n">
        <f aca="false">IF(OR($B40="",$E40="",$F40=""),0,MAX(0,MIN($F40,EOMONTH(DATE(cfg_FY,6,1),0))-MAX($E40,DATE(cfg_FY,6,1))+1)*(1-IF($M40="نعم",0,N($J40))))</f>
        <v>0</v>
      </c>
      <c r="AB40" s="57" t="n">
        <f aca="false">IF(OR($B40="",$E40="",$F40=""),0,MAX(0,MIN($F40,EOMONTH(DATE(cfg_FY,7,1),0))-MAX($E40,DATE(cfg_FY,7,1))+1)*(1-IF($M40="نعم",0,N($J40))))</f>
        <v>0</v>
      </c>
      <c r="AC40" s="57" t="n">
        <f aca="false">IF(OR($B40="",$E40="",$F40=""),0,MAX(0,MIN($F40,EOMONTH(DATE(cfg_FY,8,1),0))-MAX($E40,DATE(cfg_FY,8,1))+1)*(1-IF($M40="نعم",0,N($J40))))</f>
        <v>0</v>
      </c>
      <c r="AD40" s="57" t="n">
        <f aca="false">IF(OR($B40="",$E40="",$F40=""),0,MAX(0,MIN($F40,EOMONTH(DATE(cfg_FY,9,1),0))-MAX($E40,DATE(cfg_FY,9,1))+1)*(1-IF($M40="نعم",0,N($J40))))</f>
        <v>0</v>
      </c>
      <c r="AE40" s="57" t="n">
        <f aca="false">IF(OR($B40="",$E40="",$F40=""),0,MAX(0,MIN($F40,EOMONTH(DATE(cfg_FY,10,1),0))-MAX($E40,DATE(cfg_FY,10,1))+1)*(1-IF($M40="نعم",0,N($J40))))</f>
        <v>0</v>
      </c>
      <c r="AF40" s="57" t="n">
        <f aca="false">IF(OR($B40="",$E40="",$F40=""),0,MAX(0,MIN($F40,EOMONTH(DATE(cfg_FY,11,1),0))-MAX($E40,DATE(cfg_FY,11,1))+1)*(1-IF($M40="نعم",0,N($J40))))</f>
        <v>0</v>
      </c>
      <c r="AG40" s="57" t="n">
        <f aca="false">IF(OR($B40="",$E40="",$F40=""),0,MAX(0,MIN($F40,EOMONTH(DATE(cfg_FY,12,1),0))-MAX($E40,DATE(cfg_FY,12,1))+1)*(1-IF($M40="نعم",0,N($J40))))</f>
        <v>0</v>
      </c>
      <c r="AH40" s="57" t="n">
        <f aca="false">IF(OR(OR($B40="",$E40="",$F40=""),$L40&lt;&gt;"لا"),0,MAX(0,MIN($F40,EOMONTH(DATE(cfg_FY,1,1),0))-$E40+1))</f>
        <v>0</v>
      </c>
      <c r="AI40" s="57" t="n">
        <f aca="false">IF(OR(OR($B40="",$E40="",$F40=""),$L40&lt;&gt;"لا"),0,MAX(0,MIN($F40,EOMONTH(DATE(cfg_FY,2,1),0))-$E40+1))</f>
        <v>0</v>
      </c>
      <c r="AJ40" s="57" t="n">
        <f aca="false">IF(OR(OR($B40="",$E40="",$F40=""),$L40&lt;&gt;"لا"),0,MAX(0,MIN($F40,EOMONTH(DATE(cfg_FY,3,1),0))-$E40+1))</f>
        <v>0</v>
      </c>
      <c r="AK40" s="57" t="n">
        <f aca="false">IF(OR(OR($B40="",$E40="",$F40=""),$L40&lt;&gt;"لا"),0,MAX(0,MIN($F40,EOMONTH(DATE(cfg_FY,4,1),0))-$E40+1))</f>
        <v>0</v>
      </c>
      <c r="AL40" s="57" t="n">
        <f aca="false">IF(OR(OR($B40="",$E40="",$F40=""),$L40&lt;&gt;"لا"),0,MAX(0,MIN($F40,EOMONTH(DATE(cfg_FY,5,1),0))-$E40+1))</f>
        <v>0</v>
      </c>
      <c r="AM40" s="57" t="n">
        <f aca="false">IF(OR(OR($B40="",$E40="",$F40=""),$L40&lt;&gt;"لا"),0,MAX(0,MIN($F40,EOMONTH(DATE(cfg_FY,6,1),0))-$E40+1))</f>
        <v>0</v>
      </c>
      <c r="AN40" s="57" t="n">
        <f aca="false">IF(OR(OR($B40="",$E40="",$F40=""),$L40&lt;&gt;"لا"),0,MAX(0,MIN($F40,EOMONTH(DATE(cfg_FY,7,1),0))-$E40+1))</f>
        <v>0</v>
      </c>
      <c r="AO40" s="57" t="n">
        <f aca="false">IF(OR(OR($B40="",$E40="",$F40=""),$L40&lt;&gt;"لا"),0,MAX(0,MIN($F40,EOMONTH(DATE(cfg_FY,8,1),0))-$E40+1))</f>
        <v>0</v>
      </c>
      <c r="AP40" s="57" t="n">
        <f aca="false">IF(OR(OR($B40="",$E40="",$F40=""),$L40&lt;&gt;"لا"),0,MAX(0,MIN($F40,EOMONTH(DATE(cfg_FY,9,1),0))-$E40+1))</f>
        <v>0</v>
      </c>
      <c r="AQ40" s="57" t="n">
        <f aca="false">IF(OR(OR($B40="",$E40="",$F40=""),$L40&lt;&gt;"لا"),0,MAX(0,MIN($F40,EOMONTH(DATE(cfg_FY,10,1),0))-$E40+1))</f>
        <v>0</v>
      </c>
      <c r="AR40" s="57" t="n">
        <f aca="false">IF(OR(OR($B40="",$E40="",$F40=""),$L40&lt;&gt;"لا"),0,MAX(0,MIN($F40,EOMONTH(DATE(cfg_FY,11,1),0))-$E40+1))</f>
        <v>0</v>
      </c>
      <c r="AS40" s="57" t="n">
        <f aca="false">IF(OR(OR($B40="",$E40="",$F40=""),$L40&lt;&gt;"لا"),0,MAX(0,MIN($F40,EOMONTH(DATE(cfg_FY,12,1),0))-$E40+1))</f>
        <v>0</v>
      </c>
      <c r="AT40" s="57" t="n">
        <f aca="false">IF(OR(OR($B40="",$E40="",$F40=""),$K40&lt;&gt;"نعم",$M40="نعم"),0,MAX(0,MIN($F40,EOMONTH(DATE(cfg_FY,1,1),0))-MAX($E40,DATE(cfg_FY,1,1))+1))</f>
        <v>0</v>
      </c>
      <c r="AU40" s="57" t="n">
        <f aca="false">IF(OR(OR($B40="",$E40="",$F40=""),$K40&lt;&gt;"نعم",$M40="نعم"),0,MAX(0,MIN($F40,EOMONTH(DATE(cfg_FY,2,1),0))-MAX($E40,DATE(cfg_FY,2,1))+1))</f>
        <v>0</v>
      </c>
      <c r="AV40" s="57" t="n">
        <f aca="false">IF(OR(OR($B40="",$E40="",$F40=""),$K40&lt;&gt;"نعم",$M40="نعم"),0,MAX(0,MIN($F40,EOMONTH(DATE(cfg_FY,3,1),0))-MAX($E40,DATE(cfg_FY,3,1))+1))</f>
        <v>0</v>
      </c>
      <c r="AW40" s="57" t="n">
        <f aca="false">IF(OR(OR($B40="",$E40="",$F40=""),$K40&lt;&gt;"نعم",$M40="نعم"),0,MAX(0,MIN($F40,EOMONTH(DATE(cfg_FY,4,1),0))-MAX($E40,DATE(cfg_FY,4,1))+1))</f>
        <v>0</v>
      </c>
      <c r="AX40" s="57" t="n">
        <f aca="false">IF(OR(OR($B40="",$E40="",$F40=""),$K40&lt;&gt;"نعم",$M40="نعم"),0,MAX(0,MIN($F40,EOMONTH(DATE(cfg_FY,5,1),0))-MAX($E40,DATE(cfg_FY,5,1))+1))</f>
        <v>0</v>
      </c>
      <c r="AY40" s="57" t="n">
        <f aca="false">IF(OR(OR($B40="",$E40="",$F40=""),$K40&lt;&gt;"نعم",$M40="نعم"),0,MAX(0,MIN($F40,EOMONTH(DATE(cfg_FY,6,1),0))-MAX($E40,DATE(cfg_FY,6,1))+1))</f>
        <v>0</v>
      </c>
      <c r="AZ40" s="57" t="n">
        <f aca="false">IF(OR(OR($B40="",$E40="",$F40=""),$K40&lt;&gt;"نعم",$M40="نعم"),0,MAX(0,MIN($F40,EOMONTH(DATE(cfg_FY,7,1),0))-MAX($E40,DATE(cfg_FY,7,1))+1))</f>
        <v>0</v>
      </c>
      <c r="BA40" s="57" t="n">
        <f aca="false">IF(OR(OR($B40="",$E40="",$F40=""),$K40&lt;&gt;"نعم",$M40="نعم"),0,MAX(0,MIN($F40,EOMONTH(DATE(cfg_FY,8,1),0))-MAX($E40,DATE(cfg_FY,8,1))+1))</f>
        <v>0</v>
      </c>
      <c r="BB40" s="57" t="n">
        <f aca="false">IF(OR(OR($B40="",$E40="",$F40=""),$K40&lt;&gt;"نعم",$M40="نعم"),0,MAX(0,MIN($F40,EOMONTH(DATE(cfg_FY,9,1),0))-MAX($E40,DATE(cfg_FY,9,1))+1))</f>
        <v>0</v>
      </c>
      <c r="BC40" s="57" t="n">
        <f aca="false">IF(OR(OR($B40="",$E40="",$F40=""),$K40&lt;&gt;"نعم",$M40="نعم"),0,MAX(0,MIN($F40,EOMONTH(DATE(cfg_FY,10,1),0))-MAX($E40,DATE(cfg_FY,10,1))+1))</f>
        <v>0</v>
      </c>
      <c r="BD40" s="57" t="n">
        <f aca="false">IF(OR(OR($B40="",$E40="",$F40=""),$K40&lt;&gt;"نعم",$M40="نعم"),0,MAX(0,MIN($F40,EOMONTH(DATE(cfg_FY,11,1),0))-MAX($E40,DATE(cfg_FY,11,1))+1))</f>
        <v>0</v>
      </c>
      <c r="BE40" s="57" t="n">
        <f aca="false">IF(OR(OR($B40="",$E40="",$F40=""),$K40&lt;&gt;"نعم",$M40="نعم"),0,MAX(0,MIN($F40,EOMONTH(DATE(cfg_FY,12,1),0))-MAX($E40,DATE(cfg_FY,12,1))+1))</f>
        <v>0</v>
      </c>
    </row>
    <row r="41" customFormat="false" ht="15" hidden="false" customHeight="false" outlineLevel="0" collapsed="false">
      <c r="A41" s="100" t="str">
        <f aca="false">IF(B41="","",ROW()-5)</f>
        <v/>
      </c>
      <c r="B41" s="79"/>
      <c r="C41" s="102" t="str">
        <f aca="false">IF(B41="","",IFERROR(INDEX(الموظفون!$C$6:$C$105,MATCH(B41,الموظفون!$B$6:$B$105,0)),"✖ رقم غير موجود"))</f>
        <v/>
      </c>
      <c r="D41" s="79"/>
      <c r="E41" s="94"/>
      <c r="F41" s="94"/>
      <c r="G41" s="110" t="str">
        <f aca="false">IF(OR($B41="",$E41="",$F41=""),"",MAX(0,F41-E41+1))</f>
        <v/>
      </c>
      <c r="H41" s="111" t="str">
        <f aca="false">IF(D41="","",IFERROR(VLOOKUP(D41,cfg_LT,2,FALSE()),1))</f>
        <v/>
      </c>
      <c r="I41" s="82"/>
      <c r="J41" s="111" t="str">
        <f aca="false">IF(D41="","",IF(I41&lt;&gt;"",I41,H41))</f>
        <v/>
      </c>
      <c r="K41" s="102" t="str">
        <f aca="false">IF(D41="","",IFERROR(VLOOKUP($D41,cfg_LT,3,FALSE()),""))</f>
        <v/>
      </c>
      <c r="L41" s="102" t="str">
        <f aca="false">IF(D41="","",IFERROR(VLOOKUP($D41,cfg_LT,4,FALSE()),""))</f>
        <v/>
      </c>
      <c r="M41" s="102" t="str">
        <f aca="false">IF(D41="","",IFERROR(VLOOKUP($D41,cfg_LT,5,FALSE()),""))</f>
        <v/>
      </c>
      <c r="N41" s="101" t="n">
        <f aca="false">IF(OR(OR($B41="",$E41="",$F41=""),M41&lt;&gt;"نعم"),0,G41*J41*IFERROR(INDEX(الموظفون!$R$6:$R$105,MATCH(B41,الموظفون!$B$6:$B$105,0)),0)/cfg_DAYS_M)</f>
        <v>0</v>
      </c>
      <c r="O41" s="100" t="str">
        <f aca="false">IF(OR(OR($B41="",$E41="",$F41=""),M41&lt;&gt;"نعم"),"",IF(YEAR(E41)=cfg_FY,MONTH(E41),""))</f>
        <v/>
      </c>
      <c r="P41" s="102" t="str">
        <f aca="false">IF(B41="","",IF(OR(D41="",E41="",F41=""),"⚠ أكمل النوع والتواريخ",IF(F41&lt;E41,"✖ النهاية قبل البداية",IF(COUNTIFS($B$6:$B$505,B41,$E$6:$E$505,"&lt;="&amp;F41,$F$6:$F$505,"&gt;="&amp;E41)&gt;1,"⚠ تداخل مع سجل آخر",IF(E41&gt;cfg_VAL_DATE,"⏳ قادمة",IF(F41&lt;cfg_VAL_DATE,"✔ منتهية","✈ جارية في تاريخ التقرير"))))))</f>
        <v/>
      </c>
      <c r="Q41" s="79"/>
      <c r="R41" s="110" t="n">
        <f aca="false">IF(OR(OR($B41="",$E41="",$F41=""),L41&lt;&gt;"لا"),0,MAX(0,MIN(F41,cfg_Y_START-1)-E41+1))</f>
        <v>0</v>
      </c>
      <c r="S41" s="110" t="n">
        <f aca="false">IF(OR(OR($B41="",$E41="",$F41=""),L41&lt;&gt;"لا"),0,MAX(0,MIN(F41,cfg_VAL_DATE)-E41+1))</f>
        <v>0</v>
      </c>
      <c r="T41" s="110" t="n">
        <f aca="false">IF(OR(OR($B41="",$E41="",$F41=""),K41&lt;&gt;"نعم"),0,IF(M41="نعم",IF(AND(ISNUMBER(O41),N(O41)&lt;=cfg_VAL_M),G41,0),MAX(0,MIN(F41,cfg_VAL_DATE)-MAX(E41,cfg_Y_START)+1)))</f>
        <v>0</v>
      </c>
      <c r="V41" s="110" t="n">
        <f aca="false">IF(OR($B41="",$E41="",$F41=""),0,MAX(0,MIN($F41,EOMONTH(DATE(cfg_FY,1,1),0))-MAX($E41,DATE(cfg_FY,1,1))+1)*(1-IF($M41="نعم",0,N($J41))))</f>
        <v>0</v>
      </c>
      <c r="W41" s="110" t="n">
        <f aca="false">IF(OR($B41="",$E41="",$F41=""),0,MAX(0,MIN($F41,EOMONTH(DATE(cfg_FY,2,1),0))-MAX($E41,DATE(cfg_FY,2,1))+1)*(1-IF($M41="نعم",0,N($J41))))</f>
        <v>0</v>
      </c>
      <c r="X41" s="110" t="n">
        <f aca="false">IF(OR($B41="",$E41="",$F41=""),0,MAX(0,MIN($F41,EOMONTH(DATE(cfg_FY,3,1),0))-MAX($E41,DATE(cfg_FY,3,1))+1)*(1-IF($M41="نعم",0,N($J41))))</f>
        <v>0</v>
      </c>
      <c r="Y41" s="110" t="n">
        <f aca="false">IF(OR($B41="",$E41="",$F41=""),0,MAX(0,MIN($F41,EOMONTH(DATE(cfg_FY,4,1),0))-MAX($E41,DATE(cfg_FY,4,1))+1)*(1-IF($M41="نعم",0,N($J41))))</f>
        <v>0</v>
      </c>
      <c r="Z41" s="110" t="n">
        <f aca="false">IF(OR($B41="",$E41="",$F41=""),0,MAX(0,MIN($F41,EOMONTH(DATE(cfg_FY,5,1),0))-MAX($E41,DATE(cfg_FY,5,1))+1)*(1-IF($M41="نعم",0,N($J41))))</f>
        <v>0</v>
      </c>
      <c r="AA41" s="110" t="n">
        <f aca="false">IF(OR($B41="",$E41="",$F41=""),0,MAX(0,MIN($F41,EOMONTH(DATE(cfg_FY,6,1),0))-MAX($E41,DATE(cfg_FY,6,1))+1)*(1-IF($M41="نعم",0,N($J41))))</f>
        <v>0</v>
      </c>
      <c r="AB41" s="110" t="n">
        <f aca="false">IF(OR($B41="",$E41="",$F41=""),0,MAX(0,MIN($F41,EOMONTH(DATE(cfg_FY,7,1),0))-MAX($E41,DATE(cfg_FY,7,1))+1)*(1-IF($M41="نعم",0,N($J41))))</f>
        <v>0</v>
      </c>
      <c r="AC41" s="110" t="n">
        <f aca="false">IF(OR($B41="",$E41="",$F41=""),0,MAX(0,MIN($F41,EOMONTH(DATE(cfg_FY,8,1),0))-MAX($E41,DATE(cfg_FY,8,1))+1)*(1-IF($M41="نعم",0,N($J41))))</f>
        <v>0</v>
      </c>
      <c r="AD41" s="110" t="n">
        <f aca="false">IF(OR($B41="",$E41="",$F41=""),0,MAX(0,MIN($F41,EOMONTH(DATE(cfg_FY,9,1),0))-MAX($E41,DATE(cfg_FY,9,1))+1)*(1-IF($M41="نعم",0,N($J41))))</f>
        <v>0</v>
      </c>
      <c r="AE41" s="110" t="n">
        <f aca="false">IF(OR($B41="",$E41="",$F41=""),0,MAX(0,MIN($F41,EOMONTH(DATE(cfg_FY,10,1),0))-MAX($E41,DATE(cfg_FY,10,1))+1)*(1-IF($M41="نعم",0,N($J41))))</f>
        <v>0</v>
      </c>
      <c r="AF41" s="110" t="n">
        <f aca="false">IF(OR($B41="",$E41="",$F41=""),0,MAX(0,MIN($F41,EOMONTH(DATE(cfg_FY,11,1),0))-MAX($E41,DATE(cfg_FY,11,1))+1)*(1-IF($M41="نعم",0,N($J41))))</f>
        <v>0</v>
      </c>
      <c r="AG41" s="110" t="n">
        <f aca="false">IF(OR($B41="",$E41="",$F41=""),0,MAX(0,MIN($F41,EOMONTH(DATE(cfg_FY,12,1),0))-MAX($E41,DATE(cfg_FY,12,1))+1)*(1-IF($M41="نعم",0,N($J41))))</f>
        <v>0</v>
      </c>
      <c r="AH41" s="110" t="n">
        <f aca="false">IF(OR(OR($B41="",$E41="",$F41=""),$L41&lt;&gt;"لا"),0,MAX(0,MIN($F41,EOMONTH(DATE(cfg_FY,1,1),0))-$E41+1))</f>
        <v>0</v>
      </c>
      <c r="AI41" s="110" t="n">
        <f aca="false">IF(OR(OR($B41="",$E41="",$F41=""),$L41&lt;&gt;"لا"),0,MAX(0,MIN($F41,EOMONTH(DATE(cfg_FY,2,1),0))-$E41+1))</f>
        <v>0</v>
      </c>
      <c r="AJ41" s="110" t="n">
        <f aca="false">IF(OR(OR($B41="",$E41="",$F41=""),$L41&lt;&gt;"لا"),0,MAX(0,MIN($F41,EOMONTH(DATE(cfg_FY,3,1),0))-$E41+1))</f>
        <v>0</v>
      </c>
      <c r="AK41" s="110" t="n">
        <f aca="false">IF(OR(OR($B41="",$E41="",$F41=""),$L41&lt;&gt;"لا"),0,MAX(0,MIN($F41,EOMONTH(DATE(cfg_FY,4,1),0))-$E41+1))</f>
        <v>0</v>
      </c>
      <c r="AL41" s="110" t="n">
        <f aca="false">IF(OR(OR($B41="",$E41="",$F41=""),$L41&lt;&gt;"لا"),0,MAX(0,MIN($F41,EOMONTH(DATE(cfg_FY,5,1),0))-$E41+1))</f>
        <v>0</v>
      </c>
      <c r="AM41" s="110" t="n">
        <f aca="false">IF(OR(OR($B41="",$E41="",$F41=""),$L41&lt;&gt;"لا"),0,MAX(0,MIN($F41,EOMONTH(DATE(cfg_FY,6,1),0))-$E41+1))</f>
        <v>0</v>
      </c>
      <c r="AN41" s="110" t="n">
        <f aca="false">IF(OR(OR($B41="",$E41="",$F41=""),$L41&lt;&gt;"لا"),0,MAX(0,MIN($F41,EOMONTH(DATE(cfg_FY,7,1),0))-$E41+1))</f>
        <v>0</v>
      </c>
      <c r="AO41" s="110" t="n">
        <f aca="false">IF(OR(OR($B41="",$E41="",$F41=""),$L41&lt;&gt;"لا"),0,MAX(0,MIN($F41,EOMONTH(DATE(cfg_FY,8,1),0))-$E41+1))</f>
        <v>0</v>
      </c>
      <c r="AP41" s="110" t="n">
        <f aca="false">IF(OR(OR($B41="",$E41="",$F41=""),$L41&lt;&gt;"لا"),0,MAX(0,MIN($F41,EOMONTH(DATE(cfg_FY,9,1),0))-$E41+1))</f>
        <v>0</v>
      </c>
      <c r="AQ41" s="110" t="n">
        <f aca="false">IF(OR(OR($B41="",$E41="",$F41=""),$L41&lt;&gt;"لا"),0,MAX(0,MIN($F41,EOMONTH(DATE(cfg_FY,10,1),0))-$E41+1))</f>
        <v>0</v>
      </c>
      <c r="AR41" s="110" t="n">
        <f aca="false">IF(OR(OR($B41="",$E41="",$F41=""),$L41&lt;&gt;"لا"),0,MAX(0,MIN($F41,EOMONTH(DATE(cfg_FY,11,1),0))-$E41+1))</f>
        <v>0</v>
      </c>
      <c r="AS41" s="110" t="n">
        <f aca="false">IF(OR(OR($B41="",$E41="",$F41=""),$L41&lt;&gt;"لا"),0,MAX(0,MIN($F41,EOMONTH(DATE(cfg_FY,12,1),0))-$E41+1))</f>
        <v>0</v>
      </c>
      <c r="AT41" s="110" t="n">
        <f aca="false">IF(OR(OR($B41="",$E41="",$F41=""),$K41&lt;&gt;"نعم",$M41="نعم"),0,MAX(0,MIN($F41,EOMONTH(DATE(cfg_FY,1,1),0))-MAX($E41,DATE(cfg_FY,1,1))+1))</f>
        <v>0</v>
      </c>
      <c r="AU41" s="110" t="n">
        <f aca="false">IF(OR(OR($B41="",$E41="",$F41=""),$K41&lt;&gt;"نعم",$M41="نعم"),0,MAX(0,MIN($F41,EOMONTH(DATE(cfg_FY,2,1),0))-MAX($E41,DATE(cfg_FY,2,1))+1))</f>
        <v>0</v>
      </c>
      <c r="AV41" s="110" t="n">
        <f aca="false">IF(OR(OR($B41="",$E41="",$F41=""),$K41&lt;&gt;"نعم",$M41="نعم"),0,MAX(0,MIN($F41,EOMONTH(DATE(cfg_FY,3,1),0))-MAX($E41,DATE(cfg_FY,3,1))+1))</f>
        <v>0</v>
      </c>
      <c r="AW41" s="110" t="n">
        <f aca="false">IF(OR(OR($B41="",$E41="",$F41=""),$K41&lt;&gt;"نعم",$M41="نعم"),0,MAX(0,MIN($F41,EOMONTH(DATE(cfg_FY,4,1),0))-MAX($E41,DATE(cfg_FY,4,1))+1))</f>
        <v>0</v>
      </c>
      <c r="AX41" s="110" t="n">
        <f aca="false">IF(OR(OR($B41="",$E41="",$F41=""),$K41&lt;&gt;"نعم",$M41="نعم"),0,MAX(0,MIN($F41,EOMONTH(DATE(cfg_FY,5,1),0))-MAX($E41,DATE(cfg_FY,5,1))+1))</f>
        <v>0</v>
      </c>
      <c r="AY41" s="110" t="n">
        <f aca="false">IF(OR(OR($B41="",$E41="",$F41=""),$K41&lt;&gt;"نعم",$M41="نعم"),0,MAX(0,MIN($F41,EOMONTH(DATE(cfg_FY,6,1),0))-MAX($E41,DATE(cfg_FY,6,1))+1))</f>
        <v>0</v>
      </c>
      <c r="AZ41" s="110" t="n">
        <f aca="false">IF(OR(OR($B41="",$E41="",$F41=""),$K41&lt;&gt;"نعم",$M41="نعم"),0,MAX(0,MIN($F41,EOMONTH(DATE(cfg_FY,7,1),0))-MAX($E41,DATE(cfg_FY,7,1))+1))</f>
        <v>0</v>
      </c>
      <c r="BA41" s="110" t="n">
        <f aca="false">IF(OR(OR($B41="",$E41="",$F41=""),$K41&lt;&gt;"نعم",$M41="نعم"),0,MAX(0,MIN($F41,EOMONTH(DATE(cfg_FY,8,1),0))-MAX($E41,DATE(cfg_FY,8,1))+1))</f>
        <v>0</v>
      </c>
      <c r="BB41" s="110" t="n">
        <f aca="false">IF(OR(OR($B41="",$E41="",$F41=""),$K41&lt;&gt;"نعم",$M41="نعم"),0,MAX(0,MIN($F41,EOMONTH(DATE(cfg_FY,9,1),0))-MAX($E41,DATE(cfg_FY,9,1))+1))</f>
        <v>0</v>
      </c>
      <c r="BC41" s="110" t="n">
        <f aca="false">IF(OR(OR($B41="",$E41="",$F41=""),$K41&lt;&gt;"نعم",$M41="نعم"),0,MAX(0,MIN($F41,EOMONTH(DATE(cfg_FY,10,1),0))-MAX($E41,DATE(cfg_FY,10,1))+1))</f>
        <v>0</v>
      </c>
      <c r="BD41" s="110" t="n">
        <f aca="false">IF(OR(OR($B41="",$E41="",$F41=""),$K41&lt;&gt;"نعم",$M41="نعم"),0,MAX(0,MIN($F41,EOMONTH(DATE(cfg_FY,11,1),0))-MAX($E41,DATE(cfg_FY,11,1))+1))</f>
        <v>0</v>
      </c>
      <c r="BE41" s="110" t="n">
        <f aca="false">IF(OR(OR($B41="",$E41="",$F41=""),$K41&lt;&gt;"نعم",$M41="نعم"),0,MAX(0,MIN($F41,EOMONTH(DATE(cfg_FY,12,1),0))-MAX($E41,DATE(cfg_FY,12,1))+1))</f>
        <v>0</v>
      </c>
    </row>
    <row r="42" customFormat="false" ht="15" hidden="false" customHeight="false" outlineLevel="0" collapsed="false">
      <c r="A42" s="93" t="str">
        <f aca="false">IF(B42="","",ROW()-5)</f>
        <v/>
      </c>
      <c r="B42" s="79"/>
      <c r="C42" s="80" t="str">
        <f aca="false">IF(B42="","",IFERROR(INDEX(الموظفون!$C$6:$C$105,MATCH(B42,الموظفون!$B$6:$B$105,0)),"✖ رقم غير موجود"))</f>
        <v/>
      </c>
      <c r="D42" s="79"/>
      <c r="E42" s="94"/>
      <c r="F42" s="94"/>
      <c r="G42" s="57" t="str">
        <f aca="false">IF(OR($B42="",$E42="",$F42=""),"",MAX(0,F42-E42+1))</f>
        <v/>
      </c>
      <c r="H42" s="58" t="str">
        <f aca="false">IF(D42="","",IFERROR(VLOOKUP(D42,cfg_LT,2,FALSE()),1))</f>
        <v/>
      </c>
      <c r="I42" s="82"/>
      <c r="J42" s="58" t="str">
        <f aca="false">IF(D42="","",IF(I42&lt;&gt;"",I42,H42))</f>
        <v/>
      </c>
      <c r="K42" s="80" t="str">
        <f aca="false">IF(D42="","",IFERROR(VLOOKUP($D42,cfg_LT,3,FALSE()),""))</f>
        <v/>
      </c>
      <c r="L42" s="80" t="str">
        <f aca="false">IF(D42="","",IFERROR(VLOOKUP($D42,cfg_LT,4,FALSE()),""))</f>
        <v/>
      </c>
      <c r="M42" s="80" t="str">
        <f aca="false">IF(D42="","",IFERROR(VLOOKUP($D42,cfg_LT,5,FALSE()),""))</f>
        <v/>
      </c>
      <c r="N42" s="97" t="n">
        <f aca="false">IF(OR(OR($B42="",$E42="",$F42=""),M42&lt;&gt;"نعم"),0,G42*J42*IFERROR(INDEX(الموظفون!$R$6:$R$105,MATCH(B42,الموظفون!$B$6:$B$105,0)),0)/cfg_DAYS_M)</f>
        <v>0</v>
      </c>
      <c r="O42" s="93" t="str">
        <f aca="false">IF(OR(OR($B42="",$E42="",$F42=""),M42&lt;&gt;"نعم"),"",IF(YEAR(E42)=cfg_FY,MONTH(E42),""))</f>
        <v/>
      </c>
      <c r="P42" s="80" t="str">
        <f aca="false">IF(B42="","",IF(OR(D42="",E42="",F42=""),"⚠ أكمل النوع والتواريخ",IF(F42&lt;E42,"✖ النهاية قبل البداية",IF(COUNTIFS($B$6:$B$505,B42,$E$6:$E$505,"&lt;="&amp;F42,$F$6:$F$505,"&gt;="&amp;E42)&gt;1,"⚠ تداخل مع سجل آخر",IF(E42&gt;cfg_VAL_DATE,"⏳ قادمة",IF(F42&lt;cfg_VAL_DATE,"✔ منتهية","✈ جارية في تاريخ التقرير"))))))</f>
        <v/>
      </c>
      <c r="Q42" s="79"/>
      <c r="R42" s="57" t="n">
        <f aca="false">IF(OR(OR($B42="",$E42="",$F42=""),L42&lt;&gt;"لا"),0,MAX(0,MIN(F42,cfg_Y_START-1)-E42+1))</f>
        <v>0</v>
      </c>
      <c r="S42" s="57" t="n">
        <f aca="false">IF(OR(OR($B42="",$E42="",$F42=""),L42&lt;&gt;"لا"),0,MAX(0,MIN(F42,cfg_VAL_DATE)-E42+1))</f>
        <v>0</v>
      </c>
      <c r="T42" s="57" t="n">
        <f aca="false">IF(OR(OR($B42="",$E42="",$F42=""),K42&lt;&gt;"نعم"),0,IF(M42="نعم",IF(AND(ISNUMBER(O42),N(O42)&lt;=cfg_VAL_M),G42,0),MAX(0,MIN(F42,cfg_VAL_DATE)-MAX(E42,cfg_Y_START)+1)))</f>
        <v>0</v>
      </c>
      <c r="V42" s="57" t="n">
        <f aca="false">IF(OR($B42="",$E42="",$F42=""),0,MAX(0,MIN($F42,EOMONTH(DATE(cfg_FY,1,1),0))-MAX($E42,DATE(cfg_FY,1,1))+1)*(1-IF($M42="نعم",0,N($J42))))</f>
        <v>0</v>
      </c>
      <c r="W42" s="57" t="n">
        <f aca="false">IF(OR($B42="",$E42="",$F42=""),0,MAX(0,MIN($F42,EOMONTH(DATE(cfg_FY,2,1),0))-MAX($E42,DATE(cfg_FY,2,1))+1)*(1-IF($M42="نعم",0,N($J42))))</f>
        <v>0</v>
      </c>
      <c r="X42" s="57" t="n">
        <f aca="false">IF(OR($B42="",$E42="",$F42=""),0,MAX(0,MIN($F42,EOMONTH(DATE(cfg_FY,3,1),0))-MAX($E42,DATE(cfg_FY,3,1))+1)*(1-IF($M42="نعم",0,N($J42))))</f>
        <v>0</v>
      </c>
      <c r="Y42" s="57" t="n">
        <f aca="false">IF(OR($B42="",$E42="",$F42=""),0,MAX(0,MIN($F42,EOMONTH(DATE(cfg_FY,4,1),0))-MAX($E42,DATE(cfg_FY,4,1))+1)*(1-IF($M42="نعم",0,N($J42))))</f>
        <v>0</v>
      </c>
      <c r="Z42" s="57" t="n">
        <f aca="false">IF(OR($B42="",$E42="",$F42=""),0,MAX(0,MIN($F42,EOMONTH(DATE(cfg_FY,5,1),0))-MAX($E42,DATE(cfg_FY,5,1))+1)*(1-IF($M42="نعم",0,N($J42))))</f>
        <v>0</v>
      </c>
      <c r="AA42" s="57" t="n">
        <f aca="false">IF(OR($B42="",$E42="",$F42=""),0,MAX(0,MIN($F42,EOMONTH(DATE(cfg_FY,6,1),0))-MAX($E42,DATE(cfg_FY,6,1))+1)*(1-IF($M42="نعم",0,N($J42))))</f>
        <v>0</v>
      </c>
      <c r="AB42" s="57" t="n">
        <f aca="false">IF(OR($B42="",$E42="",$F42=""),0,MAX(0,MIN($F42,EOMONTH(DATE(cfg_FY,7,1),0))-MAX($E42,DATE(cfg_FY,7,1))+1)*(1-IF($M42="نعم",0,N($J42))))</f>
        <v>0</v>
      </c>
      <c r="AC42" s="57" t="n">
        <f aca="false">IF(OR($B42="",$E42="",$F42=""),0,MAX(0,MIN($F42,EOMONTH(DATE(cfg_FY,8,1),0))-MAX($E42,DATE(cfg_FY,8,1))+1)*(1-IF($M42="نعم",0,N($J42))))</f>
        <v>0</v>
      </c>
      <c r="AD42" s="57" t="n">
        <f aca="false">IF(OR($B42="",$E42="",$F42=""),0,MAX(0,MIN($F42,EOMONTH(DATE(cfg_FY,9,1),0))-MAX($E42,DATE(cfg_FY,9,1))+1)*(1-IF($M42="نعم",0,N($J42))))</f>
        <v>0</v>
      </c>
      <c r="AE42" s="57" t="n">
        <f aca="false">IF(OR($B42="",$E42="",$F42=""),0,MAX(0,MIN($F42,EOMONTH(DATE(cfg_FY,10,1),0))-MAX($E42,DATE(cfg_FY,10,1))+1)*(1-IF($M42="نعم",0,N($J42))))</f>
        <v>0</v>
      </c>
      <c r="AF42" s="57" t="n">
        <f aca="false">IF(OR($B42="",$E42="",$F42=""),0,MAX(0,MIN($F42,EOMONTH(DATE(cfg_FY,11,1),0))-MAX($E42,DATE(cfg_FY,11,1))+1)*(1-IF($M42="نعم",0,N($J42))))</f>
        <v>0</v>
      </c>
      <c r="AG42" s="57" t="n">
        <f aca="false">IF(OR($B42="",$E42="",$F42=""),0,MAX(0,MIN($F42,EOMONTH(DATE(cfg_FY,12,1),0))-MAX($E42,DATE(cfg_FY,12,1))+1)*(1-IF($M42="نعم",0,N($J42))))</f>
        <v>0</v>
      </c>
      <c r="AH42" s="57" t="n">
        <f aca="false">IF(OR(OR($B42="",$E42="",$F42=""),$L42&lt;&gt;"لا"),0,MAX(0,MIN($F42,EOMONTH(DATE(cfg_FY,1,1),0))-$E42+1))</f>
        <v>0</v>
      </c>
      <c r="AI42" s="57" t="n">
        <f aca="false">IF(OR(OR($B42="",$E42="",$F42=""),$L42&lt;&gt;"لا"),0,MAX(0,MIN($F42,EOMONTH(DATE(cfg_FY,2,1),0))-$E42+1))</f>
        <v>0</v>
      </c>
      <c r="AJ42" s="57" t="n">
        <f aca="false">IF(OR(OR($B42="",$E42="",$F42=""),$L42&lt;&gt;"لا"),0,MAX(0,MIN($F42,EOMONTH(DATE(cfg_FY,3,1),0))-$E42+1))</f>
        <v>0</v>
      </c>
      <c r="AK42" s="57" t="n">
        <f aca="false">IF(OR(OR($B42="",$E42="",$F42=""),$L42&lt;&gt;"لا"),0,MAX(0,MIN($F42,EOMONTH(DATE(cfg_FY,4,1),0))-$E42+1))</f>
        <v>0</v>
      </c>
      <c r="AL42" s="57" t="n">
        <f aca="false">IF(OR(OR($B42="",$E42="",$F42=""),$L42&lt;&gt;"لا"),0,MAX(0,MIN($F42,EOMONTH(DATE(cfg_FY,5,1),0))-$E42+1))</f>
        <v>0</v>
      </c>
      <c r="AM42" s="57" t="n">
        <f aca="false">IF(OR(OR($B42="",$E42="",$F42=""),$L42&lt;&gt;"لا"),0,MAX(0,MIN($F42,EOMONTH(DATE(cfg_FY,6,1),0))-$E42+1))</f>
        <v>0</v>
      </c>
      <c r="AN42" s="57" t="n">
        <f aca="false">IF(OR(OR($B42="",$E42="",$F42=""),$L42&lt;&gt;"لا"),0,MAX(0,MIN($F42,EOMONTH(DATE(cfg_FY,7,1),0))-$E42+1))</f>
        <v>0</v>
      </c>
      <c r="AO42" s="57" t="n">
        <f aca="false">IF(OR(OR($B42="",$E42="",$F42=""),$L42&lt;&gt;"لا"),0,MAX(0,MIN($F42,EOMONTH(DATE(cfg_FY,8,1),0))-$E42+1))</f>
        <v>0</v>
      </c>
      <c r="AP42" s="57" t="n">
        <f aca="false">IF(OR(OR($B42="",$E42="",$F42=""),$L42&lt;&gt;"لا"),0,MAX(0,MIN($F42,EOMONTH(DATE(cfg_FY,9,1),0))-$E42+1))</f>
        <v>0</v>
      </c>
      <c r="AQ42" s="57" t="n">
        <f aca="false">IF(OR(OR($B42="",$E42="",$F42=""),$L42&lt;&gt;"لا"),0,MAX(0,MIN($F42,EOMONTH(DATE(cfg_FY,10,1),0))-$E42+1))</f>
        <v>0</v>
      </c>
      <c r="AR42" s="57" t="n">
        <f aca="false">IF(OR(OR($B42="",$E42="",$F42=""),$L42&lt;&gt;"لا"),0,MAX(0,MIN($F42,EOMONTH(DATE(cfg_FY,11,1),0))-$E42+1))</f>
        <v>0</v>
      </c>
      <c r="AS42" s="57" t="n">
        <f aca="false">IF(OR(OR($B42="",$E42="",$F42=""),$L42&lt;&gt;"لا"),0,MAX(0,MIN($F42,EOMONTH(DATE(cfg_FY,12,1),0))-$E42+1))</f>
        <v>0</v>
      </c>
      <c r="AT42" s="57" t="n">
        <f aca="false">IF(OR(OR($B42="",$E42="",$F42=""),$K42&lt;&gt;"نعم",$M42="نعم"),0,MAX(0,MIN($F42,EOMONTH(DATE(cfg_FY,1,1),0))-MAX($E42,DATE(cfg_FY,1,1))+1))</f>
        <v>0</v>
      </c>
      <c r="AU42" s="57" t="n">
        <f aca="false">IF(OR(OR($B42="",$E42="",$F42=""),$K42&lt;&gt;"نعم",$M42="نعم"),0,MAX(0,MIN($F42,EOMONTH(DATE(cfg_FY,2,1),0))-MAX($E42,DATE(cfg_FY,2,1))+1))</f>
        <v>0</v>
      </c>
      <c r="AV42" s="57" t="n">
        <f aca="false">IF(OR(OR($B42="",$E42="",$F42=""),$K42&lt;&gt;"نعم",$M42="نعم"),0,MAX(0,MIN($F42,EOMONTH(DATE(cfg_FY,3,1),0))-MAX($E42,DATE(cfg_FY,3,1))+1))</f>
        <v>0</v>
      </c>
      <c r="AW42" s="57" t="n">
        <f aca="false">IF(OR(OR($B42="",$E42="",$F42=""),$K42&lt;&gt;"نعم",$M42="نعم"),0,MAX(0,MIN($F42,EOMONTH(DATE(cfg_FY,4,1),0))-MAX($E42,DATE(cfg_FY,4,1))+1))</f>
        <v>0</v>
      </c>
      <c r="AX42" s="57" t="n">
        <f aca="false">IF(OR(OR($B42="",$E42="",$F42=""),$K42&lt;&gt;"نعم",$M42="نعم"),0,MAX(0,MIN($F42,EOMONTH(DATE(cfg_FY,5,1),0))-MAX($E42,DATE(cfg_FY,5,1))+1))</f>
        <v>0</v>
      </c>
      <c r="AY42" s="57" t="n">
        <f aca="false">IF(OR(OR($B42="",$E42="",$F42=""),$K42&lt;&gt;"نعم",$M42="نعم"),0,MAX(0,MIN($F42,EOMONTH(DATE(cfg_FY,6,1),0))-MAX($E42,DATE(cfg_FY,6,1))+1))</f>
        <v>0</v>
      </c>
      <c r="AZ42" s="57" t="n">
        <f aca="false">IF(OR(OR($B42="",$E42="",$F42=""),$K42&lt;&gt;"نعم",$M42="نعم"),0,MAX(0,MIN($F42,EOMONTH(DATE(cfg_FY,7,1),0))-MAX($E42,DATE(cfg_FY,7,1))+1))</f>
        <v>0</v>
      </c>
      <c r="BA42" s="57" t="n">
        <f aca="false">IF(OR(OR($B42="",$E42="",$F42=""),$K42&lt;&gt;"نعم",$M42="نعم"),0,MAX(0,MIN($F42,EOMONTH(DATE(cfg_FY,8,1),0))-MAX($E42,DATE(cfg_FY,8,1))+1))</f>
        <v>0</v>
      </c>
      <c r="BB42" s="57" t="n">
        <f aca="false">IF(OR(OR($B42="",$E42="",$F42=""),$K42&lt;&gt;"نعم",$M42="نعم"),0,MAX(0,MIN($F42,EOMONTH(DATE(cfg_FY,9,1),0))-MAX($E42,DATE(cfg_FY,9,1))+1))</f>
        <v>0</v>
      </c>
      <c r="BC42" s="57" t="n">
        <f aca="false">IF(OR(OR($B42="",$E42="",$F42=""),$K42&lt;&gt;"نعم",$M42="نعم"),0,MAX(0,MIN($F42,EOMONTH(DATE(cfg_FY,10,1),0))-MAX($E42,DATE(cfg_FY,10,1))+1))</f>
        <v>0</v>
      </c>
      <c r="BD42" s="57" t="n">
        <f aca="false">IF(OR(OR($B42="",$E42="",$F42=""),$K42&lt;&gt;"نعم",$M42="نعم"),0,MAX(0,MIN($F42,EOMONTH(DATE(cfg_FY,11,1),0))-MAX($E42,DATE(cfg_FY,11,1))+1))</f>
        <v>0</v>
      </c>
      <c r="BE42" s="57" t="n">
        <f aca="false">IF(OR(OR($B42="",$E42="",$F42=""),$K42&lt;&gt;"نعم",$M42="نعم"),0,MAX(0,MIN($F42,EOMONTH(DATE(cfg_FY,12,1),0))-MAX($E42,DATE(cfg_FY,12,1))+1))</f>
        <v>0</v>
      </c>
    </row>
    <row r="43" customFormat="false" ht="15" hidden="false" customHeight="false" outlineLevel="0" collapsed="false">
      <c r="A43" s="100" t="str">
        <f aca="false">IF(B43="","",ROW()-5)</f>
        <v/>
      </c>
      <c r="B43" s="79"/>
      <c r="C43" s="102" t="str">
        <f aca="false">IF(B43="","",IFERROR(INDEX(الموظفون!$C$6:$C$105,MATCH(B43,الموظفون!$B$6:$B$105,0)),"✖ رقم غير موجود"))</f>
        <v/>
      </c>
      <c r="D43" s="79"/>
      <c r="E43" s="94"/>
      <c r="F43" s="94"/>
      <c r="G43" s="110" t="str">
        <f aca="false">IF(OR($B43="",$E43="",$F43=""),"",MAX(0,F43-E43+1))</f>
        <v/>
      </c>
      <c r="H43" s="111" t="str">
        <f aca="false">IF(D43="","",IFERROR(VLOOKUP(D43,cfg_LT,2,FALSE()),1))</f>
        <v/>
      </c>
      <c r="I43" s="82"/>
      <c r="J43" s="111" t="str">
        <f aca="false">IF(D43="","",IF(I43&lt;&gt;"",I43,H43))</f>
        <v/>
      </c>
      <c r="K43" s="102" t="str">
        <f aca="false">IF(D43="","",IFERROR(VLOOKUP($D43,cfg_LT,3,FALSE()),""))</f>
        <v/>
      </c>
      <c r="L43" s="102" t="str">
        <f aca="false">IF(D43="","",IFERROR(VLOOKUP($D43,cfg_LT,4,FALSE()),""))</f>
        <v/>
      </c>
      <c r="M43" s="102" t="str">
        <f aca="false">IF(D43="","",IFERROR(VLOOKUP($D43,cfg_LT,5,FALSE()),""))</f>
        <v/>
      </c>
      <c r="N43" s="101" t="n">
        <f aca="false">IF(OR(OR($B43="",$E43="",$F43=""),M43&lt;&gt;"نعم"),0,G43*J43*IFERROR(INDEX(الموظفون!$R$6:$R$105,MATCH(B43,الموظفون!$B$6:$B$105,0)),0)/cfg_DAYS_M)</f>
        <v>0</v>
      </c>
      <c r="O43" s="100" t="str">
        <f aca="false">IF(OR(OR($B43="",$E43="",$F43=""),M43&lt;&gt;"نعم"),"",IF(YEAR(E43)=cfg_FY,MONTH(E43),""))</f>
        <v/>
      </c>
      <c r="P43" s="102" t="str">
        <f aca="false">IF(B43="","",IF(OR(D43="",E43="",F43=""),"⚠ أكمل النوع والتواريخ",IF(F43&lt;E43,"✖ النهاية قبل البداية",IF(COUNTIFS($B$6:$B$505,B43,$E$6:$E$505,"&lt;="&amp;F43,$F$6:$F$505,"&gt;="&amp;E43)&gt;1,"⚠ تداخل مع سجل آخر",IF(E43&gt;cfg_VAL_DATE,"⏳ قادمة",IF(F43&lt;cfg_VAL_DATE,"✔ منتهية","✈ جارية في تاريخ التقرير"))))))</f>
        <v/>
      </c>
      <c r="Q43" s="79"/>
      <c r="R43" s="110" t="n">
        <f aca="false">IF(OR(OR($B43="",$E43="",$F43=""),L43&lt;&gt;"لا"),0,MAX(0,MIN(F43,cfg_Y_START-1)-E43+1))</f>
        <v>0</v>
      </c>
      <c r="S43" s="110" t="n">
        <f aca="false">IF(OR(OR($B43="",$E43="",$F43=""),L43&lt;&gt;"لا"),0,MAX(0,MIN(F43,cfg_VAL_DATE)-E43+1))</f>
        <v>0</v>
      </c>
      <c r="T43" s="110" t="n">
        <f aca="false">IF(OR(OR($B43="",$E43="",$F43=""),K43&lt;&gt;"نعم"),0,IF(M43="نعم",IF(AND(ISNUMBER(O43),N(O43)&lt;=cfg_VAL_M),G43,0),MAX(0,MIN(F43,cfg_VAL_DATE)-MAX(E43,cfg_Y_START)+1)))</f>
        <v>0</v>
      </c>
      <c r="V43" s="110" t="n">
        <f aca="false">IF(OR($B43="",$E43="",$F43=""),0,MAX(0,MIN($F43,EOMONTH(DATE(cfg_FY,1,1),0))-MAX($E43,DATE(cfg_FY,1,1))+1)*(1-IF($M43="نعم",0,N($J43))))</f>
        <v>0</v>
      </c>
      <c r="W43" s="110" t="n">
        <f aca="false">IF(OR($B43="",$E43="",$F43=""),0,MAX(0,MIN($F43,EOMONTH(DATE(cfg_FY,2,1),0))-MAX($E43,DATE(cfg_FY,2,1))+1)*(1-IF($M43="نعم",0,N($J43))))</f>
        <v>0</v>
      </c>
      <c r="X43" s="110" t="n">
        <f aca="false">IF(OR($B43="",$E43="",$F43=""),0,MAX(0,MIN($F43,EOMONTH(DATE(cfg_FY,3,1),0))-MAX($E43,DATE(cfg_FY,3,1))+1)*(1-IF($M43="نعم",0,N($J43))))</f>
        <v>0</v>
      </c>
      <c r="Y43" s="110" t="n">
        <f aca="false">IF(OR($B43="",$E43="",$F43=""),0,MAX(0,MIN($F43,EOMONTH(DATE(cfg_FY,4,1),0))-MAX($E43,DATE(cfg_FY,4,1))+1)*(1-IF($M43="نعم",0,N($J43))))</f>
        <v>0</v>
      </c>
      <c r="Z43" s="110" t="n">
        <f aca="false">IF(OR($B43="",$E43="",$F43=""),0,MAX(0,MIN($F43,EOMONTH(DATE(cfg_FY,5,1),0))-MAX($E43,DATE(cfg_FY,5,1))+1)*(1-IF($M43="نعم",0,N($J43))))</f>
        <v>0</v>
      </c>
      <c r="AA43" s="110" t="n">
        <f aca="false">IF(OR($B43="",$E43="",$F43=""),0,MAX(0,MIN($F43,EOMONTH(DATE(cfg_FY,6,1),0))-MAX($E43,DATE(cfg_FY,6,1))+1)*(1-IF($M43="نعم",0,N($J43))))</f>
        <v>0</v>
      </c>
      <c r="AB43" s="110" t="n">
        <f aca="false">IF(OR($B43="",$E43="",$F43=""),0,MAX(0,MIN($F43,EOMONTH(DATE(cfg_FY,7,1),0))-MAX($E43,DATE(cfg_FY,7,1))+1)*(1-IF($M43="نعم",0,N($J43))))</f>
        <v>0</v>
      </c>
      <c r="AC43" s="110" t="n">
        <f aca="false">IF(OR($B43="",$E43="",$F43=""),0,MAX(0,MIN($F43,EOMONTH(DATE(cfg_FY,8,1),0))-MAX($E43,DATE(cfg_FY,8,1))+1)*(1-IF($M43="نعم",0,N($J43))))</f>
        <v>0</v>
      </c>
      <c r="AD43" s="110" t="n">
        <f aca="false">IF(OR($B43="",$E43="",$F43=""),0,MAX(0,MIN($F43,EOMONTH(DATE(cfg_FY,9,1),0))-MAX($E43,DATE(cfg_FY,9,1))+1)*(1-IF($M43="نعم",0,N($J43))))</f>
        <v>0</v>
      </c>
      <c r="AE43" s="110" t="n">
        <f aca="false">IF(OR($B43="",$E43="",$F43=""),0,MAX(0,MIN($F43,EOMONTH(DATE(cfg_FY,10,1),0))-MAX($E43,DATE(cfg_FY,10,1))+1)*(1-IF($M43="نعم",0,N($J43))))</f>
        <v>0</v>
      </c>
      <c r="AF43" s="110" t="n">
        <f aca="false">IF(OR($B43="",$E43="",$F43=""),0,MAX(0,MIN($F43,EOMONTH(DATE(cfg_FY,11,1),0))-MAX($E43,DATE(cfg_FY,11,1))+1)*(1-IF($M43="نعم",0,N($J43))))</f>
        <v>0</v>
      </c>
      <c r="AG43" s="110" t="n">
        <f aca="false">IF(OR($B43="",$E43="",$F43=""),0,MAX(0,MIN($F43,EOMONTH(DATE(cfg_FY,12,1),0))-MAX($E43,DATE(cfg_FY,12,1))+1)*(1-IF($M43="نعم",0,N($J43))))</f>
        <v>0</v>
      </c>
      <c r="AH43" s="110" t="n">
        <f aca="false">IF(OR(OR($B43="",$E43="",$F43=""),$L43&lt;&gt;"لا"),0,MAX(0,MIN($F43,EOMONTH(DATE(cfg_FY,1,1),0))-$E43+1))</f>
        <v>0</v>
      </c>
      <c r="AI43" s="110" t="n">
        <f aca="false">IF(OR(OR($B43="",$E43="",$F43=""),$L43&lt;&gt;"لا"),0,MAX(0,MIN($F43,EOMONTH(DATE(cfg_FY,2,1),0))-$E43+1))</f>
        <v>0</v>
      </c>
      <c r="AJ43" s="110" t="n">
        <f aca="false">IF(OR(OR($B43="",$E43="",$F43=""),$L43&lt;&gt;"لا"),0,MAX(0,MIN($F43,EOMONTH(DATE(cfg_FY,3,1),0))-$E43+1))</f>
        <v>0</v>
      </c>
      <c r="AK43" s="110" t="n">
        <f aca="false">IF(OR(OR($B43="",$E43="",$F43=""),$L43&lt;&gt;"لا"),0,MAX(0,MIN($F43,EOMONTH(DATE(cfg_FY,4,1),0))-$E43+1))</f>
        <v>0</v>
      </c>
      <c r="AL43" s="110" t="n">
        <f aca="false">IF(OR(OR($B43="",$E43="",$F43=""),$L43&lt;&gt;"لا"),0,MAX(0,MIN($F43,EOMONTH(DATE(cfg_FY,5,1),0))-$E43+1))</f>
        <v>0</v>
      </c>
      <c r="AM43" s="110" t="n">
        <f aca="false">IF(OR(OR($B43="",$E43="",$F43=""),$L43&lt;&gt;"لا"),0,MAX(0,MIN($F43,EOMONTH(DATE(cfg_FY,6,1),0))-$E43+1))</f>
        <v>0</v>
      </c>
      <c r="AN43" s="110" t="n">
        <f aca="false">IF(OR(OR($B43="",$E43="",$F43=""),$L43&lt;&gt;"لا"),0,MAX(0,MIN($F43,EOMONTH(DATE(cfg_FY,7,1),0))-$E43+1))</f>
        <v>0</v>
      </c>
      <c r="AO43" s="110" t="n">
        <f aca="false">IF(OR(OR($B43="",$E43="",$F43=""),$L43&lt;&gt;"لا"),0,MAX(0,MIN($F43,EOMONTH(DATE(cfg_FY,8,1),0))-$E43+1))</f>
        <v>0</v>
      </c>
      <c r="AP43" s="110" t="n">
        <f aca="false">IF(OR(OR($B43="",$E43="",$F43=""),$L43&lt;&gt;"لا"),0,MAX(0,MIN($F43,EOMONTH(DATE(cfg_FY,9,1),0))-$E43+1))</f>
        <v>0</v>
      </c>
      <c r="AQ43" s="110" t="n">
        <f aca="false">IF(OR(OR($B43="",$E43="",$F43=""),$L43&lt;&gt;"لا"),0,MAX(0,MIN($F43,EOMONTH(DATE(cfg_FY,10,1),0))-$E43+1))</f>
        <v>0</v>
      </c>
      <c r="AR43" s="110" t="n">
        <f aca="false">IF(OR(OR($B43="",$E43="",$F43=""),$L43&lt;&gt;"لا"),0,MAX(0,MIN($F43,EOMONTH(DATE(cfg_FY,11,1),0))-$E43+1))</f>
        <v>0</v>
      </c>
      <c r="AS43" s="110" t="n">
        <f aca="false">IF(OR(OR($B43="",$E43="",$F43=""),$L43&lt;&gt;"لا"),0,MAX(0,MIN($F43,EOMONTH(DATE(cfg_FY,12,1),0))-$E43+1))</f>
        <v>0</v>
      </c>
      <c r="AT43" s="110" t="n">
        <f aca="false">IF(OR(OR($B43="",$E43="",$F43=""),$K43&lt;&gt;"نعم",$M43="نعم"),0,MAX(0,MIN($F43,EOMONTH(DATE(cfg_FY,1,1),0))-MAX($E43,DATE(cfg_FY,1,1))+1))</f>
        <v>0</v>
      </c>
      <c r="AU43" s="110" t="n">
        <f aca="false">IF(OR(OR($B43="",$E43="",$F43=""),$K43&lt;&gt;"نعم",$M43="نعم"),0,MAX(0,MIN($F43,EOMONTH(DATE(cfg_FY,2,1),0))-MAX($E43,DATE(cfg_FY,2,1))+1))</f>
        <v>0</v>
      </c>
      <c r="AV43" s="110" t="n">
        <f aca="false">IF(OR(OR($B43="",$E43="",$F43=""),$K43&lt;&gt;"نعم",$M43="نعم"),0,MAX(0,MIN($F43,EOMONTH(DATE(cfg_FY,3,1),0))-MAX($E43,DATE(cfg_FY,3,1))+1))</f>
        <v>0</v>
      </c>
      <c r="AW43" s="110" t="n">
        <f aca="false">IF(OR(OR($B43="",$E43="",$F43=""),$K43&lt;&gt;"نعم",$M43="نعم"),0,MAX(0,MIN($F43,EOMONTH(DATE(cfg_FY,4,1),0))-MAX($E43,DATE(cfg_FY,4,1))+1))</f>
        <v>0</v>
      </c>
      <c r="AX43" s="110" t="n">
        <f aca="false">IF(OR(OR($B43="",$E43="",$F43=""),$K43&lt;&gt;"نعم",$M43="نعم"),0,MAX(0,MIN($F43,EOMONTH(DATE(cfg_FY,5,1),0))-MAX($E43,DATE(cfg_FY,5,1))+1))</f>
        <v>0</v>
      </c>
      <c r="AY43" s="110" t="n">
        <f aca="false">IF(OR(OR($B43="",$E43="",$F43=""),$K43&lt;&gt;"نعم",$M43="نعم"),0,MAX(0,MIN($F43,EOMONTH(DATE(cfg_FY,6,1),0))-MAX($E43,DATE(cfg_FY,6,1))+1))</f>
        <v>0</v>
      </c>
      <c r="AZ43" s="110" t="n">
        <f aca="false">IF(OR(OR($B43="",$E43="",$F43=""),$K43&lt;&gt;"نعم",$M43="نعم"),0,MAX(0,MIN($F43,EOMONTH(DATE(cfg_FY,7,1),0))-MAX($E43,DATE(cfg_FY,7,1))+1))</f>
        <v>0</v>
      </c>
      <c r="BA43" s="110" t="n">
        <f aca="false">IF(OR(OR($B43="",$E43="",$F43=""),$K43&lt;&gt;"نعم",$M43="نعم"),0,MAX(0,MIN($F43,EOMONTH(DATE(cfg_FY,8,1),0))-MAX($E43,DATE(cfg_FY,8,1))+1))</f>
        <v>0</v>
      </c>
      <c r="BB43" s="110" t="n">
        <f aca="false">IF(OR(OR($B43="",$E43="",$F43=""),$K43&lt;&gt;"نعم",$M43="نعم"),0,MAX(0,MIN($F43,EOMONTH(DATE(cfg_FY,9,1),0))-MAX($E43,DATE(cfg_FY,9,1))+1))</f>
        <v>0</v>
      </c>
      <c r="BC43" s="110" t="n">
        <f aca="false">IF(OR(OR($B43="",$E43="",$F43=""),$K43&lt;&gt;"نعم",$M43="نعم"),0,MAX(0,MIN($F43,EOMONTH(DATE(cfg_FY,10,1),0))-MAX($E43,DATE(cfg_FY,10,1))+1))</f>
        <v>0</v>
      </c>
      <c r="BD43" s="110" t="n">
        <f aca="false">IF(OR(OR($B43="",$E43="",$F43=""),$K43&lt;&gt;"نعم",$M43="نعم"),0,MAX(0,MIN($F43,EOMONTH(DATE(cfg_FY,11,1),0))-MAX($E43,DATE(cfg_FY,11,1))+1))</f>
        <v>0</v>
      </c>
      <c r="BE43" s="110" t="n">
        <f aca="false">IF(OR(OR($B43="",$E43="",$F43=""),$K43&lt;&gt;"نعم",$M43="نعم"),0,MAX(0,MIN($F43,EOMONTH(DATE(cfg_FY,12,1),0))-MAX($E43,DATE(cfg_FY,12,1))+1))</f>
        <v>0</v>
      </c>
    </row>
    <row r="44" customFormat="false" ht="15" hidden="false" customHeight="false" outlineLevel="0" collapsed="false">
      <c r="A44" s="93" t="str">
        <f aca="false">IF(B44="","",ROW()-5)</f>
        <v/>
      </c>
      <c r="B44" s="79"/>
      <c r="C44" s="80" t="str">
        <f aca="false">IF(B44="","",IFERROR(INDEX(الموظفون!$C$6:$C$105,MATCH(B44,الموظفون!$B$6:$B$105,0)),"✖ رقم غير موجود"))</f>
        <v/>
      </c>
      <c r="D44" s="79"/>
      <c r="E44" s="94"/>
      <c r="F44" s="94"/>
      <c r="G44" s="57" t="str">
        <f aca="false">IF(OR($B44="",$E44="",$F44=""),"",MAX(0,F44-E44+1))</f>
        <v/>
      </c>
      <c r="H44" s="58" t="str">
        <f aca="false">IF(D44="","",IFERROR(VLOOKUP(D44,cfg_LT,2,FALSE()),1))</f>
        <v/>
      </c>
      <c r="I44" s="82"/>
      <c r="J44" s="58" t="str">
        <f aca="false">IF(D44="","",IF(I44&lt;&gt;"",I44,H44))</f>
        <v/>
      </c>
      <c r="K44" s="80" t="str">
        <f aca="false">IF(D44="","",IFERROR(VLOOKUP($D44,cfg_LT,3,FALSE()),""))</f>
        <v/>
      </c>
      <c r="L44" s="80" t="str">
        <f aca="false">IF(D44="","",IFERROR(VLOOKUP($D44,cfg_LT,4,FALSE()),""))</f>
        <v/>
      </c>
      <c r="M44" s="80" t="str">
        <f aca="false">IF(D44="","",IFERROR(VLOOKUP($D44,cfg_LT,5,FALSE()),""))</f>
        <v/>
      </c>
      <c r="N44" s="97" t="n">
        <f aca="false">IF(OR(OR($B44="",$E44="",$F44=""),M44&lt;&gt;"نعم"),0,G44*J44*IFERROR(INDEX(الموظفون!$R$6:$R$105,MATCH(B44,الموظفون!$B$6:$B$105,0)),0)/cfg_DAYS_M)</f>
        <v>0</v>
      </c>
      <c r="O44" s="93" t="str">
        <f aca="false">IF(OR(OR($B44="",$E44="",$F44=""),M44&lt;&gt;"نعم"),"",IF(YEAR(E44)=cfg_FY,MONTH(E44),""))</f>
        <v/>
      </c>
      <c r="P44" s="80" t="str">
        <f aca="false">IF(B44="","",IF(OR(D44="",E44="",F44=""),"⚠ أكمل النوع والتواريخ",IF(F44&lt;E44,"✖ النهاية قبل البداية",IF(COUNTIFS($B$6:$B$505,B44,$E$6:$E$505,"&lt;="&amp;F44,$F$6:$F$505,"&gt;="&amp;E44)&gt;1,"⚠ تداخل مع سجل آخر",IF(E44&gt;cfg_VAL_DATE,"⏳ قادمة",IF(F44&lt;cfg_VAL_DATE,"✔ منتهية","✈ جارية في تاريخ التقرير"))))))</f>
        <v/>
      </c>
      <c r="Q44" s="79"/>
      <c r="R44" s="57" t="n">
        <f aca="false">IF(OR(OR($B44="",$E44="",$F44=""),L44&lt;&gt;"لا"),0,MAX(0,MIN(F44,cfg_Y_START-1)-E44+1))</f>
        <v>0</v>
      </c>
      <c r="S44" s="57" t="n">
        <f aca="false">IF(OR(OR($B44="",$E44="",$F44=""),L44&lt;&gt;"لا"),0,MAX(0,MIN(F44,cfg_VAL_DATE)-E44+1))</f>
        <v>0</v>
      </c>
      <c r="T44" s="57" t="n">
        <f aca="false">IF(OR(OR($B44="",$E44="",$F44=""),K44&lt;&gt;"نعم"),0,IF(M44="نعم",IF(AND(ISNUMBER(O44),N(O44)&lt;=cfg_VAL_M),G44,0),MAX(0,MIN(F44,cfg_VAL_DATE)-MAX(E44,cfg_Y_START)+1)))</f>
        <v>0</v>
      </c>
      <c r="V44" s="57" t="n">
        <f aca="false">IF(OR($B44="",$E44="",$F44=""),0,MAX(0,MIN($F44,EOMONTH(DATE(cfg_FY,1,1),0))-MAX($E44,DATE(cfg_FY,1,1))+1)*(1-IF($M44="نعم",0,N($J44))))</f>
        <v>0</v>
      </c>
      <c r="W44" s="57" t="n">
        <f aca="false">IF(OR($B44="",$E44="",$F44=""),0,MAX(0,MIN($F44,EOMONTH(DATE(cfg_FY,2,1),0))-MAX($E44,DATE(cfg_FY,2,1))+1)*(1-IF($M44="نعم",0,N($J44))))</f>
        <v>0</v>
      </c>
      <c r="X44" s="57" t="n">
        <f aca="false">IF(OR($B44="",$E44="",$F44=""),0,MAX(0,MIN($F44,EOMONTH(DATE(cfg_FY,3,1),0))-MAX($E44,DATE(cfg_FY,3,1))+1)*(1-IF($M44="نعم",0,N($J44))))</f>
        <v>0</v>
      </c>
      <c r="Y44" s="57" t="n">
        <f aca="false">IF(OR($B44="",$E44="",$F44=""),0,MAX(0,MIN($F44,EOMONTH(DATE(cfg_FY,4,1),0))-MAX($E44,DATE(cfg_FY,4,1))+1)*(1-IF($M44="نعم",0,N($J44))))</f>
        <v>0</v>
      </c>
      <c r="Z44" s="57" t="n">
        <f aca="false">IF(OR($B44="",$E44="",$F44=""),0,MAX(0,MIN($F44,EOMONTH(DATE(cfg_FY,5,1),0))-MAX($E44,DATE(cfg_FY,5,1))+1)*(1-IF($M44="نعم",0,N($J44))))</f>
        <v>0</v>
      </c>
      <c r="AA44" s="57" t="n">
        <f aca="false">IF(OR($B44="",$E44="",$F44=""),0,MAX(0,MIN($F44,EOMONTH(DATE(cfg_FY,6,1),0))-MAX($E44,DATE(cfg_FY,6,1))+1)*(1-IF($M44="نعم",0,N($J44))))</f>
        <v>0</v>
      </c>
      <c r="AB44" s="57" t="n">
        <f aca="false">IF(OR($B44="",$E44="",$F44=""),0,MAX(0,MIN($F44,EOMONTH(DATE(cfg_FY,7,1),0))-MAX($E44,DATE(cfg_FY,7,1))+1)*(1-IF($M44="نعم",0,N($J44))))</f>
        <v>0</v>
      </c>
      <c r="AC44" s="57" t="n">
        <f aca="false">IF(OR($B44="",$E44="",$F44=""),0,MAX(0,MIN($F44,EOMONTH(DATE(cfg_FY,8,1),0))-MAX($E44,DATE(cfg_FY,8,1))+1)*(1-IF($M44="نعم",0,N($J44))))</f>
        <v>0</v>
      </c>
      <c r="AD44" s="57" t="n">
        <f aca="false">IF(OR($B44="",$E44="",$F44=""),0,MAX(0,MIN($F44,EOMONTH(DATE(cfg_FY,9,1),0))-MAX($E44,DATE(cfg_FY,9,1))+1)*(1-IF($M44="نعم",0,N($J44))))</f>
        <v>0</v>
      </c>
      <c r="AE44" s="57" t="n">
        <f aca="false">IF(OR($B44="",$E44="",$F44=""),0,MAX(0,MIN($F44,EOMONTH(DATE(cfg_FY,10,1),0))-MAX($E44,DATE(cfg_FY,10,1))+1)*(1-IF($M44="نعم",0,N($J44))))</f>
        <v>0</v>
      </c>
      <c r="AF44" s="57" t="n">
        <f aca="false">IF(OR($B44="",$E44="",$F44=""),0,MAX(0,MIN($F44,EOMONTH(DATE(cfg_FY,11,1),0))-MAX($E44,DATE(cfg_FY,11,1))+1)*(1-IF($M44="نعم",0,N($J44))))</f>
        <v>0</v>
      </c>
      <c r="AG44" s="57" t="n">
        <f aca="false">IF(OR($B44="",$E44="",$F44=""),0,MAX(0,MIN($F44,EOMONTH(DATE(cfg_FY,12,1),0))-MAX($E44,DATE(cfg_FY,12,1))+1)*(1-IF($M44="نعم",0,N($J44))))</f>
        <v>0</v>
      </c>
      <c r="AH44" s="57" t="n">
        <f aca="false">IF(OR(OR($B44="",$E44="",$F44=""),$L44&lt;&gt;"لا"),0,MAX(0,MIN($F44,EOMONTH(DATE(cfg_FY,1,1),0))-$E44+1))</f>
        <v>0</v>
      </c>
      <c r="AI44" s="57" t="n">
        <f aca="false">IF(OR(OR($B44="",$E44="",$F44=""),$L44&lt;&gt;"لا"),0,MAX(0,MIN($F44,EOMONTH(DATE(cfg_FY,2,1),0))-$E44+1))</f>
        <v>0</v>
      </c>
      <c r="AJ44" s="57" t="n">
        <f aca="false">IF(OR(OR($B44="",$E44="",$F44=""),$L44&lt;&gt;"لا"),0,MAX(0,MIN($F44,EOMONTH(DATE(cfg_FY,3,1),0))-$E44+1))</f>
        <v>0</v>
      </c>
      <c r="AK44" s="57" t="n">
        <f aca="false">IF(OR(OR($B44="",$E44="",$F44=""),$L44&lt;&gt;"لا"),0,MAX(0,MIN($F44,EOMONTH(DATE(cfg_FY,4,1),0))-$E44+1))</f>
        <v>0</v>
      </c>
      <c r="AL44" s="57" t="n">
        <f aca="false">IF(OR(OR($B44="",$E44="",$F44=""),$L44&lt;&gt;"لا"),0,MAX(0,MIN($F44,EOMONTH(DATE(cfg_FY,5,1),0))-$E44+1))</f>
        <v>0</v>
      </c>
      <c r="AM44" s="57" t="n">
        <f aca="false">IF(OR(OR($B44="",$E44="",$F44=""),$L44&lt;&gt;"لا"),0,MAX(0,MIN($F44,EOMONTH(DATE(cfg_FY,6,1),0))-$E44+1))</f>
        <v>0</v>
      </c>
      <c r="AN44" s="57" t="n">
        <f aca="false">IF(OR(OR($B44="",$E44="",$F44=""),$L44&lt;&gt;"لا"),0,MAX(0,MIN($F44,EOMONTH(DATE(cfg_FY,7,1),0))-$E44+1))</f>
        <v>0</v>
      </c>
      <c r="AO44" s="57" t="n">
        <f aca="false">IF(OR(OR($B44="",$E44="",$F44=""),$L44&lt;&gt;"لا"),0,MAX(0,MIN($F44,EOMONTH(DATE(cfg_FY,8,1),0))-$E44+1))</f>
        <v>0</v>
      </c>
      <c r="AP44" s="57" t="n">
        <f aca="false">IF(OR(OR($B44="",$E44="",$F44=""),$L44&lt;&gt;"لا"),0,MAX(0,MIN($F44,EOMONTH(DATE(cfg_FY,9,1),0))-$E44+1))</f>
        <v>0</v>
      </c>
      <c r="AQ44" s="57" t="n">
        <f aca="false">IF(OR(OR($B44="",$E44="",$F44=""),$L44&lt;&gt;"لا"),0,MAX(0,MIN($F44,EOMONTH(DATE(cfg_FY,10,1),0))-$E44+1))</f>
        <v>0</v>
      </c>
      <c r="AR44" s="57" t="n">
        <f aca="false">IF(OR(OR($B44="",$E44="",$F44=""),$L44&lt;&gt;"لا"),0,MAX(0,MIN($F44,EOMONTH(DATE(cfg_FY,11,1),0))-$E44+1))</f>
        <v>0</v>
      </c>
      <c r="AS44" s="57" t="n">
        <f aca="false">IF(OR(OR($B44="",$E44="",$F44=""),$L44&lt;&gt;"لا"),0,MAX(0,MIN($F44,EOMONTH(DATE(cfg_FY,12,1),0))-$E44+1))</f>
        <v>0</v>
      </c>
      <c r="AT44" s="57" t="n">
        <f aca="false">IF(OR(OR($B44="",$E44="",$F44=""),$K44&lt;&gt;"نعم",$M44="نعم"),0,MAX(0,MIN($F44,EOMONTH(DATE(cfg_FY,1,1),0))-MAX($E44,DATE(cfg_FY,1,1))+1))</f>
        <v>0</v>
      </c>
      <c r="AU44" s="57" t="n">
        <f aca="false">IF(OR(OR($B44="",$E44="",$F44=""),$K44&lt;&gt;"نعم",$M44="نعم"),0,MAX(0,MIN($F44,EOMONTH(DATE(cfg_FY,2,1),0))-MAX($E44,DATE(cfg_FY,2,1))+1))</f>
        <v>0</v>
      </c>
      <c r="AV44" s="57" t="n">
        <f aca="false">IF(OR(OR($B44="",$E44="",$F44=""),$K44&lt;&gt;"نعم",$M44="نعم"),0,MAX(0,MIN($F44,EOMONTH(DATE(cfg_FY,3,1),0))-MAX($E44,DATE(cfg_FY,3,1))+1))</f>
        <v>0</v>
      </c>
      <c r="AW44" s="57" t="n">
        <f aca="false">IF(OR(OR($B44="",$E44="",$F44=""),$K44&lt;&gt;"نعم",$M44="نعم"),0,MAX(0,MIN($F44,EOMONTH(DATE(cfg_FY,4,1),0))-MAX($E44,DATE(cfg_FY,4,1))+1))</f>
        <v>0</v>
      </c>
      <c r="AX44" s="57" t="n">
        <f aca="false">IF(OR(OR($B44="",$E44="",$F44=""),$K44&lt;&gt;"نعم",$M44="نعم"),0,MAX(0,MIN($F44,EOMONTH(DATE(cfg_FY,5,1),0))-MAX($E44,DATE(cfg_FY,5,1))+1))</f>
        <v>0</v>
      </c>
      <c r="AY44" s="57" t="n">
        <f aca="false">IF(OR(OR($B44="",$E44="",$F44=""),$K44&lt;&gt;"نعم",$M44="نعم"),0,MAX(0,MIN($F44,EOMONTH(DATE(cfg_FY,6,1),0))-MAX($E44,DATE(cfg_FY,6,1))+1))</f>
        <v>0</v>
      </c>
      <c r="AZ44" s="57" t="n">
        <f aca="false">IF(OR(OR($B44="",$E44="",$F44=""),$K44&lt;&gt;"نعم",$M44="نعم"),0,MAX(0,MIN($F44,EOMONTH(DATE(cfg_FY,7,1),0))-MAX($E44,DATE(cfg_FY,7,1))+1))</f>
        <v>0</v>
      </c>
      <c r="BA44" s="57" t="n">
        <f aca="false">IF(OR(OR($B44="",$E44="",$F44=""),$K44&lt;&gt;"نعم",$M44="نعم"),0,MAX(0,MIN($F44,EOMONTH(DATE(cfg_FY,8,1),0))-MAX($E44,DATE(cfg_FY,8,1))+1))</f>
        <v>0</v>
      </c>
      <c r="BB44" s="57" t="n">
        <f aca="false">IF(OR(OR($B44="",$E44="",$F44=""),$K44&lt;&gt;"نعم",$M44="نعم"),0,MAX(0,MIN($F44,EOMONTH(DATE(cfg_FY,9,1),0))-MAX($E44,DATE(cfg_FY,9,1))+1))</f>
        <v>0</v>
      </c>
      <c r="BC44" s="57" t="n">
        <f aca="false">IF(OR(OR($B44="",$E44="",$F44=""),$K44&lt;&gt;"نعم",$M44="نعم"),0,MAX(0,MIN($F44,EOMONTH(DATE(cfg_FY,10,1),0))-MAX($E44,DATE(cfg_FY,10,1))+1))</f>
        <v>0</v>
      </c>
      <c r="BD44" s="57" t="n">
        <f aca="false">IF(OR(OR($B44="",$E44="",$F44=""),$K44&lt;&gt;"نعم",$M44="نعم"),0,MAX(0,MIN($F44,EOMONTH(DATE(cfg_FY,11,1),0))-MAX($E44,DATE(cfg_FY,11,1))+1))</f>
        <v>0</v>
      </c>
      <c r="BE44" s="57" t="n">
        <f aca="false">IF(OR(OR($B44="",$E44="",$F44=""),$K44&lt;&gt;"نعم",$M44="نعم"),0,MAX(0,MIN($F44,EOMONTH(DATE(cfg_FY,12,1),0))-MAX($E44,DATE(cfg_FY,12,1))+1))</f>
        <v>0</v>
      </c>
    </row>
    <row r="45" customFormat="false" ht="15" hidden="false" customHeight="false" outlineLevel="0" collapsed="false">
      <c r="A45" s="100" t="str">
        <f aca="false">IF(B45="","",ROW()-5)</f>
        <v/>
      </c>
      <c r="B45" s="79"/>
      <c r="C45" s="102" t="str">
        <f aca="false">IF(B45="","",IFERROR(INDEX(الموظفون!$C$6:$C$105,MATCH(B45,الموظفون!$B$6:$B$105,0)),"✖ رقم غير موجود"))</f>
        <v/>
      </c>
      <c r="D45" s="79"/>
      <c r="E45" s="94"/>
      <c r="F45" s="94"/>
      <c r="G45" s="110" t="str">
        <f aca="false">IF(OR($B45="",$E45="",$F45=""),"",MAX(0,F45-E45+1))</f>
        <v/>
      </c>
      <c r="H45" s="111" t="str">
        <f aca="false">IF(D45="","",IFERROR(VLOOKUP(D45,cfg_LT,2,FALSE()),1))</f>
        <v/>
      </c>
      <c r="I45" s="82"/>
      <c r="J45" s="111" t="str">
        <f aca="false">IF(D45="","",IF(I45&lt;&gt;"",I45,H45))</f>
        <v/>
      </c>
      <c r="K45" s="102" t="str">
        <f aca="false">IF(D45="","",IFERROR(VLOOKUP($D45,cfg_LT,3,FALSE()),""))</f>
        <v/>
      </c>
      <c r="L45" s="102" t="str">
        <f aca="false">IF(D45="","",IFERROR(VLOOKUP($D45,cfg_LT,4,FALSE()),""))</f>
        <v/>
      </c>
      <c r="M45" s="102" t="str">
        <f aca="false">IF(D45="","",IFERROR(VLOOKUP($D45,cfg_LT,5,FALSE()),""))</f>
        <v/>
      </c>
      <c r="N45" s="101" t="n">
        <f aca="false">IF(OR(OR($B45="",$E45="",$F45=""),M45&lt;&gt;"نعم"),0,G45*J45*IFERROR(INDEX(الموظفون!$R$6:$R$105,MATCH(B45,الموظفون!$B$6:$B$105,0)),0)/cfg_DAYS_M)</f>
        <v>0</v>
      </c>
      <c r="O45" s="100" t="str">
        <f aca="false">IF(OR(OR($B45="",$E45="",$F45=""),M45&lt;&gt;"نعم"),"",IF(YEAR(E45)=cfg_FY,MONTH(E45),""))</f>
        <v/>
      </c>
      <c r="P45" s="102" t="str">
        <f aca="false">IF(B45="","",IF(OR(D45="",E45="",F45=""),"⚠ أكمل النوع والتواريخ",IF(F45&lt;E45,"✖ النهاية قبل البداية",IF(COUNTIFS($B$6:$B$505,B45,$E$6:$E$505,"&lt;="&amp;F45,$F$6:$F$505,"&gt;="&amp;E45)&gt;1,"⚠ تداخل مع سجل آخر",IF(E45&gt;cfg_VAL_DATE,"⏳ قادمة",IF(F45&lt;cfg_VAL_DATE,"✔ منتهية","✈ جارية في تاريخ التقرير"))))))</f>
        <v/>
      </c>
      <c r="Q45" s="79"/>
      <c r="R45" s="110" t="n">
        <f aca="false">IF(OR(OR($B45="",$E45="",$F45=""),L45&lt;&gt;"لا"),0,MAX(0,MIN(F45,cfg_Y_START-1)-E45+1))</f>
        <v>0</v>
      </c>
      <c r="S45" s="110" t="n">
        <f aca="false">IF(OR(OR($B45="",$E45="",$F45=""),L45&lt;&gt;"لا"),0,MAX(0,MIN(F45,cfg_VAL_DATE)-E45+1))</f>
        <v>0</v>
      </c>
      <c r="T45" s="110" t="n">
        <f aca="false">IF(OR(OR($B45="",$E45="",$F45=""),K45&lt;&gt;"نعم"),0,IF(M45="نعم",IF(AND(ISNUMBER(O45),N(O45)&lt;=cfg_VAL_M),G45,0),MAX(0,MIN(F45,cfg_VAL_DATE)-MAX(E45,cfg_Y_START)+1)))</f>
        <v>0</v>
      </c>
      <c r="V45" s="110" t="n">
        <f aca="false">IF(OR($B45="",$E45="",$F45=""),0,MAX(0,MIN($F45,EOMONTH(DATE(cfg_FY,1,1),0))-MAX($E45,DATE(cfg_FY,1,1))+1)*(1-IF($M45="نعم",0,N($J45))))</f>
        <v>0</v>
      </c>
      <c r="W45" s="110" t="n">
        <f aca="false">IF(OR($B45="",$E45="",$F45=""),0,MAX(0,MIN($F45,EOMONTH(DATE(cfg_FY,2,1),0))-MAX($E45,DATE(cfg_FY,2,1))+1)*(1-IF($M45="نعم",0,N($J45))))</f>
        <v>0</v>
      </c>
      <c r="X45" s="110" t="n">
        <f aca="false">IF(OR($B45="",$E45="",$F45=""),0,MAX(0,MIN($F45,EOMONTH(DATE(cfg_FY,3,1),0))-MAX($E45,DATE(cfg_FY,3,1))+1)*(1-IF($M45="نعم",0,N($J45))))</f>
        <v>0</v>
      </c>
      <c r="Y45" s="110" t="n">
        <f aca="false">IF(OR($B45="",$E45="",$F45=""),0,MAX(0,MIN($F45,EOMONTH(DATE(cfg_FY,4,1),0))-MAX($E45,DATE(cfg_FY,4,1))+1)*(1-IF($M45="نعم",0,N($J45))))</f>
        <v>0</v>
      </c>
      <c r="Z45" s="110" t="n">
        <f aca="false">IF(OR($B45="",$E45="",$F45=""),0,MAX(0,MIN($F45,EOMONTH(DATE(cfg_FY,5,1),0))-MAX($E45,DATE(cfg_FY,5,1))+1)*(1-IF($M45="نعم",0,N($J45))))</f>
        <v>0</v>
      </c>
      <c r="AA45" s="110" t="n">
        <f aca="false">IF(OR($B45="",$E45="",$F45=""),0,MAX(0,MIN($F45,EOMONTH(DATE(cfg_FY,6,1),0))-MAX($E45,DATE(cfg_FY,6,1))+1)*(1-IF($M45="نعم",0,N($J45))))</f>
        <v>0</v>
      </c>
      <c r="AB45" s="110" t="n">
        <f aca="false">IF(OR($B45="",$E45="",$F45=""),0,MAX(0,MIN($F45,EOMONTH(DATE(cfg_FY,7,1),0))-MAX($E45,DATE(cfg_FY,7,1))+1)*(1-IF($M45="نعم",0,N($J45))))</f>
        <v>0</v>
      </c>
      <c r="AC45" s="110" t="n">
        <f aca="false">IF(OR($B45="",$E45="",$F45=""),0,MAX(0,MIN($F45,EOMONTH(DATE(cfg_FY,8,1),0))-MAX($E45,DATE(cfg_FY,8,1))+1)*(1-IF($M45="نعم",0,N($J45))))</f>
        <v>0</v>
      </c>
      <c r="AD45" s="110" t="n">
        <f aca="false">IF(OR($B45="",$E45="",$F45=""),0,MAX(0,MIN($F45,EOMONTH(DATE(cfg_FY,9,1),0))-MAX($E45,DATE(cfg_FY,9,1))+1)*(1-IF($M45="نعم",0,N($J45))))</f>
        <v>0</v>
      </c>
      <c r="AE45" s="110" t="n">
        <f aca="false">IF(OR($B45="",$E45="",$F45=""),0,MAX(0,MIN($F45,EOMONTH(DATE(cfg_FY,10,1),0))-MAX($E45,DATE(cfg_FY,10,1))+1)*(1-IF($M45="نعم",0,N($J45))))</f>
        <v>0</v>
      </c>
      <c r="AF45" s="110" t="n">
        <f aca="false">IF(OR($B45="",$E45="",$F45=""),0,MAX(0,MIN($F45,EOMONTH(DATE(cfg_FY,11,1),0))-MAX($E45,DATE(cfg_FY,11,1))+1)*(1-IF($M45="نعم",0,N($J45))))</f>
        <v>0</v>
      </c>
      <c r="AG45" s="110" t="n">
        <f aca="false">IF(OR($B45="",$E45="",$F45=""),0,MAX(0,MIN($F45,EOMONTH(DATE(cfg_FY,12,1),0))-MAX($E45,DATE(cfg_FY,12,1))+1)*(1-IF($M45="نعم",0,N($J45))))</f>
        <v>0</v>
      </c>
      <c r="AH45" s="110" t="n">
        <f aca="false">IF(OR(OR($B45="",$E45="",$F45=""),$L45&lt;&gt;"لا"),0,MAX(0,MIN($F45,EOMONTH(DATE(cfg_FY,1,1),0))-$E45+1))</f>
        <v>0</v>
      </c>
      <c r="AI45" s="110" t="n">
        <f aca="false">IF(OR(OR($B45="",$E45="",$F45=""),$L45&lt;&gt;"لا"),0,MAX(0,MIN($F45,EOMONTH(DATE(cfg_FY,2,1),0))-$E45+1))</f>
        <v>0</v>
      </c>
      <c r="AJ45" s="110" t="n">
        <f aca="false">IF(OR(OR($B45="",$E45="",$F45=""),$L45&lt;&gt;"لا"),0,MAX(0,MIN($F45,EOMONTH(DATE(cfg_FY,3,1),0))-$E45+1))</f>
        <v>0</v>
      </c>
      <c r="AK45" s="110" t="n">
        <f aca="false">IF(OR(OR($B45="",$E45="",$F45=""),$L45&lt;&gt;"لا"),0,MAX(0,MIN($F45,EOMONTH(DATE(cfg_FY,4,1),0))-$E45+1))</f>
        <v>0</v>
      </c>
      <c r="AL45" s="110" t="n">
        <f aca="false">IF(OR(OR($B45="",$E45="",$F45=""),$L45&lt;&gt;"لا"),0,MAX(0,MIN($F45,EOMONTH(DATE(cfg_FY,5,1),0))-$E45+1))</f>
        <v>0</v>
      </c>
      <c r="AM45" s="110" t="n">
        <f aca="false">IF(OR(OR($B45="",$E45="",$F45=""),$L45&lt;&gt;"لا"),0,MAX(0,MIN($F45,EOMONTH(DATE(cfg_FY,6,1),0))-$E45+1))</f>
        <v>0</v>
      </c>
      <c r="AN45" s="110" t="n">
        <f aca="false">IF(OR(OR($B45="",$E45="",$F45=""),$L45&lt;&gt;"لا"),0,MAX(0,MIN($F45,EOMONTH(DATE(cfg_FY,7,1),0))-$E45+1))</f>
        <v>0</v>
      </c>
      <c r="AO45" s="110" t="n">
        <f aca="false">IF(OR(OR($B45="",$E45="",$F45=""),$L45&lt;&gt;"لا"),0,MAX(0,MIN($F45,EOMONTH(DATE(cfg_FY,8,1),0))-$E45+1))</f>
        <v>0</v>
      </c>
      <c r="AP45" s="110" t="n">
        <f aca="false">IF(OR(OR($B45="",$E45="",$F45=""),$L45&lt;&gt;"لا"),0,MAX(0,MIN($F45,EOMONTH(DATE(cfg_FY,9,1),0))-$E45+1))</f>
        <v>0</v>
      </c>
      <c r="AQ45" s="110" t="n">
        <f aca="false">IF(OR(OR($B45="",$E45="",$F45=""),$L45&lt;&gt;"لا"),0,MAX(0,MIN($F45,EOMONTH(DATE(cfg_FY,10,1),0))-$E45+1))</f>
        <v>0</v>
      </c>
      <c r="AR45" s="110" t="n">
        <f aca="false">IF(OR(OR($B45="",$E45="",$F45=""),$L45&lt;&gt;"لا"),0,MAX(0,MIN($F45,EOMONTH(DATE(cfg_FY,11,1),0))-$E45+1))</f>
        <v>0</v>
      </c>
      <c r="AS45" s="110" t="n">
        <f aca="false">IF(OR(OR($B45="",$E45="",$F45=""),$L45&lt;&gt;"لا"),0,MAX(0,MIN($F45,EOMONTH(DATE(cfg_FY,12,1),0))-$E45+1))</f>
        <v>0</v>
      </c>
      <c r="AT45" s="110" t="n">
        <f aca="false">IF(OR(OR($B45="",$E45="",$F45=""),$K45&lt;&gt;"نعم",$M45="نعم"),0,MAX(0,MIN($F45,EOMONTH(DATE(cfg_FY,1,1),0))-MAX($E45,DATE(cfg_FY,1,1))+1))</f>
        <v>0</v>
      </c>
      <c r="AU45" s="110" t="n">
        <f aca="false">IF(OR(OR($B45="",$E45="",$F45=""),$K45&lt;&gt;"نعم",$M45="نعم"),0,MAX(0,MIN($F45,EOMONTH(DATE(cfg_FY,2,1),0))-MAX($E45,DATE(cfg_FY,2,1))+1))</f>
        <v>0</v>
      </c>
      <c r="AV45" s="110" t="n">
        <f aca="false">IF(OR(OR($B45="",$E45="",$F45=""),$K45&lt;&gt;"نعم",$M45="نعم"),0,MAX(0,MIN($F45,EOMONTH(DATE(cfg_FY,3,1),0))-MAX($E45,DATE(cfg_FY,3,1))+1))</f>
        <v>0</v>
      </c>
      <c r="AW45" s="110" t="n">
        <f aca="false">IF(OR(OR($B45="",$E45="",$F45=""),$K45&lt;&gt;"نعم",$M45="نعم"),0,MAX(0,MIN($F45,EOMONTH(DATE(cfg_FY,4,1),0))-MAX($E45,DATE(cfg_FY,4,1))+1))</f>
        <v>0</v>
      </c>
      <c r="AX45" s="110" t="n">
        <f aca="false">IF(OR(OR($B45="",$E45="",$F45=""),$K45&lt;&gt;"نعم",$M45="نعم"),0,MAX(0,MIN($F45,EOMONTH(DATE(cfg_FY,5,1),0))-MAX($E45,DATE(cfg_FY,5,1))+1))</f>
        <v>0</v>
      </c>
      <c r="AY45" s="110" t="n">
        <f aca="false">IF(OR(OR($B45="",$E45="",$F45=""),$K45&lt;&gt;"نعم",$M45="نعم"),0,MAX(0,MIN($F45,EOMONTH(DATE(cfg_FY,6,1),0))-MAX($E45,DATE(cfg_FY,6,1))+1))</f>
        <v>0</v>
      </c>
      <c r="AZ45" s="110" t="n">
        <f aca="false">IF(OR(OR($B45="",$E45="",$F45=""),$K45&lt;&gt;"نعم",$M45="نعم"),0,MAX(0,MIN($F45,EOMONTH(DATE(cfg_FY,7,1),0))-MAX($E45,DATE(cfg_FY,7,1))+1))</f>
        <v>0</v>
      </c>
      <c r="BA45" s="110" t="n">
        <f aca="false">IF(OR(OR($B45="",$E45="",$F45=""),$K45&lt;&gt;"نعم",$M45="نعم"),0,MAX(0,MIN($F45,EOMONTH(DATE(cfg_FY,8,1),0))-MAX($E45,DATE(cfg_FY,8,1))+1))</f>
        <v>0</v>
      </c>
      <c r="BB45" s="110" t="n">
        <f aca="false">IF(OR(OR($B45="",$E45="",$F45=""),$K45&lt;&gt;"نعم",$M45="نعم"),0,MAX(0,MIN($F45,EOMONTH(DATE(cfg_FY,9,1),0))-MAX($E45,DATE(cfg_FY,9,1))+1))</f>
        <v>0</v>
      </c>
      <c r="BC45" s="110" t="n">
        <f aca="false">IF(OR(OR($B45="",$E45="",$F45=""),$K45&lt;&gt;"نعم",$M45="نعم"),0,MAX(0,MIN($F45,EOMONTH(DATE(cfg_FY,10,1),0))-MAX($E45,DATE(cfg_FY,10,1))+1))</f>
        <v>0</v>
      </c>
      <c r="BD45" s="110" t="n">
        <f aca="false">IF(OR(OR($B45="",$E45="",$F45=""),$K45&lt;&gt;"نعم",$M45="نعم"),0,MAX(0,MIN($F45,EOMONTH(DATE(cfg_FY,11,1),0))-MAX($E45,DATE(cfg_FY,11,1))+1))</f>
        <v>0</v>
      </c>
      <c r="BE45" s="110" t="n">
        <f aca="false">IF(OR(OR($B45="",$E45="",$F45=""),$K45&lt;&gt;"نعم",$M45="نعم"),0,MAX(0,MIN($F45,EOMONTH(DATE(cfg_FY,12,1),0))-MAX($E45,DATE(cfg_FY,12,1))+1))</f>
        <v>0</v>
      </c>
    </row>
    <row r="46" customFormat="false" ht="15" hidden="false" customHeight="false" outlineLevel="0" collapsed="false">
      <c r="A46" s="93" t="str">
        <f aca="false">IF(B46="","",ROW()-5)</f>
        <v/>
      </c>
      <c r="B46" s="79"/>
      <c r="C46" s="80" t="str">
        <f aca="false">IF(B46="","",IFERROR(INDEX(الموظفون!$C$6:$C$105,MATCH(B46,الموظفون!$B$6:$B$105,0)),"✖ رقم غير موجود"))</f>
        <v/>
      </c>
      <c r="D46" s="79"/>
      <c r="E46" s="94"/>
      <c r="F46" s="94"/>
      <c r="G46" s="57" t="str">
        <f aca="false">IF(OR($B46="",$E46="",$F46=""),"",MAX(0,F46-E46+1))</f>
        <v/>
      </c>
      <c r="H46" s="58" t="str">
        <f aca="false">IF(D46="","",IFERROR(VLOOKUP(D46,cfg_LT,2,FALSE()),1))</f>
        <v/>
      </c>
      <c r="I46" s="82"/>
      <c r="J46" s="58" t="str">
        <f aca="false">IF(D46="","",IF(I46&lt;&gt;"",I46,H46))</f>
        <v/>
      </c>
      <c r="K46" s="80" t="str">
        <f aca="false">IF(D46="","",IFERROR(VLOOKUP($D46,cfg_LT,3,FALSE()),""))</f>
        <v/>
      </c>
      <c r="L46" s="80" t="str">
        <f aca="false">IF(D46="","",IFERROR(VLOOKUP($D46,cfg_LT,4,FALSE()),""))</f>
        <v/>
      </c>
      <c r="M46" s="80" t="str">
        <f aca="false">IF(D46="","",IFERROR(VLOOKUP($D46,cfg_LT,5,FALSE()),""))</f>
        <v/>
      </c>
      <c r="N46" s="97" t="n">
        <f aca="false">IF(OR(OR($B46="",$E46="",$F46=""),M46&lt;&gt;"نعم"),0,G46*J46*IFERROR(INDEX(الموظفون!$R$6:$R$105,MATCH(B46,الموظفون!$B$6:$B$105,0)),0)/cfg_DAYS_M)</f>
        <v>0</v>
      </c>
      <c r="O46" s="93" t="str">
        <f aca="false">IF(OR(OR($B46="",$E46="",$F46=""),M46&lt;&gt;"نعم"),"",IF(YEAR(E46)=cfg_FY,MONTH(E46),""))</f>
        <v/>
      </c>
      <c r="P46" s="80" t="str">
        <f aca="false">IF(B46="","",IF(OR(D46="",E46="",F46=""),"⚠ أكمل النوع والتواريخ",IF(F46&lt;E46,"✖ النهاية قبل البداية",IF(COUNTIFS($B$6:$B$505,B46,$E$6:$E$505,"&lt;="&amp;F46,$F$6:$F$505,"&gt;="&amp;E46)&gt;1,"⚠ تداخل مع سجل آخر",IF(E46&gt;cfg_VAL_DATE,"⏳ قادمة",IF(F46&lt;cfg_VAL_DATE,"✔ منتهية","✈ جارية في تاريخ التقرير"))))))</f>
        <v/>
      </c>
      <c r="Q46" s="79"/>
      <c r="R46" s="57" t="n">
        <f aca="false">IF(OR(OR($B46="",$E46="",$F46=""),L46&lt;&gt;"لا"),0,MAX(0,MIN(F46,cfg_Y_START-1)-E46+1))</f>
        <v>0</v>
      </c>
      <c r="S46" s="57" t="n">
        <f aca="false">IF(OR(OR($B46="",$E46="",$F46=""),L46&lt;&gt;"لا"),0,MAX(0,MIN(F46,cfg_VAL_DATE)-E46+1))</f>
        <v>0</v>
      </c>
      <c r="T46" s="57" t="n">
        <f aca="false">IF(OR(OR($B46="",$E46="",$F46=""),K46&lt;&gt;"نعم"),0,IF(M46="نعم",IF(AND(ISNUMBER(O46),N(O46)&lt;=cfg_VAL_M),G46,0),MAX(0,MIN(F46,cfg_VAL_DATE)-MAX(E46,cfg_Y_START)+1)))</f>
        <v>0</v>
      </c>
      <c r="V46" s="57" t="n">
        <f aca="false">IF(OR($B46="",$E46="",$F46=""),0,MAX(0,MIN($F46,EOMONTH(DATE(cfg_FY,1,1),0))-MAX($E46,DATE(cfg_FY,1,1))+1)*(1-IF($M46="نعم",0,N($J46))))</f>
        <v>0</v>
      </c>
      <c r="W46" s="57" t="n">
        <f aca="false">IF(OR($B46="",$E46="",$F46=""),0,MAX(0,MIN($F46,EOMONTH(DATE(cfg_FY,2,1),0))-MAX($E46,DATE(cfg_FY,2,1))+1)*(1-IF($M46="نعم",0,N($J46))))</f>
        <v>0</v>
      </c>
      <c r="X46" s="57" t="n">
        <f aca="false">IF(OR($B46="",$E46="",$F46=""),0,MAX(0,MIN($F46,EOMONTH(DATE(cfg_FY,3,1),0))-MAX($E46,DATE(cfg_FY,3,1))+1)*(1-IF($M46="نعم",0,N($J46))))</f>
        <v>0</v>
      </c>
      <c r="Y46" s="57" t="n">
        <f aca="false">IF(OR($B46="",$E46="",$F46=""),0,MAX(0,MIN($F46,EOMONTH(DATE(cfg_FY,4,1),0))-MAX($E46,DATE(cfg_FY,4,1))+1)*(1-IF($M46="نعم",0,N($J46))))</f>
        <v>0</v>
      </c>
      <c r="Z46" s="57" t="n">
        <f aca="false">IF(OR($B46="",$E46="",$F46=""),0,MAX(0,MIN($F46,EOMONTH(DATE(cfg_FY,5,1),0))-MAX($E46,DATE(cfg_FY,5,1))+1)*(1-IF($M46="نعم",0,N($J46))))</f>
        <v>0</v>
      </c>
      <c r="AA46" s="57" t="n">
        <f aca="false">IF(OR($B46="",$E46="",$F46=""),0,MAX(0,MIN($F46,EOMONTH(DATE(cfg_FY,6,1),0))-MAX($E46,DATE(cfg_FY,6,1))+1)*(1-IF($M46="نعم",0,N($J46))))</f>
        <v>0</v>
      </c>
      <c r="AB46" s="57" t="n">
        <f aca="false">IF(OR($B46="",$E46="",$F46=""),0,MAX(0,MIN($F46,EOMONTH(DATE(cfg_FY,7,1),0))-MAX($E46,DATE(cfg_FY,7,1))+1)*(1-IF($M46="نعم",0,N($J46))))</f>
        <v>0</v>
      </c>
      <c r="AC46" s="57" t="n">
        <f aca="false">IF(OR($B46="",$E46="",$F46=""),0,MAX(0,MIN($F46,EOMONTH(DATE(cfg_FY,8,1),0))-MAX($E46,DATE(cfg_FY,8,1))+1)*(1-IF($M46="نعم",0,N($J46))))</f>
        <v>0</v>
      </c>
      <c r="AD46" s="57" t="n">
        <f aca="false">IF(OR($B46="",$E46="",$F46=""),0,MAX(0,MIN($F46,EOMONTH(DATE(cfg_FY,9,1),0))-MAX($E46,DATE(cfg_FY,9,1))+1)*(1-IF($M46="نعم",0,N($J46))))</f>
        <v>0</v>
      </c>
      <c r="AE46" s="57" t="n">
        <f aca="false">IF(OR($B46="",$E46="",$F46=""),0,MAX(0,MIN($F46,EOMONTH(DATE(cfg_FY,10,1),0))-MAX($E46,DATE(cfg_FY,10,1))+1)*(1-IF($M46="نعم",0,N($J46))))</f>
        <v>0</v>
      </c>
      <c r="AF46" s="57" t="n">
        <f aca="false">IF(OR($B46="",$E46="",$F46=""),0,MAX(0,MIN($F46,EOMONTH(DATE(cfg_FY,11,1),0))-MAX($E46,DATE(cfg_FY,11,1))+1)*(1-IF($M46="نعم",0,N($J46))))</f>
        <v>0</v>
      </c>
      <c r="AG46" s="57" t="n">
        <f aca="false">IF(OR($B46="",$E46="",$F46=""),0,MAX(0,MIN($F46,EOMONTH(DATE(cfg_FY,12,1),0))-MAX($E46,DATE(cfg_FY,12,1))+1)*(1-IF($M46="نعم",0,N($J46))))</f>
        <v>0</v>
      </c>
      <c r="AH46" s="57" t="n">
        <f aca="false">IF(OR(OR($B46="",$E46="",$F46=""),$L46&lt;&gt;"لا"),0,MAX(0,MIN($F46,EOMONTH(DATE(cfg_FY,1,1),0))-$E46+1))</f>
        <v>0</v>
      </c>
      <c r="AI46" s="57" t="n">
        <f aca="false">IF(OR(OR($B46="",$E46="",$F46=""),$L46&lt;&gt;"لا"),0,MAX(0,MIN($F46,EOMONTH(DATE(cfg_FY,2,1),0))-$E46+1))</f>
        <v>0</v>
      </c>
      <c r="AJ46" s="57" t="n">
        <f aca="false">IF(OR(OR($B46="",$E46="",$F46=""),$L46&lt;&gt;"لا"),0,MAX(0,MIN($F46,EOMONTH(DATE(cfg_FY,3,1),0))-$E46+1))</f>
        <v>0</v>
      </c>
      <c r="AK46" s="57" t="n">
        <f aca="false">IF(OR(OR($B46="",$E46="",$F46=""),$L46&lt;&gt;"لا"),0,MAX(0,MIN($F46,EOMONTH(DATE(cfg_FY,4,1),0))-$E46+1))</f>
        <v>0</v>
      </c>
      <c r="AL46" s="57" t="n">
        <f aca="false">IF(OR(OR($B46="",$E46="",$F46=""),$L46&lt;&gt;"لا"),0,MAX(0,MIN($F46,EOMONTH(DATE(cfg_FY,5,1),0))-$E46+1))</f>
        <v>0</v>
      </c>
      <c r="AM46" s="57" t="n">
        <f aca="false">IF(OR(OR($B46="",$E46="",$F46=""),$L46&lt;&gt;"لا"),0,MAX(0,MIN($F46,EOMONTH(DATE(cfg_FY,6,1),0))-$E46+1))</f>
        <v>0</v>
      </c>
      <c r="AN46" s="57" t="n">
        <f aca="false">IF(OR(OR($B46="",$E46="",$F46=""),$L46&lt;&gt;"لا"),0,MAX(0,MIN($F46,EOMONTH(DATE(cfg_FY,7,1),0))-$E46+1))</f>
        <v>0</v>
      </c>
      <c r="AO46" s="57" t="n">
        <f aca="false">IF(OR(OR($B46="",$E46="",$F46=""),$L46&lt;&gt;"لا"),0,MAX(0,MIN($F46,EOMONTH(DATE(cfg_FY,8,1),0))-$E46+1))</f>
        <v>0</v>
      </c>
      <c r="AP46" s="57" t="n">
        <f aca="false">IF(OR(OR($B46="",$E46="",$F46=""),$L46&lt;&gt;"لا"),0,MAX(0,MIN($F46,EOMONTH(DATE(cfg_FY,9,1),0))-$E46+1))</f>
        <v>0</v>
      </c>
      <c r="AQ46" s="57" t="n">
        <f aca="false">IF(OR(OR($B46="",$E46="",$F46=""),$L46&lt;&gt;"لا"),0,MAX(0,MIN($F46,EOMONTH(DATE(cfg_FY,10,1),0))-$E46+1))</f>
        <v>0</v>
      </c>
      <c r="AR46" s="57" t="n">
        <f aca="false">IF(OR(OR($B46="",$E46="",$F46=""),$L46&lt;&gt;"لا"),0,MAX(0,MIN($F46,EOMONTH(DATE(cfg_FY,11,1),0))-$E46+1))</f>
        <v>0</v>
      </c>
      <c r="AS46" s="57" t="n">
        <f aca="false">IF(OR(OR($B46="",$E46="",$F46=""),$L46&lt;&gt;"لا"),0,MAX(0,MIN($F46,EOMONTH(DATE(cfg_FY,12,1),0))-$E46+1))</f>
        <v>0</v>
      </c>
      <c r="AT46" s="57" t="n">
        <f aca="false">IF(OR(OR($B46="",$E46="",$F46=""),$K46&lt;&gt;"نعم",$M46="نعم"),0,MAX(0,MIN($F46,EOMONTH(DATE(cfg_FY,1,1),0))-MAX($E46,DATE(cfg_FY,1,1))+1))</f>
        <v>0</v>
      </c>
      <c r="AU46" s="57" t="n">
        <f aca="false">IF(OR(OR($B46="",$E46="",$F46=""),$K46&lt;&gt;"نعم",$M46="نعم"),0,MAX(0,MIN($F46,EOMONTH(DATE(cfg_FY,2,1),0))-MAX($E46,DATE(cfg_FY,2,1))+1))</f>
        <v>0</v>
      </c>
      <c r="AV46" s="57" t="n">
        <f aca="false">IF(OR(OR($B46="",$E46="",$F46=""),$K46&lt;&gt;"نعم",$M46="نعم"),0,MAX(0,MIN($F46,EOMONTH(DATE(cfg_FY,3,1),0))-MAX($E46,DATE(cfg_FY,3,1))+1))</f>
        <v>0</v>
      </c>
      <c r="AW46" s="57" t="n">
        <f aca="false">IF(OR(OR($B46="",$E46="",$F46=""),$K46&lt;&gt;"نعم",$M46="نعم"),0,MAX(0,MIN($F46,EOMONTH(DATE(cfg_FY,4,1),0))-MAX($E46,DATE(cfg_FY,4,1))+1))</f>
        <v>0</v>
      </c>
      <c r="AX46" s="57" t="n">
        <f aca="false">IF(OR(OR($B46="",$E46="",$F46=""),$K46&lt;&gt;"نعم",$M46="نعم"),0,MAX(0,MIN($F46,EOMONTH(DATE(cfg_FY,5,1),0))-MAX($E46,DATE(cfg_FY,5,1))+1))</f>
        <v>0</v>
      </c>
      <c r="AY46" s="57" t="n">
        <f aca="false">IF(OR(OR($B46="",$E46="",$F46=""),$K46&lt;&gt;"نعم",$M46="نعم"),0,MAX(0,MIN($F46,EOMONTH(DATE(cfg_FY,6,1),0))-MAX($E46,DATE(cfg_FY,6,1))+1))</f>
        <v>0</v>
      </c>
      <c r="AZ46" s="57" t="n">
        <f aca="false">IF(OR(OR($B46="",$E46="",$F46=""),$K46&lt;&gt;"نعم",$M46="نعم"),0,MAX(0,MIN($F46,EOMONTH(DATE(cfg_FY,7,1),0))-MAX($E46,DATE(cfg_FY,7,1))+1))</f>
        <v>0</v>
      </c>
      <c r="BA46" s="57" t="n">
        <f aca="false">IF(OR(OR($B46="",$E46="",$F46=""),$K46&lt;&gt;"نعم",$M46="نعم"),0,MAX(0,MIN($F46,EOMONTH(DATE(cfg_FY,8,1),0))-MAX($E46,DATE(cfg_FY,8,1))+1))</f>
        <v>0</v>
      </c>
      <c r="BB46" s="57" t="n">
        <f aca="false">IF(OR(OR($B46="",$E46="",$F46=""),$K46&lt;&gt;"نعم",$M46="نعم"),0,MAX(0,MIN($F46,EOMONTH(DATE(cfg_FY,9,1),0))-MAX($E46,DATE(cfg_FY,9,1))+1))</f>
        <v>0</v>
      </c>
      <c r="BC46" s="57" t="n">
        <f aca="false">IF(OR(OR($B46="",$E46="",$F46=""),$K46&lt;&gt;"نعم",$M46="نعم"),0,MAX(0,MIN($F46,EOMONTH(DATE(cfg_FY,10,1),0))-MAX($E46,DATE(cfg_FY,10,1))+1))</f>
        <v>0</v>
      </c>
      <c r="BD46" s="57" t="n">
        <f aca="false">IF(OR(OR($B46="",$E46="",$F46=""),$K46&lt;&gt;"نعم",$M46="نعم"),0,MAX(0,MIN($F46,EOMONTH(DATE(cfg_FY,11,1),0))-MAX($E46,DATE(cfg_FY,11,1))+1))</f>
        <v>0</v>
      </c>
      <c r="BE46" s="57" t="n">
        <f aca="false">IF(OR(OR($B46="",$E46="",$F46=""),$K46&lt;&gt;"نعم",$M46="نعم"),0,MAX(0,MIN($F46,EOMONTH(DATE(cfg_FY,12,1),0))-MAX($E46,DATE(cfg_FY,12,1))+1))</f>
        <v>0</v>
      </c>
    </row>
    <row r="47" customFormat="false" ht="15" hidden="false" customHeight="false" outlineLevel="0" collapsed="false">
      <c r="A47" s="100" t="str">
        <f aca="false">IF(B47="","",ROW()-5)</f>
        <v/>
      </c>
      <c r="B47" s="79"/>
      <c r="C47" s="102" t="str">
        <f aca="false">IF(B47="","",IFERROR(INDEX(الموظفون!$C$6:$C$105,MATCH(B47,الموظفون!$B$6:$B$105,0)),"✖ رقم غير موجود"))</f>
        <v/>
      </c>
      <c r="D47" s="79"/>
      <c r="E47" s="94"/>
      <c r="F47" s="94"/>
      <c r="G47" s="110" t="str">
        <f aca="false">IF(OR($B47="",$E47="",$F47=""),"",MAX(0,F47-E47+1))</f>
        <v/>
      </c>
      <c r="H47" s="111" t="str">
        <f aca="false">IF(D47="","",IFERROR(VLOOKUP(D47,cfg_LT,2,FALSE()),1))</f>
        <v/>
      </c>
      <c r="I47" s="82"/>
      <c r="J47" s="111" t="str">
        <f aca="false">IF(D47="","",IF(I47&lt;&gt;"",I47,H47))</f>
        <v/>
      </c>
      <c r="K47" s="102" t="str">
        <f aca="false">IF(D47="","",IFERROR(VLOOKUP($D47,cfg_LT,3,FALSE()),""))</f>
        <v/>
      </c>
      <c r="L47" s="102" t="str">
        <f aca="false">IF(D47="","",IFERROR(VLOOKUP($D47,cfg_LT,4,FALSE()),""))</f>
        <v/>
      </c>
      <c r="M47" s="102" t="str">
        <f aca="false">IF(D47="","",IFERROR(VLOOKUP($D47,cfg_LT,5,FALSE()),""))</f>
        <v/>
      </c>
      <c r="N47" s="101" t="n">
        <f aca="false">IF(OR(OR($B47="",$E47="",$F47=""),M47&lt;&gt;"نعم"),0,G47*J47*IFERROR(INDEX(الموظفون!$R$6:$R$105,MATCH(B47,الموظفون!$B$6:$B$105,0)),0)/cfg_DAYS_M)</f>
        <v>0</v>
      </c>
      <c r="O47" s="100" t="str">
        <f aca="false">IF(OR(OR($B47="",$E47="",$F47=""),M47&lt;&gt;"نعم"),"",IF(YEAR(E47)=cfg_FY,MONTH(E47),""))</f>
        <v/>
      </c>
      <c r="P47" s="102" t="str">
        <f aca="false">IF(B47="","",IF(OR(D47="",E47="",F47=""),"⚠ أكمل النوع والتواريخ",IF(F47&lt;E47,"✖ النهاية قبل البداية",IF(COUNTIFS($B$6:$B$505,B47,$E$6:$E$505,"&lt;="&amp;F47,$F$6:$F$505,"&gt;="&amp;E47)&gt;1,"⚠ تداخل مع سجل آخر",IF(E47&gt;cfg_VAL_DATE,"⏳ قادمة",IF(F47&lt;cfg_VAL_DATE,"✔ منتهية","✈ جارية في تاريخ التقرير"))))))</f>
        <v/>
      </c>
      <c r="Q47" s="79"/>
      <c r="R47" s="110" t="n">
        <f aca="false">IF(OR(OR($B47="",$E47="",$F47=""),L47&lt;&gt;"لا"),0,MAX(0,MIN(F47,cfg_Y_START-1)-E47+1))</f>
        <v>0</v>
      </c>
      <c r="S47" s="110" t="n">
        <f aca="false">IF(OR(OR($B47="",$E47="",$F47=""),L47&lt;&gt;"لا"),0,MAX(0,MIN(F47,cfg_VAL_DATE)-E47+1))</f>
        <v>0</v>
      </c>
      <c r="T47" s="110" t="n">
        <f aca="false">IF(OR(OR($B47="",$E47="",$F47=""),K47&lt;&gt;"نعم"),0,IF(M47="نعم",IF(AND(ISNUMBER(O47),N(O47)&lt;=cfg_VAL_M),G47,0),MAX(0,MIN(F47,cfg_VAL_DATE)-MAX(E47,cfg_Y_START)+1)))</f>
        <v>0</v>
      </c>
      <c r="V47" s="110" t="n">
        <f aca="false">IF(OR($B47="",$E47="",$F47=""),0,MAX(0,MIN($F47,EOMONTH(DATE(cfg_FY,1,1),0))-MAX($E47,DATE(cfg_FY,1,1))+1)*(1-IF($M47="نعم",0,N($J47))))</f>
        <v>0</v>
      </c>
      <c r="W47" s="110" t="n">
        <f aca="false">IF(OR($B47="",$E47="",$F47=""),0,MAX(0,MIN($F47,EOMONTH(DATE(cfg_FY,2,1),0))-MAX($E47,DATE(cfg_FY,2,1))+1)*(1-IF($M47="نعم",0,N($J47))))</f>
        <v>0</v>
      </c>
      <c r="X47" s="110" t="n">
        <f aca="false">IF(OR($B47="",$E47="",$F47=""),0,MAX(0,MIN($F47,EOMONTH(DATE(cfg_FY,3,1),0))-MAX($E47,DATE(cfg_FY,3,1))+1)*(1-IF($M47="نعم",0,N($J47))))</f>
        <v>0</v>
      </c>
      <c r="Y47" s="110" t="n">
        <f aca="false">IF(OR($B47="",$E47="",$F47=""),0,MAX(0,MIN($F47,EOMONTH(DATE(cfg_FY,4,1),0))-MAX($E47,DATE(cfg_FY,4,1))+1)*(1-IF($M47="نعم",0,N($J47))))</f>
        <v>0</v>
      </c>
      <c r="Z47" s="110" t="n">
        <f aca="false">IF(OR($B47="",$E47="",$F47=""),0,MAX(0,MIN($F47,EOMONTH(DATE(cfg_FY,5,1),0))-MAX($E47,DATE(cfg_FY,5,1))+1)*(1-IF($M47="نعم",0,N($J47))))</f>
        <v>0</v>
      </c>
      <c r="AA47" s="110" t="n">
        <f aca="false">IF(OR($B47="",$E47="",$F47=""),0,MAX(0,MIN($F47,EOMONTH(DATE(cfg_FY,6,1),0))-MAX($E47,DATE(cfg_FY,6,1))+1)*(1-IF($M47="نعم",0,N($J47))))</f>
        <v>0</v>
      </c>
      <c r="AB47" s="110" t="n">
        <f aca="false">IF(OR($B47="",$E47="",$F47=""),0,MAX(0,MIN($F47,EOMONTH(DATE(cfg_FY,7,1),0))-MAX($E47,DATE(cfg_FY,7,1))+1)*(1-IF($M47="نعم",0,N($J47))))</f>
        <v>0</v>
      </c>
      <c r="AC47" s="110" t="n">
        <f aca="false">IF(OR($B47="",$E47="",$F47=""),0,MAX(0,MIN($F47,EOMONTH(DATE(cfg_FY,8,1),0))-MAX($E47,DATE(cfg_FY,8,1))+1)*(1-IF($M47="نعم",0,N($J47))))</f>
        <v>0</v>
      </c>
      <c r="AD47" s="110" t="n">
        <f aca="false">IF(OR($B47="",$E47="",$F47=""),0,MAX(0,MIN($F47,EOMONTH(DATE(cfg_FY,9,1),0))-MAX($E47,DATE(cfg_FY,9,1))+1)*(1-IF($M47="نعم",0,N($J47))))</f>
        <v>0</v>
      </c>
      <c r="AE47" s="110" t="n">
        <f aca="false">IF(OR($B47="",$E47="",$F47=""),0,MAX(0,MIN($F47,EOMONTH(DATE(cfg_FY,10,1),0))-MAX($E47,DATE(cfg_FY,10,1))+1)*(1-IF($M47="نعم",0,N($J47))))</f>
        <v>0</v>
      </c>
      <c r="AF47" s="110" t="n">
        <f aca="false">IF(OR($B47="",$E47="",$F47=""),0,MAX(0,MIN($F47,EOMONTH(DATE(cfg_FY,11,1),0))-MAX($E47,DATE(cfg_FY,11,1))+1)*(1-IF($M47="نعم",0,N($J47))))</f>
        <v>0</v>
      </c>
      <c r="AG47" s="110" t="n">
        <f aca="false">IF(OR($B47="",$E47="",$F47=""),0,MAX(0,MIN($F47,EOMONTH(DATE(cfg_FY,12,1),0))-MAX($E47,DATE(cfg_FY,12,1))+1)*(1-IF($M47="نعم",0,N($J47))))</f>
        <v>0</v>
      </c>
      <c r="AH47" s="110" t="n">
        <f aca="false">IF(OR(OR($B47="",$E47="",$F47=""),$L47&lt;&gt;"لا"),0,MAX(0,MIN($F47,EOMONTH(DATE(cfg_FY,1,1),0))-$E47+1))</f>
        <v>0</v>
      </c>
      <c r="AI47" s="110" t="n">
        <f aca="false">IF(OR(OR($B47="",$E47="",$F47=""),$L47&lt;&gt;"لا"),0,MAX(0,MIN($F47,EOMONTH(DATE(cfg_FY,2,1),0))-$E47+1))</f>
        <v>0</v>
      </c>
      <c r="AJ47" s="110" t="n">
        <f aca="false">IF(OR(OR($B47="",$E47="",$F47=""),$L47&lt;&gt;"لا"),0,MAX(0,MIN($F47,EOMONTH(DATE(cfg_FY,3,1),0))-$E47+1))</f>
        <v>0</v>
      </c>
      <c r="AK47" s="110" t="n">
        <f aca="false">IF(OR(OR($B47="",$E47="",$F47=""),$L47&lt;&gt;"لا"),0,MAX(0,MIN($F47,EOMONTH(DATE(cfg_FY,4,1),0))-$E47+1))</f>
        <v>0</v>
      </c>
      <c r="AL47" s="110" t="n">
        <f aca="false">IF(OR(OR($B47="",$E47="",$F47=""),$L47&lt;&gt;"لا"),0,MAX(0,MIN($F47,EOMONTH(DATE(cfg_FY,5,1),0))-$E47+1))</f>
        <v>0</v>
      </c>
      <c r="AM47" s="110" t="n">
        <f aca="false">IF(OR(OR($B47="",$E47="",$F47=""),$L47&lt;&gt;"لا"),0,MAX(0,MIN($F47,EOMONTH(DATE(cfg_FY,6,1),0))-$E47+1))</f>
        <v>0</v>
      </c>
      <c r="AN47" s="110" t="n">
        <f aca="false">IF(OR(OR($B47="",$E47="",$F47=""),$L47&lt;&gt;"لا"),0,MAX(0,MIN($F47,EOMONTH(DATE(cfg_FY,7,1),0))-$E47+1))</f>
        <v>0</v>
      </c>
      <c r="AO47" s="110" t="n">
        <f aca="false">IF(OR(OR($B47="",$E47="",$F47=""),$L47&lt;&gt;"لا"),0,MAX(0,MIN($F47,EOMONTH(DATE(cfg_FY,8,1),0))-$E47+1))</f>
        <v>0</v>
      </c>
      <c r="AP47" s="110" t="n">
        <f aca="false">IF(OR(OR($B47="",$E47="",$F47=""),$L47&lt;&gt;"لا"),0,MAX(0,MIN($F47,EOMONTH(DATE(cfg_FY,9,1),0))-$E47+1))</f>
        <v>0</v>
      </c>
      <c r="AQ47" s="110" t="n">
        <f aca="false">IF(OR(OR($B47="",$E47="",$F47=""),$L47&lt;&gt;"لا"),0,MAX(0,MIN($F47,EOMONTH(DATE(cfg_FY,10,1),0))-$E47+1))</f>
        <v>0</v>
      </c>
      <c r="AR47" s="110" t="n">
        <f aca="false">IF(OR(OR($B47="",$E47="",$F47=""),$L47&lt;&gt;"لا"),0,MAX(0,MIN($F47,EOMONTH(DATE(cfg_FY,11,1),0))-$E47+1))</f>
        <v>0</v>
      </c>
      <c r="AS47" s="110" t="n">
        <f aca="false">IF(OR(OR($B47="",$E47="",$F47=""),$L47&lt;&gt;"لا"),0,MAX(0,MIN($F47,EOMONTH(DATE(cfg_FY,12,1),0))-$E47+1))</f>
        <v>0</v>
      </c>
      <c r="AT47" s="110" t="n">
        <f aca="false">IF(OR(OR($B47="",$E47="",$F47=""),$K47&lt;&gt;"نعم",$M47="نعم"),0,MAX(0,MIN($F47,EOMONTH(DATE(cfg_FY,1,1),0))-MAX($E47,DATE(cfg_FY,1,1))+1))</f>
        <v>0</v>
      </c>
      <c r="AU47" s="110" t="n">
        <f aca="false">IF(OR(OR($B47="",$E47="",$F47=""),$K47&lt;&gt;"نعم",$M47="نعم"),0,MAX(0,MIN($F47,EOMONTH(DATE(cfg_FY,2,1),0))-MAX($E47,DATE(cfg_FY,2,1))+1))</f>
        <v>0</v>
      </c>
      <c r="AV47" s="110" t="n">
        <f aca="false">IF(OR(OR($B47="",$E47="",$F47=""),$K47&lt;&gt;"نعم",$M47="نعم"),0,MAX(0,MIN($F47,EOMONTH(DATE(cfg_FY,3,1),0))-MAX($E47,DATE(cfg_FY,3,1))+1))</f>
        <v>0</v>
      </c>
      <c r="AW47" s="110" t="n">
        <f aca="false">IF(OR(OR($B47="",$E47="",$F47=""),$K47&lt;&gt;"نعم",$M47="نعم"),0,MAX(0,MIN($F47,EOMONTH(DATE(cfg_FY,4,1),0))-MAX($E47,DATE(cfg_FY,4,1))+1))</f>
        <v>0</v>
      </c>
      <c r="AX47" s="110" t="n">
        <f aca="false">IF(OR(OR($B47="",$E47="",$F47=""),$K47&lt;&gt;"نعم",$M47="نعم"),0,MAX(0,MIN($F47,EOMONTH(DATE(cfg_FY,5,1),0))-MAX($E47,DATE(cfg_FY,5,1))+1))</f>
        <v>0</v>
      </c>
      <c r="AY47" s="110" t="n">
        <f aca="false">IF(OR(OR($B47="",$E47="",$F47=""),$K47&lt;&gt;"نعم",$M47="نعم"),0,MAX(0,MIN($F47,EOMONTH(DATE(cfg_FY,6,1),0))-MAX($E47,DATE(cfg_FY,6,1))+1))</f>
        <v>0</v>
      </c>
      <c r="AZ47" s="110" t="n">
        <f aca="false">IF(OR(OR($B47="",$E47="",$F47=""),$K47&lt;&gt;"نعم",$M47="نعم"),0,MAX(0,MIN($F47,EOMONTH(DATE(cfg_FY,7,1),0))-MAX($E47,DATE(cfg_FY,7,1))+1))</f>
        <v>0</v>
      </c>
      <c r="BA47" s="110" t="n">
        <f aca="false">IF(OR(OR($B47="",$E47="",$F47=""),$K47&lt;&gt;"نعم",$M47="نعم"),0,MAX(0,MIN($F47,EOMONTH(DATE(cfg_FY,8,1),0))-MAX($E47,DATE(cfg_FY,8,1))+1))</f>
        <v>0</v>
      </c>
      <c r="BB47" s="110" t="n">
        <f aca="false">IF(OR(OR($B47="",$E47="",$F47=""),$K47&lt;&gt;"نعم",$M47="نعم"),0,MAX(0,MIN($F47,EOMONTH(DATE(cfg_FY,9,1),0))-MAX($E47,DATE(cfg_FY,9,1))+1))</f>
        <v>0</v>
      </c>
      <c r="BC47" s="110" t="n">
        <f aca="false">IF(OR(OR($B47="",$E47="",$F47=""),$K47&lt;&gt;"نعم",$M47="نعم"),0,MAX(0,MIN($F47,EOMONTH(DATE(cfg_FY,10,1),0))-MAX($E47,DATE(cfg_FY,10,1))+1))</f>
        <v>0</v>
      </c>
      <c r="BD47" s="110" t="n">
        <f aca="false">IF(OR(OR($B47="",$E47="",$F47=""),$K47&lt;&gt;"نعم",$M47="نعم"),0,MAX(0,MIN($F47,EOMONTH(DATE(cfg_FY,11,1),0))-MAX($E47,DATE(cfg_FY,11,1))+1))</f>
        <v>0</v>
      </c>
      <c r="BE47" s="110" t="n">
        <f aca="false">IF(OR(OR($B47="",$E47="",$F47=""),$K47&lt;&gt;"نعم",$M47="نعم"),0,MAX(0,MIN($F47,EOMONTH(DATE(cfg_FY,12,1),0))-MAX($E47,DATE(cfg_FY,12,1))+1))</f>
        <v>0</v>
      </c>
    </row>
    <row r="48" customFormat="false" ht="15" hidden="false" customHeight="false" outlineLevel="0" collapsed="false">
      <c r="A48" s="93" t="str">
        <f aca="false">IF(B48="","",ROW()-5)</f>
        <v/>
      </c>
      <c r="B48" s="79"/>
      <c r="C48" s="80" t="str">
        <f aca="false">IF(B48="","",IFERROR(INDEX(الموظفون!$C$6:$C$105,MATCH(B48,الموظفون!$B$6:$B$105,0)),"✖ رقم غير موجود"))</f>
        <v/>
      </c>
      <c r="D48" s="79"/>
      <c r="E48" s="94"/>
      <c r="F48" s="94"/>
      <c r="G48" s="57" t="str">
        <f aca="false">IF(OR($B48="",$E48="",$F48=""),"",MAX(0,F48-E48+1))</f>
        <v/>
      </c>
      <c r="H48" s="58" t="str">
        <f aca="false">IF(D48="","",IFERROR(VLOOKUP(D48,cfg_LT,2,FALSE()),1))</f>
        <v/>
      </c>
      <c r="I48" s="82"/>
      <c r="J48" s="58" t="str">
        <f aca="false">IF(D48="","",IF(I48&lt;&gt;"",I48,H48))</f>
        <v/>
      </c>
      <c r="K48" s="80" t="str">
        <f aca="false">IF(D48="","",IFERROR(VLOOKUP($D48,cfg_LT,3,FALSE()),""))</f>
        <v/>
      </c>
      <c r="L48" s="80" t="str">
        <f aca="false">IF(D48="","",IFERROR(VLOOKUP($D48,cfg_LT,4,FALSE()),""))</f>
        <v/>
      </c>
      <c r="M48" s="80" t="str">
        <f aca="false">IF(D48="","",IFERROR(VLOOKUP($D48,cfg_LT,5,FALSE()),""))</f>
        <v/>
      </c>
      <c r="N48" s="97" t="n">
        <f aca="false">IF(OR(OR($B48="",$E48="",$F48=""),M48&lt;&gt;"نعم"),0,G48*J48*IFERROR(INDEX(الموظفون!$R$6:$R$105,MATCH(B48,الموظفون!$B$6:$B$105,0)),0)/cfg_DAYS_M)</f>
        <v>0</v>
      </c>
      <c r="O48" s="93" t="str">
        <f aca="false">IF(OR(OR($B48="",$E48="",$F48=""),M48&lt;&gt;"نعم"),"",IF(YEAR(E48)=cfg_FY,MONTH(E48),""))</f>
        <v/>
      </c>
      <c r="P48" s="80" t="str">
        <f aca="false">IF(B48="","",IF(OR(D48="",E48="",F48=""),"⚠ أكمل النوع والتواريخ",IF(F48&lt;E48,"✖ النهاية قبل البداية",IF(COUNTIFS($B$6:$B$505,B48,$E$6:$E$505,"&lt;="&amp;F48,$F$6:$F$505,"&gt;="&amp;E48)&gt;1,"⚠ تداخل مع سجل آخر",IF(E48&gt;cfg_VAL_DATE,"⏳ قادمة",IF(F48&lt;cfg_VAL_DATE,"✔ منتهية","✈ جارية في تاريخ التقرير"))))))</f>
        <v/>
      </c>
      <c r="Q48" s="79"/>
      <c r="R48" s="57" t="n">
        <f aca="false">IF(OR(OR($B48="",$E48="",$F48=""),L48&lt;&gt;"لا"),0,MAX(0,MIN(F48,cfg_Y_START-1)-E48+1))</f>
        <v>0</v>
      </c>
      <c r="S48" s="57" t="n">
        <f aca="false">IF(OR(OR($B48="",$E48="",$F48=""),L48&lt;&gt;"لا"),0,MAX(0,MIN(F48,cfg_VAL_DATE)-E48+1))</f>
        <v>0</v>
      </c>
      <c r="T48" s="57" t="n">
        <f aca="false">IF(OR(OR($B48="",$E48="",$F48=""),K48&lt;&gt;"نعم"),0,IF(M48="نعم",IF(AND(ISNUMBER(O48),N(O48)&lt;=cfg_VAL_M),G48,0),MAX(0,MIN(F48,cfg_VAL_DATE)-MAX(E48,cfg_Y_START)+1)))</f>
        <v>0</v>
      </c>
      <c r="V48" s="57" t="n">
        <f aca="false">IF(OR($B48="",$E48="",$F48=""),0,MAX(0,MIN($F48,EOMONTH(DATE(cfg_FY,1,1),0))-MAX($E48,DATE(cfg_FY,1,1))+1)*(1-IF($M48="نعم",0,N($J48))))</f>
        <v>0</v>
      </c>
      <c r="W48" s="57" t="n">
        <f aca="false">IF(OR($B48="",$E48="",$F48=""),0,MAX(0,MIN($F48,EOMONTH(DATE(cfg_FY,2,1),0))-MAX($E48,DATE(cfg_FY,2,1))+1)*(1-IF($M48="نعم",0,N($J48))))</f>
        <v>0</v>
      </c>
      <c r="X48" s="57" t="n">
        <f aca="false">IF(OR($B48="",$E48="",$F48=""),0,MAX(0,MIN($F48,EOMONTH(DATE(cfg_FY,3,1),0))-MAX($E48,DATE(cfg_FY,3,1))+1)*(1-IF($M48="نعم",0,N($J48))))</f>
        <v>0</v>
      </c>
      <c r="Y48" s="57" t="n">
        <f aca="false">IF(OR($B48="",$E48="",$F48=""),0,MAX(0,MIN($F48,EOMONTH(DATE(cfg_FY,4,1),0))-MAX($E48,DATE(cfg_FY,4,1))+1)*(1-IF($M48="نعم",0,N($J48))))</f>
        <v>0</v>
      </c>
      <c r="Z48" s="57" t="n">
        <f aca="false">IF(OR($B48="",$E48="",$F48=""),0,MAX(0,MIN($F48,EOMONTH(DATE(cfg_FY,5,1),0))-MAX($E48,DATE(cfg_FY,5,1))+1)*(1-IF($M48="نعم",0,N($J48))))</f>
        <v>0</v>
      </c>
      <c r="AA48" s="57" t="n">
        <f aca="false">IF(OR($B48="",$E48="",$F48=""),0,MAX(0,MIN($F48,EOMONTH(DATE(cfg_FY,6,1),0))-MAX($E48,DATE(cfg_FY,6,1))+1)*(1-IF($M48="نعم",0,N($J48))))</f>
        <v>0</v>
      </c>
      <c r="AB48" s="57" t="n">
        <f aca="false">IF(OR($B48="",$E48="",$F48=""),0,MAX(0,MIN($F48,EOMONTH(DATE(cfg_FY,7,1),0))-MAX($E48,DATE(cfg_FY,7,1))+1)*(1-IF($M48="نعم",0,N($J48))))</f>
        <v>0</v>
      </c>
      <c r="AC48" s="57" t="n">
        <f aca="false">IF(OR($B48="",$E48="",$F48=""),0,MAX(0,MIN($F48,EOMONTH(DATE(cfg_FY,8,1),0))-MAX($E48,DATE(cfg_FY,8,1))+1)*(1-IF($M48="نعم",0,N($J48))))</f>
        <v>0</v>
      </c>
      <c r="AD48" s="57" t="n">
        <f aca="false">IF(OR($B48="",$E48="",$F48=""),0,MAX(0,MIN($F48,EOMONTH(DATE(cfg_FY,9,1),0))-MAX($E48,DATE(cfg_FY,9,1))+1)*(1-IF($M48="نعم",0,N($J48))))</f>
        <v>0</v>
      </c>
      <c r="AE48" s="57" t="n">
        <f aca="false">IF(OR($B48="",$E48="",$F48=""),0,MAX(0,MIN($F48,EOMONTH(DATE(cfg_FY,10,1),0))-MAX($E48,DATE(cfg_FY,10,1))+1)*(1-IF($M48="نعم",0,N($J48))))</f>
        <v>0</v>
      </c>
      <c r="AF48" s="57" t="n">
        <f aca="false">IF(OR($B48="",$E48="",$F48=""),0,MAX(0,MIN($F48,EOMONTH(DATE(cfg_FY,11,1),0))-MAX($E48,DATE(cfg_FY,11,1))+1)*(1-IF($M48="نعم",0,N($J48))))</f>
        <v>0</v>
      </c>
      <c r="AG48" s="57" t="n">
        <f aca="false">IF(OR($B48="",$E48="",$F48=""),0,MAX(0,MIN($F48,EOMONTH(DATE(cfg_FY,12,1),0))-MAX($E48,DATE(cfg_FY,12,1))+1)*(1-IF($M48="نعم",0,N($J48))))</f>
        <v>0</v>
      </c>
      <c r="AH48" s="57" t="n">
        <f aca="false">IF(OR(OR($B48="",$E48="",$F48=""),$L48&lt;&gt;"لا"),0,MAX(0,MIN($F48,EOMONTH(DATE(cfg_FY,1,1),0))-$E48+1))</f>
        <v>0</v>
      </c>
      <c r="AI48" s="57" t="n">
        <f aca="false">IF(OR(OR($B48="",$E48="",$F48=""),$L48&lt;&gt;"لا"),0,MAX(0,MIN($F48,EOMONTH(DATE(cfg_FY,2,1),0))-$E48+1))</f>
        <v>0</v>
      </c>
      <c r="AJ48" s="57" t="n">
        <f aca="false">IF(OR(OR($B48="",$E48="",$F48=""),$L48&lt;&gt;"لا"),0,MAX(0,MIN($F48,EOMONTH(DATE(cfg_FY,3,1),0))-$E48+1))</f>
        <v>0</v>
      </c>
      <c r="AK48" s="57" t="n">
        <f aca="false">IF(OR(OR($B48="",$E48="",$F48=""),$L48&lt;&gt;"لا"),0,MAX(0,MIN($F48,EOMONTH(DATE(cfg_FY,4,1),0))-$E48+1))</f>
        <v>0</v>
      </c>
      <c r="AL48" s="57" t="n">
        <f aca="false">IF(OR(OR($B48="",$E48="",$F48=""),$L48&lt;&gt;"لا"),0,MAX(0,MIN($F48,EOMONTH(DATE(cfg_FY,5,1),0))-$E48+1))</f>
        <v>0</v>
      </c>
      <c r="AM48" s="57" t="n">
        <f aca="false">IF(OR(OR($B48="",$E48="",$F48=""),$L48&lt;&gt;"لا"),0,MAX(0,MIN($F48,EOMONTH(DATE(cfg_FY,6,1),0))-$E48+1))</f>
        <v>0</v>
      </c>
      <c r="AN48" s="57" t="n">
        <f aca="false">IF(OR(OR($B48="",$E48="",$F48=""),$L48&lt;&gt;"لا"),0,MAX(0,MIN($F48,EOMONTH(DATE(cfg_FY,7,1),0))-$E48+1))</f>
        <v>0</v>
      </c>
      <c r="AO48" s="57" t="n">
        <f aca="false">IF(OR(OR($B48="",$E48="",$F48=""),$L48&lt;&gt;"لا"),0,MAX(0,MIN($F48,EOMONTH(DATE(cfg_FY,8,1),0))-$E48+1))</f>
        <v>0</v>
      </c>
      <c r="AP48" s="57" t="n">
        <f aca="false">IF(OR(OR($B48="",$E48="",$F48=""),$L48&lt;&gt;"لا"),0,MAX(0,MIN($F48,EOMONTH(DATE(cfg_FY,9,1),0))-$E48+1))</f>
        <v>0</v>
      </c>
      <c r="AQ48" s="57" t="n">
        <f aca="false">IF(OR(OR($B48="",$E48="",$F48=""),$L48&lt;&gt;"لا"),0,MAX(0,MIN($F48,EOMONTH(DATE(cfg_FY,10,1),0))-$E48+1))</f>
        <v>0</v>
      </c>
      <c r="AR48" s="57" t="n">
        <f aca="false">IF(OR(OR($B48="",$E48="",$F48=""),$L48&lt;&gt;"لا"),0,MAX(0,MIN($F48,EOMONTH(DATE(cfg_FY,11,1),0))-$E48+1))</f>
        <v>0</v>
      </c>
      <c r="AS48" s="57" t="n">
        <f aca="false">IF(OR(OR($B48="",$E48="",$F48=""),$L48&lt;&gt;"لا"),0,MAX(0,MIN($F48,EOMONTH(DATE(cfg_FY,12,1),0))-$E48+1))</f>
        <v>0</v>
      </c>
      <c r="AT48" s="57" t="n">
        <f aca="false">IF(OR(OR($B48="",$E48="",$F48=""),$K48&lt;&gt;"نعم",$M48="نعم"),0,MAX(0,MIN($F48,EOMONTH(DATE(cfg_FY,1,1),0))-MAX($E48,DATE(cfg_FY,1,1))+1))</f>
        <v>0</v>
      </c>
      <c r="AU48" s="57" t="n">
        <f aca="false">IF(OR(OR($B48="",$E48="",$F48=""),$K48&lt;&gt;"نعم",$M48="نعم"),0,MAX(0,MIN($F48,EOMONTH(DATE(cfg_FY,2,1),0))-MAX($E48,DATE(cfg_FY,2,1))+1))</f>
        <v>0</v>
      </c>
      <c r="AV48" s="57" t="n">
        <f aca="false">IF(OR(OR($B48="",$E48="",$F48=""),$K48&lt;&gt;"نعم",$M48="نعم"),0,MAX(0,MIN($F48,EOMONTH(DATE(cfg_FY,3,1),0))-MAX($E48,DATE(cfg_FY,3,1))+1))</f>
        <v>0</v>
      </c>
      <c r="AW48" s="57" t="n">
        <f aca="false">IF(OR(OR($B48="",$E48="",$F48=""),$K48&lt;&gt;"نعم",$M48="نعم"),0,MAX(0,MIN($F48,EOMONTH(DATE(cfg_FY,4,1),0))-MAX($E48,DATE(cfg_FY,4,1))+1))</f>
        <v>0</v>
      </c>
      <c r="AX48" s="57" t="n">
        <f aca="false">IF(OR(OR($B48="",$E48="",$F48=""),$K48&lt;&gt;"نعم",$M48="نعم"),0,MAX(0,MIN($F48,EOMONTH(DATE(cfg_FY,5,1),0))-MAX($E48,DATE(cfg_FY,5,1))+1))</f>
        <v>0</v>
      </c>
      <c r="AY48" s="57" t="n">
        <f aca="false">IF(OR(OR($B48="",$E48="",$F48=""),$K48&lt;&gt;"نعم",$M48="نعم"),0,MAX(0,MIN($F48,EOMONTH(DATE(cfg_FY,6,1),0))-MAX($E48,DATE(cfg_FY,6,1))+1))</f>
        <v>0</v>
      </c>
      <c r="AZ48" s="57" t="n">
        <f aca="false">IF(OR(OR($B48="",$E48="",$F48=""),$K48&lt;&gt;"نعم",$M48="نعم"),0,MAX(0,MIN($F48,EOMONTH(DATE(cfg_FY,7,1),0))-MAX($E48,DATE(cfg_FY,7,1))+1))</f>
        <v>0</v>
      </c>
      <c r="BA48" s="57" t="n">
        <f aca="false">IF(OR(OR($B48="",$E48="",$F48=""),$K48&lt;&gt;"نعم",$M48="نعم"),0,MAX(0,MIN($F48,EOMONTH(DATE(cfg_FY,8,1),0))-MAX($E48,DATE(cfg_FY,8,1))+1))</f>
        <v>0</v>
      </c>
      <c r="BB48" s="57" t="n">
        <f aca="false">IF(OR(OR($B48="",$E48="",$F48=""),$K48&lt;&gt;"نعم",$M48="نعم"),0,MAX(0,MIN($F48,EOMONTH(DATE(cfg_FY,9,1),0))-MAX($E48,DATE(cfg_FY,9,1))+1))</f>
        <v>0</v>
      </c>
      <c r="BC48" s="57" t="n">
        <f aca="false">IF(OR(OR($B48="",$E48="",$F48=""),$K48&lt;&gt;"نعم",$M48="نعم"),0,MAX(0,MIN($F48,EOMONTH(DATE(cfg_FY,10,1),0))-MAX($E48,DATE(cfg_FY,10,1))+1))</f>
        <v>0</v>
      </c>
      <c r="BD48" s="57" t="n">
        <f aca="false">IF(OR(OR($B48="",$E48="",$F48=""),$K48&lt;&gt;"نعم",$M48="نعم"),0,MAX(0,MIN($F48,EOMONTH(DATE(cfg_FY,11,1),0))-MAX($E48,DATE(cfg_FY,11,1))+1))</f>
        <v>0</v>
      </c>
      <c r="BE48" s="57" t="n">
        <f aca="false">IF(OR(OR($B48="",$E48="",$F48=""),$K48&lt;&gt;"نعم",$M48="نعم"),0,MAX(0,MIN($F48,EOMONTH(DATE(cfg_FY,12,1),0))-MAX($E48,DATE(cfg_FY,12,1))+1))</f>
        <v>0</v>
      </c>
    </row>
    <row r="49" customFormat="false" ht="15" hidden="false" customHeight="false" outlineLevel="0" collapsed="false">
      <c r="A49" s="100" t="str">
        <f aca="false">IF(B49="","",ROW()-5)</f>
        <v/>
      </c>
      <c r="B49" s="79"/>
      <c r="C49" s="102" t="str">
        <f aca="false">IF(B49="","",IFERROR(INDEX(الموظفون!$C$6:$C$105,MATCH(B49,الموظفون!$B$6:$B$105,0)),"✖ رقم غير موجود"))</f>
        <v/>
      </c>
      <c r="D49" s="79"/>
      <c r="E49" s="94"/>
      <c r="F49" s="94"/>
      <c r="G49" s="110" t="str">
        <f aca="false">IF(OR($B49="",$E49="",$F49=""),"",MAX(0,F49-E49+1))</f>
        <v/>
      </c>
      <c r="H49" s="111" t="str">
        <f aca="false">IF(D49="","",IFERROR(VLOOKUP(D49,cfg_LT,2,FALSE()),1))</f>
        <v/>
      </c>
      <c r="I49" s="82"/>
      <c r="J49" s="111" t="str">
        <f aca="false">IF(D49="","",IF(I49&lt;&gt;"",I49,H49))</f>
        <v/>
      </c>
      <c r="K49" s="102" t="str">
        <f aca="false">IF(D49="","",IFERROR(VLOOKUP($D49,cfg_LT,3,FALSE()),""))</f>
        <v/>
      </c>
      <c r="L49" s="102" t="str">
        <f aca="false">IF(D49="","",IFERROR(VLOOKUP($D49,cfg_LT,4,FALSE()),""))</f>
        <v/>
      </c>
      <c r="M49" s="102" t="str">
        <f aca="false">IF(D49="","",IFERROR(VLOOKUP($D49,cfg_LT,5,FALSE()),""))</f>
        <v/>
      </c>
      <c r="N49" s="101" t="n">
        <f aca="false">IF(OR(OR($B49="",$E49="",$F49=""),M49&lt;&gt;"نعم"),0,G49*J49*IFERROR(INDEX(الموظفون!$R$6:$R$105,MATCH(B49,الموظفون!$B$6:$B$105,0)),0)/cfg_DAYS_M)</f>
        <v>0</v>
      </c>
      <c r="O49" s="100" t="str">
        <f aca="false">IF(OR(OR($B49="",$E49="",$F49=""),M49&lt;&gt;"نعم"),"",IF(YEAR(E49)=cfg_FY,MONTH(E49),""))</f>
        <v/>
      </c>
      <c r="P49" s="102" t="str">
        <f aca="false">IF(B49="","",IF(OR(D49="",E49="",F49=""),"⚠ أكمل النوع والتواريخ",IF(F49&lt;E49,"✖ النهاية قبل البداية",IF(COUNTIFS($B$6:$B$505,B49,$E$6:$E$505,"&lt;="&amp;F49,$F$6:$F$505,"&gt;="&amp;E49)&gt;1,"⚠ تداخل مع سجل آخر",IF(E49&gt;cfg_VAL_DATE,"⏳ قادمة",IF(F49&lt;cfg_VAL_DATE,"✔ منتهية","✈ جارية في تاريخ التقرير"))))))</f>
        <v/>
      </c>
      <c r="Q49" s="79"/>
      <c r="R49" s="110" t="n">
        <f aca="false">IF(OR(OR($B49="",$E49="",$F49=""),L49&lt;&gt;"لا"),0,MAX(0,MIN(F49,cfg_Y_START-1)-E49+1))</f>
        <v>0</v>
      </c>
      <c r="S49" s="110" t="n">
        <f aca="false">IF(OR(OR($B49="",$E49="",$F49=""),L49&lt;&gt;"لا"),0,MAX(0,MIN(F49,cfg_VAL_DATE)-E49+1))</f>
        <v>0</v>
      </c>
      <c r="T49" s="110" t="n">
        <f aca="false">IF(OR(OR($B49="",$E49="",$F49=""),K49&lt;&gt;"نعم"),0,IF(M49="نعم",IF(AND(ISNUMBER(O49),N(O49)&lt;=cfg_VAL_M),G49,0),MAX(0,MIN(F49,cfg_VAL_DATE)-MAX(E49,cfg_Y_START)+1)))</f>
        <v>0</v>
      </c>
      <c r="V49" s="110" t="n">
        <f aca="false">IF(OR($B49="",$E49="",$F49=""),0,MAX(0,MIN($F49,EOMONTH(DATE(cfg_FY,1,1),0))-MAX($E49,DATE(cfg_FY,1,1))+1)*(1-IF($M49="نعم",0,N($J49))))</f>
        <v>0</v>
      </c>
      <c r="W49" s="110" t="n">
        <f aca="false">IF(OR($B49="",$E49="",$F49=""),0,MAX(0,MIN($F49,EOMONTH(DATE(cfg_FY,2,1),0))-MAX($E49,DATE(cfg_FY,2,1))+1)*(1-IF($M49="نعم",0,N($J49))))</f>
        <v>0</v>
      </c>
      <c r="X49" s="110" t="n">
        <f aca="false">IF(OR($B49="",$E49="",$F49=""),0,MAX(0,MIN($F49,EOMONTH(DATE(cfg_FY,3,1),0))-MAX($E49,DATE(cfg_FY,3,1))+1)*(1-IF($M49="نعم",0,N($J49))))</f>
        <v>0</v>
      </c>
      <c r="Y49" s="110" t="n">
        <f aca="false">IF(OR($B49="",$E49="",$F49=""),0,MAX(0,MIN($F49,EOMONTH(DATE(cfg_FY,4,1),0))-MAX($E49,DATE(cfg_FY,4,1))+1)*(1-IF($M49="نعم",0,N($J49))))</f>
        <v>0</v>
      </c>
      <c r="Z49" s="110" t="n">
        <f aca="false">IF(OR($B49="",$E49="",$F49=""),0,MAX(0,MIN($F49,EOMONTH(DATE(cfg_FY,5,1),0))-MAX($E49,DATE(cfg_FY,5,1))+1)*(1-IF($M49="نعم",0,N($J49))))</f>
        <v>0</v>
      </c>
      <c r="AA49" s="110" t="n">
        <f aca="false">IF(OR($B49="",$E49="",$F49=""),0,MAX(0,MIN($F49,EOMONTH(DATE(cfg_FY,6,1),0))-MAX($E49,DATE(cfg_FY,6,1))+1)*(1-IF($M49="نعم",0,N($J49))))</f>
        <v>0</v>
      </c>
      <c r="AB49" s="110" t="n">
        <f aca="false">IF(OR($B49="",$E49="",$F49=""),0,MAX(0,MIN($F49,EOMONTH(DATE(cfg_FY,7,1),0))-MAX($E49,DATE(cfg_FY,7,1))+1)*(1-IF($M49="نعم",0,N($J49))))</f>
        <v>0</v>
      </c>
      <c r="AC49" s="110" t="n">
        <f aca="false">IF(OR($B49="",$E49="",$F49=""),0,MAX(0,MIN($F49,EOMONTH(DATE(cfg_FY,8,1),0))-MAX($E49,DATE(cfg_FY,8,1))+1)*(1-IF($M49="نعم",0,N($J49))))</f>
        <v>0</v>
      </c>
      <c r="AD49" s="110" t="n">
        <f aca="false">IF(OR($B49="",$E49="",$F49=""),0,MAX(0,MIN($F49,EOMONTH(DATE(cfg_FY,9,1),0))-MAX($E49,DATE(cfg_FY,9,1))+1)*(1-IF($M49="نعم",0,N($J49))))</f>
        <v>0</v>
      </c>
      <c r="AE49" s="110" t="n">
        <f aca="false">IF(OR($B49="",$E49="",$F49=""),0,MAX(0,MIN($F49,EOMONTH(DATE(cfg_FY,10,1),0))-MAX($E49,DATE(cfg_FY,10,1))+1)*(1-IF($M49="نعم",0,N($J49))))</f>
        <v>0</v>
      </c>
      <c r="AF49" s="110" t="n">
        <f aca="false">IF(OR($B49="",$E49="",$F49=""),0,MAX(0,MIN($F49,EOMONTH(DATE(cfg_FY,11,1),0))-MAX($E49,DATE(cfg_FY,11,1))+1)*(1-IF($M49="نعم",0,N($J49))))</f>
        <v>0</v>
      </c>
      <c r="AG49" s="110" t="n">
        <f aca="false">IF(OR($B49="",$E49="",$F49=""),0,MAX(0,MIN($F49,EOMONTH(DATE(cfg_FY,12,1),0))-MAX($E49,DATE(cfg_FY,12,1))+1)*(1-IF($M49="نعم",0,N($J49))))</f>
        <v>0</v>
      </c>
      <c r="AH49" s="110" t="n">
        <f aca="false">IF(OR(OR($B49="",$E49="",$F49=""),$L49&lt;&gt;"لا"),0,MAX(0,MIN($F49,EOMONTH(DATE(cfg_FY,1,1),0))-$E49+1))</f>
        <v>0</v>
      </c>
      <c r="AI49" s="110" t="n">
        <f aca="false">IF(OR(OR($B49="",$E49="",$F49=""),$L49&lt;&gt;"لا"),0,MAX(0,MIN($F49,EOMONTH(DATE(cfg_FY,2,1),0))-$E49+1))</f>
        <v>0</v>
      </c>
      <c r="AJ49" s="110" t="n">
        <f aca="false">IF(OR(OR($B49="",$E49="",$F49=""),$L49&lt;&gt;"لا"),0,MAX(0,MIN($F49,EOMONTH(DATE(cfg_FY,3,1),0))-$E49+1))</f>
        <v>0</v>
      </c>
      <c r="AK49" s="110" t="n">
        <f aca="false">IF(OR(OR($B49="",$E49="",$F49=""),$L49&lt;&gt;"لا"),0,MAX(0,MIN($F49,EOMONTH(DATE(cfg_FY,4,1),0))-$E49+1))</f>
        <v>0</v>
      </c>
      <c r="AL49" s="110" t="n">
        <f aca="false">IF(OR(OR($B49="",$E49="",$F49=""),$L49&lt;&gt;"لا"),0,MAX(0,MIN($F49,EOMONTH(DATE(cfg_FY,5,1),0))-$E49+1))</f>
        <v>0</v>
      </c>
      <c r="AM49" s="110" t="n">
        <f aca="false">IF(OR(OR($B49="",$E49="",$F49=""),$L49&lt;&gt;"لا"),0,MAX(0,MIN($F49,EOMONTH(DATE(cfg_FY,6,1),0))-$E49+1))</f>
        <v>0</v>
      </c>
      <c r="AN49" s="110" t="n">
        <f aca="false">IF(OR(OR($B49="",$E49="",$F49=""),$L49&lt;&gt;"لا"),0,MAX(0,MIN($F49,EOMONTH(DATE(cfg_FY,7,1),0))-$E49+1))</f>
        <v>0</v>
      </c>
      <c r="AO49" s="110" t="n">
        <f aca="false">IF(OR(OR($B49="",$E49="",$F49=""),$L49&lt;&gt;"لا"),0,MAX(0,MIN($F49,EOMONTH(DATE(cfg_FY,8,1),0))-$E49+1))</f>
        <v>0</v>
      </c>
      <c r="AP49" s="110" t="n">
        <f aca="false">IF(OR(OR($B49="",$E49="",$F49=""),$L49&lt;&gt;"لا"),0,MAX(0,MIN($F49,EOMONTH(DATE(cfg_FY,9,1),0))-$E49+1))</f>
        <v>0</v>
      </c>
      <c r="AQ49" s="110" t="n">
        <f aca="false">IF(OR(OR($B49="",$E49="",$F49=""),$L49&lt;&gt;"لا"),0,MAX(0,MIN($F49,EOMONTH(DATE(cfg_FY,10,1),0))-$E49+1))</f>
        <v>0</v>
      </c>
      <c r="AR49" s="110" t="n">
        <f aca="false">IF(OR(OR($B49="",$E49="",$F49=""),$L49&lt;&gt;"لا"),0,MAX(0,MIN($F49,EOMONTH(DATE(cfg_FY,11,1),0))-$E49+1))</f>
        <v>0</v>
      </c>
      <c r="AS49" s="110" t="n">
        <f aca="false">IF(OR(OR($B49="",$E49="",$F49=""),$L49&lt;&gt;"لا"),0,MAX(0,MIN($F49,EOMONTH(DATE(cfg_FY,12,1),0))-$E49+1))</f>
        <v>0</v>
      </c>
      <c r="AT49" s="110" t="n">
        <f aca="false">IF(OR(OR($B49="",$E49="",$F49=""),$K49&lt;&gt;"نعم",$M49="نعم"),0,MAX(0,MIN($F49,EOMONTH(DATE(cfg_FY,1,1),0))-MAX($E49,DATE(cfg_FY,1,1))+1))</f>
        <v>0</v>
      </c>
      <c r="AU49" s="110" t="n">
        <f aca="false">IF(OR(OR($B49="",$E49="",$F49=""),$K49&lt;&gt;"نعم",$M49="نعم"),0,MAX(0,MIN($F49,EOMONTH(DATE(cfg_FY,2,1),0))-MAX($E49,DATE(cfg_FY,2,1))+1))</f>
        <v>0</v>
      </c>
      <c r="AV49" s="110" t="n">
        <f aca="false">IF(OR(OR($B49="",$E49="",$F49=""),$K49&lt;&gt;"نعم",$M49="نعم"),0,MAX(0,MIN($F49,EOMONTH(DATE(cfg_FY,3,1),0))-MAX($E49,DATE(cfg_FY,3,1))+1))</f>
        <v>0</v>
      </c>
      <c r="AW49" s="110" t="n">
        <f aca="false">IF(OR(OR($B49="",$E49="",$F49=""),$K49&lt;&gt;"نعم",$M49="نعم"),0,MAX(0,MIN($F49,EOMONTH(DATE(cfg_FY,4,1),0))-MAX($E49,DATE(cfg_FY,4,1))+1))</f>
        <v>0</v>
      </c>
      <c r="AX49" s="110" t="n">
        <f aca="false">IF(OR(OR($B49="",$E49="",$F49=""),$K49&lt;&gt;"نعم",$M49="نعم"),0,MAX(0,MIN($F49,EOMONTH(DATE(cfg_FY,5,1),0))-MAX($E49,DATE(cfg_FY,5,1))+1))</f>
        <v>0</v>
      </c>
      <c r="AY49" s="110" t="n">
        <f aca="false">IF(OR(OR($B49="",$E49="",$F49=""),$K49&lt;&gt;"نعم",$M49="نعم"),0,MAX(0,MIN($F49,EOMONTH(DATE(cfg_FY,6,1),0))-MAX($E49,DATE(cfg_FY,6,1))+1))</f>
        <v>0</v>
      </c>
      <c r="AZ49" s="110" t="n">
        <f aca="false">IF(OR(OR($B49="",$E49="",$F49=""),$K49&lt;&gt;"نعم",$M49="نعم"),0,MAX(0,MIN($F49,EOMONTH(DATE(cfg_FY,7,1),0))-MAX($E49,DATE(cfg_FY,7,1))+1))</f>
        <v>0</v>
      </c>
      <c r="BA49" s="110" t="n">
        <f aca="false">IF(OR(OR($B49="",$E49="",$F49=""),$K49&lt;&gt;"نعم",$M49="نعم"),0,MAX(0,MIN($F49,EOMONTH(DATE(cfg_FY,8,1),0))-MAX($E49,DATE(cfg_FY,8,1))+1))</f>
        <v>0</v>
      </c>
      <c r="BB49" s="110" t="n">
        <f aca="false">IF(OR(OR($B49="",$E49="",$F49=""),$K49&lt;&gt;"نعم",$M49="نعم"),0,MAX(0,MIN($F49,EOMONTH(DATE(cfg_FY,9,1),0))-MAX($E49,DATE(cfg_FY,9,1))+1))</f>
        <v>0</v>
      </c>
      <c r="BC49" s="110" t="n">
        <f aca="false">IF(OR(OR($B49="",$E49="",$F49=""),$K49&lt;&gt;"نعم",$M49="نعم"),0,MAX(0,MIN($F49,EOMONTH(DATE(cfg_FY,10,1),0))-MAX($E49,DATE(cfg_FY,10,1))+1))</f>
        <v>0</v>
      </c>
      <c r="BD49" s="110" t="n">
        <f aca="false">IF(OR(OR($B49="",$E49="",$F49=""),$K49&lt;&gt;"نعم",$M49="نعم"),0,MAX(0,MIN($F49,EOMONTH(DATE(cfg_FY,11,1),0))-MAX($E49,DATE(cfg_FY,11,1))+1))</f>
        <v>0</v>
      </c>
      <c r="BE49" s="110" t="n">
        <f aca="false">IF(OR(OR($B49="",$E49="",$F49=""),$K49&lt;&gt;"نعم",$M49="نعم"),0,MAX(0,MIN($F49,EOMONTH(DATE(cfg_FY,12,1),0))-MAX($E49,DATE(cfg_FY,12,1))+1))</f>
        <v>0</v>
      </c>
    </row>
    <row r="50" customFormat="false" ht="15" hidden="false" customHeight="false" outlineLevel="0" collapsed="false">
      <c r="A50" s="93" t="str">
        <f aca="false">IF(B50="","",ROW()-5)</f>
        <v/>
      </c>
      <c r="B50" s="79"/>
      <c r="C50" s="80" t="str">
        <f aca="false">IF(B50="","",IFERROR(INDEX(الموظفون!$C$6:$C$105,MATCH(B50,الموظفون!$B$6:$B$105,0)),"✖ رقم غير موجود"))</f>
        <v/>
      </c>
      <c r="D50" s="79"/>
      <c r="E50" s="94"/>
      <c r="F50" s="94"/>
      <c r="G50" s="57" t="str">
        <f aca="false">IF(OR($B50="",$E50="",$F50=""),"",MAX(0,F50-E50+1))</f>
        <v/>
      </c>
      <c r="H50" s="58" t="str">
        <f aca="false">IF(D50="","",IFERROR(VLOOKUP(D50,cfg_LT,2,FALSE()),1))</f>
        <v/>
      </c>
      <c r="I50" s="82"/>
      <c r="J50" s="58" t="str">
        <f aca="false">IF(D50="","",IF(I50&lt;&gt;"",I50,H50))</f>
        <v/>
      </c>
      <c r="K50" s="80" t="str">
        <f aca="false">IF(D50="","",IFERROR(VLOOKUP($D50,cfg_LT,3,FALSE()),""))</f>
        <v/>
      </c>
      <c r="L50" s="80" t="str">
        <f aca="false">IF(D50="","",IFERROR(VLOOKUP($D50,cfg_LT,4,FALSE()),""))</f>
        <v/>
      </c>
      <c r="M50" s="80" t="str">
        <f aca="false">IF(D50="","",IFERROR(VLOOKUP($D50,cfg_LT,5,FALSE()),""))</f>
        <v/>
      </c>
      <c r="N50" s="97" t="n">
        <f aca="false">IF(OR(OR($B50="",$E50="",$F50=""),M50&lt;&gt;"نعم"),0,G50*J50*IFERROR(INDEX(الموظفون!$R$6:$R$105,MATCH(B50,الموظفون!$B$6:$B$105,0)),0)/cfg_DAYS_M)</f>
        <v>0</v>
      </c>
      <c r="O50" s="93" t="str">
        <f aca="false">IF(OR(OR($B50="",$E50="",$F50=""),M50&lt;&gt;"نعم"),"",IF(YEAR(E50)=cfg_FY,MONTH(E50),""))</f>
        <v/>
      </c>
      <c r="P50" s="80" t="str">
        <f aca="false">IF(B50="","",IF(OR(D50="",E50="",F50=""),"⚠ أكمل النوع والتواريخ",IF(F50&lt;E50,"✖ النهاية قبل البداية",IF(COUNTIFS($B$6:$B$505,B50,$E$6:$E$505,"&lt;="&amp;F50,$F$6:$F$505,"&gt;="&amp;E50)&gt;1,"⚠ تداخل مع سجل آخر",IF(E50&gt;cfg_VAL_DATE,"⏳ قادمة",IF(F50&lt;cfg_VAL_DATE,"✔ منتهية","✈ جارية في تاريخ التقرير"))))))</f>
        <v/>
      </c>
      <c r="Q50" s="79"/>
      <c r="R50" s="57" t="n">
        <f aca="false">IF(OR(OR($B50="",$E50="",$F50=""),L50&lt;&gt;"لا"),0,MAX(0,MIN(F50,cfg_Y_START-1)-E50+1))</f>
        <v>0</v>
      </c>
      <c r="S50" s="57" t="n">
        <f aca="false">IF(OR(OR($B50="",$E50="",$F50=""),L50&lt;&gt;"لا"),0,MAX(0,MIN(F50,cfg_VAL_DATE)-E50+1))</f>
        <v>0</v>
      </c>
      <c r="T50" s="57" t="n">
        <f aca="false">IF(OR(OR($B50="",$E50="",$F50=""),K50&lt;&gt;"نعم"),0,IF(M50="نعم",IF(AND(ISNUMBER(O50),N(O50)&lt;=cfg_VAL_M),G50,0),MAX(0,MIN(F50,cfg_VAL_DATE)-MAX(E50,cfg_Y_START)+1)))</f>
        <v>0</v>
      </c>
      <c r="V50" s="57" t="n">
        <f aca="false">IF(OR($B50="",$E50="",$F50=""),0,MAX(0,MIN($F50,EOMONTH(DATE(cfg_FY,1,1),0))-MAX($E50,DATE(cfg_FY,1,1))+1)*(1-IF($M50="نعم",0,N($J50))))</f>
        <v>0</v>
      </c>
      <c r="W50" s="57" t="n">
        <f aca="false">IF(OR($B50="",$E50="",$F50=""),0,MAX(0,MIN($F50,EOMONTH(DATE(cfg_FY,2,1),0))-MAX($E50,DATE(cfg_FY,2,1))+1)*(1-IF($M50="نعم",0,N($J50))))</f>
        <v>0</v>
      </c>
      <c r="X50" s="57" t="n">
        <f aca="false">IF(OR($B50="",$E50="",$F50=""),0,MAX(0,MIN($F50,EOMONTH(DATE(cfg_FY,3,1),0))-MAX($E50,DATE(cfg_FY,3,1))+1)*(1-IF($M50="نعم",0,N($J50))))</f>
        <v>0</v>
      </c>
      <c r="Y50" s="57" t="n">
        <f aca="false">IF(OR($B50="",$E50="",$F50=""),0,MAX(0,MIN($F50,EOMONTH(DATE(cfg_FY,4,1),0))-MAX($E50,DATE(cfg_FY,4,1))+1)*(1-IF($M50="نعم",0,N($J50))))</f>
        <v>0</v>
      </c>
      <c r="Z50" s="57" t="n">
        <f aca="false">IF(OR($B50="",$E50="",$F50=""),0,MAX(0,MIN($F50,EOMONTH(DATE(cfg_FY,5,1),0))-MAX($E50,DATE(cfg_FY,5,1))+1)*(1-IF($M50="نعم",0,N($J50))))</f>
        <v>0</v>
      </c>
      <c r="AA50" s="57" t="n">
        <f aca="false">IF(OR($B50="",$E50="",$F50=""),0,MAX(0,MIN($F50,EOMONTH(DATE(cfg_FY,6,1),0))-MAX($E50,DATE(cfg_FY,6,1))+1)*(1-IF($M50="نعم",0,N($J50))))</f>
        <v>0</v>
      </c>
      <c r="AB50" s="57" t="n">
        <f aca="false">IF(OR($B50="",$E50="",$F50=""),0,MAX(0,MIN($F50,EOMONTH(DATE(cfg_FY,7,1),0))-MAX($E50,DATE(cfg_FY,7,1))+1)*(1-IF($M50="نعم",0,N($J50))))</f>
        <v>0</v>
      </c>
      <c r="AC50" s="57" t="n">
        <f aca="false">IF(OR($B50="",$E50="",$F50=""),0,MAX(0,MIN($F50,EOMONTH(DATE(cfg_FY,8,1),0))-MAX($E50,DATE(cfg_FY,8,1))+1)*(1-IF($M50="نعم",0,N($J50))))</f>
        <v>0</v>
      </c>
      <c r="AD50" s="57" t="n">
        <f aca="false">IF(OR($B50="",$E50="",$F50=""),0,MAX(0,MIN($F50,EOMONTH(DATE(cfg_FY,9,1),0))-MAX($E50,DATE(cfg_FY,9,1))+1)*(1-IF($M50="نعم",0,N($J50))))</f>
        <v>0</v>
      </c>
      <c r="AE50" s="57" t="n">
        <f aca="false">IF(OR($B50="",$E50="",$F50=""),0,MAX(0,MIN($F50,EOMONTH(DATE(cfg_FY,10,1),0))-MAX($E50,DATE(cfg_FY,10,1))+1)*(1-IF($M50="نعم",0,N($J50))))</f>
        <v>0</v>
      </c>
      <c r="AF50" s="57" t="n">
        <f aca="false">IF(OR($B50="",$E50="",$F50=""),0,MAX(0,MIN($F50,EOMONTH(DATE(cfg_FY,11,1),0))-MAX($E50,DATE(cfg_FY,11,1))+1)*(1-IF($M50="نعم",0,N($J50))))</f>
        <v>0</v>
      </c>
      <c r="AG50" s="57" t="n">
        <f aca="false">IF(OR($B50="",$E50="",$F50=""),0,MAX(0,MIN($F50,EOMONTH(DATE(cfg_FY,12,1),0))-MAX($E50,DATE(cfg_FY,12,1))+1)*(1-IF($M50="نعم",0,N($J50))))</f>
        <v>0</v>
      </c>
      <c r="AH50" s="57" t="n">
        <f aca="false">IF(OR(OR($B50="",$E50="",$F50=""),$L50&lt;&gt;"لا"),0,MAX(0,MIN($F50,EOMONTH(DATE(cfg_FY,1,1),0))-$E50+1))</f>
        <v>0</v>
      </c>
      <c r="AI50" s="57" t="n">
        <f aca="false">IF(OR(OR($B50="",$E50="",$F50=""),$L50&lt;&gt;"لا"),0,MAX(0,MIN($F50,EOMONTH(DATE(cfg_FY,2,1),0))-$E50+1))</f>
        <v>0</v>
      </c>
      <c r="AJ50" s="57" t="n">
        <f aca="false">IF(OR(OR($B50="",$E50="",$F50=""),$L50&lt;&gt;"لا"),0,MAX(0,MIN($F50,EOMONTH(DATE(cfg_FY,3,1),0))-$E50+1))</f>
        <v>0</v>
      </c>
      <c r="AK50" s="57" t="n">
        <f aca="false">IF(OR(OR($B50="",$E50="",$F50=""),$L50&lt;&gt;"لا"),0,MAX(0,MIN($F50,EOMONTH(DATE(cfg_FY,4,1),0))-$E50+1))</f>
        <v>0</v>
      </c>
      <c r="AL50" s="57" t="n">
        <f aca="false">IF(OR(OR($B50="",$E50="",$F50=""),$L50&lt;&gt;"لا"),0,MAX(0,MIN($F50,EOMONTH(DATE(cfg_FY,5,1),0))-$E50+1))</f>
        <v>0</v>
      </c>
      <c r="AM50" s="57" t="n">
        <f aca="false">IF(OR(OR($B50="",$E50="",$F50=""),$L50&lt;&gt;"لا"),0,MAX(0,MIN($F50,EOMONTH(DATE(cfg_FY,6,1),0))-$E50+1))</f>
        <v>0</v>
      </c>
      <c r="AN50" s="57" t="n">
        <f aca="false">IF(OR(OR($B50="",$E50="",$F50=""),$L50&lt;&gt;"لا"),0,MAX(0,MIN($F50,EOMONTH(DATE(cfg_FY,7,1),0))-$E50+1))</f>
        <v>0</v>
      </c>
      <c r="AO50" s="57" t="n">
        <f aca="false">IF(OR(OR($B50="",$E50="",$F50=""),$L50&lt;&gt;"لا"),0,MAX(0,MIN($F50,EOMONTH(DATE(cfg_FY,8,1),0))-$E50+1))</f>
        <v>0</v>
      </c>
      <c r="AP50" s="57" t="n">
        <f aca="false">IF(OR(OR($B50="",$E50="",$F50=""),$L50&lt;&gt;"لا"),0,MAX(0,MIN($F50,EOMONTH(DATE(cfg_FY,9,1),0))-$E50+1))</f>
        <v>0</v>
      </c>
      <c r="AQ50" s="57" t="n">
        <f aca="false">IF(OR(OR($B50="",$E50="",$F50=""),$L50&lt;&gt;"لا"),0,MAX(0,MIN($F50,EOMONTH(DATE(cfg_FY,10,1),0))-$E50+1))</f>
        <v>0</v>
      </c>
      <c r="AR50" s="57" t="n">
        <f aca="false">IF(OR(OR($B50="",$E50="",$F50=""),$L50&lt;&gt;"لا"),0,MAX(0,MIN($F50,EOMONTH(DATE(cfg_FY,11,1),0))-$E50+1))</f>
        <v>0</v>
      </c>
      <c r="AS50" s="57" t="n">
        <f aca="false">IF(OR(OR($B50="",$E50="",$F50=""),$L50&lt;&gt;"لا"),0,MAX(0,MIN($F50,EOMONTH(DATE(cfg_FY,12,1),0))-$E50+1))</f>
        <v>0</v>
      </c>
      <c r="AT50" s="57" t="n">
        <f aca="false">IF(OR(OR($B50="",$E50="",$F50=""),$K50&lt;&gt;"نعم",$M50="نعم"),0,MAX(0,MIN($F50,EOMONTH(DATE(cfg_FY,1,1),0))-MAX($E50,DATE(cfg_FY,1,1))+1))</f>
        <v>0</v>
      </c>
      <c r="AU50" s="57" t="n">
        <f aca="false">IF(OR(OR($B50="",$E50="",$F50=""),$K50&lt;&gt;"نعم",$M50="نعم"),0,MAX(0,MIN($F50,EOMONTH(DATE(cfg_FY,2,1),0))-MAX($E50,DATE(cfg_FY,2,1))+1))</f>
        <v>0</v>
      </c>
      <c r="AV50" s="57" t="n">
        <f aca="false">IF(OR(OR($B50="",$E50="",$F50=""),$K50&lt;&gt;"نعم",$M50="نعم"),0,MAX(0,MIN($F50,EOMONTH(DATE(cfg_FY,3,1),0))-MAX($E50,DATE(cfg_FY,3,1))+1))</f>
        <v>0</v>
      </c>
      <c r="AW50" s="57" t="n">
        <f aca="false">IF(OR(OR($B50="",$E50="",$F50=""),$K50&lt;&gt;"نعم",$M50="نعم"),0,MAX(0,MIN($F50,EOMONTH(DATE(cfg_FY,4,1),0))-MAX($E50,DATE(cfg_FY,4,1))+1))</f>
        <v>0</v>
      </c>
      <c r="AX50" s="57" t="n">
        <f aca="false">IF(OR(OR($B50="",$E50="",$F50=""),$K50&lt;&gt;"نعم",$M50="نعم"),0,MAX(0,MIN($F50,EOMONTH(DATE(cfg_FY,5,1),0))-MAX($E50,DATE(cfg_FY,5,1))+1))</f>
        <v>0</v>
      </c>
      <c r="AY50" s="57" t="n">
        <f aca="false">IF(OR(OR($B50="",$E50="",$F50=""),$K50&lt;&gt;"نعم",$M50="نعم"),0,MAX(0,MIN($F50,EOMONTH(DATE(cfg_FY,6,1),0))-MAX($E50,DATE(cfg_FY,6,1))+1))</f>
        <v>0</v>
      </c>
      <c r="AZ50" s="57" t="n">
        <f aca="false">IF(OR(OR($B50="",$E50="",$F50=""),$K50&lt;&gt;"نعم",$M50="نعم"),0,MAX(0,MIN($F50,EOMONTH(DATE(cfg_FY,7,1),0))-MAX($E50,DATE(cfg_FY,7,1))+1))</f>
        <v>0</v>
      </c>
      <c r="BA50" s="57" t="n">
        <f aca="false">IF(OR(OR($B50="",$E50="",$F50=""),$K50&lt;&gt;"نعم",$M50="نعم"),0,MAX(0,MIN($F50,EOMONTH(DATE(cfg_FY,8,1),0))-MAX($E50,DATE(cfg_FY,8,1))+1))</f>
        <v>0</v>
      </c>
      <c r="BB50" s="57" t="n">
        <f aca="false">IF(OR(OR($B50="",$E50="",$F50=""),$K50&lt;&gt;"نعم",$M50="نعم"),0,MAX(0,MIN($F50,EOMONTH(DATE(cfg_FY,9,1),0))-MAX($E50,DATE(cfg_FY,9,1))+1))</f>
        <v>0</v>
      </c>
      <c r="BC50" s="57" t="n">
        <f aca="false">IF(OR(OR($B50="",$E50="",$F50=""),$K50&lt;&gt;"نعم",$M50="نعم"),0,MAX(0,MIN($F50,EOMONTH(DATE(cfg_FY,10,1),0))-MAX($E50,DATE(cfg_FY,10,1))+1))</f>
        <v>0</v>
      </c>
      <c r="BD50" s="57" t="n">
        <f aca="false">IF(OR(OR($B50="",$E50="",$F50=""),$K50&lt;&gt;"نعم",$M50="نعم"),0,MAX(0,MIN($F50,EOMONTH(DATE(cfg_FY,11,1),0))-MAX($E50,DATE(cfg_FY,11,1))+1))</f>
        <v>0</v>
      </c>
      <c r="BE50" s="57" t="n">
        <f aca="false">IF(OR(OR($B50="",$E50="",$F50=""),$K50&lt;&gt;"نعم",$M50="نعم"),0,MAX(0,MIN($F50,EOMONTH(DATE(cfg_FY,12,1),0))-MAX($E50,DATE(cfg_FY,12,1))+1))</f>
        <v>0</v>
      </c>
    </row>
    <row r="51" customFormat="false" ht="15" hidden="false" customHeight="false" outlineLevel="0" collapsed="false">
      <c r="A51" s="100" t="str">
        <f aca="false">IF(B51="","",ROW()-5)</f>
        <v/>
      </c>
      <c r="B51" s="79"/>
      <c r="C51" s="102" t="str">
        <f aca="false">IF(B51="","",IFERROR(INDEX(الموظفون!$C$6:$C$105,MATCH(B51,الموظفون!$B$6:$B$105,0)),"✖ رقم غير موجود"))</f>
        <v/>
      </c>
      <c r="D51" s="79"/>
      <c r="E51" s="94"/>
      <c r="F51" s="94"/>
      <c r="G51" s="110" t="str">
        <f aca="false">IF(OR($B51="",$E51="",$F51=""),"",MAX(0,F51-E51+1))</f>
        <v/>
      </c>
      <c r="H51" s="111" t="str">
        <f aca="false">IF(D51="","",IFERROR(VLOOKUP(D51,cfg_LT,2,FALSE()),1))</f>
        <v/>
      </c>
      <c r="I51" s="82"/>
      <c r="J51" s="111" t="str">
        <f aca="false">IF(D51="","",IF(I51&lt;&gt;"",I51,H51))</f>
        <v/>
      </c>
      <c r="K51" s="102" t="str">
        <f aca="false">IF(D51="","",IFERROR(VLOOKUP($D51,cfg_LT,3,FALSE()),""))</f>
        <v/>
      </c>
      <c r="L51" s="102" t="str">
        <f aca="false">IF(D51="","",IFERROR(VLOOKUP($D51,cfg_LT,4,FALSE()),""))</f>
        <v/>
      </c>
      <c r="M51" s="102" t="str">
        <f aca="false">IF(D51="","",IFERROR(VLOOKUP($D51,cfg_LT,5,FALSE()),""))</f>
        <v/>
      </c>
      <c r="N51" s="101" t="n">
        <f aca="false">IF(OR(OR($B51="",$E51="",$F51=""),M51&lt;&gt;"نعم"),0,G51*J51*IFERROR(INDEX(الموظفون!$R$6:$R$105,MATCH(B51,الموظفون!$B$6:$B$105,0)),0)/cfg_DAYS_M)</f>
        <v>0</v>
      </c>
      <c r="O51" s="100" t="str">
        <f aca="false">IF(OR(OR($B51="",$E51="",$F51=""),M51&lt;&gt;"نعم"),"",IF(YEAR(E51)=cfg_FY,MONTH(E51),""))</f>
        <v/>
      </c>
      <c r="P51" s="102" t="str">
        <f aca="false">IF(B51="","",IF(OR(D51="",E51="",F51=""),"⚠ أكمل النوع والتواريخ",IF(F51&lt;E51,"✖ النهاية قبل البداية",IF(COUNTIFS($B$6:$B$505,B51,$E$6:$E$505,"&lt;="&amp;F51,$F$6:$F$505,"&gt;="&amp;E51)&gt;1,"⚠ تداخل مع سجل آخر",IF(E51&gt;cfg_VAL_DATE,"⏳ قادمة",IF(F51&lt;cfg_VAL_DATE,"✔ منتهية","✈ جارية في تاريخ التقرير"))))))</f>
        <v/>
      </c>
      <c r="Q51" s="79"/>
      <c r="R51" s="110" t="n">
        <f aca="false">IF(OR(OR($B51="",$E51="",$F51=""),L51&lt;&gt;"لا"),0,MAX(0,MIN(F51,cfg_Y_START-1)-E51+1))</f>
        <v>0</v>
      </c>
      <c r="S51" s="110" t="n">
        <f aca="false">IF(OR(OR($B51="",$E51="",$F51=""),L51&lt;&gt;"لا"),0,MAX(0,MIN(F51,cfg_VAL_DATE)-E51+1))</f>
        <v>0</v>
      </c>
      <c r="T51" s="110" t="n">
        <f aca="false">IF(OR(OR($B51="",$E51="",$F51=""),K51&lt;&gt;"نعم"),0,IF(M51="نعم",IF(AND(ISNUMBER(O51),N(O51)&lt;=cfg_VAL_M),G51,0),MAX(0,MIN(F51,cfg_VAL_DATE)-MAX(E51,cfg_Y_START)+1)))</f>
        <v>0</v>
      </c>
      <c r="V51" s="110" t="n">
        <f aca="false">IF(OR($B51="",$E51="",$F51=""),0,MAX(0,MIN($F51,EOMONTH(DATE(cfg_FY,1,1),0))-MAX($E51,DATE(cfg_FY,1,1))+1)*(1-IF($M51="نعم",0,N($J51))))</f>
        <v>0</v>
      </c>
      <c r="W51" s="110" t="n">
        <f aca="false">IF(OR($B51="",$E51="",$F51=""),0,MAX(0,MIN($F51,EOMONTH(DATE(cfg_FY,2,1),0))-MAX($E51,DATE(cfg_FY,2,1))+1)*(1-IF($M51="نعم",0,N($J51))))</f>
        <v>0</v>
      </c>
      <c r="X51" s="110" t="n">
        <f aca="false">IF(OR($B51="",$E51="",$F51=""),0,MAX(0,MIN($F51,EOMONTH(DATE(cfg_FY,3,1),0))-MAX($E51,DATE(cfg_FY,3,1))+1)*(1-IF($M51="نعم",0,N($J51))))</f>
        <v>0</v>
      </c>
      <c r="Y51" s="110" t="n">
        <f aca="false">IF(OR($B51="",$E51="",$F51=""),0,MAX(0,MIN($F51,EOMONTH(DATE(cfg_FY,4,1),0))-MAX($E51,DATE(cfg_FY,4,1))+1)*(1-IF($M51="نعم",0,N($J51))))</f>
        <v>0</v>
      </c>
      <c r="Z51" s="110" t="n">
        <f aca="false">IF(OR($B51="",$E51="",$F51=""),0,MAX(0,MIN($F51,EOMONTH(DATE(cfg_FY,5,1),0))-MAX($E51,DATE(cfg_FY,5,1))+1)*(1-IF($M51="نعم",0,N($J51))))</f>
        <v>0</v>
      </c>
      <c r="AA51" s="110" t="n">
        <f aca="false">IF(OR($B51="",$E51="",$F51=""),0,MAX(0,MIN($F51,EOMONTH(DATE(cfg_FY,6,1),0))-MAX($E51,DATE(cfg_FY,6,1))+1)*(1-IF($M51="نعم",0,N($J51))))</f>
        <v>0</v>
      </c>
      <c r="AB51" s="110" t="n">
        <f aca="false">IF(OR($B51="",$E51="",$F51=""),0,MAX(0,MIN($F51,EOMONTH(DATE(cfg_FY,7,1),0))-MAX($E51,DATE(cfg_FY,7,1))+1)*(1-IF($M51="نعم",0,N($J51))))</f>
        <v>0</v>
      </c>
      <c r="AC51" s="110" t="n">
        <f aca="false">IF(OR($B51="",$E51="",$F51=""),0,MAX(0,MIN($F51,EOMONTH(DATE(cfg_FY,8,1),0))-MAX($E51,DATE(cfg_FY,8,1))+1)*(1-IF($M51="نعم",0,N($J51))))</f>
        <v>0</v>
      </c>
      <c r="AD51" s="110" t="n">
        <f aca="false">IF(OR($B51="",$E51="",$F51=""),0,MAX(0,MIN($F51,EOMONTH(DATE(cfg_FY,9,1),0))-MAX($E51,DATE(cfg_FY,9,1))+1)*(1-IF($M51="نعم",0,N($J51))))</f>
        <v>0</v>
      </c>
      <c r="AE51" s="110" t="n">
        <f aca="false">IF(OR($B51="",$E51="",$F51=""),0,MAX(0,MIN($F51,EOMONTH(DATE(cfg_FY,10,1),0))-MAX($E51,DATE(cfg_FY,10,1))+1)*(1-IF($M51="نعم",0,N($J51))))</f>
        <v>0</v>
      </c>
      <c r="AF51" s="110" t="n">
        <f aca="false">IF(OR($B51="",$E51="",$F51=""),0,MAX(0,MIN($F51,EOMONTH(DATE(cfg_FY,11,1),0))-MAX($E51,DATE(cfg_FY,11,1))+1)*(1-IF($M51="نعم",0,N($J51))))</f>
        <v>0</v>
      </c>
      <c r="AG51" s="110" t="n">
        <f aca="false">IF(OR($B51="",$E51="",$F51=""),0,MAX(0,MIN($F51,EOMONTH(DATE(cfg_FY,12,1),0))-MAX($E51,DATE(cfg_FY,12,1))+1)*(1-IF($M51="نعم",0,N($J51))))</f>
        <v>0</v>
      </c>
      <c r="AH51" s="110" t="n">
        <f aca="false">IF(OR(OR($B51="",$E51="",$F51=""),$L51&lt;&gt;"لا"),0,MAX(0,MIN($F51,EOMONTH(DATE(cfg_FY,1,1),0))-$E51+1))</f>
        <v>0</v>
      </c>
      <c r="AI51" s="110" t="n">
        <f aca="false">IF(OR(OR($B51="",$E51="",$F51=""),$L51&lt;&gt;"لا"),0,MAX(0,MIN($F51,EOMONTH(DATE(cfg_FY,2,1),0))-$E51+1))</f>
        <v>0</v>
      </c>
      <c r="AJ51" s="110" t="n">
        <f aca="false">IF(OR(OR($B51="",$E51="",$F51=""),$L51&lt;&gt;"لا"),0,MAX(0,MIN($F51,EOMONTH(DATE(cfg_FY,3,1),0))-$E51+1))</f>
        <v>0</v>
      </c>
      <c r="AK51" s="110" t="n">
        <f aca="false">IF(OR(OR($B51="",$E51="",$F51=""),$L51&lt;&gt;"لا"),0,MAX(0,MIN($F51,EOMONTH(DATE(cfg_FY,4,1),0))-$E51+1))</f>
        <v>0</v>
      </c>
      <c r="AL51" s="110" t="n">
        <f aca="false">IF(OR(OR($B51="",$E51="",$F51=""),$L51&lt;&gt;"لا"),0,MAX(0,MIN($F51,EOMONTH(DATE(cfg_FY,5,1),0))-$E51+1))</f>
        <v>0</v>
      </c>
      <c r="AM51" s="110" t="n">
        <f aca="false">IF(OR(OR($B51="",$E51="",$F51=""),$L51&lt;&gt;"لا"),0,MAX(0,MIN($F51,EOMONTH(DATE(cfg_FY,6,1),0))-$E51+1))</f>
        <v>0</v>
      </c>
      <c r="AN51" s="110" t="n">
        <f aca="false">IF(OR(OR($B51="",$E51="",$F51=""),$L51&lt;&gt;"لا"),0,MAX(0,MIN($F51,EOMONTH(DATE(cfg_FY,7,1),0))-$E51+1))</f>
        <v>0</v>
      </c>
      <c r="AO51" s="110" t="n">
        <f aca="false">IF(OR(OR($B51="",$E51="",$F51=""),$L51&lt;&gt;"لا"),0,MAX(0,MIN($F51,EOMONTH(DATE(cfg_FY,8,1),0))-$E51+1))</f>
        <v>0</v>
      </c>
      <c r="AP51" s="110" t="n">
        <f aca="false">IF(OR(OR($B51="",$E51="",$F51=""),$L51&lt;&gt;"لا"),0,MAX(0,MIN($F51,EOMONTH(DATE(cfg_FY,9,1),0))-$E51+1))</f>
        <v>0</v>
      </c>
      <c r="AQ51" s="110" t="n">
        <f aca="false">IF(OR(OR($B51="",$E51="",$F51=""),$L51&lt;&gt;"لا"),0,MAX(0,MIN($F51,EOMONTH(DATE(cfg_FY,10,1),0))-$E51+1))</f>
        <v>0</v>
      </c>
      <c r="AR51" s="110" t="n">
        <f aca="false">IF(OR(OR($B51="",$E51="",$F51=""),$L51&lt;&gt;"لا"),0,MAX(0,MIN($F51,EOMONTH(DATE(cfg_FY,11,1),0))-$E51+1))</f>
        <v>0</v>
      </c>
      <c r="AS51" s="110" t="n">
        <f aca="false">IF(OR(OR($B51="",$E51="",$F51=""),$L51&lt;&gt;"لا"),0,MAX(0,MIN($F51,EOMONTH(DATE(cfg_FY,12,1),0))-$E51+1))</f>
        <v>0</v>
      </c>
      <c r="AT51" s="110" t="n">
        <f aca="false">IF(OR(OR($B51="",$E51="",$F51=""),$K51&lt;&gt;"نعم",$M51="نعم"),0,MAX(0,MIN($F51,EOMONTH(DATE(cfg_FY,1,1),0))-MAX($E51,DATE(cfg_FY,1,1))+1))</f>
        <v>0</v>
      </c>
      <c r="AU51" s="110" t="n">
        <f aca="false">IF(OR(OR($B51="",$E51="",$F51=""),$K51&lt;&gt;"نعم",$M51="نعم"),0,MAX(0,MIN($F51,EOMONTH(DATE(cfg_FY,2,1),0))-MAX($E51,DATE(cfg_FY,2,1))+1))</f>
        <v>0</v>
      </c>
      <c r="AV51" s="110" t="n">
        <f aca="false">IF(OR(OR($B51="",$E51="",$F51=""),$K51&lt;&gt;"نعم",$M51="نعم"),0,MAX(0,MIN($F51,EOMONTH(DATE(cfg_FY,3,1),0))-MAX($E51,DATE(cfg_FY,3,1))+1))</f>
        <v>0</v>
      </c>
      <c r="AW51" s="110" t="n">
        <f aca="false">IF(OR(OR($B51="",$E51="",$F51=""),$K51&lt;&gt;"نعم",$M51="نعم"),0,MAX(0,MIN($F51,EOMONTH(DATE(cfg_FY,4,1),0))-MAX($E51,DATE(cfg_FY,4,1))+1))</f>
        <v>0</v>
      </c>
      <c r="AX51" s="110" t="n">
        <f aca="false">IF(OR(OR($B51="",$E51="",$F51=""),$K51&lt;&gt;"نعم",$M51="نعم"),0,MAX(0,MIN($F51,EOMONTH(DATE(cfg_FY,5,1),0))-MAX($E51,DATE(cfg_FY,5,1))+1))</f>
        <v>0</v>
      </c>
      <c r="AY51" s="110" t="n">
        <f aca="false">IF(OR(OR($B51="",$E51="",$F51=""),$K51&lt;&gt;"نعم",$M51="نعم"),0,MAX(0,MIN($F51,EOMONTH(DATE(cfg_FY,6,1),0))-MAX($E51,DATE(cfg_FY,6,1))+1))</f>
        <v>0</v>
      </c>
      <c r="AZ51" s="110" t="n">
        <f aca="false">IF(OR(OR($B51="",$E51="",$F51=""),$K51&lt;&gt;"نعم",$M51="نعم"),0,MAX(0,MIN($F51,EOMONTH(DATE(cfg_FY,7,1),0))-MAX($E51,DATE(cfg_FY,7,1))+1))</f>
        <v>0</v>
      </c>
      <c r="BA51" s="110" t="n">
        <f aca="false">IF(OR(OR($B51="",$E51="",$F51=""),$K51&lt;&gt;"نعم",$M51="نعم"),0,MAX(0,MIN($F51,EOMONTH(DATE(cfg_FY,8,1),0))-MAX($E51,DATE(cfg_FY,8,1))+1))</f>
        <v>0</v>
      </c>
      <c r="BB51" s="110" t="n">
        <f aca="false">IF(OR(OR($B51="",$E51="",$F51=""),$K51&lt;&gt;"نعم",$M51="نعم"),0,MAX(0,MIN($F51,EOMONTH(DATE(cfg_FY,9,1),0))-MAX($E51,DATE(cfg_FY,9,1))+1))</f>
        <v>0</v>
      </c>
      <c r="BC51" s="110" t="n">
        <f aca="false">IF(OR(OR($B51="",$E51="",$F51=""),$K51&lt;&gt;"نعم",$M51="نعم"),0,MAX(0,MIN($F51,EOMONTH(DATE(cfg_FY,10,1),0))-MAX($E51,DATE(cfg_FY,10,1))+1))</f>
        <v>0</v>
      </c>
      <c r="BD51" s="110" t="n">
        <f aca="false">IF(OR(OR($B51="",$E51="",$F51=""),$K51&lt;&gt;"نعم",$M51="نعم"),0,MAX(0,MIN($F51,EOMONTH(DATE(cfg_FY,11,1),0))-MAX($E51,DATE(cfg_FY,11,1))+1))</f>
        <v>0</v>
      </c>
      <c r="BE51" s="110" t="n">
        <f aca="false">IF(OR(OR($B51="",$E51="",$F51=""),$K51&lt;&gt;"نعم",$M51="نعم"),0,MAX(0,MIN($F51,EOMONTH(DATE(cfg_FY,12,1),0))-MAX($E51,DATE(cfg_FY,12,1))+1))</f>
        <v>0</v>
      </c>
    </row>
    <row r="52" customFormat="false" ht="15" hidden="false" customHeight="false" outlineLevel="0" collapsed="false">
      <c r="A52" s="93" t="str">
        <f aca="false">IF(B52="","",ROW()-5)</f>
        <v/>
      </c>
      <c r="B52" s="79"/>
      <c r="C52" s="80" t="str">
        <f aca="false">IF(B52="","",IFERROR(INDEX(الموظفون!$C$6:$C$105,MATCH(B52,الموظفون!$B$6:$B$105,0)),"✖ رقم غير موجود"))</f>
        <v/>
      </c>
      <c r="D52" s="79"/>
      <c r="E52" s="94"/>
      <c r="F52" s="94"/>
      <c r="G52" s="57" t="str">
        <f aca="false">IF(OR($B52="",$E52="",$F52=""),"",MAX(0,F52-E52+1))</f>
        <v/>
      </c>
      <c r="H52" s="58" t="str">
        <f aca="false">IF(D52="","",IFERROR(VLOOKUP(D52,cfg_LT,2,FALSE()),1))</f>
        <v/>
      </c>
      <c r="I52" s="82"/>
      <c r="J52" s="58" t="str">
        <f aca="false">IF(D52="","",IF(I52&lt;&gt;"",I52,H52))</f>
        <v/>
      </c>
      <c r="K52" s="80" t="str">
        <f aca="false">IF(D52="","",IFERROR(VLOOKUP($D52,cfg_LT,3,FALSE()),""))</f>
        <v/>
      </c>
      <c r="L52" s="80" t="str">
        <f aca="false">IF(D52="","",IFERROR(VLOOKUP($D52,cfg_LT,4,FALSE()),""))</f>
        <v/>
      </c>
      <c r="M52" s="80" t="str">
        <f aca="false">IF(D52="","",IFERROR(VLOOKUP($D52,cfg_LT,5,FALSE()),""))</f>
        <v/>
      </c>
      <c r="N52" s="97" t="n">
        <f aca="false">IF(OR(OR($B52="",$E52="",$F52=""),M52&lt;&gt;"نعم"),0,G52*J52*IFERROR(INDEX(الموظفون!$R$6:$R$105,MATCH(B52,الموظفون!$B$6:$B$105,0)),0)/cfg_DAYS_M)</f>
        <v>0</v>
      </c>
      <c r="O52" s="93" t="str">
        <f aca="false">IF(OR(OR($B52="",$E52="",$F52=""),M52&lt;&gt;"نعم"),"",IF(YEAR(E52)=cfg_FY,MONTH(E52),""))</f>
        <v/>
      </c>
      <c r="P52" s="80" t="str">
        <f aca="false">IF(B52="","",IF(OR(D52="",E52="",F52=""),"⚠ أكمل النوع والتواريخ",IF(F52&lt;E52,"✖ النهاية قبل البداية",IF(COUNTIFS($B$6:$B$505,B52,$E$6:$E$505,"&lt;="&amp;F52,$F$6:$F$505,"&gt;="&amp;E52)&gt;1,"⚠ تداخل مع سجل آخر",IF(E52&gt;cfg_VAL_DATE,"⏳ قادمة",IF(F52&lt;cfg_VAL_DATE,"✔ منتهية","✈ جارية في تاريخ التقرير"))))))</f>
        <v/>
      </c>
      <c r="Q52" s="79"/>
      <c r="R52" s="57" t="n">
        <f aca="false">IF(OR(OR($B52="",$E52="",$F52=""),L52&lt;&gt;"لا"),0,MAX(0,MIN(F52,cfg_Y_START-1)-E52+1))</f>
        <v>0</v>
      </c>
      <c r="S52" s="57" t="n">
        <f aca="false">IF(OR(OR($B52="",$E52="",$F52=""),L52&lt;&gt;"لا"),0,MAX(0,MIN(F52,cfg_VAL_DATE)-E52+1))</f>
        <v>0</v>
      </c>
      <c r="T52" s="57" t="n">
        <f aca="false">IF(OR(OR($B52="",$E52="",$F52=""),K52&lt;&gt;"نعم"),0,IF(M52="نعم",IF(AND(ISNUMBER(O52),N(O52)&lt;=cfg_VAL_M),G52,0),MAX(0,MIN(F52,cfg_VAL_DATE)-MAX(E52,cfg_Y_START)+1)))</f>
        <v>0</v>
      </c>
      <c r="V52" s="57" t="n">
        <f aca="false">IF(OR($B52="",$E52="",$F52=""),0,MAX(0,MIN($F52,EOMONTH(DATE(cfg_FY,1,1),0))-MAX($E52,DATE(cfg_FY,1,1))+1)*(1-IF($M52="نعم",0,N($J52))))</f>
        <v>0</v>
      </c>
      <c r="W52" s="57" t="n">
        <f aca="false">IF(OR($B52="",$E52="",$F52=""),0,MAX(0,MIN($F52,EOMONTH(DATE(cfg_FY,2,1),0))-MAX($E52,DATE(cfg_FY,2,1))+1)*(1-IF($M52="نعم",0,N($J52))))</f>
        <v>0</v>
      </c>
      <c r="X52" s="57" t="n">
        <f aca="false">IF(OR($B52="",$E52="",$F52=""),0,MAX(0,MIN($F52,EOMONTH(DATE(cfg_FY,3,1),0))-MAX($E52,DATE(cfg_FY,3,1))+1)*(1-IF($M52="نعم",0,N($J52))))</f>
        <v>0</v>
      </c>
      <c r="Y52" s="57" t="n">
        <f aca="false">IF(OR($B52="",$E52="",$F52=""),0,MAX(0,MIN($F52,EOMONTH(DATE(cfg_FY,4,1),0))-MAX($E52,DATE(cfg_FY,4,1))+1)*(1-IF($M52="نعم",0,N($J52))))</f>
        <v>0</v>
      </c>
      <c r="Z52" s="57" t="n">
        <f aca="false">IF(OR($B52="",$E52="",$F52=""),0,MAX(0,MIN($F52,EOMONTH(DATE(cfg_FY,5,1),0))-MAX($E52,DATE(cfg_FY,5,1))+1)*(1-IF($M52="نعم",0,N($J52))))</f>
        <v>0</v>
      </c>
      <c r="AA52" s="57" t="n">
        <f aca="false">IF(OR($B52="",$E52="",$F52=""),0,MAX(0,MIN($F52,EOMONTH(DATE(cfg_FY,6,1),0))-MAX($E52,DATE(cfg_FY,6,1))+1)*(1-IF($M52="نعم",0,N($J52))))</f>
        <v>0</v>
      </c>
      <c r="AB52" s="57" t="n">
        <f aca="false">IF(OR($B52="",$E52="",$F52=""),0,MAX(0,MIN($F52,EOMONTH(DATE(cfg_FY,7,1),0))-MAX($E52,DATE(cfg_FY,7,1))+1)*(1-IF($M52="نعم",0,N($J52))))</f>
        <v>0</v>
      </c>
      <c r="AC52" s="57" t="n">
        <f aca="false">IF(OR($B52="",$E52="",$F52=""),0,MAX(0,MIN($F52,EOMONTH(DATE(cfg_FY,8,1),0))-MAX($E52,DATE(cfg_FY,8,1))+1)*(1-IF($M52="نعم",0,N($J52))))</f>
        <v>0</v>
      </c>
      <c r="AD52" s="57" t="n">
        <f aca="false">IF(OR($B52="",$E52="",$F52=""),0,MAX(0,MIN($F52,EOMONTH(DATE(cfg_FY,9,1),0))-MAX($E52,DATE(cfg_FY,9,1))+1)*(1-IF($M52="نعم",0,N($J52))))</f>
        <v>0</v>
      </c>
      <c r="AE52" s="57" t="n">
        <f aca="false">IF(OR($B52="",$E52="",$F52=""),0,MAX(0,MIN($F52,EOMONTH(DATE(cfg_FY,10,1),0))-MAX($E52,DATE(cfg_FY,10,1))+1)*(1-IF($M52="نعم",0,N($J52))))</f>
        <v>0</v>
      </c>
      <c r="AF52" s="57" t="n">
        <f aca="false">IF(OR($B52="",$E52="",$F52=""),0,MAX(0,MIN($F52,EOMONTH(DATE(cfg_FY,11,1),0))-MAX($E52,DATE(cfg_FY,11,1))+1)*(1-IF($M52="نعم",0,N($J52))))</f>
        <v>0</v>
      </c>
      <c r="AG52" s="57" t="n">
        <f aca="false">IF(OR($B52="",$E52="",$F52=""),0,MAX(0,MIN($F52,EOMONTH(DATE(cfg_FY,12,1),0))-MAX($E52,DATE(cfg_FY,12,1))+1)*(1-IF($M52="نعم",0,N($J52))))</f>
        <v>0</v>
      </c>
      <c r="AH52" s="57" t="n">
        <f aca="false">IF(OR(OR($B52="",$E52="",$F52=""),$L52&lt;&gt;"لا"),0,MAX(0,MIN($F52,EOMONTH(DATE(cfg_FY,1,1),0))-$E52+1))</f>
        <v>0</v>
      </c>
      <c r="AI52" s="57" t="n">
        <f aca="false">IF(OR(OR($B52="",$E52="",$F52=""),$L52&lt;&gt;"لا"),0,MAX(0,MIN($F52,EOMONTH(DATE(cfg_FY,2,1),0))-$E52+1))</f>
        <v>0</v>
      </c>
      <c r="AJ52" s="57" t="n">
        <f aca="false">IF(OR(OR($B52="",$E52="",$F52=""),$L52&lt;&gt;"لا"),0,MAX(0,MIN($F52,EOMONTH(DATE(cfg_FY,3,1),0))-$E52+1))</f>
        <v>0</v>
      </c>
      <c r="AK52" s="57" t="n">
        <f aca="false">IF(OR(OR($B52="",$E52="",$F52=""),$L52&lt;&gt;"لا"),0,MAX(0,MIN($F52,EOMONTH(DATE(cfg_FY,4,1),0))-$E52+1))</f>
        <v>0</v>
      </c>
      <c r="AL52" s="57" t="n">
        <f aca="false">IF(OR(OR($B52="",$E52="",$F52=""),$L52&lt;&gt;"لا"),0,MAX(0,MIN($F52,EOMONTH(DATE(cfg_FY,5,1),0))-$E52+1))</f>
        <v>0</v>
      </c>
      <c r="AM52" s="57" t="n">
        <f aca="false">IF(OR(OR($B52="",$E52="",$F52=""),$L52&lt;&gt;"لا"),0,MAX(0,MIN($F52,EOMONTH(DATE(cfg_FY,6,1),0))-$E52+1))</f>
        <v>0</v>
      </c>
      <c r="AN52" s="57" t="n">
        <f aca="false">IF(OR(OR($B52="",$E52="",$F52=""),$L52&lt;&gt;"لا"),0,MAX(0,MIN($F52,EOMONTH(DATE(cfg_FY,7,1),0))-$E52+1))</f>
        <v>0</v>
      </c>
      <c r="AO52" s="57" t="n">
        <f aca="false">IF(OR(OR($B52="",$E52="",$F52=""),$L52&lt;&gt;"لا"),0,MAX(0,MIN($F52,EOMONTH(DATE(cfg_FY,8,1),0))-$E52+1))</f>
        <v>0</v>
      </c>
      <c r="AP52" s="57" t="n">
        <f aca="false">IF(OR(OR($B52="",$E52="",$F52=""),$L52&lt;&gt;"لا"),0,MAX(0,MIN($F52,EOMONTH(DATE(cfg_FY,9,1),0))-$E52+1))</f>
        <v>0</v>
      </c>
      <c r="AQ52" s="57" t="n">
        <f aca="false">IF(OR(OR($B52="",$E52="",$F52=""),$L52&lt;&gt;"لا"),0,MAX(0,MIN($F52,EOMONTH(DATE(cfg_FY,10,1),0))-$E52+1))</f>
        <v>0</v>
      </c>
      <c r="AR52" s="57" t="n">
        <f aca="false">IF(OR(OR($B52="",$E52="",$F52=""),$L52&lt;&gt;"لا"),0,MAX(0,MIN($F52,EOMONTH(DATE(cfg_FY,11,1),0))-$E52+1))</f>
        <v>0</v>
      </c>
      <c r="AS52" s="57" t="n">
        <f aca="false">IF(OR(OR($B52="",$E52="",$F52=""),$L52&lt;&gt;"لا"),0,MAX(0,MIN($F52,EOMONTH(DATE(cfg_FY,12,1),0))-$E52+1))</f>
        <v>0</v>
      </c>
      <c r="AT52" s="57" t="n">
        <f aca="false">IF(OR(OR($B52="",$E52="",$F52=""),$K52&lt;&gt;"نعم",$M52="نعم"),0,MAX(0,MIN($F52,EOMONTH(DATE(cfg_FY,1,1),0))-MAX($E52,DATE(cfg_FY,1,1))+1))</f>
        <v>0</v>
      </c>
      <c r="AU52" s="57" t="n">
        <f aca="false">IF(OR(OR($B52="",$E52="",$F52=""),$K52&lt;&gt;"نعم",$M52="نعم"),0,MAX(0,MIN($F52,EOMONTH(DATE(cfg_FY,2,1),0))-MAX($E52,DATE(cfg_FY,2,1))+1))</f>
        <v>0</v>
      </c>
      <c r="AV52" s="57" t="n">
        <f aca="false">IF(OR(OR($B52="",$E52="",$F52=""),$K52&lt;&gt;"نعم",$M52="نعم"),0,MAX(0,MIN($F52,EOMONTH(DATE(cfg_FY,3,1),0))-MAX($E52,DATE(cfg_FY,3,1))+1))</f>
        <v>0</v>
      </c>
      <c r="AW52" s="57" t="n">
        <f aca="false">IF(OR(OR($B52="",$E52="",$F52=""),$K52&lt;&gt;"نعم",$M52="نعم"),0,MAX(0,MIN($F52,EOMONTH(DATE(cfg_FY,4,1),0))-MAX($E52,DATE(cfg_FY,4,1))+1))</f>
        <v>0</v>
      </c>
      <c r="AX52" s="57" t="n">
        <f aca="false">IF(OR(OR($B52="",$E52="",$F52=""),$K52&lt;&gt;"نعم",$M52="نعم"),0,MAX(0,MIN($F52,EOMONTH(DATE(cfg_FY,5,1),0))-MAX($E52,DATE(cfg_FY,5,1))+1))</f>
        <v>0</v>
      </c>
      <c r="AY52" s="57" t="n">
        <f aca="false">IF(OR(OR($B52="",$E52="",$F52=""),$K52&lt;&gt;"نعم",$M52="نعم"),0,MAX(0,MIN($F52,EOMONTH(DATE(cfg_FY,6,1),0))-MAX($E52,DATE(cfg_FY,6,1))+1))</f>
        <v>0</v>
      </c>
      <c r="AZ52" s="57" t="n">
        <f aca="false">IF(OR(OR($B52="",$E52="",$F52=""),$K52&lt;&gt;"نعم",$M52="نعم"),0,MAX(0,MIN($F52,EOMONTH(DATE(cfg_FY,7,1),0))-MAX($E52,DATE(cfg_FY,7,1))+1))</f>
        <v>0</v>
      </c>
      <c r="BA52" s="57" t="n">
        <f aca="false">IF(OR(OR($B52="",$E52="",$F52=""),$K52&lt;&gt;"نعم",$M52="نعم"),0,MAX(0,MIN($F52,EOMONTH(DATE(cfg_FY,8,1),0))-MAX($E52,DATE(cfg_FY,8,1))+1))</f>
        <v>0</v>
      </c>
      <c r="BB52" s="57" t="n">
        <f aca="false">IF(OR(OR($B52="",$E52="",$F52=""),$K52&lt;&gt;"نعم",$M52="نعم"),0,MAX(0,MIN($F52,EOMONTH(DATE(cfg_FY,9,1),0))-MAX($E52,DATE(cfg_FY,9,1))+1))</f>
        <v>0</v>
      </c>
      <c r="BC52" s="57" t="n">
        <f aca="false">IF(OR(OR($B52="",$E52="",$F52=""),$K52&lt;&gt;"نعم",$M52="نعم"),0,MAX(0,MIN($F52,EOMONTH(DATE(cfg_FY,10,1),0))-MAX($E52,DATE(cfg_FY,10,1))+1))</f>
        <v>0</v>
      </c>
      <c r="BD52" s="57" t="n">
        <f aca="false">IF(OR(OR($B52="",$E52="",$F52=""),$K52&lt;&gt;"نعم",$M52="نعم"),0,MAX(0,MIN($F52,EOMONTH(DATE(cfg_FY,11,1),0))-MAX($E52,DATE(cfg_FY,11,1))+1))</f>
        <v>0</v>
      </c>
      <c r="BE52" s="57" t="n">
        <f aca="false">IF(OR(OR($B52="",$E52="",$F52=""),$K52&lt;&gt;"نعم",$M52="نعم"),0,MAX(0,MIN($F52,EOMONTH(DATE(cfg_FY,12,1),0))-MAX($E52,DATE(cfg_FY,12,1))+1))</f>
        <v>0</v>
      </c>
    </row>
    <row r="53" customFormat="false" ht="15" hidden="false" customHeight="false" outlineLevel="0" collapsed="false">
      <c r="A53" s="100" t="str">
        <f aca="false">IF(B53="","",ROW()-5)</f>
        <v/>
      </c>
      <c r="B53" s="79"/>
      <c r="C53" s="102" t="str">
        <f aca="false">IF(B53="","",IFERROR(INDEX(الموظفون!$C$6:$C$105,MATCH(B53,الموظفون!$B$6:$B$105,0)),"✖ رقم غير موجود"))</f>
        <v/>
      </c>
      <c r="D53" s="79"/>
      <c r="E53" s="94"/>
      <c r="F53" s="94"/>
      <c r="G53" s="110" t="str">
        <f aca="false">IF(OR($B53="",$E53="",$F53=""),"",MAX(0,F53-E53+1))</f>
        <v/>
      </c>
      <c r="H53" s="111" t="str">
        <f aca="false">IF(D53="","",IFERROR(VLOOKUP(D53,cfg_LT,2,FALSE()),1))</f>
        <v/>
      </c>
      <c r="I53" s="82"/>
      <c r="J53" s="111" t="str">
        <f aca="false">IF(D53="","",IF(I53&lt;&gt;"",I53,H53))</f>
        <v/>
      </c>
      <c r="K53" s="102" t="str">
        <f aca="false">IF(D53="","",IFERROR(VLOOKUP($D53,cfg_LT,3,FALSE()),""))</f>
        <v/>
      </c>
      <c r="L53" s="102" t="str">
        <f aca="false">IF(D53="","",IFERROR(VLOOKUP($D53,cfg_LT,4,FALSE()),""))</f>
        <v/>
      </c>
      <c r="M53" s="102" t="str">
        <f aca="false">IF(D53="","",IFERROR(VLOOKUP($D53,cfg_LT,5,FALSE()),""))</f>
        <v/>
      </c>
      <c r="N53" s="101" t="n">
        <f aca="false">IF(OR(OR($B53="",$E53="",$F53=""),M53&lt;&gt;"نعم"),0,G53*J53*IFERROR(INDEX(الموظفون!$R$6:$R$105,MATCH(B53,الموظفون!$B$6:$B$105,0)),0)/cfg_DAYS_M)</f>
        <v>0</v>
      </c>
      <c r="O53" s="100" t="str">
        <f aca="false">IF(OR(OR($B53="",$E53="",$F53=""),M53&lt;&gt;"نعم"),"",IF(YEAR(E53)=cfg_FY,MONTH(E53),""))</f>
        <v/>
      </c>
      <c r="P53" s="102" t="str">
        <f aca="false">IF(B53="","",IF(OR(D53="",E53="",F53=""),"⚠ أكمل النوع والتواريخ",IF(F53&lt;E53,"✖ النهاية قبل البداية",IF(COUNTIFS($B$6:$B$505,B53,$E$6:$E$505,"&lt;="&amp;F53,$F$6:$F$505,"&gt;="&amp;E53)&gt;1,"⚠ تداخل مع سجل آخر",IF(E53&gt;cfg_VAL_DATE,"⏳ قادمة",IF(F53&lt;cfg_VAL_DATE,"✔ منتهية","✈ جارية في تاريخ التقرير"))))))</f>
        <v/>
      </c>
      <c r="Q53" s="79"/>
      <c r="R53" s="110" t="n">
        <f aca="false">IF(OR(OR($B53="",$E53="",$F53=""),L53&lt;&gt;"لا"),0,MAX(0,MIN(F53,cfg_Y_START-1)-E53+1))</f>
        <v>0</v>
      </c>
      <c r="S53" s="110" t="n">
        <f aca="false">IF(OR(OR($B53="",$E53="",$F53=""),L53&lt;&gt;"لا"),0,MAX(0,MIN(F53,cfg_VAL_DATE)-E53+1))</f>
        <v>0</v>
      </c>
      <c r="T53" s="110" t="n">
        <f aca="false">IF(OR(OR($B53="",$E53="",$F53=""),K53&lt;&gt;"نعم"),0,IF(M53="نعم",IF(AND(ISNUMBER(O53),N(O53)&lt;=cfg_VAL_M),G53,0),MAX(0,MIN(F53,cfg_VAL_DATE)-MAX(E53,cfg_Y_START)+1)))</f>
        <v>0</v>
      </c>
      <c r="V53" s="110" t="n">
        <f aca="false">IF(OR($B53="",$E53="",$F53=""),0,MAX(0,MIN($F53,EOMONTH(DATE(cfg_FY,1,1),0))-MAX($E53,DATE(cfg_FY,1,1))+1)*(1-IF($M53="نعم",0,N($J53))))</f>
        <v>0</v>
      </c>
      <c r="W53" s="110" t="n">
        <f aca="false">IF(OR($B53="",$E53="",$F53=""),0,MAX(0,MIN($F53,EOMONTH(DATE(cfg_FY,2,1),0))-MAX($E53,DATE(cfg_FY,2,1))+1)*(1-IF($M53="نعم",0,N($J53))))</f>
        <v>0</v>
      </c>
      <c r="X53" s="110" t="n">
        <f aca="false">IF(OR($B53="",$E53="",$F53=""),0,MAX(0,MIN($F53,EOMONTH(DATE(cfg_FY,3,1),0))-MAX($E53,DATE(cfg_FY,3,1))+1)*(1-IF($M53="نعم",0,N($J53))))</f>
        <v>0</v>
      </c>
      <c r="Y53" s="110" t="n">
        <f aca="false">IF(OR($B53="",$E53="",$F53=""),0,MAX(0,MIN($F53,EOMONTH(DATE(cfg_FY,4,1),0))-MAX($E53,DATE(cfg_FY,4,1))+1)*(1-IF($M53="نعم",0,N($J53))))</f>
        <v>0</v>
      </c>
      <c r="Z53" s="110" t="n">
        <f aca="false">IF(OR($B53="",$E53="",$F53=""),0,MAX(0,MIN($F53,EOMONTH(DATE(cfg_FY,5,1),0))-MAX($E53,DATE(cfg_FY,5,1))+1)*(1-IF($M53="نعم",0,N($J53))))</f>
        <v>0</v>
      </c>
      <c r="AA53" s="110" t="n">
        <f aca="false">IF(OR($B53="",$E53="",$F53=""),0,MAX(0,MIN($F53,EOMONTH(DATE(cfg_FY,6,1),0))-MAX($E53,DATE(cfg_FY,6,1))+1)*(1-IF($M53="نعم",0,N($J53))))</f>
        <v>0</v>
      </c>
      <c r="AB53" s="110" t="n">
        <f aca="false">IF(OR($B53="",$E53="",$F53=""),0,MAX(0,MIN($F53,EOMONTH(DATE(cfg_FY,7,1),0))-MAX($E53,DATE(cfg_FY,7,1))+1)*(1-IF($M53="نعم",0,N($J53))))</f>
        <v>0</v>
      </c>
      <c r="AC53" s="110" t="n">
        <f aca="false">IF(OR($B53="",$E53="",$F53=""),0,MAX(0,MIN($F53,EOMONTH(DATE(cfg_FY,8,1),0))-MAX($E53,DATE(cfg_FY,8,1))+1)*(1-IF($M53="نعم",0,N($J53))))</f>
        <v>0</v>
      </c>
      <c r="AD53" s="110" t="n">
        <f aca="false">IF(OR($B53="",$E53="",$F53=""),0,MAX(0,MIN($F53,EOMONTH(DATE(cfg_FY,9,1),0))-MAX($E53,DATE(cfg_FY,9,1))+1)*(1-IF($M53="نعم",0,N($J53))))</f>
        <v>0</v>
      </c>
      <c r="AE53" s="110" t="n">
        <f aca="false">IF(OR($B53="",$E53="",$F53=""),0,MAX(0,MIN($F53,EOMONTH(DATE(cfg_FY,10,1),0))-MAX($E53,DATE(cfg_FY,10,1))+1)*(1-IF($M53="نعم",0,N($J53))))</f>
        <v>0</v>
      </c>
      <c r="AF53" s="110" t="n">
        <f aca="false">IF(OR($B53="",$E53="",$F53=""),0,MAX(0,MIN($F53,EOMONTH(DATE(cfg_FY,11,1),0))-MAX($E53,DATE(cfg_FY,11,1))+1)*(1-IF($M53="نعم",0,N($J53))))</f>
        <v>0</v>
      </c>
      <c r="AG53" s="110" t="n">
        <f aca="false">IF(OR($B53="",$E53="",$F53=""),0,MAX(0,MIN($F53,EOMONTH(DATE(cfg_FY,12,1),0))-MAX($E53,DATE(cfg_FY,12,1))+1)*(1-IF($M53="نعم",0,N($J53))))</f>
        <v>0</v>
      </c>
      <c r="AH53" s="110" t="n">
        <f aca="false">IF(OR(OR($B53="",$E53="",$F53=""),$L53&lt;&gt;"لا"),0,MAX(0,MIN($F53,EOMONTH(DATE(cfg_FY,1,1),0))-$E53+1))</f>
        <v>0</v>
      </c>
      <c r="AI53" s="110" t="n">
        <f aca="false">IF(OR(OR($B53="",$E53="",$F53=""),$L53&lt;&gt;"لا"),0,MAX(0,MIN($F53,EOMONTH(DATE(cfg_FY,2,1),0))-$E53+1))</f>
        <v>0</v>
      </c>
      <c r="AJ53" s="110" t="n">
        <f aca="false">IF(OR(OR($B53="",$E53="",$F53=""),$L53&lt;&gt;"لا"),0,MAX(0,MIN($F53,EOMONTH(DATE(cfg_FY,3,1),0))-$E53+1))</f>
        <v>0</v>
      </c>
      <c r="AK53" s="110" t="n">
        <f aca="false">IF(OR(OR($B53="",$E53="",$F53=""),$L53&lt;&gt;"لا"),0,MAX(0,MIN($F53,EOMONTH(DATE(cfg_FY,4,1),0))-$E53+1))</f>
        <v>0</v>
      </c>
      <c r="AL53" s="110" t="n">
        <f aca="false">IF(OR(OR($B53="",$E53="",$F53=""),$L53&lt;&gt;"لا"),0,MAX(0,MIN($F53,EOMONTH(DATE(cfg_FY,5,1),0))-$E53+1))</f>
        <v>0</v>
      </c>
      <c r="AM53" s="110" t="n">
        <f aca="false">IF(OR(OR($B53="",$E53="",$F53=""),$L53&lt;&gt;"لا"),0,MAX(0,MIN($F53,EOMONTH(DATE(cfg_FY,6,1),0))-$E53+1))</f>
        <v>0</v>
      </c>
      <c r="AN53" s="110" t="n">
        <f aca="false">IF(OR(OR($B53="",$E53="",$F53=""),$L53&lt;&gt;"لا"),0,MAX(0,MIN($F53,EOMONTH(DATE(cfg_FY,7,1),0))-$E53+1))</f>
        <v>0</v>
      </c>
      <c r="AO53" s="110" t="n">
        <f aca="false">IF(OR(OR($B53="",$E53="",$F53=""),$L53&lt;&gt;"لا"),0,MAX(0,MIN($F53,EOMONTH(DATE(cfg_FY,8,1),0))-$E53+1))</f>
        <v>0</v>
      </c>
      <c r="AP53" s="110" t="n">
        <f aca="false">IF(OR(OR($B53="",$E53="",$F53=""),$L53&lt;&gt;"لا"),0,MAX(0,MIN($F53,EOMONTH(DATE(cfg_FY,9,1),0))-$E53+1))</f>
        <v>0</v>
      </c>
      <c r="AQ53" s="110" t="n">
        <f aca="false">IF(OR(OR($B53="",$E53="",$F53=""),$L53&lt;&gt;"لا"),0,MAX(0,MIN($F53,EOMONTH(DATE(cfg_FY,10,1),0))-$E53+1))</f>
        <v>0</v>
      </c>
      <c r="AR53" s="110" t="n">
        <f aca="false">IF(OR(OR($B53="",$E53="",$F53=""),$L53&lt;&gt;"لا"),0,MAX(0,MIN($F53,EOMONTH(DATE(cfg_FY,11,1),0))-$E53+1))</f>
        <v>0</v>
      </c>
      <c r="AS53" s="110" t="n">
        <f aca="false">IF(OR(OR($B53="",$E53="",$F53=""),$L53&lt;&gt;"لا"),0,MAX(0,MIN($F53,EOMONTH(DATE(cfg_FY,12,1),0))-$E53+1))</f>
        <v>0</v>
      </c>
      <c r="AT53" s="110" t="n">
        <f aca="false">IF(OR(OR($B53="",$E53="",$F53=""),$K53&lt;&gt;"نعم",$M53="نعم"),0,MAX(0,MIN($F53,EOMONTH(DATE(cfg_FY,1,1),0))-MAX($E53,DATE(cfg_FY,1,1))+1))</f>
        <v>0</v>
      </c>
      <c r="AU53" s="110" t="n">
        <f aca="false">IF(OR(OR($B53="",$E53="",$F53=""),$K53&lt;&gt;"نعم",$M53="نعم"),0,MAX(0,MIN($F53,EOMONTH(DATE(cfg_FY,2,1),0))-MAX($E53,DATE(cfg_FY,2,1))+1))</f>
        <v>0</v>
      </c>
      <c r="AV53" s="110" t="n">
        <f aca="false">IF(OR(OR($B53="",$E53="",$F53=""),$K53&lt;&gt;"نعم",$M53="نعم"),0,MAX(0,MIN($F53,EOMONTH(DATE(cfg_FY,3,1),0))-MAX($E53,DATE(cfg_FY,3,1))+1))</f>
        <v>0</v>
      </c>
      <c r="AW53" s="110" t="n">
        <f aca="false">IF(OR(OR($B53="",$E53="",$F53=""),$K53&lt;&gt;"نعم",$M53="نعم"),0,MAX(0,MIN($F53,EOMONTH(DATE(cfg_FY,4,1),0))-MAX($E53,DATE(cfg_FY,4,1))+1))</f>
        <v>0</v>
      </c>
      <c r="AX53" s="110" t="n">
        <f aca="false">IF(OR(OR($B53="",$E53="",$F53=""),$K53&lt;&gt;"نعم",$M53="نعم"),0,MAX(0,MIN($F53,EOMONTH(DATE(cfg_FY,5,1),0))-MAX($E53,DATE(cfg_FY,5,1))+1))</f>
        <v>0</v>
      </c>
      <c r="AY53" s="110" t="n">
        <f aca="false">IF(OR(OR($B53="",$E53="",$F53=""),$K53&lt;&gt;"نعم",$M53="نعم"),0,MAX(0,MIN($F53,EOMONTH(DATE(cfg_FY,6,1),0))-MAX($E53,DATE(cfg_FY,6,1))+1))</f>
        <v>0</v>
      </c>
      <c r="AZ53" s="110" t="n">
        <f aca="false">IF(OR(OR($B53="",$E53="",$F53=""),$K53&lt;&gt;"نعم",$M53="نعم"),0,MAX(0,MIN($F53,EOMONTH(DATE(cfg_FY,7,1),0))-MAX($E53,DATE(cfg_FY,7,1))+1))</f>
        <v>0</v>
      </c>
      <c r="BA53" s="110" t="n">
        <f aca="false">IF(OR(OR($B53="",$E53="",$F53=""),$K53&lt;&gt;"نعم",$M53="نعم"),0,MAX(0,MIN($F53,EOMONTH(DATE(cfg_FY,8,1),0))-MAX($E53,DATE(cfg_FY,8,1))+1))</f>
        <v>0</v>
      </c>
      <c r="BB53" s="110" t="n">
        <f aca="false">IF(OR(OR($B53="",$E53="",$F53=""),$K53&lt;&gt;"نعم",$M53="نعم"),0,MAX(0,MIN($F53,EOMONTH(DATE(cfg_FY,9,1),0))-MAX($E53,DATE(cfg_FY,9,1))+1))</f>
        <v>0</v>
      </c>
      <c r="BC53" s="110" t="n">
        <f aca="false">IF(OR(OR($B53="",$E53="",$F53=""),$K53&lt;&gt;"نعم",$M53="نعم"),0,MAX(0,MIN($F53,EOMONTH(DATE(cfg_FY,10,1),0))-MAX($E53,DATE(cfg_FY,10,1))+1))</f>
        <v>0</v>
      </c>
      <c r="BD53" s="110" t="n">
        <f aca="false">IF(OR(OR($B53="",$E53="",$F53=""),$K53&lt;&gt;"نعم",$M53="نعم"),0,MAX(0,MIN($F53,EOMONTH(DATE(cfg_FY,11,1),0))-MAX($E53,DATE(cfg_FY,11,1))+1))</f>
        <v>0</v>
      </c>
      <c r="BE53" s="110" t="n">
        <f aca="false">IF(OR(OR($B53="",$E53="",$F53=""),$K53&lt;&gt;"نعم",$M53="نعم"),0,MAX(0,MIN($F53,EOMONTH(DATE(cfg_FY,12,1),0))-MAX($E53,DATE(cfg_FY,12,1))+1))</f>
        <v>0</v>
      </c>
    </row>
    <row r="54" customFormat="false" ht="15" hidden="false" customHeight="false" outlineLevel="0" collapsed="false">
      <c r="A54" s="93" t="str">
        <f aca="false">IF(B54="","",ROW()-5)</f>
        <v/>
      </c>
      <c r="B54" s="79"/>
      <c r="C54" s="80" t="str">
        <f aca="false">IF(B54="","",IFERROR(INDEX(الموظفون!$C$6:$C$105,MATCH(B54,الموظفون!$B$6:$B$105,0)),"✖ رقم غير موجود"))</f>
        <v/>
      </c>
      <c r="D54" s="79"/>
      <c r="E54" s="94"/>
      <c r="F54" s="94"/>
      <c r="G54" s="57" t="str">
        <f aca="false">IF(OR($B54="",$E54="",$F54=""),"",MAX(0,F54-E54+1))</f>
        <v/>
      </c>
      <c r="H54" s="58" t="str">
        <f aca="false">IF(D54="","",IFERROR(VLOOKUP(D54,cfg_LT,2,FALSE()),1))</f>
        <v/>
      </c>
      <c r="I54" s="82"/>
      <c r="J54" s="58" t="str">
        <f aca="false">IF(D54="","",IF(I54&lt;&gt;"",I54,H54))</f>
        <v/>
      </c>
      <c r="K54" s="80" t="str">
        <f aca="false">IF(D54="","",IFERROR(VLOOKUP($D54,cfg_LT,3,FALSE()),""))</f>
        <v/>
      </c>
      <c r="L54" s="80" t="str">
        <f aca="false">IF(D54="","",IFERROR(VLOOKUP($D54,cfg_LT,4,FALSE()),""))</f>
        <v/>
      </c>
      <c r="M54" s="80" t="str">
        <f aca="false">IF(D54="","",IFERROR(VLOOKUP($D54,cfg_LT,5,FALSE()),""))</f>
        <v/>
      </c>
      <c r="N54" s="97" t="n">
        <f aca="false">IF(OR(OR($B54="",$E54="",$F54=""),M54&lt;&gt;"نعم"),0,G54*J54*IFERROR(INDEX(الموظفون!$R$6:$R$105,MATCH(B54,الموظفون!$B$6:$B$105,0)),0)/cfg_DAYS_M)</f>
        <v>0</v>
      </c>
      <c r="O54" s="93" t="str">
        <f aca="false">IF(OR(OR($B54="",$E54="",$F54=""),M54&lt;&gt;"نعم"),"",IF(YEAR(E54)=cfg_FY,MONTH(E54),""))</f>
        <v/>
      </c>
      <c r="P54" s="80" t="str">
        <f aca="false">IF(B54="","",IF(OR(D54="",E54="",F54=""),"⚠ أكمل النوع والتواريخ",IF(F54&lt;E54,"✖ النهاية قبل البداية",IF(COUNTIFS($B$6:$B$505,B54,$E$6:$E$505,"&lt;="&amp;F54,$F$6:$F$505,"&gt;="&amp;E54)&gt;1,"⚠ تداخل مع سجل آخر",IF(E54&gt;cfg_VAL_DATE,"⏳ قادمة",IF(F54&lt;cfg_VAL_DATE,"✔ منتهية","✈ جارية في تاريخ التقرير"))))))</f>
        <v/>
      </c>
      <c r="Q54" s="79"/>
      <c r="R54" s="57" t="n">
        <f aca="false">IF(OR(OR($B54="",$E54="",$F54=""),L54&lt;&gt;"لا"),0,MAX(0,MIN(F54,cfg_Y_START-1)-E54+1))</f>
        <v>0</v>
      </c>
      <c r="S54" s="57" t="n">
        <f aca="false">IF(OR(OR($B54="",$E54="",$F54=""),L54&lt;&gt;"لا"),0,MAX(0,MIN(F54,cfg_VAL_DATE)-E54+1))</f>
        <v>0</v>
      </c>
      <c r="T54" s="57" t="n">
        <f aca="false">IF(OR(OR($B54="",$E54="",$F54=""),K54&lt;&gt;"نعم"),0,IF(M54="نعم",IF(AND(ISNUMBER(O54),N(O54)&lt;=cfg_VAL_M),G54,0),MAX(0,MIN(F54,cfg_VAL_DATE)-MAX(E54,cfg_Y_START)+1)))</f>
        <v>0</v>
      </c>
      <c r="V54" s="57" t="n">
        <f aca="false">IF(OR($B54="",$E54="",$F54=""),0,MAX(0,MIN($F54,EOMONTH(DATE(cfg_FY,1,1),0))-MAX($E54,DATE(cfg_FY,1,1))+1)*(1-IF($M54="نعم",0,N($J54))))</f>
        <v>0</v>
      </c>
      <c r="W54" s="57" t="n">
        <f aca="false">IF(OR($B54="",$E54="",$F54=""),0,MAX(0,MIN($F54,EOMONTH(DATE(cfg_FY,2,1),0))-MAX($E54,DATE(cfg_FY,2,1))+1)*(1-IF($M54="نعم",0,N($J54))))</f>
        <v>0</v>
      </c>
      <c r="X54" s="57" t="n">
        <f aca="false">IF(OR($B54="",$E54="",$F54=""),0,MAX(0,MIN($F54,EOMONTH(DATE(cfg_FY,3,1),0))-MAX($E54,DATE(cfg_FY,3,1))+1)*(1-IF($M54="نعم",0,N($J54))))</f>
        <v>0</v>
      </c>
      <c r="Y54" s="57" t="n">
        <f aca="false">IF(OR($B54="",$E54="",$F54=""),0,MAX(0,MIN($F54,EOMONTH(DATE(cfg_FY,4,1),0))-MAX($E54,DATE(cfg_FY,4,1))+1)*(1-IF($M54="نعم",0,N($J54))))</f>
        <v>0</v>
      </c>
      <c r="Z54" s="57" t="n">
        <f aca="false">IF(OR($B54="",$E54="",$F54=""),0,MAX(0,MIN($F54,EOMONTH(DATE(cfg_FY,5,1),0))-MAX($E54,DATE(cfg_FY,5,1))+1)*(1-IF($M54="نعم",0,N($J54))))</f>
        <v>0</v>
      </c>
      <c r="AA54" s="57" t="n">
        <f aca="false">IF(OR($B54="",$E54="",$F54=""),0,MAX(0,MIN($F54,EOMONTH(DATE(cfg_FY,6,1),0))-MAX($E54,DATE(cfg_FY,6,1))+1)*(1-IF($M54="نعم",0,N($J54))))</f>
        <v>0</v>
      </c>
      <c r="AB54" s="57" t="n">
        <f aca="false">IF(OR($B54="",$E54="",$F54=""),0,MAX(0,MIN($F54,EOMONTH(DATE(cfg_FY,7,1),0))-MAX($E54,DATE(cfg_FY,7,1))+1)*(1-IF($M54="نعم",0,N($J54))))</f>
        <v>0</v>
      </c>
      <c r="AC54" s="57" t="n">
        <f aca="false">IF(OR($B54="",$E54="",$F54=""),0,MAX(0,MIN($F54,EOMONTH(DATE(cfg_FY,8,1),0))-MAX($E54,DATE(cfg_FY,8,1))+1)*(1-IF($M54="نعم",0,N($J54))))</f>
        <v>0</v>
      </c>
      <c r="AD54" s="57" t="n">
        <f aca="false">IF(OR($B54="",$E54="",$F54=""),0,MAX(0,MIN($F54,EOMONTH(DATE(cfg_FY,9,1),0))-MAX($E54,DATE(cfg_FY,9,1))+1)*(1-IF($M54="نعم",0,N($J54))))</f>
        <v>0</v>
      </c>
      <c r="AE54" s="57" t="n">
        <f aca="false">IF(OR($B54="",$E54="",$F54=""),0,MAX(0,MIN($F54,EOMONTH(DATE(cfg_FY,10,1),0))-MAX($E54,DATE(cfg_FY,10,1))+1)*(1-IF($M54="نعم",0,N($J54))))</f>
        <v>0</v>
      </c>
      <c r="AF54" s="57" t="n">
        <f aca="false">IF(OR($B54="",$E54="",$F54=""),0,MAX(0,MIN($F54,EOMONTH(DATE(cfg_FY,11,1),0))-MAX($E54,DATE(cfg_FY,11,1))+1)*(1-IF($M54="نعم",0,N($J54))))</f>
        <v>0</v>
      </c>
      <c r="AG54" s="57" t="n">
        <f aca="false">IF(OR($B54="",$E54="",$F54=""),0,MAX(0,MIN($F54,EOMONTH(DATE(cfg_FY,12,1),0))-MAX($E54,DATE(cfg_FY,12,1))+1)*(1-IF($M54="نعم",0,N($J54))))</f>
        <v>0</v>
      </c>
      <c r="AH54" s="57" t="n">
        <f aca="false">IF(OR(OR($B54="",$E54="",$F54=""),$L54&lt;&gt;"لا"),0,MAX(0,MIN($F54,EOMONTH(DATE(cfg_FY,1,1),0))-$E54+1))</f>
        <v>0</v>
      </c>
      <c r="AI54" s="57" t="n">
        <f aca="false">IF(OR(OR($B54="",$E54="",$F54=""),$L54&lt;&gt;"لا"),0,MAX(0,MIN($F54,EOMONTH(DATE(cfg_FY,2,1),0))-$E54+1))</f>
        <v>0</v>
      </c>
      <c r="AJ54" s="57" t="n">
        <f aca="false">IF(OR(OR($B54="",$E54="",$F54=""),$L54&lt;&gt;"لا"),0,MAX(0,MIN($F54,EOMONTH(DATE(cfg_FY,3,1),0))-$E54+1))</f>
        <v>0</v>
      </c>
      <c r="AK54" s="57" t="n">
        <f aca="false">IF(OR(OR($B54="",$E54="",$F54=""),$L54&lt;&gt;"لا"),0,MAX(0,MIN($F54,EOMONTH(DATE(cfg_FY,4,1),0))-$E54+1))</f>
        <v>0</v>
      </c>
      <c r="AL54" s="57" t="n">
        <f aca="false">IF(OR(OR($B54="",$E54="",$F54=""),$L54&lt;&gt;"لا"),0,MAX(0,MIN($F54,EOMONTH(DATE(cfg_FY,5,1),0))-$E54+1))</f>
        <v>0</v>
      </c>
      <c r="AM54" s="57" t="n">
        <f aca="false">IF(OR(OR($B54="",$E54="",$F54=""),$L54&lt;&gt;"لا"),0,MAX(0,MIN($F54,EOMONTH(DATE(cfg_FY,6,1),0))-$E54+1))</f>
        <v>0</v>
      </c>
      <c r="AN54" s="57" t="n">
        <f aca="false">IF(OR(OR($B54="",$E54="",$F54=""),$L54&lt;&gt;"لا"),0,MAX(0,MIN($F54,EOMONTH(DATE(cfg_FY,7,1),0))-$E54+1))</f>
        <v>0</v>
      </c>
      <c r="AO54" s="57" t="n">
        <f aca="false">IF(OR(OR($B54="",$E54="",$F54=""),$L54&lt;&gt;"لا"),0,MAX(0,MIN($F54,EOMONTH(DATE(cfg_FY,8,1),0))-$E54+1))</f>
        <v>0</v>
      </c>
      <c r="AP54" s="57" t="n">
        <f aca="false">IF(OR(OR($B54="",$E54="",$F54=""),$L54&lt;&gt;"لا"),0,MAX(0,MIN($F54,EOMONTH(DATE(cfg_FY,9,1),0))-$E54+1))</f>
        <v>0</v>
      </c>
      <c r="AQ54" s="57" t="n">
        <f aca="false">IF(OR(OR($B54="",$E54="",$F54=""),$L54&lt;&gt;"لا"),0,MAX(0,MIN($F54,EOMONTH(DATE(cfg_FY,10,1),0))-$E54+1))</f>
        <v>0</v>
      </c>
      <c r="AR54" s="57" t="n">
        <f aca="false">IF(OR(OR($B54="",$E54="",$F54=""),$L54&lt;&gt;"لا"),0,MAX(0,MIN($F54,EOMONTH(DATE(cfg_FY,11,1),0))-$E54+1))</f>
        <v>0</v>
      </c>
      <c r="AS54" s="57" t="n">
        <f aca="false">IF(OR(OR($B54="",$E54="",$F54=""),$L54&lt;&gt;"لا"),0,MAX(0,MIN($F54,EOMONTH(DATE(cfg_FY,12,1),0))-$E54+1))</f>
        <v>0</v>
      </c>
      <c r="AT54" s="57" t="n">
        <f aca="false">IF(OR(OR($B54="",$E54="",$F54=""),$K54&lt;&gt;"نعم",$M54="نعم"),0,MAX(0,MIN($F54,EOMONTH(DATE(cfg_FY,1,1),0))-MAX($E54,DATE(cfg_FY,1,1))+1))</f>
        <v>0</v>
      </c>
      <c r="AU54" s="57" t="n">
        <f aca="false">IF(OR(OR($B54="",$E54="",$F54=""),$K54&lt;&gt;"نعم",$M54="نعم"),0,MAX(0,MIN($F54,EOMONTH(DATE(cfg_FY,2,1),0))-MAX($E54,DATE(cfg_FY,2,1))+1))</f>
        <v>0</v>
      </c>
      <c r="AV54" s="57" t="n">
        <f aca="false">IF(OR(OR($B54="",$E54="",$F54=""),$K54&lt;&gt;"نعم",$M54="نعم"),0,MAX(0,MIN($F54,EOMONTH(DATE(cfg_FY,3,1),0))-MAX($E54,DATE(cfg_FY,3,1))+1))</f>
        <v>0</v>
      </c>
      <c r="AW54" s="57" t="n">
        <f aca="false">IF(OR(OR($B54="",$E54="",$F54=""),$K54&lt;&gt;"نعم",$M54="نعم"),0,MAX(0,MIN($F54,EOMONTH(DATE(cfg_FY,4,1),0))-MAX($E54,DATE(cfg_FY,4,1))+1))</f>
        <v>0</v>
      </c>
      <c r="AX54" s="57" t="n">
        <f aca="false">IF(OR(OR($B54="",$E54="",$F54=""),$K54&lt;&gt;"نعم",$M54="نعم"),0,MAX(0,MIN($F54,EOMONTH(DATE(cfg_FY,5,1),0))-MAX($E54,DATE(cfg_FY,5,1))+1))</f>
        <v>0</v>
      </c>
      <c r="AY54" s="57" t="n">
        <f aca="false">IF(OR(OR($B54="",$E54="",$F54=""),$K54&lt;&gt;"نعم",$M54="نعم"),0,MAX(0,MIN($F54,EOMONTH(DATE(cfg_FY,6,1),0))-MAX($E54,DATE(cfg_FY,6,1))+1))</f>
        <v>0</v>
      </c>
      <c r="AZ54" s="57" t="n">
        <f aca="false">IF(OR(OR($B54="",$E54="",$F54=""),$K54&lt;&gt;"نعم",$M54="نعم"),0,MAX(0,MIN($F54,EOMONTH(DATE(cfg_FY,7,1),0))-MAX($E54,DATE(cfg_FY,7,1))+1))</f>
        <v>0</v>
      </c>
      <c r="BA54" s="57" t="n">
        <f aca="false">IF(OR(OR($B54="",$E54="",$F54=""),$K54&lt;&gt;"نعم",$M54="نعم"),0,MAX(0,MIN($F54,EOMONTH(DATE(cfg_FY,8,1),0))-MAX($E54,DATE(cfg_FY,8,1))+1))</f>
        <v>0</v>
      </c>
      <c r="BB54" s="57" t="n">
        <f aca="false">IF(OR(OR($B54="",$E54="",$F54=""),$K54&lt;&gt;"نعم",$M54="نعم"),0,MAX(0,MIN($F54,EOMONTH(DATE(cfg_FY,9,1),0))-MAX($E54,DATE(cfg_FY,9,1))+1))</f>
        <v>0</v>
      </c>
      <c r="BC54" s="57" t="n">
        <f aca="false">IF(OR(OR($B54="",$E54="",$F54=""),$K54&lt;&gt;"نعم",$M54="نعم"),0,MAX(0,MIN($F54,EOMONTH(DATE(cfg_FY,10,1),0))-MAX($E54,DATE(cfg_FY,10,1))+1))</f>
        <v>0</v>
      </c>
      <c r="BD54" s="57" t="n">
        <f aca="false">IF(OR(OR($B54="",$E54="",$F54=""),$K54&lt;&gt;"نعم",$M54="نعم"),0,MAX(0,MIN($F54,EOMONTH(DATE(cfg_FY,11,1),0))-MAX($E54,DATE(cfg_FY,11,1))+1))</f>
        <v>0</v>
      </c>
      <c r="BE54" s="57" t="n">
        <f aca="false">IF(OR(OR($B54="",$E54="",$F54=""),$K54&lt;&gt;"نعم",$M54="نعم"),0,MAX(0,MIN($F54,EOMONTH(DATE(cfg_FY,12,1),0))-MAX($E54,DATE(cfg_FY,12,1))+1))</f>
        <v>0</v>
      </c>
    </row>
    <row r="55" customFormat="false" ht="15" hidden="false" customHeight="false" outlineLevel="0" collapsed="false">
      <c r="A55" s="100" t="str">
        <f aca="false">IF(B55="","",ROW()-5)</f>
        <v/>
      </c>
      <c r="B55" s="79"/>
      <c r="C55" s="102" t="str">
        <f aca="false">IF(B55="","",IFERROR(INDEX(الموظفون!$C$6:$C$105,MATCH(B55,الموظفون!$B$6:$B$105,0)),"✖ رقم غير موجود"))</f>
        <v/>
      </c>
      <c r="D55" s="79"/>
      <c r="E55" s="94"/>
      <c r="F55" s="94"/>
      <c r="G55" s="110" t="str">
        <f aca="false">IF(OR($B55="",$E55="",$F55=""),"",MAX(0,F55-E55+1))</f>
        <v/>
      </c>
      <c r="H55" s="111" t="str">
        <f aca="false">IF(D55="","",IFERROR(VLOOKUP(D55,cfg_LT,2,FALSE()),1))</f>
        <v/>
      </c>
      <c r="I55" s="82"/>
      <c r="J55" s="111" t="str">
        <f aca="false">IF(D55="","",IF(I55&lt;&gt;"",I55,H55))</f>
        <v/>
      </c>
      <c r="K55" s="102" t="str">
        <f aca="false">IF(D55="","",IFERROR(VLOOKUP($D55,cfg_LT,3,FALSE()),""))</f>
        <v/>
      </c>
      <c r="L55" s="102" t="str">
        <f aca="false">IF(D55="","",IFERROR(VLOOKUP($D55,cfg_LT,4,FALSE()),""))</f>
        <v/>
      </c>
      <c r="M55" s="102" t="str">
        <f aca="false">IF(D55="","",IFERROR(VLOOKUP($D55,cfg_LT,5,FALSE()),""))</f>
        <v/>
      </c>
      <c r="N55" s="101" t="n">
        <f aca="false">IF(OR(OR($B55="",$E55="",$F55=""),M55&lt;&gt;"نعم"),0,G55*J55*IFERROR(INDEX(الموظفون!$R$6:$R$105,MATCH(B55,الموظفون!$B$6:$B$105,0)),0)/cfg_DAYS_M)</f>
        <v>0</v>
      </c>
      <c r="O55" s="100" t="str">
        <f aca="false">IF(OR(OR($B55="",$E55="",$F55=""),M55&lt;&gt;"نعم"),"",IF(YEAR(E55)=cfg_FY,MONTH(E55),""))</f>
        <v/>
      </c>
      <c r="P55" s="102" t="str">
        <f aca="false">IF(B55="","",IF(OR(D55="",E55="",F55=""),"⚠ أكمل النوع والتواريخ",IF(F55&lt;E55,"✖ النهاية قبل البداية",IF(COUNTIFS($B$6:$B$505,B55,$E$6:$E$505,"&lt;="&amp;F55,$F$6:$F$505,"&gt;="&amp;E55)&gt;1,"⚠ تداخل مع سجل آخر",IF(E55&gt;cfg_VAL_DATE,"⏳ قادمة",IF(F55&lt;cfg_VAL_DATE,"✔ منتهية","✈ جارية في تاريخ التقرير"))))))</f>
        <v/>
      </c>
      <c r="Q55" s="79"/>
      <c r="R55" s="110" t="n">
        <f aca="false">IF(OR(OR($B55="",$E55="",$F55=""),L55&lt;&gt;"لا"),0,MAX(0,MIN(F55,cfg_Y_START-1)-E55+1))</f>
        <v>0</v>
      </c>
      <c r="S55" s="110" t="n">
        <f aca="false">IF(OR(OR($B55="",$E55="",$F55=""),L55&lt;&gt;"لا"),0,MAX(0,MIN(F55,cfg_VAL_DATE)-E55+1))</f>
        <v>0</v>
      </c>
      <c r="T55" s="110" t="n">
        <f aca="false">IF(OR(OR($B55="",$E55="",$F55=""),K55&lt;&gt;"نعم"),0,IF(M55="نعم",IF(AND(ISNUMBER(O55),N(O55)&lt;=cfg_VAL_M),G55,0),MAX(0,MIN(F55,cfg_VAL_DATE)-MAX(E55,cfg_Y_START)+1)))</f>
        <v>0</v>
      </c>
      <c r="V55" s="110" t="n">
        <f aca="false">IF(OR($B55="",$E55="",$F55=""),0,MAX(0,MIN($F55,EOMONTH(DATE(cfg_FY,1,1),0))-MAX($E55,DATE(cfg_FY,1,1))+1)*(1-IF($M55="نعم",0,N($J55))))</f>
        <v>0</v>
      </c>
      <c r="W55" s="110" t="n">
        <f aca="false">IF(OR($B55="",$E55="",$F55=""),0,MAX(0,MIN($F55,EOMONTH(DATE(cfg_FY,2,1),0))-MAX($E55,DATE(cfg_FY,2,1))+1)*(1-IF($M55="نعم",0,N($J55))))</f>
        <v>0</v>
      </c>
      <c r="X55" s="110" t="n">
        <f aca="false">IF(OR($B55="",$E55="",$F55=""),0,MAX(0,MIN($F55,EOMONTH(DATE(cfg_FY,3,1),0))-MAX($E55,DATE(cfg_FY,3,1))+1)*(1-IF($M55="نعم",0,N($J55))))</f>
        <v>0</v>
      </c>
      <c r="Y55" s="110" t="n">
        <f aca="false">IF(OR($B55="",$E55="",$F55=""),0,MAX(0,MIN($F55,EOMONTH(DATE(cfg_FY,4,1),0))-MAX($E55,DATE(cfg_FY,4,1))+1)*(1-IF($M55="نعم",0,N($J55))))</f>
        <v>0</v>
      </c>
      <c r="Z55" s="110" t="n">
        <f aca="false">IF(OR($B55="",$E55="",$F55=""),0,MAX(0,MIN($F55,EOMONTH(DATE(cfg_FY,5,1),0))-MAX($E55,DATE(cfg_FY,5,1))+1)*(1-IF($M55="نعم",0,N($J55))))</f>
        <v>0</v>
      </c>
      <c r="AA55" s="110" t="n">
        <f aca="false">IF(OR($B55="",$E55="",$F55=""),0,MAX(0,MIN($F55,EOMONTH(DATE(cfg_FY,6,1),0))-MAX($E55,DATE(cfg_FY,6,1))+1)*(1-IF($M55="نعم",0,N($J55))))</f>
        <v>0</v>
      </c>
      <c r="AB55" s="110" t="n">
        <f aca="false">IF(OR($B55="",$E55="",$F55=""),0,MAX(0,MIN($F55,EOMONTH(DATE(cfg_FY,7,1),0))-MAX($E55,DATE(cfg_FY,7,1))+1)*(1-IF($M55="نعم",0,N($J55))))</f>
        <v>0</v>
      </c>
      <c r="AC55" s="110" t="n">
        <f aca="false">IF(OR($B55="",$E55="",$F55=""),0,MAX(0,MIN($F55,EOMONTH(DATE(cfg_FY,8,1),0))-MAX($E55,DATE(cfg_FY,8,1))+1)*(1-IF($M55="نعم",0,N($J55))))</f>
        <v>0</v>
      </c>
      <c r="AD55" s="110" t="n">
        <f aca="false">IF(OR($B55="",$E55="",$F55=""),0,MAX(0,MIN($F55,EOMONTH(DATE(cfg_FY,9,1),0))-MAX($E55,DATE(cfg_FY,9,1))+1)*(1-IF($M55="نعم",0,N($J55))))</f>
        <v>0</v>
      </c>
      <c r="AE55" s="110" t="n">
        <f aca="false">IF(OR($B55="",$E55="",$F55=""),0,MAX(0,MIN($F55,EOMONTH(DATE(cfg_FY,10,1),0))-MAX($E55,DATE(cfg_FY,10,1))+1)*(1-IF($M55="نعم",0,N($J55))))</f>
        <v>0</v>
      </c>
      <c r="AF55" s="110" t="n">
        <f aca="false">IF(OR($B55="",$E55="",$F55=""),0,MAX(0,MIN($F55,EOMONTH(DATE(cfg_FY,11,1),0))-MAX($E55,DATE(cfg_FY,11,1))+1)*(1-IF($M55="نعم",0,N($J55))))</f>
        <v>0</v>
      </c>
      <c r="AG55" s="110" t="n">
        <f aca="false">IF(OR($B55="",$E55="",$F55=""),0,MAX(0,MIN($F55,EOMONTH(DATE(cfg_FY,12,1),0))-MAX($E55,DATE(cfg_FY,12,1))+1)*(1-IF($M55="نعم",0,N($J55))))</f>
        <v>0</v>
      </c>
      <c r="AH55" s="110" t="n">
        <f aca="false">IF(OR(OR($B55="",$E55="",$F55=""),$L55&lt;&gt;"لا"),0,MAX(0,MIN($F55,EOMONTH(DATE(cfg_FY,1,1),0))-$E55+1))</f>
        <v>0</v>
      </c>
      <c r="AI55" s="110" t="n">
        <f aca="false">IF(OR(OR($B55="",$E55="",$F55=""),$L55&lt;&gt;"لا"),0,MAX(0,MIN($F55,EOMONTH(DATE(cfg_FY,2,1),0))-$E55+1))</f>
        <v>0</v>
      </c>
      <c r="AJ55" s="110" t="n">
        <f aca="false">IF(OR(OR($B55="",$E55="",$F55=""),$L55&lt;&gt;"لا"),0,MAX(0,MIN($F55,EOMONTH(DATE(cfg_FY,3,1),0))-$E55+1))</f>
        <v>0</v>
      </c>
      <c r="AK55" s="110" t="n">
        <f aca="false">IF(OR(OR($B55="",$E55="",$F55=""),$L55&lt;&gt;"لا"),0,MAX(0,MIN($F55,EOMONTH(DATE(cfg_FY,4,1),0))-$E55+1))</f>
        <v>0</v>
      </c>
      <c r="AL55" s="110" t="n">
        <f aca="false">IF(OR(OR($B55="",$E55="",$F55=""),$L55&lt;&gt;"لا"),0,MAX(0,MIN($F55,EOMONTH(DATE(cfg_FY,5,1),0))-$E55+1))</f>
        <v>0</v>
      </c>
      <c r="AM55" s="110" t="n">
        <f aca="false">IF(OR(OR($B55="",$E55="",$F55=""),$L55&lt;&gt;"لا"),0,MAX(0,MIN($F55,EOMONTH(DATE(cfg_FY,6,1),0))-$E55+1))</f>
        <v>0</v>
      </c>
      <c r="AN55" s="110" t="n">
        <f aca="false">IF(OR(OR($B55="",$E55="",$F55=""),$L55&lt;&gt;"لا"),0,MAX(0,MIN($F55,EOMONTH(DATE(cfg_FY,7,1),0))-$E55+1))</f>
        <v>0</v>
      </c>
      <c r="AO55" s="110" t="n">
        <f aca="false">IF(OR(OR($B55="",$E55="",$F55=""),$L55&lt;&gt;"لا"),0,MAX(0,MIN($F55,EOMONTH(DATE(cfg_FY,8,1),0))-$E55+1))</f>
        <v>0</v>
      </c>
      <c r="AP55" s="110" t="n">
        <f aca="false">IF(OR(OR($B55="",$E55="",$F55=""),$L55&lt;&gt;"لا"),0,MAX(0,MIN($F55,EOMONTH(DATE(cfg_FY,9,1),0))-$E55+1))</f>
        <v>0</v>
      </c>
      <c r="AQ55" s="110" t="n">
        <f aca="false">IF(OR(OR($B55="",$E55="",$F55=""),$L55&lt;&gt;"لا"),0,MAX(0,MIN($F55,EOMONTH(DATE(cfg_FY,10,1),0))-$E55+1))</f>
        <v>0</v>
      </c>
      <c r="AR55" s="110" t="n">
        <f aca="false">IF(OR(OR($B55="",$E55="",$F55=""),$L55&lt;&gt;"لا"),0,MAX(0,MIN($F55,EOMONTH(DATE(cfg_FY,11,1),0))-$E55+1))</f>
        <v>0</v>
      </c>
      <c r="AS55" s="110" t="n">
        <f aca="false">IF(OR(OR($B55="",$E55="",$F55=""),$L55&lt;&gt;"لا"),0,MAX(0,MIN($F55,EOMONTH(DATE(cfg_FY,12,1),0))-$E55+1))</f>
        <v>0</v>
      </c>
      <c r="AT55" s="110" t="n">
        <f aca="false">IF(OR(OR($B55="",$E55="",$F55=""),$K55&lt;&gt;"نعم",$M55="نعم"),0,MAX(0,MIN($F55,EOMONTH(DATE(cfg_FY,1,1),0))-MAX($E55,DATE(cfg_FY,1,1))+1))</f>
        <v>0</v>
      </c>
      <c r="AU55" s="110" t="n">
        <f aca="false">IF(OR(OR($B55="",$E55="",$F55=""),$K55&lt;&gt;"نعم",$M55="نعم"),0,MAX(0,MIN($F55,EOMONTH(DATE(cfg_FY,2,1),0))-MAX($E55,DATE(cfg_FY,2,1))+1))</f>
        <v>0</v>
      </c>
      <c r="AV55" s="110" t="n">
        <f aca="false">IF(OR(OR($B55="",$E55="",$F55=""),$K55&lt;&gt;"نعم",$M55="نعم"),0,MAX(0,MIN($F55,EOMONTH(DATE(cfg_FY,3,1),0))-MAX($E55,DATE(cfg_FY,3,1))+1))</f>
        <v>0</v>
      </c>
      <c r="AW55" s="110" t="n">
        <f aca="false">IF(OR(OR($B55="",$E55="",$F55=""),$K55&lt;&gt;"نعم",$M55="نعم"),0,MAX(0,MIN($F55,EOMONTH(DATE(cfg_FY,4,1),0))-MAX($E55,DATE(cfg_FY,4,1))+1))</f>
        <v>0</v>
      </c>
      <c r="AX55" s="110" t="n">
        <f aca="false">IF(OR(OR($B55="",$E55="",$F55=""),$K55&lt;&gt;"نعم",$M55="نعم"),0,MAX(0,MIN($F55,EOMONTH(DATE(cfg_FY,5,1),0))-MAX($E55,DATE(cfg_FY,5,1))+1))</f>
        <v>0</v>
      </c>
      <c r="AY55" s="110" t="n">
        <f aca="false">IF(OR(OR($B55="",$E55="",$F55=""),$K55&lt;&gt;"نعم",$M55="نعم"),0,MAX(0,MIN($F55,EOMONTH(DATE(cfg_FY,6,1),0))-MAX($E55,DATE(cfg_FY,6,1))+1))</f>
        <v>0</v>
      </c>
      <c r="AZ55" s="110" t="n">
        <f aca="false">IF(OR(OR($B55="",$E55="",$F55=""),$K55&lt;&gt;"نعم",$M55="نعم"),0,MAX(0,MIN($F55,EOMONTH(DATE(cfg_FY,7,1),0))-MAX($E55,DATE(cfg_FY,7,1))+1))</f>
        <v>0</v>
      </c>
      <c r="BA55" s="110" t="n">
        <f aca="false">IF(OR(OR($B55="",$E55="",$F55=""),$K55&lt;&gt;"نعم",$M55="نعم"),0,MAX(0,MIN($F55,EOMONTH(DATE(cfg_FY,8,1),0))-MAX($E55,DATE(cfg_FY,8,1))+1))</f>
        <v>0</v>
      </c>
      <c r="BB55" s="110" t="n">
        <f aca="false">IF(OR(OR($B55="",$E55="",$F55=""),$K55&lt;&gt;"نعم",$M55="نعم"),0,MAX(0,MIN($F55,EOMONTH(DATE(cfg_FY,9,1),0))-MAX($E55,DATE(cfg_FY,9,1))+1))</f>
        <v>0</v>
      </c>
      <c r="BC55" s="110" t="n">
        <f aca="false">IF(OR(OR($B55="",$E55="",$F55=""),$K55&lt;&gt;"نعم",$M55="نعم"),0,MAX(0,MIN($F55,EOMONTH(DATE(cfg_FY,10,1),0))-MAX($E55,DATE(cfg_FY,10,1))+1))</f>
        <v>0</v>
      </c>
      <c r="BD55" s="110" t="n">
        <f aca="false">IF(OR(OR($B55="",$E55="",$F55=""),$K55&lt;&gt;"نعم",$M55="نعم"),0,MAX(0,MIN($F55,EOMONTH(DATE(cfg_FY,11,1),0))-MAX($E55,DATE(cfg_FY,11,1))+1))</f>
        <v>0</v>
      </c>
      <c r="BE55" s="110" t="n">
        <f aca="false">IF(OR(OR($B55="",$E55="",$F55=""),$K55&lt;&gt;"نعم",$M55="نعم"),0,MAX(0,MIN($F55,EOMONTH(DATE(cfg_FY,12,1),0))-MAX($E55,DATE(cfg_FY,12,1))+1))</f>
        <v>0</v>
      </c>
    </row>
    <row r="56" customFormat="false" ht="15" hidden="false" customHeight="false" outlineLevel="0" collapsed="false">
      <c r="A56" s="93" t="str">
        <f aca="false">IF(B56="","",ROW()-5)</f>
        <v/>
      </c>
      <c r="B56" s="79"/>
      <c r="C56" s="80" t="str">
        <f aca="false">IF(B56="","",IFERROR(INDEX(الموظفون!$C$6:$C$105,MATCH(B56,الموظفون!$B$6:$B$105,0)),"✖ رقم غير موجود"))</f>
        <v/>
      </c>
      <c r="D56" s="79"/>
      <c r="E56" s="94"/>
      <c r="F56" s="94"/>
      <c r="G56" s="57" t="str">
        <f aca="false">IF(OR($B56="",$E56="",$F56=""),"",MAX(0,F56-E56+1))</f>
        <v/>
      </c>
      <c r="H56" s="58" t="str">
        <f aca="false">IF(D56="","",IFERROR(VLOOKUP(D56,cfg_LT,2,FALSE()),1))</f>
        <v/>
      </c>
      <c r="I56" s="82"/>
      <c r="J56" s="58" t="str">
        <f aca="false">IF(D56="","",IF(I56&lt;&gt;"",I56,H56))</f>
        <v/>
      </c>
      <c r="K56" s="80" t="str">
        <f aca="false">IF(D56="","",IFERROR(VLOOKUP($D56,cfg_LT,3,FALSE()),""))</f>
        <v/>
      </c>
      <c r="L56" s="80" t="str">
        <f aca="false">IF(D56="","",IFERROR(VLOOKUP($D56,cfg_LT,4,FALSE()),""))</f>
        <v/>
      </c>
      <c r="M56" s="80" t="str">
        <f aca="false">IF(D56="","",IFERROR(VLOOKUP($D56,cfg_LT,5,FALSE()),""))</f>
        <v/>
      </c>
      <c r="N56" s="97" t="n">
        <f aca="false">IF(OR(OR($B56="",$E56="",$F56=""),M56&lt;&gt;"نعم"),0,G56*J56*IFERROR(INDEX(الموظفون!$R$6:$R$105,MATCH(B56,الموظفون!$B$6:$B$105,0)),0)/cfg_DAYS_M)</f>
        <v>0</v>
      </c>
      <c r="O56" s="93" t="str">
        <f aca="false">IF(OR(OR($B56="",$E56="",$F56=""),M56&lt;&gt;"نعم"),"",IF(YEAR(E56)=cfg_FY,MONTH(E56),""))</f>
        <v/>
      </c>
      <c r="P56" s="80" t="str">
        <f aca="false">IF(B56="","",IF(OR(D56="",E56="",F56=""),"⚠ أكمل النوع والتواريخ",IF(F56&lt;E56,"✖ النهاية قبل البداية",IF(COUNTIFS($B$6:$B$505,B56,$E$6:$E$505,"&lt;="&amp;F56,$F$6:$F$505,"&gt;="&amp;E56)&gt;1,"⚠ تداخل مع سجل آخر",IF(E56&gt;cfg_VAL_DATE,"⏳ قادمة",IF(F56&lt;cfg_VAL_DATE,"✔ منتهية","✈ جارية في تاريخ التقرير"))))))</f>
        <v/>
      </c>
      <c r="Q56" s="79"/>
      <c r="R56" s="57" t="n">
        <f aca="false">IF(OR(OR($B56="",$E56="",$F56=""),L56&lt;&gt;"لا"),0,MAX(0,MIN(F56,cfg_Y_START-1)-E56+1))</f>
        <v>0</v>
      </c>
      <c r="S56" s="57" t="n">
        <f aca="false">IF(OR(OR($B56="",$E56="",$F56=""),L56&lt;&gt;"لا"),0,MAX(0,MIN(F56,cfg_VAL_DATE)-E56+1))</f>
        <v>0</v>
      </c>
      <c r="T56" s="57" t="n">
        <f aca="false">IF(OR(OR($B56="",$E56="",$F56=""),K56&lt;&gt;"نعم"),0,IF(M56="نعم",IF(AND(ISNUMBER(O56),N(O56)&lt;=cfg_VAL_M),G56,0),MAX(0,MIN(F56,cfg_VAL_DATE)-MAX(E56,cfg_Y_START)+1)))</f>
        <v>0</v>
      </c>
      <c r="V56" s="57" t="n">
        <f aca="false">IF(OR($B56="",$E56="",$F56=""),0,MAX(0,MIN($F56,EOMONTH(DATE(cfg_FY,1,1),0))-MAX($E56,DATE(cfg_FY,1,1))+1)*(1-IF($M56="نعم",0,N($J56))))</f>
        <v>0</v>
      </c>
      <c r="W56" s="57" t="n">
        <f aca="false">IF(OR($B56="",$E56="",$F56=""),0,MAX(0,MIN($F56,EOMONTH(DATE(cfg_FY,2,1),0))-MAX($E56,DATE(cfg_FY,2,1))+1)*(1-IF($M56="نعم",0,N($J56))))</f>
        <v>0</v>
      </c>
      <c r="X56" s="57" t="n">
        <f aca="false">IF(OR($B56="",$E56="",$F56=""),0,MAX(0,MIN($F56,EOMONTH(DATE(cfg_FY,3,1),0))-MAX($E56,DATE(cfg_FY,3,1))+1)*(1-IF($M56="نعم",0,N($J56))))</f>
        <v>0</v>
      </c>
      <c r="Y56" s="57" t="n">
        <f aca="false">IF(OR($B56="",$E56="",$F56=""),0,MAX(0,MIN($F56,EOMONTH(DATE(cfg_FY,4,1),0))-MAX($E56,DATE(cfg_FY,4,1))+1)*(1-IF($M56="نعم",0,N($J56))))</f>
        <v>0</v>
      </c>
      <c r="Z56" s="57" t="n">
        <f aca="false">IF(OR($B56="",$E56="",$F56=""),0,MAX(0,MIN($F56,EOMONTH(DATE(cfg_FY,5,1),0))-MAX($E56,DATE(cfg_FY,5,1))+1)*(1-IF($M56="نعم",0,N($J56))))</f>
        <v>0</v>
      </c>
      <c r="AA56" s="57" t="n">
        <f aca="false">IF(OR($B56="",$E56="",$F56=""),0,MAX(0,MIN($F56,EOMONTH(DATE(cfg_FY,6,1),0))-MAX($E56,DATE(cfg_FY,6,1))+1)*(1-IF($M56="نعم",0,N($J56))))</f>
        <v>0</v>
      </c>
      <c r="AB56" s="57" t="n">
        <f aca="false">IF(OR($B56="",$E56="",$F56=""),0,MAX(0,MIN($F56,EOMONTH(DATE(cfg_FY,7,1),0))-MAX($E56,DATE(cfg_FY,7,1))+1)*(1-IF($M56="نعم",0,N($J56))))</f>
        <v>0</v>
      </c>
      <c r="AC56" s="57" t="n">
        <f aca="false">IF(OR($B56="",$E56="",$F56=""),0,MAX(0,MIN($F56,EOMONTH(DATE(cfg_FY,8,1),0))-MAX($E56,DATE(cfg_FY,8,1))+1)*(1-IF($M56="نعم",0,N($J56))))</f>
        <v>0</v>
      </c>
      <c r="AD56" s="57" t="n">
        <f aca="false">IF(OR($B56="",$E56="",$F56=""),0,MAX(0,MIN($F56,EOMONTH(DATE(cfg_FY,9,1),0))-MAX($E56,DATE(cfg_FY,9,1))+1)*(1-IF($M56="نعم",0,N($J56))))</f>
        <v>0</v>
      </c>
      <c r="AE56" s="57" t="n">
        <f aca="false">IF(OR($B56="",$E56="",$F56=""),0,MAX(0,MIN($F56,EOMONTH(DATE(cfg_FY,10,1),0))-MAX($E56,DATE(cfg_FY,10,1))+1)*(1-IF($M56="نعم",0,N($J56))))</f>
        <v>0</v>
      </c>
      <c r="AF56" s="57" t="n">
        <f aca="false">IF(OR($B56="",$E56="",$F56=""),0,MAX(0,MIN($F56,EOMONTH(DATE(cfg_FY,11,1),0))-MAX($E56,DATE(cfg_FY,11,1))+1)*(1-IF($M56="نعم",0,N($J56))))</f>
        <v>0</v>
      </c>
      <c r="AG56" s="57" t="n">
        <f aca="false">IF(OR($B56="",$E56="",$F56=""),0,MAX(0,MIN($F56,EOMONTH(DATE(cfg_FY,12,1),0))-MAX($E56,DATE(cfg_FY,12,1))+1)*(1-IF($M56="نعم",0,N($J56))))</f>
        <v>0</v>
      </c>
      <c r="AH56" s="57" t="n">
        <f aca="false">IF(OR(OR($B56="",$E56="",$F56=""),$L56&lt;&gt;"لا"),0,MAX(0,MIN($F56,EOMONTH(DATE(cfg_FY,1,1),0))-$E56+1))</f>
        <v>0</v>
      </c>
      <c r="AI56" s="57" t="n">
        <f aca="false">IF(OR(OR($B56="",$E56="",$F56=""),$L56&lt;&gt;"لا"),0,MAX(0,MIN($F56,EOMONTH(DATE(cfg_FY,2,1),0))-$E56+1))</f>
        <v>0</v>
      </c>
      <c r="AJ56" s="57" t="n">
        <f aca="false">IF(OR(OR($B56="",$E56="",$F56=""),$L56&lt;&gt;"لا"),0,MAX(0,MIN($F56,EOMONTH(DATE(cfg_FY,3,1),0))-$E56+1))</f>
        <v>0</v>
      </c>
      <c r="AK56" s="57" t="n">
        <f aca="false">IF(OR(OR($B56="",$E56="",$F56=""),$L56&lt;&gt;"لا"),0,MAX(0,MIN($F56,EOMONTH(DATE(cfg_FY,4,1),0))-$E56+1))</f>
        <v>0</v>
      </c>
      <c r="AL56" s="57" t="n">
        <f aca="false">IF(OR(OR($B56="",$E56="",$F56=""),$L56&lt;&gt;"لا"),0,MAX(0,MIN($F56,EOMONTH(DATE(cfg_FY,5,1),0))-$E56+1))</f>
        <v>0</v>
      </c>
      <c r="AM56" s="57" t="n">
        <f aca="false">IF(OR(OR($B56="",$E56="",$F56=""),$L56&lt;&gt;"لا"),0,MAX(0,MIN($F56,EOMONTH(DATE(cfg_FY,6,1),0))-$E56+1))</f>
        <v>0</v>
      </c>
      <c r="AN56" s="57" t="n">
        <f aca="false">IF(OR(OR($B56="",$E56="",$F56=""),$L56&lt;&gt;"لا"),0,MAX(0,MIN($F56,EOMONTH(DATE(cfg_FY,7,1),0))-$E56+1))</f>
        <v>0</v>
      </c>
      <c r="AO56" s="57" t="n">
        <f aca="false">IF(OR(OR($B56="",$E56="",$F56=""),$L56&lt;&gt;"لا"),0,MAX(0,MIN($F56,EOMONTH(DATE(cfg_FY,8,1),0))-$E56+1))</f>
        <v>0</v>
      </c>
      <c r="AP56" s="57" t="n">
        <f aca="false">IF(OR(OR($B56="",$E56="",$F56=""),$L56&lt;&gt;"لا"),0,MAX(0,MIN($F56,EOMONTH(DATE(cfg_FY,9,1),0))-$E56+1))</f>
        <v>0</v>
      </c>
      <c r="AQ56" s="57" t="n">
        <f aca="false">IF(OR(OR($B56="",$E56="",$F56=""),$L56&lt;&gt;"لا"),0,MAX(0,MIN($F56,EOMONTH(DATE(cfg_FY,10,1),0))-$E56+1))</f>
        <v>0</v>
      </c>
      <c r="AR56" s="57" t="n">
        <f aca="false">IF(OR(OR($B56="",$E56="",$F56=""),$L56&lt;&gt;"لا"),0,MAX(0,MIN($F56,EOMONTH(DATE(cfg_FY,11,1),0))-$E56+1))</f>
        <v>0</v>
      </c>
      <c r="AS56" s="57" t="n">
        <f aca="false">IF(OR(OR($B56="",$E56="",$F56=""),$L56&lt;&gt;"لا"),0,MAX(0,MIN($F56,EOMONTH(DATE(cfg_FY,12,1),0))-$E56+1))</f>
        <v>0</v>
      </c>
      <c r="AT56" s="57" t="n">
        <f aca="false">IF(OR(OR($B56="",$E56="",$F56=""),$K56&lt;&gt;"نعم",$M56="نعم"),0,MAX(0,MIN($F56,EOMONTH(DATE(cfg_FY,1,1),0))-MAX($E56,DATE(cfg_FY,1,1))+1))</f>
        <v>0</v>
      </c>
      <c r="AU56" s="57" t="n">
        <f aca="false">IF(OR(OR($B56="",$E56="",$F56=""),$K56&lt;&gt;"نعم",$M56="نعم"),0,MAX(0,MIN($F56,EOMONTH(DATE(cfg_FY,2,1),0))-MAX($E56,DATE(cfg_FY,2,1))+1))</f>
        <v>0</v>
      </c>
      <c r="AV56" s="57" t="n">
        <f aca="false">IF(OR(OR($B56="",$E56="",$F56=""),$K56&lt;&gt;"نعم",$M56="نعم"),0,MAX(0,MIN($F56,EOMONTH(DATE(cfg_FY,3,1),0))-MAX($E56,DATE(cfg_FY,3,1))+1))</f>
        <v>0</v>
      </c>
      <c r="AW56" s="57" t="n">
        <f aca="false">IF(OR(OR($B56="",$E56="",$F56=""),$K56&lt;&gt;"نعم",$M56="نعم"),0,MAX(0,MIN($F56,EOMONTH(DATE(cfg_FY,4,1),0))-MAX($E56,DATE(cfg_FY,4,1))+1))</f>
        <v>0</v>
      </c>
      <c r="AX56" s="57" t="n">
        <f aca="false">IF(OR(OR($B56="",$E56="",$F56=""),$K56&lt;&gt;"نعم",$M56="نعم"),0,MAX(0,MIN($F56,EOMONTH(DATE(cfg_FY,5,1),0))-MAX($E56,DATE(cfg_FY,5,1))+1))</f>
        <v>0</v>
      </c>
      <c r="AY56" s="57" t="n">
        <f aca="false">IF(OR(OR($B56="",$E56="",$F56=""),$K56&lt;&gt;"نعم",$M56="نعم"),0,MAX(0,MIN($F56,EOMONTH(DATE(cfg_FY,6,1),0))-MAX($E56,DATE(cfg_FY,6,1))+1))</f>
        <v>0</v>
      </c>
      <c r="AZ56" s="57" t="n">
        <f aca="false">IF(OR(OR($B56="",$E56="",$F56=""),$K56&lt;&gt;"نعم",$M56="نعم"),0,MAX(0,MIN($F56,EOMONTH(DATE(cfg_FY,7,1),0))-MAX($E56,DATE(cfg_FY,7,1))+1))</f>
        <v>0</v>
      </c>
      <c r="BA56" s="57" t="n">
        <f aca="false">IF(OR(OR($B56="",$E56="",$F56=""),$K56&lt;&gt;"نعم",$M56="نعم"),0,MAX(0,MIN($F56,EOMONTH(DATE(cfg_FY,8,1),0))-MAX($E56,DATE(cfg_FY,8,1))+1))</f>
        <v>0</v>
      </c>
      <c r="BB56" s="57" t="n">
        <f aca="false">IF(OR(OR($B56="",$E56="",$F56=""),$K56&lt;&gt;"نعم",$M56="نعم"),0,MAX(0,MIN($F56,EOMONTH(DATE(cfg_FY,9,1),0))-MAX($E56,DATE(cfg_FY,9,1))+1))</f>
        <v>0</v>
      </c>
      <c r="BC56" s="57" t="n">
        <f aca="false">IF(OR(OR($B56="",$E56="",$F56=""),$K56&lt;&gt;"نعم",$M56="نعم"),0,MAX(0,MIN($F56,EOMONTH(DATE(cfg_FY,10,1),0))-MAX($E56,DATE(cfg_FY,10,1))+1))</f>
        <v>0</v>
      </c>
      <c r="BD56" s="57" t="n">
        <f aca="false">IF(OR(OR($B56="",$E56="",$F56=""),$K56&lt;&gt;"نعم",$M56="نعم"),0,MAX(0,MIN($F56,EOMONTH(DATE(cfg_FY,11,1),0))-MAX($E56,DATE(cfg_FY,11,1))+1))</f>
        <v>0</v>
      </c>
      <c r="BE56" s="57" t="n">
        <f aca="false">IF(OR(OR($B56="",$E56="",$F56=""),$K56&lt;&gt;"نعم",$M56="نعم"),0,MAX(0,MIN($F56,EOMONTH(DATE(cfg_FY,12,1),0))-MAX($E56,DATE(cfg_FY,12,1))+1))</f>
        <v>0</v>
      </c>
    </row>
    <row r="57" customFormat="false" ht="15" hidden="false" customHeight="false" outlineLevel="0" collapsed="false">
      <c r="A57" s="100" t="str">
        <f aca="false">IF(B57="","",ROW()-5)</f>
        <v/>
      </c>
      <c r="B57" s="79"/>
      <c r="C57" s="102" t="str">
        <f aca="false">IF(B57="","",IFERROR(INDEX(الموظفون!$C$6:$C$105,MATCH(B57,الموظفون!$B$6:$B$105,0)),"✖ رقم غير موجود"))</f>
        <v/>
      </c>
      <c r="D57" s="79"/>
      <c r="E57" s="94"/>
      <c r="F57" s="94"/>
      <c r="G57" s="110" t="str">
        <f aca="false">IF(OR($B57="",$E57="",$F57=""),"",MAX(0,F57-E57+1))</f>
        <v/>
      </c>
      <c r="H57" s="111" t="str">
        <f aca="false">IF(D57="","",IFERROR(VLOOKUP(D57,cfg_LT,2,FALSE()),1))</f>
        <v/>
      </c>
      <c r="I57" s="82"/>
      <c r="J57" s="111" t="str">
        <f aca="false">IF(D57="","",IF(I57&lt;&gt;"",I57,H57))</f>
        <v/>
      </c>
      <c r="K57" s="102" t="str">
        <f aca="false">IF(D57="","",IFERROR(VLOOKUP($D57,cfg_LT,3,FALSE()),""))</f>
        <v/>
      </c>
      <c r="L57" s="102" t="str">
        <f aca="false">IF(D57="","",IFERROR(VLOOKUP($D57,cfg_LT,4,FALSE()),""))</f>
        <v/>
      </c>
      <c r="M57" s="102" t="str">
        <f aca="false">IF(D57="","",IFERROR(VLOOKUP($D57,cfg_LT,5,FALSE()),""))</f>
        <v/>
      </c>
      <c r="N57" s="101" t="n">
        <f aca="false">IF(OR(OR($B57="",$E57="",$F57=""),M57&lt;&gt;"نعم"),0,G57*J57*IFERROR(INDEX(الموظفون!$R$6:$R$105,MATCH(B57,الموظفون!$B$6:$B$105,0)),0)/cfg_DAYS_M)</f>
        <v>0</v>
      </c>
      <c r="O57" s="100" t="str">
        <f aca="false">IF(OR(OR($B57="",$E57="",$F57=""),M57&lt;&gt;"نعم"),"",IF(YEAR(E57)=cfg_FY,MONTH(E57),""))</f>
        <v/>
      </c>
      <c r="P57" s="102" t="str">
        <f aca="false">IF(B57="","",IF(OR(D57="",E57="",F57=""),"⚠ أكمل النوع والتواريخ",IF(F57&lt;E57,"✖ النهاية قبل البداية",IF(COUNTIFS($B$6:$B$505,B57,$E$6:$E$505,"&lt;="&amp;F57,$F$6:$F$505,"&gt;="&amp;E57)&gt;1,"⚠ تداخل مع سجل آخر",IF(E57&gt;cfg_VAL_DATE,"⏳ قادمة",IF(F57&lt;cfg_VAL_DATE,"✔ منتهية","✈ جارية في تاريخ التقرير"))))))</f>
        <v/>
      </c>
      <c r="Q57" s="79"/>
      <c r="R57" s="110" t="n">
        <f aca="false">IF(OR(OR($B57="",$E57="",$F57=""),L57&lt;&gt;"لا"),0,MAX(0,MIN(F57,cfg_Y_START-1)-E57+1))</f>
        <v>0</v>
      </c>
      <c r="S57" s="110" t="n">
        <f aca="false">IF(OR(OR($B57="",$E57="",$F57=""),L57&lt;&gt;"لا"),0,MAX(0,MIN(F57,cfg_VAL_DATE)-E57+1))</f>
        <v>0</v>
      </c>
      <c r="T57" s="110" t="n">
        <f aca="false">IF(OR(OR($B57="",$E57="",$F57=""),K57&lt;&gt;"نعم"),0,IF(M57="نعم",IF(AND(ISNUMBER(O57),N(O57)&lt;=cfg_VAL_M),G57,0),MAX(0,MIN(F57,cfg_VAL_DATE)-MAX(E57,cfg_Y_START)+1)))</f>
        <v>0</v>
      </c>
      <c r="V57" s="110" t="n">
        <f aca="false">IF(OR($B57="",$E57="",$F57=""),0,MAX(0,MIN($F57,EOMONTH(DATE(cfg_FY,1,1),0))-MAX($E57,DATE(cfg_FY,1,1))+1)*(1-IF($M57="نعم",0,N($J57))))</f>
        <v>0</v>
      </c>
      <c r="W57" s="110" t="n">
        <f aca="false">IF(OR($B57="",$E57="",$F57=""),0,MAX(0,MIN($F57,EOMONTH(DATE(cfg_FY,2,1),0))-MAX($E57,DATE(cfg_FY,2,1))+1)*(1-IF($M57="نعم",0,N($J57))))</f>
        <v>0</v>
      </c>
      <c r="X57" s="110" t="n">
        <f aca="false">IF(OR($B57="",$E57="",$F57=""),0,MAX(0,MIN($F57,EOMONTH(DATE(cfg_FY,3,1),0))-MAX($E57,DATE(cfg_FY,3,1))+1)*(1-IF($M57="نعم",0,N($J57))))</f>
        <v>0</v>
      </c>
      <c r="Y57" s="110" t="n">
        <f aca="false">IF(OR($B57="",$E57="",$F57=""),0,MAX(0,MIN($F57,EOMONTH(DATE(cfg_FY,4,1),0))-MAX($E57,DATE(cfg_FY,4,1))+1)*(1-IF($M57="نعم",0,N($J57))))</f>
        <v>0</v>
      </c>
      <c r="Z57" s="110" t="n">
        <f aca="false">IF(OR($B57="",$E57="",$F57=""),0,MAX(0,MIN($F57,EOMONTH(DATE(cfg_FY,5,1),0))-MAX($E57,DATE(cfg_FY,5,1))+1)*(1-IF($M57="نعم",0,N($J57))))</f>
        <v>0</v>
      </c>
      <c r="AA57" s="110" t="n">
        <f aca="false">IF(OR($B57="",$E57="",$F57=""),0,MAX(0,MIN($F57,EOMONTH(DATE(cfg_FY,6,1),0))-MAX($E57,DATE(cfg_FY,6,1))+1)*(1-IF($M57="نعم",0,N($J57))))</f>
        <v>0</v>
      </c>
      <c r="AB57" s="110" t="n">
        <f aca="false">IF(OR($B57="",$E57="",$F57=""),0,MAX(0,MIN($F57,EOMONTH(DATE(cfg_FY,7,1),0))-MAX($E57,DATE(cfg_FY,7,1))+1)*(1-IF($M57="نعم",0,N($J57))))</f>
        <v>0</v>
      </c>
      <c r="AC57" s="110" t="n">
        <f aca="false">IF(OR($B57="",$E57="",$F57=""),0,MAX(0,MIN($F57,EOMONTH(DATE(cfg_FY,8,1),0))-MAX($E57,DATE(cfg_FY,8,1))+1)*(1-IF($M57="نعم",0,N($J57))))</f>
        <v>0</v>
      </c>
      <c r="AD57" s="110" t="n">
        <f aca="false">IF(OR($B57="",$E57="",$F57=""),0,MAX(0,MIN($F57,EOMONTH(DATE(cfg_FY,9,1),0))-MAX($E57,DATE(cfg_FY,9,1))+1)*(1-IF($M57="نعم",0,N($J57))))</f>
        <v>0</v>
      </c>
      <c r="AE57" s="110" t="n">
        <f aca="false">IF(OR($B57="",$E57="",$F57=""),0,MAX(0,MIN($F57,EOMONTH(DATE(cfg_FY,10,1),0))-MAX($E57,DATE(cfg_FY,10,1))+1)*(1-IF($M57="نعم",0,N($J57))))</f>
        <v>0</v>
      </c>
      <c r="AF57" s="110" t="n">
        <f aca="false">IF(OR($B57="",$E57="",$F57=""),0,MAX(0,MIN($F57,EOMONTH(DATE(cfg_FY,11,1),0))-MAX($E57,DATE(cfg_FY,11,1))+1)*(1-IF($M57="نعم",0,N($J57))))</f>
        <v>0</v>
      </c>
      <c r="AG57" s="110" t="n">
        <f aca="false">IF(OR($B57="",$E57="",$F57=""),0,MAX(0,MIN($F57,EOMONTH(DATE(cfg_FY,12,1),0))-MAX($E57,DATE(cfg_FY,12,1))+1)*(1-IF($M57="نعم",0,N($J57))))</f>
        <v>0</v>
      </c>
      <c r="AH57" s="110" t="n">
        <f aca="false">IF(OR(OR($B57="",$E57="",$F57=""),$L57&lt;&gt;"لا"),0,MAX(0,MIN($F57,EOMONTH(DATE(cfg_FY,1,1),0))-$E57+1))</f>
        <v>0</v>
      </c>
      <c r="AI57" s="110" t="n">
        <f aca="false">IF(OR(OR($B57="",$E57="",$F57=""),$L57&lt;&gt;"لا"),0,MAX(0,MIN($F57,EOMONTH(DATE(cfg_FY,2,1),0))-$E57+1))</f>
        <v>0</v>
      </c>
      <c r="AJ57" s="110" t="n">
        <f aca="false">IF(OR(OR($B57="",$E57="",$F57=""),$L57&lt;&gt;"لا"),0,MAX(0,MIN($F57,EOMONTH(DATE(cfg_FY,3,1),0))-$E57+1))</f>
        <v>0</v>
      </c>
      <c r="AK57" s="110" t="n">
        <f aca="false">IF(OR(OR($B57="",$E57="",$F57=""),$L57&lt;&gt;"لا"),0,MAX(0,MIN($F57,EOMONTH(DATE(cfg_FY,4,1),0))-$E57+1))</f>
        <v>0</v>
      </c>
      <c r="AL57" s="110" t="n">
        <f aca="false">IF(OR(OR($B57="",$E57="",$F57=""),$L57&lt;&gt;"لا"),0,MAX(0,MIN($F57,EOMONTH(DATE(cfg_FY,5,1),0))-$E57+1))</f>
        <v>0</v>
      </c>
      <c r="AM57" s="110" t="n">
        <f aca="false">IF(OR(OR($B57="",$E57="",$F57=""),$L57&lt;&gt;"لا"),0,MAX(0,MIN($F57,EOMONTH(DATE(cfg_FY,6,1),0))-$E57+1))</f>
        <v>0</v>
      </c>
      <c r="AN57" s="110" t="n">
        <f aca="false">IF(OR(OR($B57="",$E57="",$F57=""),$L57&lt;&gt;"لا"),0,MAX(0,MIN($F57,EOMONTH(DATE(cfg_FY,7,1),0))-$E57+1))</f>
        <v>0</v>
      </c>
      <c r="AO57" s="110" t="n">
        <f aca="false">IF(OR(OR($B57="",$E57="",$F57=""),$L57&lt;&gt;"لا"),0,MAX(0,MIN($F57,EOMONTH(DATE(cfg_FY,8,1),0))-$E57+1))</f>
        <v>0</v>
      </c>
      <c r="AP57" s="110" t="n">
        <f aca="false">IF(OR(OR($B57="",$E57="",$F57=""),$L57&lt;&gt;"لا"),0,MAX(0,MIN($F57,EOMONTH(DATE(cfg_FY,9,1),0))-$E57+1))</f>
        <v>0</v>
      </c>
      <c r="AQ57" s="110" t="n">
        <f aca="false">IF(OR(OR($B57="",$E57="",$F57=""),$L57&lt;&gt;"لا"),0,MAX(0,MIN($F57,EOMONTH(DATE(cfg_FY,10,1),0))-$E57+1))</f>
        <v>0</v>
      </c>
      <c r="AR57" s="110" t="n">
        <f aca="false">IF(OR(OR($B57="",$E57="",$F57=""),$L57&lt;&gt;"لا"),0,MAX(0,MIN($F57,EOMONTH(DATE(cfg_FY,11,1),0))-$E57+1))</f>
        <v>0</v>
      </c>
      <c r="AS57" s="110" t="n">
        <f aca="false">IF(OR(OR($B57="",$E57="",$F57=""),$L57&lt;&gt;"لا"),0,MAX(0,MIN($F57,EOMONTH(DATE(cfg_FY,12,1),0))-$E57+1))</f>
        <v>0</v>
      </c>
      <c r="AT57" s="110" t="n">
        <f aca="false">IF(OR(OR($B57="",$E57="",$F57=""),$K57&lt;&gt;"نعم",$M57="نعم"),0,MAX(0,MIN($F57,EOMONTH(DATE(cfg_FY,1,1),0))-MAX($E57,DATE(cfg_FY,1,1))+1))</f>
        <v>0</v>
      </c>
      <c r="AU57" s="110" t="n">
        <f aca="false">IF(OR(OR($B57="",$E57="",$F57=""),$K57&lt;&gt;"نعم",$M57="نعم"),0,MAX(0,MIN($F57,EOMONTH(DATE(cfg_FY,2,1),0))-MAX($E57,DATE(cfg_FY,2,1))+1))</f>
        <v>0</v>
      </c>
      <c r="AV57" s="110" t="n">
        <f aca="false">IF(OR(OR($B57="",$E57="",$F57=""),$K57&lt;&gt;"نعم",$M57="نعم"),0,MAX(0,MIN($F57,EOMONTH(DATE(cfg_FY,3,1),0))-MAX($E57,DATE(cfg_FY,3,1))+1))</f>
        <v>0</v>
      </c>
      <c r="AW57" s="110" t="n">
        <f aca="false">IF(OR(OR($B57="",$E57="",$F57=""),$K57&lt;&gt;"نعم",$M57="نعم"),0,MAX(0,MIN($F57,EOMONTH(DATE(cfg_FY,4,1),0))-MAX($E57,DATE(cfg_FY,4,1))+1))</f>
        <v>0</v>
      </c>
      <c r="AX57" s="110" t="n">
        <f aca="false">IF(OR(OR($B57="",$E57="",$F57=""),$K57&lt;&gt;"نعم",$M57="نعم"),0,MAX(0,MIN($F57,EOMONTH(DATE(cfg_FY,5,1),0))-MAX($E57,DATE(cfg_FY,5,1))+1))</f>
        <v>0</v>
      </c>
      <c r="AY57" s="110" t="n">
        <f aca="false">IF(OR(OR($B57="",$E57="",$F57=""),$K57&lt;&gt;"نعم",$M57="نعم"),0,MAX(0,MIN($F57,EOMONTH(DATE(cfg_FY,6,1),0))-MAX($E57,DATE(cfg_FY,6,1))+1))</f>
        <v>0</v>
      </c>
      <c r="AZ57" s="110" t="n">
        <f aca="false">IF(OR(OR($B57="",$E57="",$F57=""),$K57&lt;&gt;"نعم",$M57="نعم"),0,MAX(0,MIN($F57,EOMONTH(DATE(cfg_FY,7,1),0))-MAX($E57,DATE(cfg_FY,7,1))+1))</f>
        <v>0</v>
      </c>
      <c r="BA57" s="110" t="n">
        <f aca="false">IF(OR(OR($B57="",$E57="",$F57=""),$K57&lt;&gt;"نعم",$M57="نعم"),0,MAX(0,MIN($F57,EOMONTH(DATE(cfg_FY,8,1),0))-MAX($E57,DATE(cfg_FY,8,1))+1))</f>
        <v>0</v>
      </c>
      <c r="BB57" s="110" t="n">
        <f aca="false">IF(OR(OR($B57="",$E57="",$F57=""),$K57&lt;&gt;"نعم",$M57="نعم"),0,MAX(0,MIN($F57,EOMONTH(DATE(cfg_FY,9,1),0))-MAX($E57,DATE(cfg_FY,9,1))+1))</f>
        <v>0</v>
      </c>
      <c r="BC57" s="110" t="n">
        <f aca="false">IF(OR(OR($B57="",$E57="",$F57=""),$K57&lt;&gt;"نعم",$M57="نعم"),0,MAX(0,MIN($F57,EOMONTH(DATE(cfg_FY,10,1),0))-MAX($E57,DATE(cfg_FY,10,1))+1))</f>
        <v>0</v>
      </c>
      <c r="BD57" s="110" t="n">
        <f aca="false">IF(OR(OR($B57="",$E57="",$F57=""),$K57&lt;&gt;"نعم",$M57="نعم"),0,MAX(0,MIN($F57,EOMONTH(DATE(cfg_FY,11,1),0))-MAX($E57,DATE(cfg_FY,11,1))+1))</f>
        <v>0</v>
      </c>
      <c r="BE57" s="110" t="n">
        <f aca="false">IF(OR(OR($B57="",$E57="",$F57=""),$K57&lt;&gt;"نعم",$M57="نعم"),0,MAX(0,MIN($F57,EOMONTH(DATE(cfg_FY,12,1),0))-MAX($E57,DATE(cfg_FY,12,1))+1))</f>
        <v>0</v>
      </c>
    </row>
    <row r="58" customFormat="false" ht="15" hidden="false" customHeight="false" outlineLevel="0" collapsed="false">
      <c r="A58" s="93" t="str">
        <f aca="false">IF(B58="","",ROW()-5)</f>
        <v/>
      </c>
      <c r="B58" s="79"/>
      <c r="C58" s="80" t="str">
        <f aca="false">IF(B58="","",IFERROR(INDEX(الموظفون!$C$6:$C$105,MATCH(B58,الموظفون!$B$6:$B$105,0)),"✖ رقم غير موجود"))</f>
        <v/>
      </c>
      <c r="D58" s="79"/>
      <c r="E58" s="94"/>
      <c r="F58" s="94"/>
      <c r="G58" s="57" t="str">
        <f aca="false">IF(OR($B58="",$E58="",$F58=""),"",MAX(0,F58-E58+1))</f>
        <v/>
      </c>
      <c r="H58" s="58" t="str">
        <f aca="false">IF(D58="","",IFERROR(VLOOKUP(D58,cfg_LT,2,FALSE()),1))</f>
        <v/>
      </c>
      <c r="I58" s="82"/>
      <c r="J58" s="58" t="str">
        <f aca="false">IF(D58="","",IF(I58&lt;&gt;"",I58,H58))</f>
        <v/>
      </c>
      <c r="K58" s="80" t="str">
        <f aca="false">IF(D58="","",IFERROR(VLOOKUP($D58,cfg_LT,3,FALSE()),""))</f>
        <v/>
      </c>
      <c r="L58" s="80" t="str">
        <f aca="false">IF(D58="","",IFERROR(VLOOKUP($D58,cfg_LT,4,FALSE()),""))</f>
        <v/>
      </c>
      <c r="M58" s="80" t="str">
        <f aca="false">IF(D58="","",IFERROR(VLOOKUP($D58,cfg_LT,5,FALSE()),""))</f>
        <v/>
      </c>
      <c r="N58" s="97" t="n">
        <f aca="false">IF(OR(OR($B58="",$E58="",$F58=""),M58&lt;&gt;"نعم"),0,G58*J58*IFERROR(INDEX(الموظفون!$R$6:$R$105,MATCH(B58,الموظفون!$B$6:$B$105,0)),0)/cfg_DAYS_M)</f>
        <v>0</v>
      </c>
      <c r="O58" s="93" t="str">
        <f aca="false">IF(OR(OR($B58="",$E58="",$F58=""),M58&lt;&gt;"نعم"),"",IF(YEAR(E58)=cfg_FY,MONTH(E58),""))</f>
        <v/>
      </c>
      <c r="P58" s="80" t="str">
        <f aca="false">IF(B58="","",IF(OR(D58="",E58="",F58=""),"⚠ أكمل النوع والتواريخ",IF(F58&lt;E58,"✖ النهاية قبل البداية",IF(COUNTIFS($B$6:$B$505,B58,$E$6:$E$505,"&lt;="&amp;F58,$F$6:$F$505,"&gt;="&amp;E58)&gt;1,"⚠ تداخل مع سجل آخر",IF(E58&gt;cfg_VAL_DATE,"⏳ قادمة",IF(F58&lt;cfg_VAL_DATE,"✔ منتهية","✈ جارية في تاريخ التقرير"))))))</f>
        <v/>
      </c>
      <c r="Q58" s="79"/>
      <c r="R58" s="57" t="n">
        <f aca="false">IF(OR(OR($B58="",$E58="",$F58=""),L58&lt;&gt;"لا"),0,MAX(0,MIN(F58,cfg_Y_START-1)-E58+1))</f>
        <v>0</v>
      </c>
      <c r="S58" s="57" t="n">
        <f aca="false">IF(OR(OR($B58="",$E58="",$F58=""),L58&lt;&gt;"لا"),0,MAX(0,MIN(F58,cfg_VAL_DATE)-E58+1))</f>
        <v>0</v>
      </c>
      <c r="T58" s="57" t="n">
        <f aca="false">IF(OR(OR($B58="",$E58="",$F58=""),K58&lt;&gt;"نعم"),0,IF(M58="نعم",IF(AND(ISNUMBER(O58),N(O58)&lt;=cfg_VAL_M),G58,0),MAX(0,MIN(F58,cfg_VAL_DATE)-MAX(E58,cfg_Y_START)+1)))</f>
        <v>0</v>
      </c>
      <c r="V58" s="57" t="n">
        <f aca="false">IF(OR($B58="",$E58="",$F58=""),0,MAX(0,MIN($F58,EOMONTH(DATE(cfg_FY,1,1),0))-MAX($E58,DATE(cfg_FY,1,1))+1)*(1-IF($M58="نعم",0,N($J58))))</f>
        <v>0</v>
      </c>
      <c r="W58" s="57" t="n">
        <f aca="false">IF(OR($B58="",$E58="",$F58=""),0,MAX(0,MIN($F58,EOMONTH(DATE(cfg_FY,2,1),0))-MAX($E58,DATE(cfg_FY,2,1))+1)*(1-IF($M58="نعم",0,N($J58))))</f>
        <v>0</v>
      </c>
      <c r="X58" s="57" t="n">
        <f aca="false">IF(OR($B58="",$E58="",$F58=""),0,MAX(0,MIN($F58,EOMONTH(DATE(cfg_FY,3,1),0))-MAX($E58,DATE(cfg_FY,3,1))+1)*(1-IF($M58="نعم",0,N($J58))))</f>
        <v>0</v>
      </c>
      <c r="Y58" s="57" t="n">
        <f aca="false">IF(OR($B58="",$E58="",$F58=""),0,MAX(0,MIN($F58,EOMONTH(DATE(cfg_FY,4,1),0))-MAX($E58,DATE(cfg_FY,4,1))+1)*(1-IF($M58="نعم",0,N($J58))))</f>
        <v>0</v>
      </c>
      <c r="Z58" s="57" t="n">
        <f aca="false">IF(OR($B58="",$E58="",$F58=""),0,MAX(0,MIN($F58,EOMONTH(DATE(cfg_FY,5,1),0))-MAX($E58,DATE(cfg_FY,5,1))+1)*(1-IF($M58="نعم",0,N($J58))))</f>
        <v>0</v>
      </c>
      <c r="AA58" s="57" t="n">
        <f aca="false">IF(OR($B58="",$E58="",$F58=""),0,MAX(0,MIN($F58,EOMONTH(DATE(cfg_FY,6,1),0))-MAX($E58,DATE(cfg_FY,6,1))+1)*(1-IF($M58="نعم",0,N($J58))))</f>
        <v>0</v>
      </c>
      <c r="AB58" s="57" t="n">
        <f aca="false">IF(OR($B58="",$E58="",$F58=""),0,MAX(0,MIN($F58,EOMONTH(DATE(cfg_FY,7,1),0))-MAX($E58,DATE(cfg_FY,7,1))+1)*(1-IF($M58="نعم",0,N($J58))))</f>
        <v>0</v>
      </c>
      <c r="AC58" s="57" t="n">
        <f aca="false">IF(OR($B58="",$E58="",$F58=""),0,MAX(0,MIN($F58,EOMONTH(DATE(cfg_FY,8,1),0))-MAX($E58,DATE(cfg_FY,8,1))+1)*(1-IF($M58="نعم",0,N($J58))))</f>
        <v>0</v>
      </c>
      <c r="AD58" s="57" t="n">
        <f aca="false">IF(OR($B58="",$E58="",$F58=""),0,MAX(0,MIN($F58,EOMONTH(DATE(cfg_FY,9,1),0))-MAX($E58,DATE(cfg_FY,9,1))+1)*(1-IF($M58="نعم",0,N($J58))))</f>
        <v>0</v>
      </c>
      <c r="AE58" s="57" t="n">
        <f aca="false">IF(OR($B58="",$E58="",$F58=""),0,MAX(0,MIN($F58,EOMONTH(DATE(cfg_FY,10,1),0))-MAX($E58,DATE(cfg_FY,10,1))+1)*(1-IF($M58="نعم",0,N($J58))))</f>
        <v>0</v>
      </c>
      <c r="AF58" s="57" t="n">
        <f aca="false">IF(OR($B58="",$E58="",$F58=""),0,MAX(0,MIN($F58,EOMONTH(DATE(cfg_FY,11,1),0))-MAX($E58,DATE(cfg_FY,11,1))+1)*(1-IF($M58="نعم",0,N($J58))))</f>
        <v>0</v>
      </c>
      <c r="AG58" s="57" t="n">
        <f aca="false">IF(OR($B58="",$E58="",$F58=""),0,MAX(0,MIN($F58,EOMONTH(DATE(cfg_FY,12,1),0))-MAX($E58,DATE(cfg_FY,12,1))+1)*(1-IF($M58="نعم",0,N($J58))))</f>
        <v>0</v>
      </c>
      <c r="AH58" s="57" t="n">
        <f aca="false">IF(OR(OR($B58="",$E58="",$F58=""),$L58&lt;&gt;"لا"),0,MAX(0,MIN($F58,EOMONTH(DATE(cfg_FY,1,1),0))-$E58+1))</f>
        <v>0</v>
      </c>
      <c r="AI58" s="57" t="n">
        <f aca="false">IF(OR(OR($B58="",$E58="",$F58=""),$L58&lt;&gt;"لا"),0,MAX(0,MIN($F58,EOMONTH(DATE(cfg_FY,2,1),0))-$E58+1))</f>
        <v>0</v>
      </c>
      <c r="AJ58" s="57" t="n">
        <f aca="false">IF(OR(OR($B58="",$E58="",$F58=""),$L58&lt;&gt;"لا"),0,MAX(0,MIN($F58,EOMONTH(DATE(cfg_FY,3,1),0))-$E58+1))</f>
        <v>0</v>
      </c>
      <c r="AK58" s="57" t="n">
        <f aca="false">IF(OR(OR($B58="",$E58="",$F58=""),$L58&lt;&gt;"لا"),0,MAX(0,MIN($F58,EOMONTH(DATE(cfg_FY,4,1),0))-$E58+1))</f>
        <v>0</v>
      </c>
      <c r="AL58" s="57" t="n">
        <f aca="false">IF(OR(OR($B58="",$E58="",$F58=""),$L58&lt;&gt;"لا"),0,MAX(0,MIN($F58,EOMONTH(DATE(cfg_FY,5,1),0))-$E58+1))</f>
        <v>0</v>
      </c>
      <c r="AM58" s="57" t="n">
        <f aca="false">IF(OR(OR($B58="",$E58="",$F58=""),$L58&lt;&gt;"لا"),0,MAX(0,MIN($F58,EOMONTH(DATE(cfg_FY,6,1),0))-$E58+1))</f>
        <v>0</v>
      </c>
      <c r="AN58" s="57" t="n">
        <f aca="false">IF(OR(OR($B58="",$E58="",$F58=""),$L58&lt;&gt;"لا"),0,MAX(0,MIN($F58,EOMONTH(DATE(cfg_FY,7,1),0))-$E58+1))</f>
        <v>0</v>
      </c>
      <c r="AO58" s="57" t="n">
        <f aca="false">IF(OR(OR($B58="",$E58="",$F58=""),$L58&lt;&gt;"لا"),0,MAX(0,MIN($F58,EOMONTH(DATE(cfg_FY,8,1),0))-$E58+1))</f>
        <v>0</v>
      </c>
      <c r="AP58" s="57" t="n">
        <f aca="false">IF(OR(OR($B58="",$E58="",$F58=""),$L58&lt;&gt;"لا"),0,MAX(0,MIN($F58,EOMONTH(DATE(cfg_FY,9,1),0))-$E58+1))</f>
        <v>0</v>
      </c>
      <c r="AQ58" s="57" t="n">
        <f aca="false">IF(OR(OR($B58="",$E58="",$F58=""),$L58&lt;&gt;"لا"),0,MAX(0,MIN($F58,EOMONTH(DATE(cfg_FY,10,1),0))-$E58+1))</f>
        <v>0</v>
      </c>
      <c r="AR58" s="57" t="n">
        <f aca="false">IF(OR(OR($B58="",$E58="",$F58=""),$L58&lt;&gt;"لا"),0,MAX(0,MIN($F58,EOMONTH(DATE(cfg_FY,11,1),0))-$E58+1))</f>
        <v>0</v>
      </c>
      <c r="AS58" s="57" t="n">
        <f aca="false">IF(OR(OR($B58="",$E58="",$F58=""),$L58&lt;&gt;"لا"),0,MAX(0,MIN($F58,EOMONTH(DATE(cfg_FY,12,1),0))-$E58+1))</f>
        <v>0</v>
      </c>
      <c r="AT58" s="57" t="n">
        <f aca="false">IF(OR(OR($B58="",$E58="",$F58=""),$K58&lt;&gt;"نعم",$M58="نعم"),0,MAX(0,MIN($F58,EOMONTH(DATE(cfg_FY,1,1),0))-MAX($E58,DATE(cfg_FY,1,1))+1))</f>
        <v>0</v>
      </c>
      <c r="AU58" s="57" t="n">
        <f aca="false">IF(OR(OR($B58="",$E58="",$F58=""),$K58&lt;&gt;"نعم",$M58="نعم"),0,MAX(0,MIN($F58,EOMONTH(DATE(cfg_FY,2,1),0))-MAX($E58,DATE(cfg_FY,2,1))+1))</f>
        <v>0</v>
      </c>
      <c r="AV58" s="57" t="n">
        <f aca="false">IF(OR(OR($B58="",$E58="",$F58=""),$K58&lt;&gt;"نعم",$M58="نعم"),0,MAX(0,MIN($F58,EOMONTH(DATE(cfg_FY,3,1),0))-MAX($E58,DATE(cfg_FY,3,1))+1))</f>
        <v>0</v>
      </c>
      <c r="AW58" s="57" t="n">
        <f aca="false">IF(OR(OR($B58="",$E58="",$F58=""),$K58&lt;&gt;"نعم",$M58="نعم"),0,MAX(0,MIN($F58,EOMONTH(DATE(cfg_FY,4,1),0))-MAX($E58,DATE(cfg_FY,4,1))+1))</f>
        <v>0</v>
      </c>
      <c r="AX58" s="57" t="n">
        <f aca="false">IF(OR(OR($B58="",$E58="",$F58=""),$K58&lt;&gt;"نعم",$M58="نعم"),0,MAX(0,MIN($F58,EOMONTH(DATE(cfg_FY,5,1),0))-MAX($E58,DATE(cfg_FY,5,1))+1))</f>
        <v>0</v>
      </c>
      <c r="AY58" s="57" t="n">
        <f aca="false">IF(OR(OR($B58="",$E58="",$F58=""),$K58&lt;&gt;"نعم",$M58="نعم"),0,MAX(0,MIN($F58,EOMONTH(DATE(cfg_FY,6,1),0))-MAX($E58,DATE(cfg_FY,6,1))+1))</f>
        <v>0</v>
      </c>
      <c r="AZ58" s="57" t="n">
        <f aca="false">IF(OR(OR($B58="",$E58="",$F58=""),$K58&lt;&gt;"نعم",$M58="نعم"),0,MAX(0,MIN($F58,EOMONTH(DATE(cfg_FY,7,1),0))-MAX($E58,DATE(cfg_FY,7,1))+1))</f>
        <v>0</v>
      </c>
      <c r="BA58" s="57" t="n">
        <f aca="false">IF(OR(OR($B58="",$E58="",$F58=""),$K58&lt;&gt;"نعم",$M58="نعم"),0,MAX(0,MIN($F58,EOMONTH(DATE(cfg_FY,8,1),0))-MAX($E58,DATE(cfg_FY,8,1))+1))</f>
        <v>0</v>
      </c>
      <c r="BB58" s="57" t="n">
        <f aca="false">IF(OR(OR($B58="",$E58="",$F58=""),$K58&lt;&gt;"نعم",$M58="نعم"),0,MAX(0,MIN($F58,EOMONTH(DATE(cfg_FY,9,1),0))-MAX($E58,DATE(cfg_FY,9,1))+1))</f>
        <v>0</v>
      </c>
      <c r="BC58" s="57" t="n">
        <f aca="false">IF(OR(OR($B58="",$E58="",$F58=""),$K58&lt;&gt;"نعم",$M58="نعم"),0,MAX(0,MIN($F58,EOMONTH(DATE(cfg_FY,10,1),0))-MAX($E58,DATE(cfg_FY,10,1))+1))</f>
        <v>0</v>
      </c>
      <c r="BD58" s="57" t="n">
        <f aca="false">IF(OR(OR($B58="",$E58="",$F58=""),$K58&lt;&gt;"نعم",$M58="نعم"),0,MAX(0,MIN($F58,EOMONTH(DATE(cfg_FY,11,1),0))-MAX($E58,DATE(cfg_FY,11,1))+1))</f>
        <v>0</v>
      </c>
      <c r="BE58" s="57" t="n">
        <f aca="false">IF(OR(OR($B58="",$E58="",$F58=""),$K58&lt;&gt;"نعم",$M58="نعم"),0,MAX(0,MIN($F58,EOMONTH(DATE(cfg_FY,12,1),0))-MAX($E58,DATE(cfg_FY,12,1))+1))</f>
        <v>0</v>
      </c>
    </row>
    <row r="59" customFormat="false" ht="15" hidden="false" customHeight="false" outlineLevel="0" collapsed="false">
      <c r="A59" s="100" t="str">
        <f aca="false">IF(B59="","",ROW()-5)</f>
        <v/>
      </c>
      <c r="B59" s="79"/>
      <c r="C59" s="102" t="str">
        <f aca="false">IF(B59="","",IFERROR(INDEX(الموظفون!$C$6:$C$105,MATCH(B59,الموظفون!$B$6:$B$105,0)),"✖ رقم غير موجود"))</f>
        <v/>
      </c>
      <c r="D59" s="79"/>
      <c r="E59" s="94"/>
      <c r="F59" s="94"/>
      <c r="G59" s="110" t="str">
        <f aca="false">IF(OR($B59="",$E59="",$F59=""),"",MAX(0,F59-E59+1))</f>
        <v/>
      </c>
      <c r="H59" s="111" t="str">
        <f aca="false">IF(D59="","",IFERROR(VLOOKUP(D59,cfg_LT,2,FALSE()),1))</f>
        <v/>
      </c>
      <c r="I59" s="82"/>
      <c r="J59" s="111" t="str">
        <f aca="false">IF(D59="","",IF(I59&lt;&gt;"",I59,H59))</f>
        <v/>
      </c>
      <c r="K59" s="102" t="str">
        <f aca="false">IF(D59="","",IFERROR(VLOOKUP($D59,cfg_LT,3,FALSE()),""))</f>
        <v/>
      </c>
      <c r="L59" s="102" t="str">
        <f aca="false">IF(D59="","",IFERROR(VLOOKUP($D59,cfg_LT,4,FALSE()),""))</f>
        <v/>
      </c>
      <c r="M59" s="102" t="str">
        <f aca="false">IF(D59="","",IFERROR(VLOOKUP($D59,cfg_LT,5,FALSE()),""))</f>
        <v/>
      </c>
      <c r="N59" s="101" t="n">
        <f aca="false">IF(OR(OR($B59="",$E59="",$F59=""),M59&lt;&gt;"نعم"),0,G59*J59*IFERROR(INDEX(الموظفون!$R$6:$R$105,MATCH(B59,الموظفون!$B$6:$B$105,0)),0)/cfg_DAYS_M)</f>
        <v>0</v>
      </c>
      <c r="O59" s="100" t="str">
        <f aca="false">IF(OR(OR($B59="",$E59="",$F59=""),M59&lt;&gt;"نعم"),"",IF(YEAR(E59)=cfg_FY,MONTH(E59),""))</f>
        <v/>
      </c>
      <c r="P59" s="102" t="str">
        <f aca="false">IF(B59="","",IF(OR(D59="",E59="",F59=""),"⚠ أكمل النوع والتواريخ",IF(F59&lt;E59,"✖ النهاية قبل البداية",IF(COUNTIFS($B$6:$B$505,B59,$E$6:$E$505,"&lt;="&amp;F59,$F$6:$F$505,"&gt;="&amp;E59)&gt;1,"⚠ تداخل مع سجل آخر",IF(E59&gt;cfg_VAL_DATE,"⏳ قادمة",IF(F59&lt;cfg_VAL_DATE,"✔ منتهية","✈ جارية في تاريخ التقرير"))))))</f>
        <v/>
      </c>
      <c r="Q59" s="79"/>
      <c r="R59" s="110" t="n">
        <f aca="false">IF(OR(OR($B59="",$E59="",$F59=""),L59&lt;&gt;"لا"),0,MAX(0,MIN(F59,cfg_Y_START-1)-E59+1))</f>
        <v>0</v>
      </c>
      <c r="S59" s="110" t="n">
        <f aca="false">IF(OR(OR($B59="",$E59="",$F59=""),L59&lt;&gt;"لا"),0,MAX(0,MIN(F59,cfg_VAL_DATE)-E59+1))</f>
        <v>0</v>
      </c>
      <c r="T59" s="110" t="n">
        <f aca="false">IF(OR(OR($B59="",$E59="",$F59=""),K59&lt;&gt;"نعم"),0,IF(M59="نعم",IF(AND(ISNUMBER(O59),N(O59)&lt;=cfg_VAL_M),G59,0),MAX(0,MIN(F59,cfg_VAL_DATE)-MAX(E59,cfg_Y_START)+1)))</f>
        <v>0</v>
      </c>
      <c r="V59" s="110" t="n">
        <f aca="false">IF(OR($B59="",$E59="",$F59=""),0,MAX(0,MIN($F59,EOMONTH(DATE(cfg_FY,1,1),0))-MAX($E59,DATE(cfg_FY,1,1))+1)*(1-IF($M59="نعم",0,N($J59))))</f>
        <v>0</v>
      </c>
      <c r="W59" s="110" t="n">
        <f aca="false">IF(OR($B59="",$E59="",$F59=""),0,MAX(0,MIN($F59,EOMONTH(DATE(cfg_FY,2,1),0))-MAX($E59,DATE(cfg_FY,2,1))+1)*(1-IF($M59="نعم",0,N($J59))))</f>
        <v>0</v>
      </c>
      <c r="X59" s="110" t="n">
        <f aca="false">IF(OR($B59="",$E59="",$F59=""),0,MAX(0,MIN($F59,EOMONTH(DATE(cfg_FY,3,1),0))-MAX($E59,DATE(cfg_FY,3,1))+1)*(1-IF($M59="نعم",0,N($J59))))</f>
        <v>0</v>
      </c>
      <c r="Y59" s="110" t="n">
        <f aca="false">IF(OR($B59="",$E59="",$F59=""),0,MAX(0,MIN($F59,EOMONTH(DATE(cfg_FY,4,1),0))-MAX($E59,DATE(cfg_FY,4,1))+1)*(1-IF($M59="نعم",0,N($J59))))</f>
        <v>0</v>
      </c>
      <c r="Z59" s="110" t="n">
        <f aca="false">IF(OR($B59="",$E59="",$F59=""),0,MAX(0,MIN($F59,EOMONTH(DATE(cfg_FY,5,1),0))-MAX($E59,DATE(cfg_FY,5,1))+1)*(1-IF($M59="نعم",0,N($J59))))</f>
        <v>0</v>
      </c>
      <c r="AA59" s="110" t="n">
        <f aca="false">IF(OR($B59="",$E59="",$F59=""),0,MAX(0,MIN($F59,EOMONTH(DATE(cfg_FY,6,1),0))-MAX($E59,DATE(cfg_FY,6,1))+1)*(1-IF($M59="نعم",0,N($J59))))</f>
        <v>0</v>
      </c>
      <c r="AB59" s="110" t="n">
        <f aca="false">IF(OR($B59="",$E59="",$F59=""),0,MAX(0,MIN($F59,EOMONTH(DATE(cfg_FY,7,1),0))-MAX($E59,DATE(cfg_FY,7,1))+1)*(1-IF($M59="نعم",0,N($J59))))</f>
        <v>0</v>
      </c>
      <c r="AC59" s="110" t="n">
        <f aca="false">IF(OR($B59="",$E59="",$F59=""),0,MAX(0,MIN($F59,EOMONTH(DATE(cfg_FY,8,1),0))-MAX($E59,DATE(cfg_FY,8,1))+1)*(1-IF($M59="نعم",0,N($J59))))</f>
        <v>0</v>
      </c>
      <c r="AD59" s="110" t="n">
        <f aca="false">IF(OR($B59="",$E59="",$F59=""),0,MAX(0,MIN($F59,EOMONTH(DATE(cfg_FY,9,1),0))-MAX($E59,DATE(cfg_FY,9,1))+1)*(1-IF($M59="نعم",0,N($J59))))</f>
        <v>0</v>
      </c>
      <c r="AE59" s="110" t="n">
        <f aca="false">IF(OR($B59="",$E59="",$F59=""),0,MAX(0,MIN($F59,EOMONTH(DATE(cfg_FY,10,1),0))-MAX($E59,DATE(cfg_FY,10,1))+1)*(1-IF($M59="نعم",0,N($J59))))</f>
        <v>0</v>
      </c>
      <c r="AF59" s="110" t="n">
        <f aca="false">IF(OR($B59="",$E59="",$F59=""),0,MAX(0,MIN($F59,EOMONTH(DATE(cfg_FY,11,1),0))-MAX($E59,DATE(cfg_FY,11,1))+1)*(1-IF($M59="نعم",0,N($J59))))</f>
        <v>0</v>
      </c>
      <c r="AG59" s="110" t="n">
        <f aca="false">IF(OR($B59="",$E59="",$F59=""),0,MAX(0,MIN($F59,EOMONTH(DATE(cfg_FY,12,1),0))-MAX($E59,DATE(cfg_FY,12,1))+1)*(1-IF($M59="نعم",0,N($J59))))</f>
        <v>0</v>
      </c>
      <c r="AH59" s="110" t="n">
        <f aca="false">IF(OR(OR($B59="",$E59="",$F59=""),$L59&lt;&gt;"لا"),0,MAX(0,MIN($F59,EOMONTH(DATE(cfg_FY,1,1),0))-$E59+1))</f>
        <v>0</v>
      </c>
      <c r="AI59" s="110" t="n">
        <f aca="false">IF(OR(OR($B59="",$E59="",$F59=""),$L59&lt;&gt;"لا"),0,MAX(0,MIN($F59,EOMONTH(DATE(cfg_FY,2,1),0))-$E59+1))</f>
        <v>0</v>
      </c>
      <c r="AJ59" s="110" t="n">
        <f aca="false">IF(OR(OR($B59="",$E59="",$F59=""),$L59&lt;&gt;"لا"),0,MAX(0,MIN($F59,EOMONTH(DATE(cfg_FY,3,1),0))-$E59+1))</f>
        <v>0</v>
      </c>
      <c r="AK59" s="110" t="n">
        <f aca="false">IF(OR(OR($B59="",$E59="",$F59=""),$L59&lt;&gt;"لا"),0,MAX(0,MIN($F59,EOMONTH(DATE(cfg_FY,4,1),0))-$E59+1))</f>
        <v>0</v>
      </c>
      <c r="AL59" s="110" t="n">
        <f aca="false">IF(OR(OR($B59="",$E59="",$F59=""),$L59&lt;&gt;"لا"),0,MAX(0,MIN($F59,EOMONTH(DATE(cfg_FY,5,1),0))-$E59+1))</f>
        <v>0</v>
      </c>
      <c r="AM59" s="110" t="n">
        <f aca="false">IF(OR(OR($B59="",$E59="",$F59=""),$L59&lt;&gt;"لا"),0,MAX(0,MIN($F59,EOMONTH(DATE(cfg_FY,6,1),0))-$E59+1))</f>
        <v>0</v>
      </c>
      <c r="AN59" s="110" t="n">
        <f aca="false">IF(OR(OR($B59="",$E59="",$F59=""),$L59&lt;&gt;"لا"),0,MAX(0,MIN($F59,EOMONTH(DATE(cfg_FY,7,1),0))-$E59+1))</f>
        <v>0</v>
      </c>
      <c r="AO59" s="110" t="n">
        <f aca="false">IF(OR(OR($B59="",$E59="",$F59=""),$L59&lt;&gt;"لا"),0,MAX(0,MIN($F59,EOMONTH(DATE(cfg_FY,8,1),0))-$E59+1))</f>
        <v>0</v>
      </c>
      <c r="AP59" s="110" t="n">
        <f aca="false">IF(OR(OR($B59="",$E59="",$F59=""),$L59&lt;&gt;"لا"),0,MAX(0,MIN($F59,EOMONTH(DATE(cfg_FY,9,1),0))-$E59+1))</f>
        <v>0</v>
      </c>
      <c r="AQ59" s="110" t="n">
        <f aca="false">IF(OR(OR($B59="",$E59="",$F59=""),$L59&lt;&gt;"لا"),0,MAX(0,MIN($F59,EOMONTH(DATE(cfg_FY,10,1),0))-$E59+1))</f>
        <v>0</v>
      </c>
      <c r="AR59" s="110" t="n">
        <f aca="false">IF(OR(OR($B59="",$E59="",$F59=""),$L59&lt;&gt;"لا"),0,MAX(0,MIN($F59,EOMONTH(DATE(cfg_FY,11,1),0))-$E59+1))</f>
        <v>0</v>
      </c>
      <c r="AS59" s="110" t="n">
        <f aca="false">IF(OR(OR($B59="",$E59="",$F59=""),$L59&lt;&gt;"لا"),0,MAX(0,MIN($F59,EOMONTH(DATE(cfg_FY,12,1),0))-$E59+1))</f>
        <v>0</v>
      </c>
      <c r="AT59" s="110" t="n">
        <f aca="false">IF(OR(OR($B59="",$E59="",$F59=""),$K59&lt;&gt;"نعم",$M59="نعم"),0,MAX(0,MIN($F59,EOMONTH(DATE(cfg_FY,1,1),0))-MAX($E59,DATE(cfg_FY,1,1))+1))</f>
        <v>0</v>
      </c>
      <c r="AU59" s="110" t="n">
        <f aca="false">IF(OR(OR($B59="",$E59="",$F59=""),$K59&lt;&gt;"نعم",$M59="نعم"),0,MAX(0,MIN($F59,EOMONTH(DATE(cfg_FY,2,1),0))-MAX($E59,DATE(cfg_FY,2,1))+1))</f>
        <v>0</v>
      </c>
      <c r="AV59" s="110" t="n">
        <f aca="false">IF(OR(OR($B59="",$E59="",$F59=""),$K59&lt;&gt;"نعم",$M59="نعم"),0,MAX(0,MIN($F59,EOMONTH(DATE(cfg_FY,3,1),0))-MAX($E59,DATE(cfg_FY,3,1))+1))</f>
        <v>0</v>
      </c>
      <c r="AW59" s="110" t="n">
        <f aca="false">IF(OR(OR($B59="",$E59="",$F59=""),$K59&lt;&gt;"نعم",$M59="نعم"),0,MAX(0,MIN($F59,EOMONTH(DATE(cfg_FY,4,1),0))-MAX($E59,DATE(cfg_FY,4,1))+1))</f>
        <v>0</v>
      </c>
      <c r="AX59" s="110" t="n">
        <f aca="false">IF(OR(OR($B59="",$E59="",$F59=""),$K59&lt;&gt;"نعم",$M59="نعم"),0,MAX(0,MIN($F59,EOMONTH(DATE(cfg_FY,5,1),0))-MAX($E59,DATE(cfg_FY,5,1))+1))</f>
        <v>0</v>
      </c>
      <c r="AY59" s="110" t="n">
        <f aca="false">IF(OR(OR($B59="",$E59="",$F59=""),$K59&lt;&gt;"نعم",$M59="نعم"),0,MAX(0,MIN($F59,EOMONTH(DATE(cfg_FY,6,1),0))-MAX($E59,DATE(cfg_FY,6,1))+1))</f>
        <v>0</v>
      </c>
      <c r="AZ59" s="110" t="n">
        <f aca="false">IF(OR(OR($B59="",$E59="",$F59=""),$K59&lt;&gt;"نعم",$M59="نعم"),0,MAX(0,MIN($F59,EOMONTH(DATE(cfg_FY,7,1),0))-MAX($E59,DATE(cfg_FY,7,1))+1))</f>
        <v>0</v>
      </c>
      <c r="BA59" s="110" t="n">
        <f aca="false">IF(OR(OR($B59="",$E59="",$F59=""),$K59&lt;&gt;"نعم",$M59="نعم"),0,MAX(0,MIN($F59,EOMONTH(DATE(cfg_FY,8,1),0))-MAX($E59,DATE(cfg_FY,8,1))+1))</f>
        <v>0</v>
      </c>
      <c r="BB59" s="110" t="n">
        <f aca="false">IF(OR(OR($B59="",$E59="",$F59=""),$K59&lt;&gt;"نعم",$M59="نعم"),0,MAX(0,MIN($F59,EOMONTH(DATE(cfg_FY,9,1),0))-MAX($E59,DATE(cfg_FY,9,1))+1))</f>
        <v>0</v>
      </c>
      <c r="BC59" s="110" t="n">
        <f aca="false">IF(OR(OR($B59="",$E59="",$F59=""),$K59&lt;&gt;"نعم",$M59="نعم"),0,MAX(0,MIN($F59,EOMONTH(DATE(cfg_FY,10,1),0))-MAX($E59,DATE(cfg_FY,10,1))+1))</f>
        <v>0</v>
      </c>
      <c r="BD59" s="110" t="n">
        <f aca="false">IF(OR(OR($B59="",$E59="",$F59=""),$K59&lt;&gt;"نعم",$M59="نعم"),0,MAX(0,MIN($F59,EOMONTH(DATE(cfg_FY,11,1),0))-MAX($E59,DATE(cfg_FY,11,1))+1))</f>
        <v>0</v>
      </c>
      <c r="BE59" s="110" t="n">
        <f aca="false">IF(OR(OR($B59="",$E59="",$F59=""),$K59&lt;&gt;"نعم",$M59="نعم"),0,MAX(0,MIN($F59,EOMONTH(DATE(cfg_FY,12,1),0))-MAX($E59,DATE(cfg_FY,12,1))+1))</f>
        <v>0</v>
      </c>
    </row>
    <row r="60" customFormat="false" ht="15" hidden="false" customHeight="false" outlineLevel="0" collapsed="false">
      <c r="A60" s="93" t="str">
        <f aca="false">IF(B60="","",ROW()-5)</f>
        <v/>
      </c>
      <c r="B60" s="79"/>
      <c r="C60" s="80" t="str">
        <f aca="false">IF(B60="","",IFERROR(INDEX(الموظفون!$C$6:$C$105,MATCH(B60,الموظفون!$B$6:$B$105,0)),"✖ رقم غير موجود"))</f>
        <v/>
      </c>
      <c r="D60" s="79"/>
      <c r="E60" s="94"/>
      <c r="F60" s="94"/>
      <c r="G60" s="57" t="str">
        <f aca="false">IF(OR($B60="",$E60="",$F60=""),"",MAX(0,F60-E60+1))</f>
        <v/>
      </c>
      <c r="H60" s="58" t="str">
        <f aca="false">IF(D60="","",IFERROR(VLOOKUP(D60,cfg_LT,2,FALSE()),1))</f>
        <v/>
      </c>
      <c r="I60" s="82"/>
      <c r="J60" s="58" t="str">
        <f aca="false">IF(D60="","",IF(I60&lt;&gt;"",I60,H60))</f>
        <v/>
      </c>
      <c r="K60" s="80" t="str">
        <f aca="false">IF(D60="","",IFERROR(VLOOKUP($D60,cfg_LT,3,FALSE()),""))</f>
        <v/>
      </c>
      <c r="L60" s="80" t="str">
        <f aca="false">IF(D60="","",IFERROR(VLOOKUP($D60,cfg_LT,4,FALSE()),""))</f>
        <v/>
      </c>
      <c r="M60" s="80" t="str">
        <f aca="false">IF(D60="","",IFERROR(VLOOKUP($D60,cfg_LT,5,FALSE()),""))</f>
        <v/>
      </c>
      <c r="N60" s="97" t="n">
        <f aca="false">IF(OR(OR($B60="",$E60="",$F60=""),M60&lt;&gt;"نعم"),0,G60*J60*IFERROR(INDEX(الموظفون!$R$6:$R$105,MATCH(B60,الموظفون!$B$6:$B$105,0)),0)/cfg_DAYS_M)</f>
        <v>0</v>
      </c>
      <c r="O60" s="93" t="str">
        <f aca="false">IF(OR(OR($B60="",$E60="",$F60=""),M60&lt;&gt;"نعم"),"",IF(YEAR(E60)=cfg_FY,MONTH(E60),""))</f>
        <v/>
      </c>
      <c r="P60" s="80" t="str">
        <f aca="false">IF(B60="","",IF(OR(D60="",E60="",F60=""),"⚠ أكمل النوع والتواريخ",IF(F60&lt;E60,"✖ النهاية قبل البداية",IF(COUNTIFS($B$6:$B$505,B60,$E$6:$E$505,"&lt;="&amp;F60,$F$6:$F$505,"&gt;="&amp;E60)&gt;1,"⚠ تداخل مع سجل آخر",IF(E60&gt;cfg_VAL_DATE,"⏳ قادمة",IF(F60&lt;cfg_VAL_DATE,"✔ منتهية","✈ جارية في تاريخ التقرير"))))))</f>
        <v/>
      </c>
      <c r="Q60" s="79"/>
      <c r="R60" s="57" t="n">
        <f aca="false">IF(OR(OR($B60="",$E60="",$F60=""),L60&lt;&gt;"لا"),0,MAX(0,MIN(F60,cfg_Y_START-1)-E60+1))</f>
        <v>0</v>
      </c>
      <c r="S60" s="57" t="n">
        <f aca="false">IF(OR(OR($B60="",$E60="",$F60=""),L60&lt;&gt;"لا"),0,MAX(0,MIN(F60,cfg_VAL_DATE)-E60+1))</f>
        <v>0</v>
      </c>
      <c r="T60" s="57" t="n">
        <f aca="false">IF(OR(OR($B60="",$E60="",$F60=""),K60&lt;&gt;"نعم"),0,IF(M60="نعم",IF(AND(ISNUMBER(O60),N(O60)&lt;=cfg_VAL_M),G60,0),MAX(0,MIN(F60,cfg_VAL_DATE)-MAX(E60,cfg_Y_START)+1)))</f>
        <v>0</v>
      </c>
      <c r="V60" s="57" t="n">
        <f aca="false">IF(OR($B60="",$E60="",$F60=""),0,MAX(0,MIN($F60,EOMONTH(DATE(cfg_FY,1,1),0))-MAX($E60,DATE(cfg_FY,1,1))+1)*(1-IF($M60="نعم",0,N($J60))))</f>
        <v>0</v>
      </c>
      <c r="W60" s="57" t="n">
        <f aca="false">IF(OR($B60="",$E60="",$F60=""),0,MAX(0,MIN($F60,EOMONTH(DATE(cfg_FY,2,1),0))-MAX($E60,DATE(cfg_FY,2,1))+1)*(1-IF($M60="نعم",0,N($J60))))</f>
        <v>0</v>
      </c>
      <c r="X60" s="57" t="n">
        <f aca="false">IF(OR($B60="",$E60="",$F60=""),0,MAX(0,MIN($F60,EOMONTH(DATE(cfg_FY,3,1),0))-MAX($E60,DATE(cfg_FY,3,1))+1)*(1-IF($M60="نعم",0,N($J60))))</f>
        <v>0</v>
      </c>
      <c r="Y60" s="57" t="n">
        <f aca="false">IF(OR($B60="",$E60="",$F60=""),0,MAX(0,MIN($F60,EOMONTH(DATE(cfg_FY,4,1),0))-MAX($E60,DATE(cfg_FY,4,1))+1)*(1-IF($M60="نعم",0,N($J60))))</f>
        <v>0</v>
      </c>
      <c r="Z60" s="57" t="n">
        <f aca="false">IF(OR($B60="",$E60="",$F60=""),0,MAX(0,MIN($F60,EOMONTH(DATE(cfg_FY,5,1),0))-MAX($E60,DATE(cfg_FY,5,1))+1)*(1-IF($M60="نعم",0,N($J60))))</f>
        <v>0</v>
      </c>
      <c r="AA60" s="57" t="n">
        <f aca="false">IF(OR($B60="",$E60="",$F60=""),0,MAX(0,MIN($F60,EOMONTH(DATE(cfg_FY,6,1),0))-MAX($E60,DATE(cfg_FY,6,1))+1)*(1-IF($M60="نعم",0,N($J60))))</f>
        <v>0</v>
      </c>
      <c r="AB60" s="57" t="n">
        <f aca="false">IF(OR($B60="",$E60="",$F60=""),0,MAX(0,MIN($F60,EOMONTH(DATE(cfg_FY,7,1),0))-MAX($E60,DATE(cfg_FY,7,1))+1)*(1-IF($M60="نعم",0,N($J60))))</f>
        <v>0</v>
      </c>
      <c r="AC60" s="57" t="n">
        <f aca="false">IF(OR($B60="",$E60="",$F60=""),0,MAX(0,MIN($F60,EOMONTH(DATE(cfg_FY,8,1),0))-MAX($E60,DATE(cfg_FY,8,1))+1)*(1-IF($M60="نعم",0,N($J60))))</f>
        <v>0</v>
      </c>
      <c r="AD60" s="57" t="n">
        <f aca="false">IF(OR($B60="",$E60="",$F60=""),0,MAX(0,MIN($F60,EOMONTH(DATE(cfg_FY,9,1),0))-MAX($E60,DATE(cfg_FY,9,1))+1)*(1-IF($M60="نعم",0,N($J60))))</f>
        <v>0</v>
      </c>
      <c r="AE60" s="57" t="n">
        <f aca="false">IF(OR($B60="",$E60="",$F60=""),0,MAX(0,MIN($F60,EOMONTH(DATE(cfg_FY,10,1),0))-MAX($E60,DATE(cfg_FY,10,1))+1)*(1-IF($M60="نعم",0,N($J60))))</f>
        <v>0</v>
      </c>
      <c r="AF60" s="57" t="n">
        <f aca="false">IF(OR($B60="",$E60="",$F60=""),0,MAX(0,MIN($F60,EOMONTH(DATE(cfg_FY,11,1),0))-MAX($E60,DATE(cfg_FY,11,1))+1)*(1-IF($M60="نعم",0,N($J60))))</f>
        <v>0</v>
      </c>
      <c r="AG60" s="57" t="n">
        <f aca="false">IF(OR($B60="",$E60="",$F60=""),0,MAX(0,MIN($F60,EOMONTH(DATE(cfg_FY,12,1),0))-MAX($E60,DATE(cfg_FY,12,1))+1)*(1-IF($M60="نعم",0,N($J60))))</f>
        <v>0</v>
      </c>
      <c r="AH60" s="57" t="n">
        <f aca="false">IF(OR(OR($B60="",$E60="",$F60=""),$L60&lt;&gt;"لا"),0,MAX(0,MIN($F60,EOMONTH(DATE(cfg_FY,1,1),0))-$E60+1))</f>
        <v>0</v>
      </c>
      <c r="AI60" s="57" t="n">
        <f aca="false">IF(OR(OR($B60="",$E60="",$F60=""),$L60&lt;&gt;"لا"),0,MAX(0,MIN($F60,EOMONTH(DATE(cfg_FY,2,1),0))-$E60+1))</f>
        <v>0</v>
      </c>
      <c r="AJ60" s="57" t="n">
        <f aca="false">IF(OR(OR($B60="",$E60="",$F60=""),$L60&lt;&gt;"لا"),0,MAX(0,MIN($F60,EOMONTH(DATE(cfg_FY,3,1),0))-$E60+1))</f>
        <v>0</v>
      </c>
      <c r="AK60" s="57" t="n">
        <f aca="false">IF(OR(OR($B60="",$E60="",$F60=""),$L60&lt;&gt;"لا"),0,MAX(0,MIN($F60,EOMONTH(DATE(cfg_FY,4,1),0))-$E60+1))</f>
        <v>0</v>
      </c>
      <c r="AL60" s="57" t="n">
        <f aca="false">IF(OR(OR($B60="",$E60="",$F60=""),$L60&lt;&gt;"لا"),0,MAX(0,MIN($F60,EOMONTH(DATE(cfg_FY,5,1),0))-$E60+1))</f>
        <v>0</v>
      </c>
      <c r="AM60" s="57" t="n">
        <f aca="false">IF(OR(OR($B60="",$E60="",$F60=""),$L60&lt;&gt;"لا"),0,MAX(0,MIN($F60,EOMONTH(DATE(cfg_FY,6,1),0))-$E60+1))</f>
        <v>0</v>
      </c>
      <c r="AN60" s="57" t="n">
        <f aca="false">IF(OR(OR($B60="",$E60="",$F60=""),$L60&lt;&gt;"لا"),0,MAX(0,MIN($F60,EOMONTH(DATE(cfg_FY,7,1),0))-$E60+1))</f>
        <v>0</v>
      </c>
      <c r="AO60" s="57" t="n">
        <f aca="false">IF(OR(OR($B60="",$E60="",$F60=""),$L60&lt;&gt;"لا"),0,MAX(0,MIN($F60,EOMONTH(DATE(cfg_FY,8,1),0))-$E60+1))</f>
        <v>0</v>
      </c>
      <c r="AP60" s="57" t="n">
        <f aca="false">IF(OR(OR($B60="",$E60="",$F60=""),$L60&lt;&gt;"لا"),0,MAX(0,MIN($F60,EOMONTH(DATE(cfg_FY,9,1),0))-$E60+1))</f>
        <v>0</v>
      </c>
      <c r="AQ60" s="57" t="n">
        <f aca="false">IF(OR(OR($B60="",$E60="",$F60=""),$L60&lt;&gt;"لا"),0,MAX(0,MIN($F60,EOMONTH(DATE(cfg_FY,10,1),0))-$E60+1))</f>
        <v>0</v>
      </c>
      <c r="AR60" s="57" t="n">
        <f aca="false">IF(OR(OR($B60="",$E60="",$F60=""),$L60&lt;&gt;"لا"),0,MAX(0,MIN($F60,EOMONTH(DATE(cfg_FY,11,1),0))-$E60+1))</f>
        <v>0</v>
      </c>
      <c r="AS60" s="57" t="n">
        <f aca="false">IF(OR(OR($B60="",$E60="",$F60=""),$L60&lt;&gt;"لا"),0,MAX(0,MIN($F60,EOMONTH(DATE(cfg_FY,12,1),0))-$E60+1))</f>
        <v>0</v>
      </c>
      <c r="AT60" s="57" t="n">
        <f aca="false">IF(OR(OR($B60="",$E60="",$F60=""),$K60&lt;&gt;"نعم",$M60="نعم"),0,MAX(0,MIN($F60,EOMONTH(DATE(cfg_FY,1,1),0))-MAX($E60,DATE(cfg_FY,1,1))+1))</f>
        <v>0</v>
      </c>
      <c r="AU60" s="57" t="n">
        <f aca="false">IF(OR(OR($B60="",$E60="",$F60=""),$K60&lt;&gt;"نعم",$M60="نعم"),0,MAX(0,MIN($F60,EOMONTH(DATE(cfg_FY,2,1),0))-MAX($E60,DATE(cfg_FY,2,1))+1))</f>
        <v>0</v>
      </c>
      <c r="AV60" s="57" t="n">
        <f aca="false">IF(OR(OR($B60="",$E60="",$F60=""),$K60&lt;&gt;"نعم",$M60="نعم"),0,MAX(0,MIN($F60,EOMONTH(DATE(cfg_FY,3,1),0))-MAX($E60,DATE(cfg_FY,3,1))+1))</f>
        <v>0</v>
      </c>
      <c r="AW60" s="57" t="n">
        <f aca="false">IF(OR(OR($B60="",$E60="",$F60=""),$K60&lt;&gt;"نعم",$M60="نعم"),0,MAX(0,MIN($F60,EOMONTH(DATE(cfg_FY,4,1),0))-MAX($E60,DATE(cfg_FY,4,1))+1))</f>
        <v>0</v>
      </c>
      <c r="AX60" s="57" t="n">
        <f aca="false">IF(OR(OR($B60="",$E60="",$F60=""),$K60&lt;&gt;"نعم",$M60="نعم"),0,MAX(0,MIN($F60,EOMONTH(DATE(cfg_FY,5,1),0))-MAX($E60,DATE(cfg_FY,5,1))+1))</f>
        <v>0</v>
      </c>
      <c r="AY60" s="57" t="n">
        <f aca="false">IF(OR(OR($B60="",$E60="",$F60=""),$K60&lt;&gt;"نعم",$M60="نعم"),0,MAX(0,MIN($F60,EOMONTH(DATE(cfg_FY,6,1),0))-MAX($E60,DATE(cfg_FY,6,1))+1))</f>
        <v>0</v>
      </c>
      <c r="AZ60" s="57" t="n">
        <f aca="false">IF(OR(OR($B60="",$E60="",$F60=""),$K60&lt;&gt;"نعم",$M60="نعم"),0,MAX(0,MIN($F60,EOMONTH(DATE(cfg_FY,7,1),0))-MAX($E60,DATE(cfg_FY,7,1))+1))</f>
        <v>0</v>
      </c>
      <c r="BA60" s="57" t="n">
        <f aca="false">IF(OR(OR($B60="",$E60="",$F60=""),$K60&lt;&gt;"نعم",$M60="نعم"),0,MAX(0,MIN($F60,EOMONTH(DATE(cfg_FY,8,1),0))-MAX($E60,DATE(cfg_FY,8,1))+1))</f>
        <v>0</v>
      </c>
      <c r="BB60" s="57" t="n">
        <f aca="false">IF(OR(OR($B60="",$E60="",$F60=""),$K60&lt;&gt;"نعم",$M60="نعم"),0,MAX(0,MIN($F60,EOMONTH(DATE(cfg_FY,9,1),0))-MAX($E60,DATE(cfg_FY,9,1))+1))</f>
        <v>0</v>
      </c>
      <c r="BC60" s="57" t="n">
        <f aca="false">IF(OR(OR($B60="",$E60="",$F60=""),$K60&lt;&gt;"نعم",$M60="نعم"),0,MAX(0,MIN($F60,EOMONTH(DATE(cfg_FY,10,1),0))-MAX($E60,DATE(cfg_FY,10,1))+1))</f>
        <v>0</v>
      </c>
      <c r="BD60" s="57" t="n">
        <f aca="false">IF(OR(OR($B60="",$E60="",$F60=""),$K60&lt;&gt;"نعم",$M60="نعم"),0,MAX(0,MIN($F60,EOMONTH(DATE(cfg_FY,11,1),0))-MAX($E60,DATE(cfg_FY,11,1))+1))</f>
        <v>0</v>
      </c>
      <c r="BE60" s="57" t="n">
        <f aca="false">IF(OR(OR($B60="",$E60="",$F60=""),$K60&lt;&gt;"نعم",$M60="نعم"),0,MAX(0,MIN($F60,EOMONTH(DATE(cfg_FY,12,1),0))-MAX($E60,DATE(cfg_FY,12,1))+1))</f>
        <v>0</v>
      </c>
    </row>
    <row r="61" customFormat="false" ht="15" hidden="false" customHeight="false" outlineLevel="0" collapsed="false">
      <c r="A61" s="100" t="str">
        <f aca="false">IF(B61="","",ROW()-5)</f>
        <v/>
      </c>
      <c r="B61" s="79"/>
      <c r="C61" s="102" t="str">
        <f aca="false">IF(B61="","",IFERROR(INDEX(الموظفون!$C$6:$C$105,MATCH(B61,الموظفون!$B$6:$B$105,0)),"✖ رقم غير موجود"))</f>
        <v/>
      </c>
      <c r="D61" s="79"/>
      <c r="E61" s="94"/>
      <c r="F61" s="94"/>
      <c r="G61" s="110" t="str">
        <f aca="false">IF(OR($B61="",$E61="",$F61=""),"",MAX(0,F61-E61+1))</f>
        <v/>
      </c>
      <c r="H61" s="111" t="str">
        <f aca="false">IF(D61="","",IFERROR(VLOOKUP(D61,cfg_LT,2,FALSE()),1))</f>
        <v/>
      </c>
      <c r="I61" s="82"/>
      <c r="J61" s="111" t="str">
        <f aca="false">IF(D61="","",IF(I61&lt;&gt;"",I61,H61))</f>
        <v/>
      </c>
      <c r="K61" s="102" t="str">
        <f aca="false">IF(D61="","",IFERROR(VLOOKUP($D61,cfg_LT,3,FALSE()),""))</f>
        <v/>
      </c>
      <c r="L61" s="102" t="str">
        <f aca="false">IF(D61="","",IFERROR(VLOOKUP($D61,cfg_LT,4,FALSE()),""))</f>
        <v/>
      </c>
      <c r="M61" s="102" t="str">
        <f aca="false">IF(D61="","",IFERROR(VLOOKUP($D61,cfg_LT,5,FALSE()),""))</f>
        <v/>
      </c>
      <c r="N61" s="101" t="n">
        <f aca="false">IF(OR(OR($B61="",$E61="",$F61=""),M61&lt;&gt;"نعم"),0,G61*J61*IFERROR(INDEX(الموظفون!$R$6:$R$105,MATCH(B61,الموظفون!$B$6:$B$105,0)),0)/cfg_DAYS_M)</f>
        <v>0</v>
      </c>
      <c r="O61" s="100" t="str">
        <f aca="false">IF(OR(OR($B61="",$E61="",$F61=""),M61&lt;&gt;"نعم"),"",IF(YEAR(E61)=cfg_FY,MONTH(E61),""))</f>
        <v/>
      </c>
      <c r="P61" s="102" t="str">
        <f aca="false">IF(B61="","",IF(OR(D61="",E61="",F61=""),"⚠ أكمل النوع والتواريخ",IF(F61&lt;E61,"✖ النهاية قبل البداية",IF(COUNTIFS($B$6:$B$505,B61,$E$6:$E$505,"&lt;="&amp;F61,$F$6:$F$505,"&gt;="&amp;E61)&gt;1,"⚠ تداخل مع سجل آخر",IF(E61&gt;cfg_VAL_DATE,"⏳ قادمة",IF(F61&lt;cfg_VAL_DATE,"✔ منتهية","✈ جارية في تاريخ التقرير"))))))</f>
        <v/>
      </c>
      <c r="Q61" s="79"/>
      <c r="R61" s="110" t="n">
        <f aca="false">IF(OR(OR($B61="",$E61="",$F61=""),L61&lt;&gt;"لا"),0,MAX(0,MIN(F61,cfg_Y_START-1)-E61+1))</f>
        <v>0</v>
      </c>
      <c r="S61" s="110" t="n">
        <f aca="false">IF(OR(OR($B61="",$E61="",$F61=""),L61&lt;&gt;"لا"),0,MAX(0,MIN(F61,cfg_VAL_DATE)-E61+1))</f>
        <v>0</v>
      </c>
      <c r="T61" s="110" t="n">
        <f aca="false">IF(OR(OR($B61="",$E61="",$F61=""),K61&lt;&gt;"نعم"),0,IF(M61="نعم",IF(AND(ISNUMBER(O61),N(O61)&lt;=cfg_VAL_M),G61,0),MAX(0,MIN(F61,cfg_VAL_DATE)-MAX(E61,cfg_Y_START)+1)))</f>
        <v>0</v>
      </c>
      <c r="V61" s="110" t="n">
        <f aca="false">IF(OR($B61="",$E61="",$F61=""),0,MAX(0,MIN($F61,EOMONTH(DATE(cfg_FY,1,1),0))-MAX($E61,DATE(cfg_FY,1,1))+1)*(1-IF($M61="نعم",0,N($J61))))</f>
        <v>0</v>
      </c>
      <c r="W61" s="110" t="n">
        <f aca="false">IF(OR($B61="",$E61="",$F61=""),0,MAX(0,MIN($F61,EOMONTH(DATE(cfg_FY,2,1),0))-MAX($E61,DATE(cfg_FY,2,1))+1)*(1-IF($M61="نعم",0,N($J61))))</f>
        <v>0</v>
      </c>
      <c r="X61" s="110" t="n">
        <f aca="false">IF(OR($B61="",$E61="",$F61=""),0,MAX(0,MIN($F61,EOMONTH(DATE(cfg_FY,3,1),0))-MAX($E61,DATE(cfg_FY,3,1))+1)*(1-IF($M61="نعم",0,N($J61))))</f>
        <v>0</v>
      </c>
      <c r="Y61" s="110" t="n">
        <f aca="false">IF(OR($B61="",$E61="",$F61=""),0,MAX(0,MIN($F61,EOMONTH(DATE(cfg_FY,4,1),0))-MAX($E61,DATE(cfg_FY,4,1))+1)*(1-IF($M61="نعم",0,N($J61))))</f>
        <v>0</v>
      </c>
      <c r="Z61" s="110" t="n">
        <f aca="false">IF(OR($B61="",$E61="",$F61=""),0,MAX(0,MIN($F61,EOMONTH(DATE(cfg_FY,5,1),0))-MAX($E61,DATE(cfg_FY,5,1))+1)*(1-IF($M61="نعم",0,N($J61))))</f>
        <v>0</v>
      </c>
      <c r="AA61" s="110" t="n">
        <f aca="false">IF(OR($B61="",$E61="",$F61=""),0,MAX(0,MIN($F61,EOMONTH(DATE(cfg_FY,6,1),0))-MAX($E61,DATE(cfg_FY,6,1))+1)*(1-IF($M61="نعم",0,N($J61))))</f>
        <v>0</v>
      </c>
      <c r="AB61" s="110" t="n">
        <f aca="false">IF(OR($B61="",$E61="",$F61=""),0,MAX(0,MIN($F61,EOMONTH(DATE(cfg_FY,7,1),0))-MAX($E61,DATE(cfg_FY,7,1))+1)*(1-IF($M61="نعم",0,N($J61))))</f>
        <v>0</v>
      </c>
      <c r="AC61" s="110" t="n">
        <f aca="false">IF(OR($B61="",$E61="",$F61=""),0,MAX(0,MIN($F61,EOMONTH(DATE(cfg_FY,8,1),0))-MAX($E61,DATE(cfg_FY,8,1))+1)*(1-IF($M61="نعم",0,N($J61))))</f>
        <v>0</v>
      </c>
      <c r="AD61" s="110" t="n">
        <f aca="false">IF(OR($B61="",$E61="",$F61=""),0,MAX(0,MIN($F61,EOMONTH(DATE(cfg_FY,9,1),0))-MAX($E61,DATE(cfg_FY,9,1))+1)*(1-IF($M61="نعم",0,N($J61))))</f>
        <v>0</v>
      </c>
      <c r="AE61" s="110" t="n">
        <f aca="false">IF(OR($B61="",$E61="",$F61=""),0,MAX(0,MIN($F61,EOMONTH(DATE(cfg_FY,10,1),0))-MAX($E61,DATE(cfg_FY,10,1))+1)*(1-IF($M61="نعم",0,N($J61))))</f>
        <v>0</v>
      </c>
      <c r="AF61" s="110" t="n">
        <f aca="false">IF(OR($B61="",$E61="",$F61=""),0,MAX(0,MIN($F61,EOMONTH(DATE(cfg_FY,11,1),0))-MAX($E61,DATE(cfg_FY,11,1))+1)*(1-IF($M61="نعم",0,N($J61))))</f>
        <v>0</v>
      </c>
      <c r="AG61" s="110" t="n">
        <f aca="false">IF(OR($B61="",$E61="",$F61=""),0,MAX(0,MIN($F61,EOMONTH(DATE(cfg_FY,12,1),0))-MAX($E61,DATE(cfg_FY,12,1))+1)*(1-IF($M61="نعم",0,N($J61))))</f>
        <v>0</v>
      </c>
      <c r="AH61" s="110" t="n">
        <f aca="false">IF(OR(OR($B61="",$E61="",$F61=""),$L61&lt;&gt;"لا"),0,MAX(0,MIN($F61,EOMONTH(DATE(cfg_FY,1,1),0))-$E61+1))</f>
        <v>0</v>
      </c>
      <c r="AI61" s="110" t="n">
        <f aca="false">IF(OR(OR($B61="",$E61="",$F61=""),$L61&lt;&gt;"لا"),0,MAX(0,MIN($F61,EOMONTH(DATE(cfg_FY,2,1),0))-$E61+1))</f>
        <v>0</v>
      </c>
      <c r="AJ61" s="110" t="n">
        <f aca="false">IF(OR(OR($B61="",$E61="",$F61=""),$L61&lt;&gt;"لا"),0,MAX(0,MIN($F61,EOMONTH(DATE(cfg_FY,3,1),0))-$E61+1))</f>
        <v>0</v>
      </c>
      <c r="AK61" s="110" t="n">
        <f aca="false">IF(OR(OR($B61="",$E61="",$F61=""),$L61&lt;&gt;"لا"),0,MAX(0,MIN($F61,EOMONTH(DATE(cfg_FY,4,1),0))-$E61+1))</f>
        <v>0</v>
      </c>
      <c r="AL61" s="110" t="n">
        <f aca="false">IF(OR(OR($B61="",$E61="",$F61=""),$L61&lt;&gt;"لا"),0,MAX(0,MIN($F61,EOMONTH(DATE(cfg_FY,5,1),0))-$E61+1))</f>
        <v>0</v>
      </c>
      <c r="AM61" s="110" t="n">
        <f aca="false">IF(OR(OR($B61="",$E61="",$F61=""),$L61&lt;&gt;"لا"),0,MAX(0,MIN($F61,EOMONTH(DATE(cfg_FY,6,1),0))-$E61+1))</f>
        <v>0</v>
      </c>
      <c r="AN61" s="110" t="n">
        <f aca="false">IF(OR(OR($B61="",$E61="",$F61=""),$L61&lt;&gt;"لا"),0,MAX(0,MIN($F61,EOMONTH(DATE(cfg_FY,7,1),0))-$E61+1))</f>
        <v>0</v>
      </c>
      <c r="AO61" s="110" t="n">
        <f aca="false">IF(OR(OR($B61="",$E61="",$F61=""),$L61&lt;&gt;"لا"),0,MAX(0,MIN($F61,EOMONTH(DATE(cfg_FY,8,1),0))-$E61+1))</f>
        <v>0</v>
      </c>
      <c r="AP61" s="110" t="n">
        <f aca="false">IF(OR(OR($B61="",$E61="",$F61=""),$L61&lt;&gt;"لا"),0,MAX(0,MIN($F61,EOMONTH(DATE(cfg_FY,9,1),0))-$E61+1))</f>
        <v>0</v>
      </c>
      <c r="AQ61" s="110" t="n">
        <f aca="false">IF(OR(OR($B61="",$E61="",$F61=""),$L61&lt;&gt;"لا"),0,MAX(0,MIN($F61,EOMONTH(DATE(cfg_FY,10,1),0))-$E61+1))</f>
        <v>0</v>
      </c>
      <c r="AR61" s="110" t="n">
        <f aca="false">IF(OR(OR($B61="",$E61="",$F61=""),$L61&lt;&gt;"لا"),0,MAX(0,MIN($F61,EOMONTH(DATE(cfg_FY,11,1),0))-$E61+1))</f>
        <v>0</v>
      </c>
      <c r="AS61" s="110" t="n">
        <f aca="false">IF(OR(OR($B61="",$E61="",$F61=""),$L61&lt;&gt;"لا"),0,MAX(0,MIN($F61,EOMONTH(DATE(cfg_FY,12,1),0))-$E61+1))</f>
        <v>0</v>
      </c>
      <c r="AT61" s="110" t="n">
        <f aca="false">IF(OR(OR($B61="",$E61="",$F61=""),$K61&lt;&gt;"نعم",$M61="نعم"),0,MAX(0,MIN($F61,EOMONTH(DATE(cfg_FY,1,1),0))-MAX($E61,DATE(cfg_FY,1,1))+1))</f>
        <v>0</v>
      </c>
      <c r="AU61" s="110" t="n">
        <f aca="false">IF(OR(OR($B61="",$E61="",$F61=""),$K61&lt;&gt;"نعم",$M61="نعم"),0,MAX(0,MIN($F61,EOMONTH(DATE(cfg_FY,2,1),0))-MAX($E61,DATE(cfg_FY,2,1))+1))</f>
        <v>0</v>
      </c>
      <c r="AV61" s="110" t="n">
        <f aca="false">IF(OR(OR($B61="",$E61="",$F61=""),$K61&lt;&gt;"نعم",$M61="نعم"),0,MAX(0,MIN($F61,EOMONTH(DATE(cfg_FY,3,1),0))-MAX($E61,DATE(cfg_FY,3,1))+1))</f>
        <v>0</v>
      </c>
      <c r="AW61" s="110" t="n">
        <f aca="false">IF(OR(OR($B61="",$E61="",$F61=""),$K61&lt;&gt;"نعم",$M61="نعم"),0,MAX(0,MIN($F61,EOMONTH(DATE(cfg_FY,4,1),0))-MAX($E61,DATE(cfg_FY,4,1))+1))</f>
        <v>0</v>
      </c>
      <c r="AX61" s="110" t="n">
        <f aca="false">IF(OR(OR($B61="",$E61="",$F61=""),$K61&lt;&gt;"نعم",$M61="نعم"),0,MAX(0,MIN($F61,EOMONTH(DATE(cfg_FY,5,1),0))-MAX($E61,DATE(cfg_FY,5,1))+1))</f>
        <v>0</v>
      </c>
      <c r="AY61" s="110" t="n">
        <f aca="false">IF(OR(OR($B61="",$E61="",$F61=""),$K61&lt;&gt;"نعم",$M61="نعم"),0,MAX(0,MIN($F61,EOMONTH(DATE(cfg_FY,6,1),0))-MAX($E61,DATE(cfg_FY,6,1))+1))</f>
        <v>0</v>
      </c>
      <c r="AZ61" s="110" t="n">
        <f aca="false">IF(OR(OR($B61="",$E61="",$F61=""),$K61&lt;&gt;"نعم",$M61="نعم"),0,MAX(0,MIN($F61,EOMONTH(DATE(cfg_FY,7,1),0))-MAX($E61,DATE(cfg_FY,7,1))+1))</f>
        <v>0</v>
      </c>
      <c r="BA61" s="110" t="n">
        <f aca="false">IF(OR(OR($B61="",$E61="",$F61=""),$K61&lt;&gt;"نعم",$M61="نعم"),0,MAX(0,MIN($F61,EOMONTH(DATE(cfg_FY,8,1),0))-MAX($E61,DATE(cfg_FY,8,1))+1))</f>
        <v>0</v>
      </c>
      <c r="BB61" s="110" t="n">
        <f aca="false">IF(OR(OR($B61="",$E61="",$F61=""),$K61&lt;&gt;"نعم",$M61="نعم"),0,MAX(0,MIN($F61,EOMONTH(DATE(cfg_FY,9,1),0))-MAX($E61,DATE(cfg_FY,9,1))+1))</f>
        <v>0</v>
      </c>
      <c r="BC61" s="110" t="n">
        <f aca="false">IF(OR(OR($B61="",$E61="",$F61=""),$K61&lt;&gt;"نعم",$M61="نعم"),0,MAX(0,MIN($F61,EOMONTH(DATE(cfg_FY,10,1),0))-MAX($E61,DATE(cfg_FY,10,1))+1))</f>
        <v>0</v>
      </c>
      <c r="BD61" s="110" t="n">
        <f aca="false">IF(OR(OR($B61="",$E61="",$F61=""),$K61&lt;&gt;"نعم",$M61="نعم"),0,MAX(0,MIN($F61,EOMONTH(DATE(cfg_FY,11,1),0))-MAX($E61,DATE(cfg_FY,11,1))+1))</f>
        <v>0</v>
      </c>
      <c r="BE61" s="110" t="n">
        <f aca="false">IF(OR(OR($B61="",$E61="",$F61=""),$K61&lt;&gt;"نعم",$M61="نعم"),0,MAX(0,MIN($F61,EOMONTH(DATE(cfg_FY,12,1),0))-MAX($E61,DATE(cfg_FY,12,1))+1))</f>
        <v>0</v>
      </c>
    </row>
    <row r="62" customFormat="false" ht="15" hidden="false" customHeight="false" outlineLevel="0" collapsed="false">
      <c r="A62" s="93" t="str">
        <f aca="false">IF(B62="","",ROW()-5)</f>
        <v/>
      </c>
      <c r="B62" s="79"/>
      <c r="C62" s="80" t="str">
        <f aca="false">IF(B62="","",IFERROR(INDEX(الموظفون!$C$6:$C$105,MATCH(B62,الموظفون!$B$6:$B$105,0)),"✖ رقم غير موجود"))</f>
        <v/>
      </c>
      <c r="D62" s="79"/>
      <c r="E62" s="94"/>
      <c r="F62" s="94"/>
      <c r="G62" s="57" t="str">
        <f aca="false">IF(OR($B62="",$E62="",$F62=""),"",MAX(0,F62-E62+1))</f>
        <v/>
      </c>
      <c r="H62" s="58" t="str">
        <f aca="false">IF(D62="","",IFERROR(VLOOKUP(D62,cfg_LT,2,FALSE()),1))</f>
        <v/>
      </c>
      <c r="I62" s="82"/>
      <c r="J62" s="58" t="str">
        <f aca="false">IF(D62="","",IF(I62&lt;&gt;"",I62,H62))</f>
        <v/>
      </c>
      <c r="K62" s="80" t="str">
        <f aca="false">IF(D62="","",IFERROR(VLOOKUP($D62,cfg_LT,3,FALSE()),""))</f>
        <v/>
      </c>
      <c r="L62" s="80" t="str">
        <f aca="false">IF(D62="","",IFERROR(VLOOKUP($D62,cfg_LT,4,FALSE()),""))</f>
        <v/>
      </c>
      <c r="M62" s="80" t="str">
        <f aca="false">IF(D62="","",IFERROR(VLOOKUP($D62,cfg_LT,5,FALSE()),""))</f>
        <v/>
      </c>
      <c r="N62" s="97" t="n">
        <f aca="false">IF(OR(OR($B62="",$E62="",$F62=""),M62&lt;&gt;"نعم"),0,G62*J62*IFERROR(INDEX(الموظفون!$R$6:$R$105,MATCH(B62,الموظفون!$B$6:$B$105,0)),0)/cfg_DAYS_M)</f>
        <v>0</v>
      </c>
      <c r="O62" s="93" t="str">
        <f aca="false">IF(OR(OR($B62="",$E62="",$F62=""),M62&lt;&gt;"نعم"),"",IF(YEAR(E62)=cfg_FY,MONTH(E62),""))</f>
        <v/>
      </c>
      <c r="P62" s="80" t="str">
        <f aca="false">IF(B62="","",IF(OR(D62="",E62="",F62=""),"⚠ أكمل النوع والتواريخ",IF(F62&lt;E62,"✖ النهاية قبل البداية",IF(COUNTIFS($B$6:$B$505,B62,$E$6:$E$505,"&lt;="&amp;F62,$F$6:$F$505,"&gt;="&amp;E62)&gt;1,"⚠ تداخل مع سجل آخر",IF(E62&gt;cfg_VAL_DATE,"⏳ قادمة",IF(F62&lt;cfg_VAL_DATE,"✔ منتهية","✈ جارية في تاريخ التقرير"))))))</f>
        <v/>
      </c>
      <c r="Q62" s="79"/>
      <c r="R62" s="57" t="n">
        <f aca="false">IF(OR(OR($B62="",$E62="",$F62=""),L62&lt;&gt;"لا"),0,MAX(0,MIN(F62,cfg_Y_START-1)-E62+1))</f>
        <v>0</v>
      </c>
      <c r="S62" s="57" t="n">
        <f aca="false">IF(OR(OR($B62="",$E62="",$F62=""),L62&lt;&gt;"لا"),0,MAX(0,MIN(F62,cfg_VAL_DATE)-E62+1))</f>
        <v>0</v>
      </c>
      <c r="T62" s="57" t="n">
        <f aca="false">IF(OR(OR($B62="",$E62="",$F62=""),K62&lt;&gt;"نعم"),0,IF(M62="نعم",IF(AND(ISNUMBER(O62),N(O62)&lt;=cfg_VAL_M),G62,0),MAX(0,MIN(F62,cfg_VAL_DATE)-MAX(E62,cfg_Y_START)+1)))</f>
        <v>0</v>
      </c>
      <c r="V62" s="57" t="n">
        <f aca="false">IF(OR($B62="",$E62="",$F62=""),0,MAX(0,MIN($F62,EOMONTH(DATE(cfg_FY,1,1),0))-MAX($E62,DATE(cfg_FY,1,1))+1)*(1-IF($M62="نعم",0,N($J62))))</f>
        <v>0</v>
      </c>
      <c r="W62" s="57" t="n">
        <f aca="false">IF(OR($B62="",$E62="",$F62=""),0,MAX(0,MIN($F62,EOMONTH(DATE(cfg_FY,2,1),0))-MAX($E62,DATE(cfg_FY,2,1))+1)*(1-IF($M62="نعم",0,N($J62))))</f>
        <v>0</v>
      </c>
      <c r="X62" s="57" t="n">
        <f aca="false">IF(OR($B62="",$E62="",$F62=""),0,MAX(0,MIN($F62,EOMONTH(DATE(cfg_FY,3,1),0))-MAX($E62,DATE(cfg_FY,3,1))+1)*(1-IF($M62="نعم",0,N($J62))))</f>
        <v>0</v>
      </c>
      <c r="Y62" s="57" t="n">
        <f aca="false">IF(OR($B62="",$E62="",$F62=""),0,MAX(0,MIN($F62,EOMONTH(DATE(cfg_FY,4,1),0))-MAX($E62,DATE(cfg_FY,4,1))+1)*(1-IF($M62="نعم",0,N($J62))))</f>
        <v>0</v>
      </c>
      <c r="Z62" s="57" t="n">
        <f aca="false">IF(OR($B62="",$E62="",$F62=""),0,MAX(0,MIN($F62,EOMONTH(DATE(cfg_FY,5,1),0))-MAX($E62,DATE(cfg_FY,5,1))+1)*(1-IF($M62="نعم",0,N($J62))))</f>
        <v>0</v>
      </c>
      <c r="AA62" s="57" t="n">
        <f aca="false">IF(OR($B62="",$E62="",$F62=""),0,MAX(0,MIN($F62,EOMONTH(DATE(cfg_FY,6,1),0))-MAX($E62,DATE(cfg_FY,6,1))+1)*(1-IF($M62="نعم",0,N($J62))))</f>
        <v>0</v>
      </c>
      <c r="AB62" s="57" t="n">
        <f aca="false">IF(OR($B62="",$E62="",$F62=""),0,MAX(0,MIN($F62,EOMONTH(DATE(cfg_FY,7,1),0))-MAX($E62,DATE(cfg_FY,7,1))+1)*(1-IF($M62="نعم",0,N($J62))))</f>
        <v>0</v>
      </c>
      <c r="AC62" s="57" t="n">
        <f aca="false">IF(OR($B62="",$E62="",$F62=""),0,MAX(0,MIN($F62,EOMONTH(DATE(cfg_FY,8,1),0))-MAX($E62,DATE(cfg_FY,8,1))+1)*(1-IF($M62="نعم",0,N($J62))))</f>
        <v>0</v>
      </c>
      <c r="AD62" s="57" t="n">
        <f aca="false">IF(OR($B62="",$E62="",$F62=""),0,MAX(0,MIN($F62,EOMONTH(DATE(cfg_FY,9,1),0))-MAX($E62,DATE(cfg_FY,9,1))+1)*(1-IF($M62="نعم",0,N($J62))))</f>
        <v>0</v>
      </c>
      <c r="AE62" s="57" t="n">
        <f aca="false">IF(OR($B62="",$E62="",$F62=""),0,MAX(0,MIN($F62,EOMONTH(DATE(cfg_FY,10,1),0))-MAX($E62,DATE(cfg_FY,10,1))+1)*(1-IF($M62="نعم",0,N($J62))))</f>
        <v>0</v>
      </c>
      <c r="AF62" s="57" t="n">
        <f aca="false">IF(OR($B62="",$E62="",$F62=""),0,MAX(0,MIN($F62,EOMONTH(DATE(cfg_FY,11,1),0))-MAX($E62,DATE(cfg_FY,11,1))+1)*(1-IF($M62="نعم",0,N($J62))))</f>
        <v>0</v>
      </c>
      <c r="AG62" s="57" t="n">
        <f aca="false">IF(OR($B62="",$E62="",$F62=""),0,MAX(0,MIN($F62,EOMONTH(DATE(cfg_FY,12,1),0))-MAX($E62,DATE(cfg_FY,12,1))+1)*(1-IF($M62="نعم",0,N($J62))))</f>
        <v>0</v>
      </c>
      <c r="AH62" s="57" t="n">
        <f aca="false">IF(OR(OR($B62="",$E62="",$F62=""),$L62&lt;&gt;"لا"),0,MAX(0,MIN($F62,EOMONTH(DATE(cfg_FY,1,1),0))-$E62+1))</f>
        <v>0</v>
      </c>
      <c r="AI62" s="57" t="n">
        <f aca="false">IF(OR(OR($B62="",$E62="",$F62=""),$L62&lt;&gt;"لا"),0,MAX(0,MIN($F62,EOMONTH(DATE(cfg_FY,2,1),0))-$E62+1))</f>
        <v>0</v>
      </c>
      <c r="AJ62" s="57" t="n">
        <f aca="false">IF(OR(OR($B62="",$E62="",$F62=""),$L62&lt;&gt;"لا"),0,MAX(0,MIN($F62,EOMONTH(DATE(cfg_FY,3,1),0))-$E62+1))</f>
        <v>0</v>
      </c>
      <c r="AK62" s="57" t="n">
        <f aca="false">IF(OR(OR($B62="",$E62="",$F62=""),$L62&lt;&gt;"لا"),0,MAX(0,MIN($F62,EOMONTH(DATE(cfg_FY,4,1),0))-$E62+1))</f>
        <v>0</v>
      </c>
      <c r="AL62" s="57" t="n">
        <f aca="false">IF(OR(OR($B62="",$E62="",$F62=""),$L62&lt;&gt;"لا"),0,MAX(0,MIN($F62,EOMONTH(DATE(cfg_FY,5,1),0))-$E62+1))</f>
        <v>0</v>
      </c>
      <c r="AM62" s="57" t="n">
        <f aca="false">IF(OR(OR($B62="",$E62="",$F62=""),$L62&lt;&gt;"لا"),0,MAX(0,MIN($F62,EOMONTH(DATE(cfg_FY,6,1),0))-$E62+1))</f>
        <v>0</v>
      </c>
      <c r="AN62" s="57" t="n">
        <f aca="false">IF(OR(OR($B62="",$E62="",$F62=""),$L62&lt;&gt;"لا"),0,MAX(0,MIN($F62,EOMONTH(DATE(cfg_FY,7,1),0))-$E62+1))</f>
        <v>0</v>
      </c>
      <c r="AO62" s="57" t="n">
        <f aca="false">IF(OR(OR($B62="",$E62="",$F62=""),$L62&lt;&gt;"لا"),0,MAX(0,MIN($F62,EOMONTH(DATE(cfg_FY,8,1),0))-$E62+1))</f>
        <v>0</v>
      </c>
      <c r="AP62" s="57" t="n">
        <f aca="false">IF(OR(OR($B62="",$E62="",$F62=""),$L62&lt;&gt;"لا"),0,MAX(0,MIN($F62,EOMONTH(DATE(cfg_FY,9,1),0))-$E62+1))</f>
        <v>0</v>
      </c>
      <c r="AQ62" s="57" t="n">
        <f aca="false">IF(OR(OR($B62="",$E62="",$F62=""),$L62&lt;&gt;"لا"),0,MAX(0,MIN($F62,EOMONTH(DATE(cfg_FY,10,1),0))-$E62+1))</f>
        <v>0</v>
      </c>
      <c r="AR62" s="57" t="n">
        <f aca="false">IF(OR(OR($B62="",$E62="",$F62=""),$L62&lt;&gt;"لا"),0,MAX(0,MIN($F62,EOMONTH(DATE(cfg_FY,11,1),0))-$E62+1))</f>
        <v>0</v>
      </c>
      <c r="AS62" s="57" t="n">
        <f aca="false">IF(OR(OR($B62="",$E62="",$F62=""),$L62&lt;&gt;"لا"),0,MAX(0,MIN($F62,EOMONTH(DATE(cfg_FY,12,1),0))-$E62+1))</f>
        <v>0</v>
      </c>
      <c r="AT62" s="57" t="n">
        <f aca="false">IF(OR(OR($B62="",$E62="",$F62=""),$K62&lt;&gt;"نعم",$M62="نعم"),0,MAX(0,MIN($F62,EOMONTH(DATE(cfg_FY,1,1),0))-MAX($E62,DATE(cfg_FY,1,1))+1))</f>
        <v>0</v>
      </c>
      <c r="AU62" s="57" t="n">
        <f aca="false">IF(OR(OR($B62="",$E62="",$F62=""),$K62&lt;&gt;"نعم",$M62="نعم"),0,MAX(0,MIN($F62,EOMONTH(DATE(cfg_FY,2,1),0))-MAX($E62,DATE(cfg_FY,2,1))+1))</f>
        <v>0</v>
      </c>
      <c r="AV62" s="57" t="n">
        <f aca="false">IF(OR(OR($B62="",$E62="",$F62=""),$K62&lt;&gt;"نعم",$M62="نعم"),0,MAX(0,MIN($F62,EOMONTH(DATE(cfg_FY,3,1),0))-MAX($E62,DATE(cfg_FY,3,1))+1))</f>
        <v>0</v>
      </c>
      <c r="AW62" s="57" t="n">
        <f aca="false">IF(OR(OR($B62="",$E62="",$F62=""),$K62&lt;&gt;"نعم",$M62="نعم"),0,MAX(0,MIN($F62,EOMONTH(DATE(cfg_FY,4,1),0))-MAX($E62,DATE(cfg_FY,4,1))+1))</f>
        <v>0</v>
      </c>
      <c r="AX62" s="57" t="n">
        <f aca="false">IF(OR(OR($B62="",$E62="",$F62=""),$K62&lt;&gt;"نعم",$M62="نعم"),0,MAX(0,MIN($F62,EOMONTH(DATE(cfg_FY,5,1),0))-MAX($E62,DATE(cfg_FY,5,1))+1))</f>
        <v>0</v>
      </c>
      <c r="AY62" s="57" t="n">
        <f aca="false">IF(OR(OR($B62="",$E62="",$F62=""),$K62&lt;&gt;"نعم",$M62="نعم"),0,MAX(0,MIN($F62,EOMONTH(DATE(cfg_FY,6,1),0))-MAX($E62,DATE(cfg_FY,6,1))+1))</f>
        <v>0</v>
      </c>
      <c r="AZ62" s="57" t="n">
        <f aca="false">IF(OR(OR($B62="",$E62="",$F62=""),$K62&lt;&gt;"نعم",$M62="نعم"),0,MAX(0,MIN($F62,EOMONTH(DATE(cfg_FY,7,1),0))-MAX($E62,DATE(cfg_FY,7,1))+1))</f>
        <v>0</v>
      </c>
      <c r="BA62" s="57" t="n">
        <f aca="false">IF(OR(OR($B62="",$E62="",$F62=""),$K62&lt;&gt;"نعم",$M62="نعم"),0,MAX(0,MIN($F62,EOMONTH(DATE(cfg_FY,8,1),0))-MAX($E62,DATE(cfg_FY,8,1))+1))</f>
        <v>0</v>
      </c>
      <c r="BB62" s="57" t="n">
        <f aca="false">IF(OR(OR($B62="",$E62="",$F62=""),$K62&lt;&gt;"نعم",$M62="نعم"),0,MAX(0,MIN($F62,EOMONTH(DATE(cfg_FY,9,1),0))-MAX($E62,DATE(cfg_FY,9,1))+1))</f>
        <v>0</v>
      </c>
      <c r="BC62" s="57" t="n">
        <f aca="false">IF(OR(OR($B62="",$E62="",$F62=""),$K62&lt;&gt;"نعم",$M62="نعم"),0,MAX(0,MIN($F62,EOMONTH(DATE(cfg_FY,10,1),0))-MAX($E62,DATE(cfg_FY,10,1))+1))</f>
        <v>0</v>
      </c>
      <c r="BD62" s="57" t="n">
        <f aca="false">IF(OR(OR($B62="",$E62="",$F62=""),$K62&lt;&gt;"نعم",$M62="نعم"),0,MAX(0,MIN($F62,EOMONTH(DATE(cfg_FY,11,1),0))-MAX($E62,DATE(cfg_FY,11,1))+1))</f>
        <v>0</v>
      </c>
      <c r="BE62" s="57" t="n">
        <f aca="false">IF(OR(OR($B62="",$E62="",$F62=""),$K62&lt;&gt;"نعم",$M62="نعم"),0,MAX(0,MIN($F62,EOMONTH(DATE(cfg_FY,12,1),0))-MAX($E62,DATE(cfg_FY,12,1))+1))</f>
        <v>0</v>
      </c>
    </row>
    <row r="63" customFormat="false" ht="15" hidden="false" customHeight="false" outlineLevel="0" collapsed="false">
      <c r="A63" s="100" t="str">
        <f aca="false">IF(B63="","",ROW()-5)</f>
        <v/>
      </c>
      <c r="B63" s="79"/>
      <c r="C63" s="102" t="str">
        <f aca="false">IF(B63="","",IFERROR(INDEX(الموظفون!$C$6:$C$105,MATCH(B63,الموظفون!$B$6:$B$105,0)),"✖ رقم غير موجود"))</f>
        <v/>
      </c>
      <c r="D63" s="79"/>
      <c r="E63" s="94"/>
      <c r="F63" s="94"/>
      <c r="G63" s="110" t="str">
        <f aca="false">IF(OR($B63="",$E63="",$F63=""),"",MAX(0,F63-E63+1))</f>
        <v/>
      </c>
      <c r="H63" s="111" t="str">
        <f aca="false">IF(D63="","",IFERROR(VLOOKUP(D63,cfg_LT,2,FALSE()),1))</f>
        <v/>
      </c>
      <c r="I63" s="82"/>
      <c r="J63" s="111" t="str">
        <f aca="false">IF(D63="","",IF(I63&lt;&gt;"",I63,H63))</f>
        <v/>
      </c>
      <c r="K63" s="102" t="str">
        <f aca="false">IF(D63="","",IFERROR(VLOOKUP($D63,cfg_LT,3,FALSE()),""))</f>
        <v/>
      </c>
      <c r="L63" s="102" t="str">
        <f aca="false">IF(D63="","",IFERROR(VLOOKUP($D63,cfg_LT,4,FALSE()),""))</f>
        <v/>
      </c>
      <c r="M63" s="102" t="str">
        <f aca="false">IF(D63="","",IFERROR(VLOOKUP($D63,cfg_LT,5,FALSE()),""))</f>
        <v/>
      </c>
      <c r="N63" s="101" t="n">
        <f aca="false">IF(OR(OR($B63="",$E63="",$F63=""),M63&lt;&gt;"نعم"),0,G63*J63*IFERROR(INDEX(الموظفون!$R$6:$R$105,MATCH(B63,الموظفون!$B$6:$B$105,0)),0)/cfg_DAYS_M)</f>
        <v>0</v>
      </c>
      <c r="O63" s="100" t="str">
        <f aca="false">IF(OR(OR($B63="",$E63="",$F63=""),M63&lt;&gt;"نعم"),"",IF(YEAR(E63)=cfg_FY,MONTH(E63),""))</f>
        <v/>
      </c>
      <c r="P63" s="102" t="str">
        <f aca="false">IF(B63="","",IF(OR(D63="",E63="",F63=""),"⚠ أكمل النوع والتواريخ",IF(F63&lt;E63,"✖ النهاية قبل البداية",IF(COUNTIFS($B$6:$B$505,B63,$E$6:$E$505,"&lt;="&amp;F63,$F$6:$F$505,"&gt;="&amp;E63)&gt;1,"⚠ تداخل مع سجل آخر",IF(E63&gt;cfg_VAL_DATE,"⏳ قادمة",IF(F63&lt;cfg_VAL_DATE,"✔ منتهية","✈ جارية في تاريخ التقرير"))))))</f>
        <v/>
      </c>
      <c r="Q63" s="79"/>
      <c r="R63" s="110" t="n">
        <f aca="false">IF(OR(OR($B63="",$E63="",$F63=""),L63&lt;&gt;"لا"),0,MAX(0,MIN(F63,cfg_Y_START-1)-E63+1))</f>
        <v>0</v>
      </c>
      <c r="S63" s="110" t="n">
        <f aca="false">IF(OR(OR($B63="",$E63="",$F63=""),L63&lt;&gt;"لا"),0,MAX(0,MIN(F63,cfg_VAL_DATE)-E63+1))</f>
        <v>0</v>
      </c>
      <c r="T63" s="110" t="n">
        <f aca="false">IF(OR(OR($B63="",$E63="",$F63=""),K63&lt;&gt;"نعم"),0,IF(M63="نعم",IF(AND(ISNUMBER(O63),N(O63)&lt;=cfg_VAL_M),G63,0),MAX(0,MIN(F63,cfg_VAL_DATE)-MAX(E63,cfg_Y_START)+1)))</f>
        <v>0</v>
      </c>
      <c r="V63" s="110" t="n">
        <f aca="false">IF(OR($B63="",$E63="",$F63=""),0,MAX(0,MIN($F63,EOMONTH(DATE(cfg_FY,1,1),0))-MAX($E63,DATE(cfg_FY,1,1))+1)*(1-IF($M63="نعم",0,N($J63))))</f>
        <v>0</v>
      </c>
      <c r="W63" s="110" t="n">
        <f aca="false">IF(OR($B63="",$E63="",$F63=""),0,MAX(0,MIN($F63,EOMONTH(DATE(cfg_FY,2,1),0))-MAX($E63,DATE(cfg_FY,2,1))+1)*(1-IF($M63="نعم",0,N($J63))))</f>
        <v>0</v>
      </c>
      <c r="X63" s="110" t="n">
        <f aca="false">IF(OR($B63="",$E63="",$F63=""),0,MAX(0,MIN($F63,EOMONTH(DATE(cfg_FY,3,1),0))-MAX($E63,DATE(cfg_FY,3,1))+1)*(1-IF($M63="نعم",0,N($J63))))</f>
        <v>0</v>
      </c>
      <c r="Y63" s="110" t="n">
        <f aca="false">IF(OR($B63="",$E63="",$F63=""),0,MAX(0,MIN($F63,EOMONTH(DATE(cfg_FY,4,1),0))-MAX($E63,DATE(cfg_FY,4,1))+1)*(1-IF($M63="نعم",0,N($J63))))</f>
        <v>0</v>
      </c>
      <c r="Z63" s="110" t="n">
        <f aca="false">IF(OR($B63="",$E63="",$F63=""),0,MAX(0,MIN($F63,EOMONTH(DATE(cfg_FY,5,1),0))-MAX($E63,DATE(cfg_FY,5,1))+1)*(1-IF($M63="نعم",0,N($J63))))</f>
        <v>0</v>
      </c>
      <c r="AA63" s="110" t="n">
        <f aca="false">IF(OR($B63="",$E63="",$F63=""),0,MAX(0,MIN($F63,EOMONTH(DATE(cfg_FY,6,1),0))-MAX($E63,DATE(cfg_FY,6,1))+1)*(1-IF($M63="نعم",0,N($J63))))</f>
        <v>0</v>
      </c>
      <c r="AB63" s="110" t="n">
        <f aca="false">IF(OR($B63="",$E63="",$F63=""),0,MAX(0,MIN($F63,EOMONTH(DATE(cfg_FY,7,1),0))-MAX($E63,DATE(cfg_FY,7,1))+1)*(1-IF($M63="نعم",0,N($J63))))</f>
        <v>0</v>
      </c>
      <c r="AC63" s="110" t="n">
        <f aca="false">IF(OR($B63="",$E63="",$F63=""),0,MAX(0,MIN($F63,EOMONTH(DATE(cfg_FY,8,1),0))-MAX($E63,DATE(cfg_FY,8,1))+1)*(1-IF($M63="نعم",0,N($J63))))</f>
        <v>0</v>
      </c>
      <c r="AD63" s="110" t="n">
        <f aca="false">IF(OR($B63="",$E63="",$F63=""),0,MAX(0,MIN($F63,EOMONTH(DATE(cfg_FY,9,1),0))-MAX($E63,DATE(cfg_FY,9,1))+1)*(1-IF($M63="نعم",0,N($J63))))</f>
        <v>0</v>
      </c>
      <c r="AE63" s="110" t="n">
        <f aca="false">IF(OR($B63="",$E63="",$F63=""),0,MAX(0,MIN($F63,EOMONTH(DATE(cfg_FY,10,1),0))-MAX($E63,DATE(cfg_FY,10,1))+1)*(1-IF($M63="نعم",0,N($J63))))</f>
        <v>0</v>
      </c>
      <c r="AF63" s="110" t="n">
        <f aca="false">IF(OR($B63="",$E63="",$F63=""),0,MAX(0,MIN($F63,EOMONTH(DATE(cfg_FY,11,1),0))-MAX($E63,DATE(cfg_FY,11,1))+1)*(1-IF($M63="نعم",0,N($J63))))</f>
        <v>0</v>
      </c>
      <c r="AG63" s="110" t="n">
        <f aca="false">IF(OR($B63="",$E63="",$F63=""),0,MAX(0,MIN($F63,EOMONTH(DATE(cfg_FY,12,1),0))-MAX($E63,DATE(cfg_FY,12,1))+1)*(1-IF($M63="نعم",0,N($J63))))</f>
        <v>0</v>
      </c>
      <c r="AH63" s="110" t="n">
        <f aca="false">IF(OR(OR($B63="",$E63="",$F63=""),$L63&lt;&gt;"لا"),0,MAX(0,MIN($F63,EOMONTH(DATE(cfg_FY,1,1),0))-$E63+1))</f>
        <v>0</v>
      </c>
      <c r="AI63" s="110" t="n">
        <f aca="false">IF(OR(OR($B63="",$E63="",$F63=""),$L63&lt;&gt;"لا"),0,MAX(0,MIN($F63,EOMONTH(DATE(cfg_FY,2,1),0))-$E63+1))</f>
        <v>0</v>
      </c>
      <c r="AJ63" s="110" t="n">
        <f aca="false">IF(OR(OR($B63="",$E63="",$F63=""),$L63&lt;&gt;"لا"),0,MAX(0,MIN($F63,EOMONTH(DATE(cfg_FY,3,1),0))-$E63+1))</f>
        <v>0</v>
      </c>
      <c r="AK63" s="110" t="n">
        <f aca="false">IF(OR(OR($B63="",$E63="",$F63=""),$L63&lt;&gt;"لا"),0,MAX(0,MIN($F63,EOMONTH(DATE(cfg_FY,4,1),0))-$E63+1))</f>
        <v>0</v>
      </c>
      <c r="AL63" s="110" t="n">
        <f aca="false">IF(OR(OR($B63="",$E63="",$F63=""),$L63&lt;&gt;"لا"),0,MAX(0,MIN($F63,EOMONTH(DATE(cfg_FY,5,1),0))-$E63+1))</f>
        <v>0</v>
      </c>
      <c r="AM63" s="110" t="n">
        <f aca="false">IF(OR(OR($B63="",$E63="",$F63=""),$L63&lt;&gt;"لا"),0,MAX(0,MIN($F63,EOMONTH(DATE(cfg_FY,6,1),0))-$E63+1))</f>
        <v>0</v>
      </c>
      <c r="AN63" s="110" t="n">
        <f aca="false">IF(OR(OR($B63="",$E63="",$F63=""),$L63&lt;&gt;"لا"),0,MAX(0,MIN($F63,EOMONTH(DATE(cfg_FY,7,1),0))-$E63+1))</f>
        <v>0</v>
      </c>
      <c r="AO63" s="110" t="n">
        <f aca="false">IF(OR(OR($B63="",$E63="",$F63=""),$L63&lt;&gt;"لا"),0,MAX(0,MIN($F63,EOMONTH(DATE(cfg_FY,8,1),0))-$E63+1))</f>
        <v>0</v>
      </c>
      <c r="AP63" s="110" t="n">
        <f aca="false">IF(OR(OR($B63="",$E63="",$F63=""),$L63&lt;&gt;"لا"),0,MAX(0,MIN($F63,EOMONTH(DATE(cfg_FY,9,1),0))-$E63+1))</f>
        <v>0</v>
      </c>
      <c r="AQ63" s="110" t="n">
        <f aca="false">IF(OR(OR($B63="",$E63="",$F63=""),$L63&lt;&gt;"لا"),0,MAX(0,MIN($F63,EOMONTH(DATE(cfg_FY,10,1),0))-$E63+1))</f>
        <v>0</v>
      </c>
      <c r="AR63" s="110" t="n">
        <f aca="false">IF(OR(OR($B63="",$E63="",$F63=""),$L63&lt;&gt;"لا"),0,MAX(0,MIN($F63,EOMONTH(DATE(cfg_FY,11,1),0))-$E63+1))</f>
        <v>0</v>
      </c>
      <c r="AS63" s="110" t="n">
        <f aca="false">IF(OR(OR($B63="",$E63="",$F63=""),$L63&lt;&gt;"لا"),0,MAX(0,MIN($F63,EOMONTH(DATE(cfg_FY,12,1),0))-$E63+1))</f>
        <v>0</v>
      </c>
      <c r="AT63" s="110" t="n">
        <f aca="false">IF(OR(OR($B63="",$E63="",$F63=""),$K63&lt;&gt;"نعم",$M63="نعم"),0,MAX(0,MIN($F63,EOMONTH(DATE(cfg_FY,1,1),0))-MAX($E63,DATE(cfg_FY,1,1))+1))</f>
        <v>0</v>
      </c>
      <c r="AU63" s="110" t="n">
        <f aca="false">IF(OR(OR($B63="",$E63="",$F63=""),$K63&lt;&gt;"نعم",$M63="نعم"),0,MAX(0,MIN($F63,EOMONTH(DATE(cfg_FY,2,1),0))-MAX($E63,DATE(cfg_FY,2,1))+1))</f>
        <v>0</v>
      </c>
      <c r="AV63" s="110" t="n">
        <f aca="false">IF(OR(OR($B63="",$E63="",$F63=""),$K63&lt;&gt;"نعم",$M63="نعم"),0,MAX(0,MIN($F63,EOMONTH(DATE(cfg_FY,3,1),0))-MAX($E63,DATE(cfg_FY,3,1))+1))</f>
        <v>0</v>
      </c>
      <c r="AW63" s="110" t="n">
        <f aca="false">IF(OR(OR($B63="",$E63="",$F63=""),$K63&lt;&gt;"نعم",$M63="نعم"),0,MAX(0,MIN($F63,EOMONTH(DATE(cfg_FY,4,1),0))-MAX($E63,DATE(cfg_FY,4,1))+1))</f>
        <v>0</v>
      </c>
      <c r="AX63" s="110" t="n">
        <f aca="false">IF(OR(OR($B63="",$E63="",$F63=""),$K63&lt;&gt;"نعم",$M63="نعم"),0,MAX(0,MIN($F63,EOMONTH(DATE(cfg_FY,5,1),0))-MAX($E63,DATE(cfg_FY,5,1))+1))</f>
        <v>0</v>
      </c>
      <c r="AY63" s="110" t="n">
        <f aca="false">IF(OR(OR($B63="",$E63="",$F63=""),$K63&lt;&gt;"نعم",$M63="نعم"),0,MAX(0,MIN($F63,EOMONTH(DATE(cfg_FY,6,1),0))-MAX($E63,DATE(cfg_FY,6,1))+1))</f>
        <v>0</v>
      </c>
      <c r="AZ63" s="110" t="n">
        <f aca="false">IF(OR(OR($B63="",$E63="",$F63=""),$K63&lt;&gt;"نعم",$M63="نعم"),0,MAX(0,MIN($F63,EOMONTH(DATE(cfg_FY,7,1),0))-MAX($E63,DATE(cfg_FY,7,1))+1))</f>
        <v>0</v>
      </c>
      <c r="BA63" s="110" t="n">
        <f aca="false">IF(OR(OR($B63="",$E63="",$F63=""),$K63&lt;&gt;"نعم",$M63="نعم"),0,MAX(0,MIN($F63,EOMONTH(DATE(cfg_FY,8,1),0))-MAX($E63,DATE(cfg_FY,8,1))+1))</f>
        <v>0</v>
      </c>
      <c r="BB63" s="110" t="n">
        <f aca="false">IF(OR(OR($B63="",$E63="",$F63=""),$K63&lt;&gt;"نعم",$M63="نعم"),0,MAX(0,MIN($F63,EOMONTH(DATE(cfg_FY,9,1),0))-MAX($E63,DATE(cfg_FY,9,1))+1))</f>
        <v>0</v>
      </c>
      <c r="BC63" s="110" t="n">
        <f aca="false">IF(OR(OR($B63="",$E63="",$F63=""),$K63&lt;&gt;"نعم",$M63="نعم"),0,MAX(0,MIN($F63,EOMONTH(DATE(cfg_FY,10,1),0))-MAX($E63,DATE(cfg_FY,10,1))+1))</f>
        <v>0</v>
      </c>
      <c r="BD63" s="110" t="n">
        <f aca="false">IF(OR(OR($B63="",$E63="",$F63=""),$K63&lt;&gt;"نعم",$M63="نعم"),0,MAX(0,MIN($F63,EOMONTH(DATE(cfg_FY,11,1),0))-MAX($E63,DATE(cfg_FY,11,1))+1))</f>
        <v>0</v>
      </c>
      <c r="BE63" s="110" t="n">
        <f aca="false">IF(OR(OR($B63="",$E63="",$F63=""),$K63&lt;&gt;"نعم",$M63="نعم"),0,MAX(0,MIN($F63,EOMONTH(DATE(cfg_FY,12,1),0))-MAX($E63,DATE(cfg_FY,12,1))+1))</f>
        <v>0</v>
      </c>
    </row>
    <row r="64" customFormat="false" ht="15" hidden="false" customHeight="false" outlineLevel="0" collapsed="false">
      <c r="A64" s="93" t="str">
        <f aca="false">IF(B64="","",ROW()-5)</f>
        <v/>
      </c>
      <c r="B64" s="79"/>
      <c r="C64" s="80" t="str">
        <f aca="false">IF(B64="","",IFERROR(INDEX(الموظفون!$C$6:$C$105,MATCH(B64,الموظفون!$B$6:$B$105,0)),"✖ رقم غير موجود"))</f>
        <v/>
      </c>
      <c r="D64" s="79"/>
      <c r="E64" s="94"/>
      <c r="F64" s="94"/>
      <c r="G64" s="57" t="str">
        <f aca="false">IF(OR($B64="",$E64="",$F64=""),"",MAX(0,F64-E64+1))</f>
        <v/>
      </c>
      <c r="H64" s="58" t="str">
        <f aca="false">IF(D64="","",IFERROR(VLOOKUP(D64,cfg_LT,2,FALSE()),1))</f>
        <v/>
      </c>
      <c r="I64" s="82"/>
      <c r="J64" s="58" t="str">
        <f aca="false">IF(D64="","",IF(I64&lt;&gt;"",I64,H64))</f>
        <v/>
      </c>
      <c r="K64" s="80" t="str">
        <f aca="false">IF(D64="","",IFERROR(VLOOKUP($D64,cfg_LT,3,FALSE()),""))</f>
        <v/>
      </c>
      <c r="L64" s="80" t="str">
        <f aca="false">IF(D64="","",IFERROR(VLOOKUP($D64,cfg_LT,4,FALSE()),""))</f>
        <v/>
      </c>
      <c r="M64" s="80" t="str">
        <f aca="false">IF(D64="","",IFERROR(VLOOKUP($D64,cfg_LT,5,FALSE()),""))</f>
        <v/>
      </c>
      <c r="N64" s="97" t="n">
        <f aca="false">IF(OR(OR($B64="",$E64="",$F64=""),M64&lt;&gt;"نعم"),0,G64*J64*IFERROR(INDEX(الموظفون!$R$6:$R$105,MATCH(B64,الموظفون!$B$6:$B$105,0)),0)/cfg_DAYS_M)</f>
        <v>0</v>
      </c>
      <c r="O64" s="93" t="str">
        <f aca="false">IF(OR(OR($B64="",$E64="",$F64=""),M64&lt;&gt;"نعم"),"",IF(YEAR(E64)=cfg_FY,MONTH(E64),""))</f>
        <v/>
      </c>
      <c r="P64" s="80" t="str">
        <f aca="false">IF(B64="","",IF(OR(D64="",E64="",F64=""),"⚠ أكمل النوع والتواريخ",IF(F64&lt;E64,"✖ النهاية قبل البداية",IF(COUNTIFS($B$6:$B$505,B64,$E$6:$E$505,"&lt;="&amp;F64,$F$6:$F$505,"&gt;="&amp;E64)&gt;1,"⚠ تداخل مع سجل آخر",IF(E64&gt;cfg_VAL_DATE,"⏳ قادمة",IF(F64&lt;cfg_VAL_DATE,"✔ منتهية","✈ جارية في تاريخ التقرير"))))))</f>
        <v/>
      </c>
      <c r="Q64" s="79"/>
      <c r="R64" s="57" t="n">
        <f aca="false">IF(OR(OR($B64="",$E64="",$F64=""),L64&lt;&gt;"لا"),0,MAX(0,MIN(F64,cfg_Y_START-1)-E64+1))</f>
        <v>0</v>
      </c>
      <c r="S64" s="57" t="n">
        <f aca="false">IF(OR(OR($B64="",$E64="",$F64=""),L64&lt;&gt;"لا"),0,MAX(0,MIN(F64,cfg_VAL_DATE)-E64+1))</f>
        <v>0</v>
      </c>
      <c r="T64" s="57" t="n">
        <f aca="false">IF(OR(OR($B64="",$E64="",$F64=""),K64&lt;&gt;"نعم"),0,IF(M64="نعم",IF(AND(ISNUMBER(O64),N(O64)&lt;=cfg_VAL_M),G64,0),MAX(0,MIN(F64,cfg_VAL_DATE)-MAX(E64,cfg_Y_START)+1)))</f>
        <v>0</v>
      </c>
      <c r="V64" s="57" t="n">
        <f aca="false">IF(OR($B64="",$E64="",$F64=""),0,MAX(0,MIN($F64,EOMONTH(DATE(cfg_FY,1,1),0))-MAX($E64,DATE(cfg_FY,1,1))+1)*(1-IF($M64="نعم",0,N($J64))))</f>
        <v>0</v>
      </c>
      <c r="W64" s="57" t="n">
        <f aca="false">IF(OR($B64="",$E64="",$F64=""),0,MAX(0,MIN($F64,EOMONTH(DATE(cfg_FY,2,1),0))-MAX($E64,DATE(cfg_FY,2,1))+1)*(1-IF($M64="نعم",0,N($J64))))</f>
        <v>0</v>
      </c>
      <c r="X64" s="57" t="n">
        <f aca="false">IF(OR($B64="",$E64="",$F64=""),0,MAX(0,MIN($F64,EOMONTH(DATE(cfg_FY,3,1),0))-MAX($E64,DATE(cfg_FY,3,1))+1)*(1-IF($M64="نعم",0,N($J64))))</f>
        <v>0</v>
      </c>
      <c r="Y64" s="57" t="n">
        <f aca="false">IF(OR($B64="",$E64="",$F64=""),0,MAX(0,MIN($F64,EOMONTH(DATE(cfg_FY,4,1),0))-MAX($E64,DATE(cfg_FY,4,1))+1)*(1-IF($M64="نعم",0,N($J64))))</f>
        <v>0</v>
      </c>
      <c r="Z64" s="57" t="n">
        <f aca="false">IF(OR($B64="",$E64="",$F64=""),0,MAX(0,MIN($F64,EOMONTH(DATE(cfg_FY,5,1),0))-MAX($E64,DATE(cfg_FY,5,1))+1)*(1-IF($M64="نعم",0,N($J64))))</f>
        <v>0</v>
      </c>
      <c r="AA64" s="57" t="n">
        <f aca="false">IF(OR($B64="",$E64="",$F64=""),0,MAX(0,MIN($F64,EOMONTH(DATE(cfg_FY,6,1),0))-MAX($E64,DATE(cfg_FY,6,1))+1)*(1-IF($M64="نعم",0,N($J64))))</f>
        <v>0</v>
      </c>
      <c r="AB64" s="57" t="n">
        <f aca="false">IF(OR($B64="",$E64="",$F64=""),0,MAX(0,MIN($F64,EOMONTH(DATE(cfg_FY,7,1),0))-MAX($E64,DATE(cfg_FY,7,1))+1)*(1-IF($M64="نعم",0,N($J64))))</f>
        <v>0</v>
      </c>
      <c r="AC64" s="57" t="n">
        <f aca="false">IF(OR($B64="",$E64="",$F64=""),0,MAX(0,MIN($F64,EOMONTH(DATE(cfg_FY,8,1),0))-MAX($E64,DATE(cfg_FY,8,1))+1)*(1-IF($M64="نعم",0,N($J64))))</f>
        <v>0</v>
      </c>
      <c r="AD64" s="57" t="n">
        <f aca="false">IF(OR($B64="",$E64="",$F64=""),0,MAX(0,MIN($F64,EOMONTH(DATE(cfg_FY,9,1),0))-MAX($E64,DATE(cfg_FY,9,1))+1)*(1-IF($M64="نعم",0,N($J64))))</f>
        <v>0</v>
      </c>
      <c r="AE64" s="57" t="n">
        <f aca="false">IF(OR($B64="",$E64="",$F64=""),0,MAX(0,MIN($F64,EOMONTH(DATE(cfg_FY,10,1),0))-MAX($E64,DATE(cfg_FY,10,1))+1)*(1-IF($M64="نعم",0,N($J64))))</f>
        <v>0</v>
      </c>
      <c r="AF64" s="57" t="n">
        <f aca="false">IF(OR($B64="",$E64="",$F64=""),0,MAX(0,MIN($F64,EOMONTH(DATE(cfg_FY,11,1),0))-MAX($E64,DATE(cfg_FY,11,1))+1)*(1-IF($M64="نعم",0,N($J64))))</f>
        <v>0</v>
      </c>
      <c r="AG64" s="57" t="n">
        <f aca="false">IF(OR($B64="",$E64="",$F64=""),0,MAX(0,MIN($F64,EOMONTH(DATE(cfg_FY,12,1),0))-MAX($E64,DATE(cfg_FY,12,1))+1)*(1-IF($M64="نعم",0,N($J64))))</f>
        <v>0</v>
      </c>
      <c r="AH64" s="57" t="n">
        <f aca="false">IF(OR(OR($B64="",$E64="",$F64=""),$L64&lt;&gt;"لا"),0,MAX(0,MIN($F64,EOMONTH(DATE(cfg_FY,1,1),0))-$E64+1))</f>
        <v>0</v>
      </c>
      <c r="AI64" s="57" t="n">
        <f aca="false">IF(OR(OR($B64="",$E64="",$F64=""),$L64&lt;&gt;"لا"),0,MAX(0,MIN($F64,EOMONTH(DATE(cfg_FY,2,1),0))-$E64+1))</f>
        <v>0</v>
      </c>
      <c r="AJ64" s="57" t="n">
        <f aca="false">IF(OR(OR($B64="",$E64="",$F64=""),$L64&lt;&gt;"لا"),0,MAX(0,MIN($F64,EOMONTH(DATE(cfg_FY,3,1),0))-$E64+1))</f>
        <v>0</v>
      </c>
      <c r="AK64" s="57" t="n">
        <f aca="false">IF(OR(OR($B64="",$E64="",$F64=""),$L64&lt;&gt;"لا"),0,MAX(0,MIN($F64,EOMONTH(DATE(cfg_FY,4,1),0))-$E64+1))</f>
        <v>0</v>
      </c>
      <c r="AL64" s="57" t="n">
        <f aca="false">IF(OR(OR($B64="",$E64="",$F64=""),$L64&lt;&gt;"لا"),0,MAX(0,MIN($F64,EOMONTH(DATE(cfg_FY,5,1),0))-$E64+1))</f>
        <v>0</v>
      </c>
      <c r="AM64" s="57" t="n">
        <f aca="false">IF(OR(OR($B64="",$E64="",$F64=""),$L64&lt;&gt;"لا"),0,MAX(0,MIN($F64,EOMONTH(DATE(cfg_FY,6,1),0))-$E64+1))</f>
        <v>0</v>
      </c>
      <c r="AN64" s="57" t="n">
        <f aca="false">IF(OR(OR($B64="",$E64="",$F64=""),$L64&lt;&gt;"لا"),0,MAX(0,MIN($F64,EOMONTH(DATE(cfg_FY,7,1),0))-$E64+1))</f>
        <v>0</v>
      </c>
      <c r="AO64" s="57" t="n">
        <f aca="false">IF(OR(OR($B64="",$E64="",$F64=""),$L64&lt;&gt;"لا"),0,MAX(0,MIN($F64,EOMONTH(DATE(cfg_FY,8,1),0))-$E64+1))</f>
        <v>0</v>
      </c>
      <c r="AP64" s="57" t="n">
        <f aca="false">IF(OR(OR($B64="",$E64="",$F64=""),$L64&lt;&gt;"لا"),0,MAX(0,MIN($F64,EOMONTH(DATE(cfg_FY,9,1),0))-$E64+1))</f>
        <v>0</v>
      </c>
      <c r="AQ64" s="57" t="n">
        <f aca="false">IF(OR(OR($B64="",$E64="",$F64=""),$L64&lt;&gt;"لا"),0,MAX(0,MIN($F64,EOMONTH(DATE(cfg_FY,10,1),0))-$E64+1))</f>
        <v>0</v>
      </c>
      <c r="AR64" s="57" t="n">
        <f aca="false">IF(OR(OR($B64="",$E64="",$F64=""),$L64&lt;&gt;"لا"),0,MAX(0,MIN($F64,EOMONTH(DATE(cfg_FY,11,1),0))-$E64+1))</f>
        <v>0</v>
      </c>
      <c r="AS64" s="57" t="n">
        <f aca="false">IF(OR(OR($B64="",$E64="",$F64=""),$L64&lt;&gt;"لا"),0,MAX(0,MIN($F64,EOMONTH(DATE(cfg_FY,12,1),0))-$E64+1))</f>
        <v>0</v>
      </c>
      <c r="AT64" s="57" t="n">
        <f aca="false">IF(OR(OR($B64="",$E64="",$F64=""),$K64&lt;&gt;"نعم",$M64="نعم"),0,MAX(0,MIN($F64,EOMONTH(DATE(cfg_FY,1,1),0))-MAX($E64,DATE(cfg_FY,1,1))+1))</f>
        <v>0</v>
      </c>
      <c r="AU64" s="57" t="n">
        <f aca="false">IF(OR(OR($B64="",$E64="",$F64=""),$K64&lt;&gt;"نعم",$M64="نعم"),0,MAX(0,MIN($F64,EOMONTH(DATE(cfg_FY,2,1),0))-MAX($E64,DATE(cfg_FY,2,1))+1))</f>
        <v>0</v>
      </c>
      <c r="AV64" s="57" t="n">
        <f aca="false">IF(OR(OR($B64="",$E64="",$F64=""),$K64&lt;&gt;"نعم",$M64="نعم"),0,MAX(0,MIN($F64,EOMONTH(DATE(cfg_FY,3,1),0))-MAX($E64,DATE(cfg_FY,3,1))+1))</f>
        <v>0</v>
      </c>
      <c r="AW64" s="57" t="n">
        <f aca="false">IF(OR(OR($B64="",$E64="",$F64=""),$K64&lt;&gt;"نعم",$M64="نعم"),0,MAX(0,MIN($F64,EOMONTH(DATE(cfg_FY,4,1),0))-MAX($E64,DATE(cfg_FY,4,1))+1))</f>
        <v>0</v>
      </c>
      <c r="AX64" s="57" t="n">
        <f aca="false">IF(OR(OR($B64="",$E64="",$F64=""),$K64&lt;&gt;"نعم",$M64="نعم"),0,MAX(0,MIN($F64,EOMONTH(DATE(cfg_FY,5,1),0))-MAX($E64,DATE(cfg_FY,5,1))+1))</f>
        <v>0</v>
      </c>
      <c r="AY64" s="57" t="n">
        <f aca="false">IF(OR(OR($B64="",$E64="",$F64=""),$K64&lt;&gt;"نعم",$M64="نعم"),0,MAX(0,MIN($F64,EOMONTH(DATE(cfg_FY,6,1),0))-MAX($E64,DATE(cfg_FY,6,1))+1))</f>
        <v>0</v>
      </c>
      <c r="AZ64" s="57" t="n">
        <f aca="false">IF(OR(OR($B64="",$E64="",$F64=""),$K64&lt;&gt;"نعم",$M64="نعم"),0,MAX(0,MIN($F64,EOMONTH(DATE(cfg_FY,7,1),0))-MAX($E64,DATE(cfg_FY,7,1))+1))</f>
        <v>0</v>
      </c>
      <c r="BA64" s="57" t="n">
        <f aca="false">IF(OR(OR($B64="",$E64="",$F64=""),$K64&lt;&gt;"نعم",$M64="نعم"),0,MAX(0,MIN($F64,EOMONTH(DATE(cfg_FY,8,1),0))-MAX($E64,DATE(cfg_FY,8,1))+1))</f>
        <v>0</v>
      </c>
      <c r="BB64" s="57" t="n">
        <f aca="false">IF(OR(OR($B64="",$E64="",$F64=""),$K64&lt;&gt;"نعم",$M64="نعم"),0,MAX(0,MIN($F64,EOMONTH(DATE(cfg_FY,9,1),0))-MAX($E64,DATE(cfg_FY,9,1))+1))</f>
        <v>0</v>
      </c>
      <c r="BC64" s="57" t="n">
        <f aca="false">IF(OR(OR($B64="",$E64="",$F64=""),$K64&lt;&gt;"نعم",$M64="نعم"),0,MAX(0,MIN($F64,EOMONTH(DATE(cfg_FY,10,1),0))-MAX($E64,DATE(cfg_FY,10,1))+1))</f>
        <v>0</v>
      </c>
      <c r="BD64" s="57" t="n">
        <f aca="false">IF(OR(OR($B64="",$E64="",$F64=""),$K64&lt;&gt;"نعم",$M64="نعم"),0,MAX(0,MIN($F64,EOMONTH(DATE(cfg_FY,11,1),0))-MAX($E64,DATE(cfg_FY,11,1))+1))</f>
        <v>0</v>
      </c>
      <c r="BE64" s="57" t="n">
        <f aca="false">IF(OR(OR($B64="",$E64="",$F64=""),$K64&lt;&gt;"نعم",$M64="نعم"),0,MAX(0,MIN($F64,EOMONTH(DATE(cfg_FY,12,1),0))-MAX($E64,DATE(cfg_FY,12,1))+1))</f>
        <v>0</v>
      </c>
    </row>
    <row r="65" customFormat="false" ht="15" hidden="false" customHeight="false" outlineLevel="0" collapsed="false">
      <c r="A65" s="100" t="str">
        <f aca="false">IF(B65="","",ROW()-5)</f>
        <v/>
      </c>
      <c r="B65" s="79"/>
      <c r="C65" s="102" t="str">
        <f aca="false">IF(B65="","",IFERROR(INDEX(الموظفون!$C$6:$C$105,MATCH(B65,الموظفون!$B$6:$B$105,0)),"✖ رقم غير موجود"))</f>
        <v/>
      </c>
      <c r="D65" s="79"/>
      <c r="E65" s="94"/>
      <c r="F65" s="94"/>
      <c r="G65" s="110" t="str">
        <f aca="false">IF(OR($B65="",$E65="",$F65=""),"",MAX(0,F65-E65+1))</f>
        <v/>
      </c>
      <c r="H65" s="111" t="str">
        <f aca="false">IF(D65="","",IFERROR(VLOOKUP(D65,cfg_LT,2,FALSE()),1))</f>
        <v/>
      </c>
      <c r="I65" s="82"/>
      <c r="J65" s="111" t="str">
        <f aca="false">IF(D65="","",IF(I65&lt;&gt;"",I65,H65))</f>
        <v/>
      </c>
      <c r="K65" s="102" t="str">
        <f aca="false">IF(D65="","",IFERROR(VLOOKUP($D65,cfg_LT,3,FALSE()),""))</f>
        <v/>
      </c>
      <c r="L65" s="102" t="str">
        <f aca="false">IF(D65="","",IFERROR(VLOOKUP($D65,cfg_LT,4,FALSE()),""))</f>
        <v/>
      </c>
      <c r="M65" s="102" t="str">
        <f aca="false">IF(D65="","",IFERROR(VLOOKUP($D65,cfg_LT,5,FALSE()),""))</f>
        <v/>
      </c>
      <c r="N65" s="101" t="n">
        <f aca="false">IF(OR(OR($B65="",$E65="",$F65=""),M65&lt;&gt;"نعم"),0,G65*J65*IFERROR(INDEX(الموظفون!$R$6:$R$105,MATCH(B65,الموظفون!$B$6:$B$105,0)),0)/cfg_DAYS_M)</f>
        <v>0</v>
      </c>
      <c r="O65" s="100" t="str">
        <f aca="false">IF(OR(OR($B65="",$E65="",$F65=""),M65&lt;&gt;"نعم"),"",IF(YEAR(E65)=cfg_FY,MONTH(E65),""))</f>
        <v/>
      </c>
      <c r="P65" s="102" t="str">
        <f aca="false">IF(B65="","",IF(OR(D65="",E65="",F65=""),"⚠ أكمل النوع والتواريخ",IF(F65&lt;E65,"✖ النهاية قبل البداية",IF(COUNTIFS($B$6:$B$505,B65,$E$6:$E$505,"&lt;="&amp;F65,$F$6:$F$505,"&gt;="&amp;E65)&gt;1,"⚠ تداخل مع سجل آخر",IF(E65&gt;cfg_VAL_DATE,"⏳ قادمة",IF(F65&lt;cfg_VAL_DATE,"✔ منتهية","✈ جارية في تاريخ التقرير"))))))</f>
        <v/>
      </c>
      <c r="Q65" s="79"/>
      <c r="R65" s="110" t="n">
        <f aca="false">IF(OR(OR($B65="",$E65="",$F65=""),L65&lt;&gt;"لا"),0,MAX(0,MIN(F65,cfg_Y_START-1)-E65+1))</f>
        <v>0</v>
      </c>
      <c r="S65" s="110" t="n">
        <f aca="false">IF(OR(OR($B65="",$E65="",$F65=""),L65&lt;&gt;"لا"),0,MAX(0,MIN(F65,cfg_VAL_DATE)-E65+1))</f>
        <v>0</v>
      </c>
      <c r="T65" s="110" t="n">
        <f aca="false">IF(OR(OR($B65="",$E65="",$F65=""),K65&lt;&gt;"نعم"),0,IF(M65="نعم",IF(AND(ISNUMBER(O65),N(O65)&lt;=cfg_VAL_M),G65,0),MAX(0,MIN(F65,cfg_VAL_DATE)-MAX(E65,cfg_Y_START)+1)))</f>
        <v>0</v>
      </c>
      <c r="V65" s="110" t="n">
        <f aca="false">IF(OR($B65="",$E65="",$F65=""),0,MAX(0,MIN($F65,EOMONTH(DATE(cfg_FY,1,1),0))-MAX($E65,DATE(cfg_FY,1,1))+1)*(1-IF($M65="نعم",0,N($J65))))</f>
        <v>0</v>
      </c>
      <c r="W65" s="110" t="n">
        <f aca="false">IF(OR($B65="",$E65="",$F65=""),0,MAX(0,MIN($F65,EOMONTH(DATE(cfg_FY,2,1),0))-MAX($E65,DATE(cfg_FY,2,1))+1)*(1-IF($M65="نعم",0,N($J65))))</f>
        <v>0</v>
      </c>
      <c r="X65" s="110" t="n">
        <f aca="false">IF(OR($B65="",$E65="",$F65=""),0,MAX(0,MIN($F65,EOMONTH(DATE(cfg_FY,3,1),0))-MAX($E65,DATE(cfg_FY,3,1))+1)*(1-IF($M65="نعم",0,N($J65))))</f>
        <v>0</v>
      </c>
      <c r="Y65" s="110" t="n">
        <f aca="false">IF(OR($B65="",$E65="",$F65=""),0,MAX(0,MIN($F65,EOMONTH(DATE(cfg_FY,4,1),0))-MAX($E65,DATE(cfg_FY,4,1))+1)*(1-IF($M65="نعم",0,N($J65))))</f>
        <v>0</v>
      </c>
      <c r="Z65" s="110" t="n">
        <f aca="false">IF(OR($B65="",$E65="",$F65=""),0,MAX(0,MIN($F65,EOMONTH(DATE(cfg_FY,5,1),0))-MAX($E65,DATE(cfg_FY,5,1))+1)*(1-IF($M65="نعم",0,N($J65))))</f>
        <v>0</v>
      </c>
      <c r="AA65" s="110" t="n">
        <f aca="false">IF(OR($B65="",$E65="",$F65=""),0,MAX(0,MIN($F65,EOMONTH(DATE(cfg_FY,6,1),0))-MAX($E65,DATE(cfg_FY,6,1))+1)*(1-IF($M65="نعم",0,N($J65))))</f>
        <v>0</v>
      </c>
      <c r="AB65" s="110" t="n">
        <f aca="false">IF(OR($B65="",$E65="",$F65=""),0,MAX(0,MIN($F65,EOMONTH(DATE(cfg_FY,7,1),0))-MAX($E65,DATE(cfg_FY,7,1))+1)*(1-IF($M65="نعم",0,N($J65))))</f>
        <v>0</v>
      </c>
      <c r="AC65" s="110" t="n">
        <f aca="false">IF(OR($B65="",$E65="",$F65=""),0,MAX(0,MIN($F65,EOMONTH(DATE(cfg_FY,8,1),0))-MAX($E65,DATE(cfg_FY,8,1))+1)*(1-IF($M65="نعم",0,N($J65))))</f>
        <v>0</v>
      </c>
      <c r="AD65" s="110" t="n">
        <f aca="false">IF(OR($B65="",$E65="",$F65=""),0,MAX(0,MIN($F65,EOMONTH(DATE(cfg_FY,9,1),0))-MAX($E65,DATE(cfg_FY,9,1))+1)*(1-IF($M65="نعم",0,N($J65))))</f>
        <v>0</v>
      </c>
      <c r="AE65" s="110" t="n">
        <f aca="false">IF(OR($B65="",$E65="",$F65=""),0,MAX(0,MIN($F65,EOMONTH(DATE(cfg_FY,10,1),0))-MAX($E65,DATE(cfg_FY,10,1))+1)*(1-IF($M65="نعم",0,N($J65))))</f>
        <v>0</v>
      </c>
      <c r="AF65" s="110" t="n">
        <f aca="false">IF(OR($B65="",$E65="",$F65=""),0,MAX(0,MIN($F65,EOMONTH(DATE(cfg_FY,11,1),0))-MAX($E65,DATE(cfg_FY,11,1))+1)*(1-IF($M65="نعم",0,N($J65))))</f>
        <v>0</v>
      </c>
      <c r="AG65" s="110" t="n">
        <f aca="false">IF(OR($B65="",$E65="",$F65=""),0,MAX(0,MIN($F65,EOMONTH(DATE(cfg_FY,12,1),0))-MAX($E65,DATE(cfg_FY,12,1))+1)*(1-IF($M65="نعم",0,N($J65))))</f>
        <v>0</v>
      </c>
      <c r="AH65" s="110" t="n">
        <f aca="false">IF(OR(OR($B65="",$E65="",$F65=""),$L65&lt;&gt;"لا"),0,MAX(0,MIN($F65,EOMONTH(DATE(cfg_FY,1,1),0))-$E65+1))</f>
        <v>0</v>
      </c>
      <c r="AI65" s="110" t="n">
        <f aca="false">IF(OR(OR($B65="",$E65="",$F65=""),$L65&lt;&gt;"لا"),0,MAX(0,MIN($F65,EOMONTH(DATE(cfg_FY,2,1),0))-$E65+1))</f>
        <v>0</v>
      </c>
      <c r="AJ65" s="110" t="n">
        <f aca="false">IF(OR(OR($B65="",$E65="",$F65=""),$L65&lt;&gt;"لا"),0,MAX(0,MIN($F65,EOMONTH(DATE(cfg_FY,3,1),0))-$E65+1))</f>
        <v>0</v>
      </c>
      <c r="AK65" s="110" t="n">
        <f aca="false">IF(OR(OR($B65="",$E65="",$F65=""),$L65&lt;&gt;"لا"),0,MAX(0,MIN($F65,EOMONTH(DATE(cfg_FY,4,1),0))-$E65+1))</f>
        <v>0</v>
      </c>
      <c r="AL65" s="110" t="n">
        <f aca="false">IF(OR(OR($B65="",$E65="",$F65=""),$L65&lt;&gt;"لا"),0,MAX(0,MIN($F65,EOMONTH(DATE(cfg_FY,5,1),0))-$E65+1))</f>
        <v>0</v>
      </c>
      <c r="AM65" s="110" t="n">
        <f aca="false">IF(OR(OR($B65="",$E65="",$F65=""),$L65&lt;&gt;"لا"),0,MAX(0,MIN($F65,EOMONTH(DATE(cfg_FY,6,1),0))-$E65+1))</f>
        <v>0</v>
      </c>
      <c r="AN65" s="110" t="n">
        <f aca="false">IF(OR(OR($B65="",$E65="",$F65=""),$L65&lt;&gt;"لا"),0,MAX(0,MIN($F65,EOMONTH(DATE(cfg_FY,7,1),0))-$E65+1))</f>
        <v>0</v>
      </c>
      <c r="AO65" s="110" t="n">
        <f aca="false">IF(OR(OR($B65="",$E65="",$F65=""),$L65&lt;&gt;"لا"),0,MAX(0,MIN($F65,EOMONTH(DATE(cfg_FY,8,1),0))-$E65+1))</f>
        <v>0</v>
      </c>
      <c r="AP65" s="110" t="n">
        <f aca="false">IF(OR(OR($B65="",$E65="",$F65=""),$L65&lt;&gt;"لا"),0,MAX(0,MIN($F65,EOMONTH(DATE(cfg_FY,9,1),0))-$E65+1))</f>
        <v>0</v>
      </c>
      <c r="AQ65" s="110" t="n">
        <f aca="false">IF(OR(OR($B65="",$E65="",$F65=""),$L65&lt;&gt;"لا"),0,MAX(0,MIN($F65,EOMONTH(DATE(cfg_FY,10,1),0))-$E65+1))</f>
        <v>0</v>
      </c>
      <c r="AR65" s="110" t="n">
        <f aca="false">IF(OR(OR($B65="",$E65="",$F65=""),$L65&lt;&gt;"لا"),0,MAX(0,MIN($F65,EOMONTH(DATE(cfg_FY,11,1),0))-$E65+1))</f>
        <v>0</v>
      </c>
      <c r="AS65" s="110" t="n">
        <f aca="false">IF(OR(OR($B65="",$E65="",$F65=""),$L65&lt;&gt;"لا"),0,MAX(0,MIN($F65,EOMONTH(DATE(cfg_FY,12,1),0))-$E65+1))</f>
        <v>0</v>
      </c>
      <c r="AT65" s="110" t="n">
        <f aca="false">IF(OR(OR($B65="",$E65="",$F65=""),$K65&lt;&gt;"نعم",$M65="نعم"),0,MAX(0,MIN($F65,EOMONTH(DATE(cfg_FY,1,1),0))-MAX($E65,DATE(cfg_FY,1,1))+1))</f>
        <v>0</v>
      </c>
      <c r="AU65" s="110" t="n">
        <f aca="false">IF(OR(OR($B65="",$E65="",$F65=""),$K65&lt;&gt;"نعم",$M65="نعم"),0,MAX(0,MIN($F65,EOMONTH(DATE(cfg_FY,2,1),0))-MAX($E65,DATE(cfg_FY,2,1))+1))</f>
        <v>0</v>
      </c>
      <c r="AV65" s="110" t="n">
        <f aca="false">IF(OR(OR($B65="",$E65="",$F65=""),$K65&lt;&gt;"نعم",$M65="نعم"),0,MAX(0,MIN($F65,EOMONTH(DATE(cfg_FY,3,1),0))-MAX($E65,DATE(cfg_FY,3,1))+1))</f>
        <v>0</v>
      </c>
      <c r="AW65" s="110" t="n">
        <f aca="false">IF(OR(OR($B65="",$E65="",$F65=""),$K65&lt;&gt;"نعم",$M65="نعم"),0,MAX(0,MIN($F65,EOMONTH(DATE(cfg_FY,4,1),0))-MAX($E65,DATE(cfg_FY,4,1))+1))</f>
        <v>0</v>
      </c>
      <c r="AX65" s="110" t="n">
        <f aca="false">IF(OR(OR($B65="",$E65="",$F65=""),$K65&lt;&gt;"نعم",$M65="نعم"),0,MAX(0,MIN($F65,EOMONTH(DATE(cfg_FY,5,1),0))-MAX($E65,DATE(cfg_FY,5,1))+1))</f>
        <v>0</v>
      </c>
      <c r="AY65" s="110" t="n">
        <f aca="false">IF(OR(OR($B65="",$E65="",$F65=""),$K65&lt;&gt;"نعم",$M65="نعم"),0,MAX(0,MIN($F65,EOMONTH(DATE(cfg_FY,6,1),0))-MAX($E65,DATE(cfg_FY,6,1))+1))</f>
        <v>0</v>
      </c>
      <c r="AZ65" s="110" t="n">
        <f aca="false">IF(OR(OR($B65="",$E65="",$F65=""),$K65&lt;&gt;"نعم",$M65="نعم"),0,MAX(0,MIN($F65,EOMONTH(DATE(cfg_FY,7,1),0))-MAX($E65,DATE(cfg_FY,7,1))+1))</f>
        <v>0</v>
      </c>
      <c r="BA65" s="110" t="n">
        <f aca="false">IF(OR(OR($B65="",$E65="",$F65=""),$K65&lt;&gt;"نعم",$M65="نعم"),0,MAX(0,MIN($F65,EOMONTH(DATE(cfg_FY,8,1),0))-MAX($E65,DATE(cfg_FY,8,1))+1))</f>
        <v>0</v>
      </c>
      <c r="BB65" s="110" t="n">
        <f aca="false">IF(OR(OR($B65="",$E65="",$F65=""),$K65&lt;&gt;"نعم",$M65="نعم"),0,MAX(0,MIN($F65,EOMONTH(DATE(cfg_FY,9,1),0))-MAX($E65,DATE(cfg_FY,9,1))+1))</f>
        <v>0</v>
      </c>
      <c r="BC65" s="110" t="n">
        <f aca="false">IF(OR(OR($B65="",$E65="",$F65=""),$K65&lt;&gt;"نعم",$M65="نعم"),0,MAX(0,MIN($F65,EOMONTH(DATE(cfg_FY,10,1),0))-MAX($E65,DATE(cfg_FY,10,1))+1))</f>
        <v>0</v>
      </c>
      <c r="BD65" s="110" t="n">
        <f aca="false">IF(OR(OR($B65="",$E65="",$F65=""),$K65&lt;&gt;"نعم",$M65="نعم"),0,MAX(0,MIN($F65,EOMONTH(DATE(cfg_FY,11,1),0))-MAX($E65,DATE(cfg_FY,11,1))+1))</f>
        <v>0</v>
      </c>
      <c r="BE65" s="110" t="n">
        <f aca="false">IF(OR(OR($B65="",$E65="",$F65=""),$K65&lt;&gt;"نعم",$M65="نعم"),0,MAX(0,MIN($F65,EOMONTH(DATE(cfg_FY,12,1),0))-MAX($E65,DATE(cfg_FY,12,1))+1))</f>
        <v>0</v>
      </c>
    </row>
    <row r="66" customFormat="false" ht="15" hidden="false" customHeight="false" outlineLevel="0" collapsed="false">
      <c r="A66" s="93" t="str">
        <f aca="false">IF(B66="","",ROW()-5)</f>
        <v/>
      </c>
      <c r="B66" s="79"/>
      <c r="C66" s="80" t="str">
        <f aca="false">IF(B66="","",IFERROR(INDEX(الموظفون!$C$6:$C$105,MATCH(B66,الموظفون!$B$6:$B$105,0)),"✖ رقم غير موجود"))</f>
        <v/>
      </c>
      <c r="D66" s="79"/>
      <c r="E66" s="94"/>
      <c r="F66" s="94"/>
      <c r="G66" s="57" t="str">
        <f aca="false">IF(OR($B66="",$E66="",$F66=""),"",MAX(0,F66-E66+1))</f>
        <v/>
      </c>
      <c r="H66" s="58" t="str">
        <f aca="false">IF(D66="","",IFERROR(VLOOKUP(D66,cfg_LT,2,FALSE()),1))</f>
        <v/>
      </c>
      <c r="I66" s="82"/>
      <c r="J66" s="58" t="str">
        <f aca="false">IF(D66="","",IF(I66&lt;&gt;"",I66,H66))</f>
        <v/>
      </c>
      <c r="K66" s="80" t="str">
        <f aca="false">IF(D66="","",IFERROR(VLOOKUP($D66,cfg_LT,3,FALSE()),""))</f>
        <v/>
      </c>
      <c r="L66" s="80" t="str">
        <f aca="false">IF(D66="","",IFERROR(VLOOKUP($D66,cfg_LT,4,FALSE()),""))</f>
        <v/>
      </c>
      <c r="M66" s="80" t="str">
        <f aca="false">IF(D66="","",IFERROR(VLOOKUP($D66,cfg_LT,5,FALSE()),""))</f>
        <v/>
      </c>
      <c r="N66" s="97" t="n">
        <f aca="false">IF(OR(OR($B66="",$E66="",$F66=""),M66&lt;&gt;"نعم"),0,G66*J66*IFERROR(INDEX(الموظفون!$R$6:$R$105,MATCH(B66,الموظفون!$B$6:$B$105,0)),0)/cfg_DAYS_M)</f>
        <v>0</v>
      </c>
      <c r="O66" s="93" t="str">
        <f aca="false">IF(OR(OR($B66="",$E66="",$F66=""),M66&lt;&gt;"نعم"),"",IF(YEAR(E66)=cfg_FY,MONTH(E66),""))</f>
        <v/>
      </c>
      <c r="P66" s="80" t="str">
        <f aca="false">IF(B66="","",IF(OR(D66="",E66="",F66=""),"⚠ أكمل النوع والتواريخ",IF(F66&lt;E66,"✖ النهاية قبل البداية",IF(COUNTIFS($B$6:$B$505,B66,$E$6:$E$505,"&lt;="&amp;F66,$F$6:$F$505,"&gt;="&amp;E66)&gt;1,"⚠ تداخل مع سجل آخر",IF(E66&gt;cfg_VAL_DATE,"⏳ قادمة",IF(F66&lt;cfg_VAL_DATE,"✔ منتهية","✈ جارية في تاريخ التقرير"))))))</f>
        <v/>
      </c>
      <c r="Q66" s="79"/>
      <c r="R66" s="57" t="n">
        <f aca="false">IF(OR(OR($B66="",$E66="",$F66=""),L66&lt;&gt;"لا"),0,MAX(0,MIN(F66,cfg_Y_START-1)-E66+1))</f>
        <v>0</v>
      </c>
      <c r="S66" s="57" t="n">
        <f aca="false">IF(OR(OR($B66="",$E66="",$F66=""),L66&lt;&gt;"لا"),0,MAX(0,MIN(F66,cfg_VAL_DATE)-E66+1))</f>
        <v>0</v>
      </c>
      <c r="T66" s="57" t="n">
        <f aca="false">IF(OR(OR($B66="",$E66="",$F66=""),K66&lt;&gt;"نعم"),0,IF(M66="نعم",IF(AND(ISNUMBER(O66),N(O66)&lt;=cfg_VAL_M),G66,0),MAX(0,MIN(F66,cfg_VAL_DATE)-MAX(E66,cfg_Y_START)+1)))</f>
        <v>0</v>
      </c>
      <c r="V66" s="57" t="n">
        <f aca="false">IF(OR($B66="",$E66="",$F66=""),0,MAX(0,MIN($F66,EOMONTH(DATE(cfg_FY,1,1),0))-MAX($E66,DATE(cfg_FY,1,1))+1)*(1-IF($M66="نعم",0,N($J66))))</f>
        <v>0</v>
      </c>
      <c r="W66" s="57" t="n">
        <f aca="false">IF(OR($B66="",$E66="",$F66=""),0,MAX(0,MIN($F66,EOMONTH(DATE(cfg_FY,2,1),0))-MAX($E66,DATE(cfg_FY,2,1))+1)*(1-IF($M66="نعم",0,N($J66))))</f>
        <v>0</v>
      </c>
      <c r="X66" s="57" t="n">
        <f aca="false">IF(OR($B66="",$E66="",$F66=""),0,MAX(0,MIN($F66,EOMONTH(DATE(cfg_FY,3,1),0))-MAX($E66,DATE(cfg_FY,3,1))+1)*(1-IF($M66="نعم",0,N($J66))))</f>
        <v>0</v>
      </c>
      <c r="Y66" s="57" t="n">
        <f aca="false">IF(OR($B66="",$E66="",$F66=""),0,MAX(0,MIN($F66,EOMONTH(DATE(cfg_FY,4,1),0))-MAX($E66,DATE(cfg_FY,4,1))+1)*(1-IF($M66="نعم",0,N($J66))))</f>
        <v>0</v>
      </c>
      <c r="Z66" s="57" t="n">
        <f aca="false">IF(OR($B66="",$E66="",$F66=""),0,MAX(0,MIN($F66,EOMONTH(DATE(cfg_FY,5,1),0))-MAX($E66,DATE(cfg_FY,5,1))+1)*(1-IF($M66="نعم",0,N($J66))))</f>
        <v>0</v>
      </c>
      <c r="AA66" s="57" t="n">
        <f aca="false">IF(OR($B66="",$E66="",$F66=""),0,MAX(0,MIN($F66,EOMONTH(DATE(cfg_FY,6,1),0))-MAX($E66,DATE(cfg_FY,6,1))+1)*(1-IF($M66="نعم",0,N($J66))))</f>
        <v>0</v>
      </c>
      <c r="AB66" s="57" t="n">
        <f aca="false">IF(OR($B66="",$E66="",$F66=""),0,MAX(0,MIN($F66,EOMONTH(DATE(cfg_FY,7,1),0))-MAX($E66,DATE(cfg_FY,7,1))+1)*(1-IF($M66="نعم",0,N($J66))))</f>
        <v>0</v>
      </c>
      <c r="AC66" s="57" t="n">
        <f aca="false">IF(OR($B66="",$E66="",$F66=""),0,MAX(0,MIN($F66,EOMONTH(DATE(cfg_FY,8,1),0))-MAX($E66,DATE(cfg_FY,8,1))+1)*(1-IF($M66="نعم",0,N($J66))))</f>
        <v>0</v>
      </c>
      <c r="AD66" s="57" t="n">
        <f aca="false">IF(OR($B66="",$E66="",$F66=""),0,MAX(0,MIN($F66,EOMONTH(DATE(cfg_FY,9,1),0))-MAX($E66,DATE(cfg_FY,9,1))+1)*(1-IF($M66="نعم",0,N($J66))))</f>
        <v>0</v>
      </c>
      <c r="AE66" s="57" t="n">
        <f aca="false">IF(OR($B66="",$E66="",$F66=""),0,MAX(0,MIN($F66,EOMONTH(DATE(cfg_FY,10,1),0))-MAX($E66,DATE(cfg_FY,10,1))+1)*(1-IF($M66="نعم",0,N($J66))))</f>
        <v>0</v>
      </c>
      <c r="AF66" s="57" t="n">
        <f aca="false">IF(OR($B66="",$E66="",$F66=""),0,MAX(0,MIN($F66,EOMONTH(DATE(cfg_FY,11,1),0))-MAX($E66,DATE(cfg_FY,11,1))+1)*(1-IF($M66="نعم",0,N($J66))))</f>
        <v>0</v>
      </c>
      <c r="AG66" s="57" t="n">
        <f aca="false">IF(OR($B66="",$E66="",$F66=""),0,MAX(0,MIN($F66,EOMONTH(DATE(cfg_FY,12,1),0))-MAX($E66,DATE(cfg_FY,12,1))+1)*(1-IF($M66="نعم",0,N($J66))))</f>
        <v>0</v>
      </c>
      <c r="AH66" s="57" t="n">
        <f aca="false">IF(OR(OR($B66="",$E66="",$F66=""),$L66&lt;&gt;"لا"),0,MAX(0,MIN($F66,EOMONTH(DATE(cfg_FY,1,1),0))-$E66+1))</f>
        <v>0</v>
      </c>
      <c r="AI66" s="57" t="n">
        <f aca="false">IF(OR(OR($B66="",$E66="",$F66=""),$L66&lt;&gt;"لا"),0,MAX(0,MIN($F66,EOMONTH(DATE(cfg_FY,2,1),0))-$E66+1))</f>
        <v>0</v>
      </c>
      <c r="AJ66" s="57" t="n">
        <f aca="false">IF(OR(OR($B66="",$E66="",$F66=""),$L66&lt;&gt;"لا"),0,MAX(0,MIN($F66,EOMONTH(DATE(cfg_FY,3,1),0))-$E66+1))</f>
        <v>0</v>
      </c>
      <c r="AK66" s="57" t="n">
        <f aca="false">IF(OR(OR($B66="",$E66="",$F66=""),$L66&lt;&gt;"لا"),0,MAX(0,MIN($F66,EOMONTH(DATE(cfg_FY,4,1),0))-$E66+1))</f>
        <v>0</v>
      </c>
      <c r="AL66" s="57" t="n">
        <f aca="false">IF(OR(OR($B66="",$E66="",$F66=""),$L66&lt;&gt;"لا"),0,MAX(0,MIN($F66,EOMONTH(DATE(cfg_FY,5,1),0))-$E66+1))</f>
        <v>0</v>
      </c>
      <c r="AM66" s="57" t="n">
        <f aca="false">IF(OR(OR($B66="",$E66="",$F66=""),$L66&lt;&gt;"لا"),0,MAX(0,MIN($F66,EOMONTH(DATE(cfg_FY,6,1),0))-$E66+1))</f>
        <v>0</v>
      </c>
      <c r="AN66" s="57" t="n">
        <f aca="false">IF(OR(OR($B66="",$E66="",$F66=""),$L66&lt;&gt;"لا"),0,MAX(0,MIN($F66,EOMONTH(DATE(cfg_FY,7,1),0))-$E66+1))</f>
        <v>0</v>
      </c>
      <c r="AO66" s="57" t="n">
        <f aca="false">IF(OR(OR($B66="",$E66="",$F66=""),$L66&lt;&gt;"لا"),0,MAX(0,MIN($F66,EOMONTH(DATE(cfg_FY,8,1),0))-$E66+1))</f>
        <v>0</v>
      </c>
      <c r="AP66" s="57" t="n">
        <f aca="false">IF(OR(OR($B66="",$E66="",$F66=""),$L66&lt;&gt;"لا"),0,MAX(0,MIN($F66,EOMONTH(DATE(cfg_FY,9,1),0))-$E66+1))</f>
        <v>0</v>
      </c>
      <c r="AQ66" s="57" t="n">
        <f aca="false">IF(OR(OR($B66="",$E66="",$F66=""),$L66&lt;&gt;"لا"),0,MAX(0,MIN($F66,EOMONTH(DATE(cfg_FY,10,1),0))-$E66+1))</f>
        <v>0</v>
      </c>
      <c r="AR66" s="57" t="n">
        <f aca="false">IF(OR(OR($B66="",$E66="",$F66=""),$L66&lt;&gt;"لا"),0,MAX(0,MIN($F66,EOMONTH(DATE(cfg_FY,11,1),0))-$E66+1))</f>
        <v>0</v>
      </c>
      <c r="AS66" s="57" t="n">
        <f aca="false">IF(OR(OR($B66="",$E66="",$F66=""),$L66&lt;&gt;"لا"),0,MAX(0,MIN($F66,EOMONTH(DATE(cfg_FY,12,1),0))-$E66+1))</f>
        <v>0</v>
      </c>
      <c r="AT66" s="57" t="n">
        <f aca="false">IF(OR(OR($B66="",$E66="",$F66=""),$K66&lt;&gt;"نعم",$M66="نعم"),0,MAX(0,MIN($F66,EOMONTH(DATE(cfg_FY,1,1),0))-MAX($E66,DATE(cfg_FY,1,1))+1))</f>
        <v>0</v>
      </c>
      <c r="AU66" s="57" t="n">
        <f aca="false">IF(OR(OR($B66="",$E66="",$F66=""),$K66&lt;&gt;"نعم",$M66="نعم"),0,MAX(0,MIN($F66,EOMONTH(DATE(cfg_FY,2,1),0))-MAX($E66,DATE(cfg_FY,2,1))+1))</f>
        <v>0</v>
      </c>
      <c r="AV66" s="57" t="n">
        <f aca="false">IF(OR(OR($B66="",$E66="",$F66=""),$K66&lt;&gt;"نعم",$M66="نعم"),0,MAX(0,MIN($F66,EOMONTH(DATE(cfg_FY,3,1),0))-MAX($E66,DATE(cfg_FY,3,1))+1))</f>
        <v>0</v>
      </c>
      <c r="AW66" s="57" t="n">
        <f aca="false">IF(OR(OR($B66="",$E66="",$F66=""),$K66&lt;&gt;"نعم",$M66="نعم"),0,MAX(0,MIN($F66,EOMONTH(DATE(cfg_FY,4,1),0))-MAX($E66,DATE(cfg_FY,4,1))+1))</f>
        <v>0</v>
      </c>
      <c r="AX66" s="57" t="n">
        <f aca="false">IF(OR(OR($B66="",$E66="",$F66=""),$K66&lt;&gt;"نعم",$M66="نعم"),0,MAX(0,MIN($F66,EOMONTH(DATE(cfg_FY,5,1),0))-MAX($E66,DATE(cfg_FY,5,1))+1))</f>
        <v>0</v>
      </c>
      <c r="AY66" s="57" t="n">
        <f aca="false">IF(OR(OR($B66="",$E66="",$F66=""),$K66&lt;&gt;"نعم",$M66="نعم"),0,MAX(0,MIN($F66,EOMONTH(DATE(cfg_FY,6,1),0))-MAX($E66,DATE(cfg_FY,6,1))+1))</f>
        <v>0</v>
      </c>
      <c r="AZ66" s="57" t="n">
        <f aca="false">IF(OR(OR($B66="",$E66="",$F66=""),$K66&lt;&gt;"نعم",$M66="نعم"),0,MAX(0,MIN($F66,EOMONTH(DATE(cfg_FY,7,1),0))-MAX($E66,DATE(cfg_FY,7,1))+1))</f>
        <v>0</v>
      </c>
      <c r="BA66" s="57" t="n">
        <f aca="false">IF(OR(OR($B66="",$E66="",$F66=""),$K66&lt;&gt;"نعم",$M66="نعم"),0,MAX(0,MIN($F66,EOMONTH(DATE(cfg_FY,8,1),0))-MAX($E66,DATE(cfg_FY,8,1))+1))</f>
        <v>0</v>
      </c>
      <c r="BB66" s="57" t="n">
        <f aca="false">IF(OR(OR($B66="",$E66="",$F66=""),$K66&lt;&gt;"نعم",$M66="نعم"),0,MAX(0,MIN($F66,EOMONTH(DATE(cfg_FY,9,1),0))-MAX($E66,DATE(cfg_FY,9,1))+1))</f>
        <v>0</v>
      </c>
      <c r="BC66" s="57" t="n">
        <f aca="false">IF(OR(OR($B66="",$E66="",$F66=""),$K66&lt;&gt;"نعم",$M66="نعم"),0,MAX(0,MIN($F66,EOMONTH(DATE(cfg_FY,10,1),0))-MAX($E66,DATE(cfg_FY,10,1))+1))</f>
        <v>0</v>
      </c>
      <c r="BD66" s="57" t="n">
        <f aca="false">IF(OR(OR($B66="",$E66="",$F66=""),$K66&lt;&gt;"نعم",$M66="نعم"),0,MAX(0,MIN($F66,EOMONTH(DATE(cfg_FY,11,1),0))-MAX($E66,DATE(cfg_FY,11,1))+1))</f>
        <v>0</v>
      </c>
      <c r="BE66" s="57" t="n">
        <f aca="false">IF(OR(OR($B66="",$E66="",$F66=""),$K66&lt;&gt;"نعم",$M66="نعم"),0,MAX(0,MIN($F66,EOMONTH(DATE(cfg_FY,12,1),0))-MAX($E66,DATE(cfg_FY,12,1))+1))</f>
        <v>0</v>
      </c>
    </row>
    <row r="67" customFormat="false" ht="15" hidden="false" customHeight="false" outlineLevel="0" collapsed="false">
      <c r="A67" s="100" t="str">
        <f aca="false">IF(B67="","",ROW()-5)</f>
        <v/>
      </c>
      <c r="B67" s="79"/>
      <c r="C67" s="102" t="str">
        <f aca="false">IF(B67="","",IFERROR(INDEX(الموظفون!$C$6:$C$105,MATCH(B67,الموظفون!$B$6:$B$105,0)),"✖ رقم غير موجود"))</f>
        <v/>
      </c>
      <c r="D67" s="79"/>
      <c r="E67" s="94"/>
      <c r="F67" s="94"/>
      <c r="G67" s="110" t="str">
        <f aca="false">IF(OR($B67="",$E67="",$F67=""),"",MAX(0,F67-E67+1))</f>
        <v/>
      </c>
      <c r="H67" s="111" t="str">
        <f aca="false">IF(D67="","",IFERROR(VLOOKUP(D67,cfg_LT,2,FALSE()),1))</f>
        <v/>
      </c>
      <c r="I67" s="82"/>
      <c r="J67" s="111" t="str">
        <f aca="false">IF(D67="","",IF(I67&lt;&gt;"",I67,H67))</f>
        <v/>
      </c>
      <c r="K67" s="102" t="str">
        <f aca="false">IF(D67="","",IFERROR(VLOOKUP($D67,cfg_LT,3,FALSE()),""))</f>
        <v/>
      </c>
      <c r="L67" s="102" t="str">
        <f aca="false">IF(D67="","",IFERROR(VLOOKUP($D67,cfg_LT,4,FALSE()),""))</f>
        <v/>
      </c>
      <c r="M67" s="102" t="str">
        <f aca="false">IF(D67="","",IFERROR(VLOOKUP($D67,cfg_LT,5,FALSE()),""))</f>
        <v/>
      </c>
      <c r="N67" s="101" t="n">
        <f aca="false">IF(OR(OR($B67="",$E67="",$F67=""),M67&lt;&gt;"نعم"),0,G67*J67*IFERROR(INDEX(الموظفون!$R$6:$R$105,MATCH(B67,الموظفون!$B$6:$B$105,0)),0)/cfg_DAYS_M)</f>
        <v>0</v>
      </c>
      <c r="O67" s="100" t="str">
        <f aca="false">IF(OR(OR($B67="",$E67="",$F67=""),M67&lt;&gt;"نعم"),"",IF(YEAR(E67)=cfg_FY,MONTH(E67),""))</f>
        <v/>
      </c>
      <c r="P67" s="102" t="str">
        <f aca="false">IF(B67="","",IF(OR(D67="",E67="",F67=""),"⚠ أكمل النوع والتواريخ",IF(F67&lt;E67,"✖ النهاية قبل البداية",IF(COUNTIFS($B$6:$B$505,B67,$E$6:$E$505,"&lt;="&amp;F67,$F$6:$F$505,"&gt;="&amp;E67)&gt;1,"⚠ تداخل مع سجل آخر",IF(E67&gt;cfg_VAL_DATE,"⏳ قادمة",IF(F67&lt;cfg_VAL_DATE,"✔ منتهية","✈ جارية في تاريخ التقرير"))))))</f>
        <v/>
      </c>
      <c r="Q67" s="79"/>
      <c r="R67" s="110" t="n">
        <f aca="false">IF(OR(OR($B67="",$E67="",$F67=""),L67&lt;&gt;"لا"),0,MAX(0,MIN(F67,cfg_Y_START-1)-E67+1))</f>
        <v>0</v>
      </c>
      <c r="S67" s="110" t="n">
        <f aca="false">IF(OR(OR($B67="",$E67="",$F67=""),L67&lt;&gt;"لا"),0,MAX(0,MIN(F67,cfg_VAL_DATE)-E67+1))</f>
        <v>0</v>
      </c>
      <c r="T67" s="110" t="n">
        <f aca="false">IF(OR(OR($B67="",$E67="",$F67=""),K67&lt;&gt;"نعم"),0,IF(M67="نعم",IF(AND(ISNUMBER(O67),N(O67)&lt;=cfg_VAL_M),G67,0),MAX(0,MIN(F67,cfg_VAL_DATE)-MAX(E67,cfg_Y_START)+1)))</f>
        <v>0</v>
      </c>
      <c r="V67" s="110" t="n">
        <f aca="false">IF(OR($B67="",$E67="",$F67=""),0,MAX(0,MIN($F67,EOMONTH(DATE(cfg_FY,1,1),0))-MAX($E67,DATE(cfg_FY,1,1))+1)*(1-IF($M67="نعم",0,N($J67))))</f>
        <v>0</v>
      </c>
      <c r="W67" s="110" t="n">
        <f aca="false">IF(OR($B67="",$E67="",$F67=""),0,MAX(0,MIN($F67,EOMONTH(DATE(cfg_FY,2,1),0))-MAX($E67,DATE(cfg_FY,2,1))+1)*(1-IF($M67="نعم",0,N($J67))))</f>
        <v>0</v>
      </c>
      <c r="X67" s="110" t="n">
        <f aca="false">IF(OR($B67="",$E67="",$F67=""),0,MAX(0,MIN($F67,EOMONTH(DATE(cfg_FY,3,1),0))-MAX($E67,DATE(cfg_FY,3,1))+1)*(1-IF($M67="نعم",0,N($J67))))</f>
        <v>0</v>
      </c>
      <c r="Y67" s="110" t="n">
        <f aca="false">IF(OR($B67="",$E67="",$F67=""),0,MAX(0,MIN($F67,EOMONTH(DATE(cfg_FY,4,1),0))-MAX($E67,DATE(cfg_FY,4,1))+1)*(1-IF($M67="نعم",0,N($J67))))</f>
        <v>0</v>
      </c>
      <c r="Z67" s="110" t="n">
        <f aca="false">IF(OR($B67="",$E67="",$F67=""),0,MAX(0,MIN($F67,EOMONTH(DATE(cfg_FY,5,1),0))-MAX($E67,DATE(cfg_FY,5,1))+1)*(1-IF($M67="نعم",0,N($J67))))</f>
        <v>0</v>
      </c>
      <c r="AA67" s="110" t="n">
        <f aca="false">IF(OR($B67="",$E67="",$F67=""),0,MAX(0,MIN($F67,EOMONTH(DATE(cfg_FY,6,1),0))-MAX($E67,DATE(cfg_FY,6,1))+1)*(1-IF($M67="نعم",0,N($J67))))</f>
        <v>0</v>
      </c>
      <c r="AB67" s="110" t="n">
        <f aca="false">IF(OR($B67="",$E67="",$F67=""),0,MAX(0,MIN($F67,EOMONTH(DATE(cfg_FY,7,1),0))-MAX($E67,DATE(cfg_FY,7,1))+1)*(1-IF($M67="نعم",0,N($J67))))</f>
        <v>0</v>
      </c>
      <c r="AC67" s="110" t="n">
        <f aca="false">IF(OR($B67="",$E67="",$F67=""),0,MAX(0,MIN($F67,EOMONTH(DATE(cfg_FY,8,1),0))-MAX($E67,DATE(cfg_FY,8,1))+1)*(1-IF($M67="نعم",0,N($J67))))</f>
        <v>0</v>
      </c>
      <c r="AD67" s="110" t="n">
        <f aca="false">IF(OR($B67="",$E67="",$F67=""),0,MAX(0,MIN($F67,EOMONTH(DATE(cfg_FY,9,1),0))-MAX($E67,DATE(cfg_FY,9,1))+1)*(1-IF($M67="نعم",0,N($J67))))</f>
        <v>0</v>
      </c>
      <c r="AE67" s="110" t="n">
        <f aca="false">IF(OR($B67="",$E67="",$F67=""),0,MAX(0,MIN($F67,EOMONTH(DATE(cfg_FY,10,1),0))-MAX($E67,DATE(cfg_FY,10,1))+1)*(1-IF($M67="نعم",0,N($J67))))</f>
        <v>0</v>
      </c>
      <c r="AF67" s="110" t="n">
        <f aca="false">IF(OR($B67="",$E67="",$F67=""),0,MAX(0,MIN($F67,EOMONTH(DATE(cfg_FY,11,1),0))-MAX($E67,DATE(cfg_FY,11,1))+1)*(1-IF($M67="نعم",0,N($J67))))</f>
        <v>0</v>
      </c>
      <c r="AG67" s="110" t="n">
        <f aca="false">IF(OR($B67="",$E67="",$F67=""),0,MAX(0,MIN($F67,EOMONTH(DATE(cfg_FY,12,1),0))-MAX($E67,DATE(cfg_FY,12,1))+1)*(1-IF($M67="نعم",0,N($J67))))</f>
        <v>0</v>
      </c>
      <c r="AH67" s="110" t="n">
        <f aca="false">IF(OR(OR($B67="",$E67="",$F67=""),$L67&lt;&gt;"لا"),0,MAX(0,MIN($F67,EOMONTH(DATE(cfg_FY,1,1),0))-$E67+1))</f>
        <v>0</v>
      </c>
      <c r="AI67" s="110" t="n">
        <f aca="false">IF(OR(OR($B67="",$E67="",$F67=""),$L67&lt;&gt;"لا"),0,MAX(0,MIN($F67,EOMONTH(DATE(cfg_FY,2,1),0))-$E67+1))</f>
        <v>0</v>
      </c>
      <c r="AJ67" s="110" t="n">
        <f aca="false">IF(OR(OR($B67="",$E67="",$F67=""),$L67&lt;&gt;"لا"),0,MAX(0,MIN($F67,EOMONTH(DATE(cfg_FY,3,1),0))-$E67+1))</f>
        <v>0</v>
      </c>
      <c r="AK67" s="110" t="n">
        <f aca="false">IF(OR(OR($B67="",$E67="",$F67=""),$L67&lt;&gt;"لا"),0,MAX(0,MIN($F67,EOMONTH(DATE(cfg_FY,4,1),0))-$E67+1))</f>
        <v>0</v>
      </c>
      <c r="AL67" s="110" t="n">
        <f aca="false">IF(OR(OR($B67="",$E67="",$F67=""),$L67&lt;&gt;"لا"),0,MAX(0,MIN($F67,EOMONTH(DATE(cfg_FY,5,1),0))-$E67+1))</f>
        <v>0</v>
      </c>
      <c r="AM67" s="110" t="n">
        <f aca="false">IF(OR(OR($B67="",$E67="",$F67=""),$L67&lt;&gt;"لا"),0,MAX(0,MIN($F67,EOMONTH(DATE(cfg_FY,6,1),0))-$E67+1))</f>
        <v>0</v>
      </c>
      <c r="AN67" s="110" t="n">
        <f aca="false">IF(OR(OR($B67="",$E67="",$F67=""),$L67&lt;&gt;"لا"),0,MAX(0,MIN($F67,EOMONTH(DATE(cfg_FY,7,1),0))-$E67+1))</f>
        <v>0</v>
      </c>
      <c r="AO67" s="110" t="n">
        <f aca="false">IF(OR(OR($B67="",$E67="",$F67=""),$L67&lt;&gt;"لا"),0,MAX(0,MIN($F67,EOMONTH(DATE(cfg_FY,8,1),0))-$E67+1))</f>
        <v>0</v>
      </c>
      <c r="AP67" s="110" t="n">
        <f aca="false">IF(OR(OR($B67="",$E67="",$F67=""),$L67&lt;&gt;"لا"),0,MAX(0,MIN($F67,EOMONTH(DATE(cfg_FY,9,1),0))-$E67+1))</f>
        <v>0</v>
      </c>
      <c r="AQ67" s="110" t="n">
        <f aca="false">IF(OR(OR($B67="",$E67="",$F67=""),$L67&lt;&gt;"لا"),0,MAX(0,MIN($F67,EOMONTH(DATE(cfg_FY,10,1),0))-$E67+1))</f>
        <v>0</v>
      </c>
      <c r="AR67" s="110" t="n">
        <f aca="false">IF(OR(OR($B67="",$E67="",$F67=""),$L67&lt;&gt;"لا"),0,MAX(0,MIN($F67,EOMONTH(DATE(cfg_FY,11,1),0))-$E67+1))</f>
        <v>0</v>
      </c>
      <c r="AS67" s="110" t="n">
        <f aca="false">IF(OR(OR($B67="",$E67="",$F67=""),$L67&lt;&gt;"لا"),0,MAX(0,MIN($F67,EOMONTH(DATE(cfg_FY,12,1),0))-$E67+1))</f>
        <v>0</v>
      </c>
      <c r="AT67" s="110" t="n">
        <f aca="false">IF(OR(OR($B67="",$E67="",$F67=""),$K67&lt;&gt;"نعم",$M67="نعم"),0,MAX(0,MIN($F67,EOMONTH(DATE(cfg_FY,1,1),0))-MAX($E67,DATE(cfg_FY,1,1))+1))</f>
        <v>0</v>
      </c>
      <c r="AU67" s="110" t="n">
        <f aca="false">IF(OR(OR($B67="",$E67="",$F67=""),$K67&lt;&gt;"نعم",$M67="نعم"),0,MAX(0,MIN($F67,EOMONTH(DATE(cfg_FY,2,1),0))-MAX($E67,DATE(cfg_FY,2,1))+1))</f>
        <v>0</v>
      </c>
      <c r="AV67" s="110" t="n">
        <f aca="false">IF(OR(OR($B67="",$E67="",$F67=""),$K67&lt;&gt;"نعم",$M67="نعم"),0,MAX(0,MIN($F67,EOMONTH(DATE(cfg_FY,3,1),0))-MAX($E67,DATE(cfg_FY,3,1))+1))</f>
        <v>0</v>
      </c>
      <c r="AW67" s="110" t="n">
        <f aca="false">IF(OR(OR($B67="",$E67="",$F67=""),$K67&lt;&gt;"نعم",$M67="نعم"),0,MAX(0,MIN($F67,EOMONTH(DATE(cfg_FY,4,1),0))-MAX($E67,DATE(cfg_FY,4,1))+1))</f>
        <v>0</v>
      </c>
      <c r="AX67" s="110" t="n">
        <f aca="false">IF(OR(OR($B67="",$E67="",$F67=""),$K67&lt;&gt;"نعم",$M67="نعم"),0,MAX(0,MIN($F67,EOMONTH(DATE(cfg_FY,5,1),0))-MAX($E67,DATE(cfg_FY,5,1))+1))</f>
        <v>0</v>
      </c>
      <c r="AY67" s="110" t="n">
        <f aca="false">IF(OR(OR($B67="",$E67="",$F67=""),$K67&lt;&gt;"نعم",$M67="نعم"),0,MAX(0,MIN($F67,EOMONTH(DATE(cfg_FY,6,1),0))-MAX($E67,DATE(cfg_FY,6,1))+1))</f>
        <v>0</v>
      </c>
      <c r="AZ67" s="110" t="n">
        <f aca="false">IF(OR(OR($B67="",$E67="",$F67=""),$K67&lt;&gt;"نعم",$M67="نعم"),0,MAX(0,MIN($F67,EOMONTH(DATE(cfg_FY,7,1),0))-MAX($E67,DATE(cfg_FY,7,1))+1))</f>
        <v>0</v>
      </c>
      <c r="BA67" s="110" t="n">
        <f aca="false">IF(OR(OR($B67="",$E67="",$F67=""),$K67&lt;&gt;"نعم",$M67="نعم"),0,MAX(0,MIN($F67,EOMONTH(DATE(cfg_FY,8,1),0))-MAX($E67,DATE(cfg_FY,8,1))+1))</f>
        <v>0</v>
      </c>
      <c r="BB67" s="110" t="n">
        <f aca="false">IF(OR(OR($B67="",$E67="",$F67=""),$K67&lt;&gt;"نعم",$M67="نعم"),0,MAX(0,MIN($F67,EOMONTH(DATE(cfg_FY,9,1),0))-MAX($E67,DATE(cfg_FY,9,1))+1))</f>
        <v>0</v>
      </c>
      <c r="BC67" s="110" t="n">
        <f aca="false">IF(OR(OR($B67="",$E67="",$F67=""),$K67&lt;&gt;"نعم",$M67="نعم"),0,MAX(0,MIN($F67,EOMONTH(DATE(cfg_FY,10,1),0))-MAX($E67,DATE(cfg_FY,10,1))+1))</f>
        <v>0</v>
      </c>
      <c r="BD67" s="110" t="n">
        <f aca="false">IF(OR(OR($B67="",$E67="",$F67=""),$K67&lt;&gt;"نعم",$M67="نعم"),0,MAX(0,MIN($F67,EOMONTH(DATE(cfg_FY,11,1),0))-MAX($E67,DATE(cfg_FY,11,1))+1))</f>
        <v>0</v>
      </c>
      <c r="BE67" s="110" t="n">
        <f aca="false">IF(OR(OR($B67="",$E67="",$F67=""),$K67&lt;&gt;"نعم",$M67="نعم"),0,MAX(0,MIN($F67,EOMONTH(DATE(cfg_FY,12,1),0))-MAX($E67,DATE(cfg_FY,12,1))+1))</f>
        <v>0</v>
      </c>
    </row>
    <row r="68" customFormat="false" ht="15" hidden="false" customHeight="false" outlineLevel="0" collapsed="false">
      <c r="A68" s="93" t="str">
        <f aca="false">IF(B68="","",ROW()-5)</f>
        <v/>
      </c>
      <c r="B68" s="79"/>
      <c r="C68" s="80" t="str">
        <f aca="false">IF(B68="","",IFERROR(INDEX(الموظفون!$C$6:$C$105,MATCH(B68,الموظفون!$B$6:$B$105,0)),"✖ رقم غير موجود"))</f>
        <v/>
      </c>
      <c r="D68" s="79"/>
      <c r="E68" s="94"/>
      <c r="F68" s="94"/>
      <c r="G68" s="57" t="str">
        <f aca="false">IF(OR($B68="",$E68="",$F68=""),"",MAX(0,F68-E68+1))</f>
        <v/>
      </c>
      <c r="H68" s="58" t="str">
        <f aca="false">IF(D68="","",IFERROR(VLOOKUP(D68,cfg_LT,2,FALSE()),1))</f>
        <v/>
      </c>
      <c r="I68" s="82"/>
      <c r="J68" s="58" t="str">
        <f aca="false">IF(D68="","",IF(I68&lt;&gt;"",I68,H68))</f>
        <v/>
      </c>
      <c r="K68" s="80" t="str">
        <f aca="false">IF(D68="","",IFERROR(VLOOKUP($D68,cfg_LT,3,FALSE()),""))</f>
        <v/>
      </c>
      <c r="L68" s="80" t="str">
        <f aca="false">IF(D68="","",IFERROR(VLOOKUP($D68,cfg_LT,4,FALSE()),""))</f>
        <v/>
      </c>
      <c r="M68" s="80" t="str">
        <f aca="false">IF(D68="","",IFERROR(VLOOKUP($D68,cfg_LT,5,FALSE()),""))</f>
        <v/>
      </c>
      <c r="N68" s="97" t="n">
        <f aca="false">IF(OR(OR($B68="",$E68="",$F68=""),M68&lt;&gt;"نعم"),0,G68*J68*IFERROR(INDEX(الموظفون!$R$6:$R$105,MATCH(B68,الموظفون!$B$6:$B$105,0)),0)/cfg_DAYS_M)</f>
        <v>0</v>
      </c>
      <c r="O68" s="93" t="str">
        <f aca="false">IF(OR(OR($B68="",$E68="",$F68=""),M68&lt;&gt;"نعم"),"",IF(YEAR(E68)=cfg_FY,MONTH(E68),""))</f>
        <v/>
      </c>
      <c r="P68" s="80" t="str">
        <f aca="false">IF(B68="","",IF(OR(D68="",E68="",F68=""),"⚠ أكمل النوع والتواريخ",IF(F68&lt;E68,"✖ النهاية قبل البداية",IF(COUNTIFS($B$6:$B$505,B68,$E$6:$E$505,"&lt;="&amp;F68,$F$6:$F$505,"&gt;="&amp;E68)&gt;1,"⚠ تداخل مع سجل آخر",IF(E68&gt;cfg_VAL_DATE,"⏳ قادمة",IF(F68&lt;cfg_VAL_DATE,"✔ منتهية","✈ جارية في تاريخ التقرير"))))))</f>
        <v/>
      </c>
      <c r="Q68" s="79"/>
      <c r="R68" s="57" t="n">
        <f aca="false">IF(OR(OR($B68="",$E68="",$F68=""),L68&lt;&gt;"لا"),0,MAX(0,MIN(F68,cfg_Y_START-1)-E68+1))</f>
        <v>0</v>
      </c>
      <c r="S68" s="57" t="n">
        <f aca="false">IF(OR(OR($B68="",$E68="",$F68=""),L68&lt;&gt;"لا"),0,MAX(0,MIN(F68,cfg_VAL_DATE)-E68+1))</f>
        <v>0</v>
      </c>
      <c r="T68" s="57" t="n">
        <f aca="false">IF(OR(OR($B68="",$E68="",$F68=""),K68&lt;&gt;"نعم"),0,IF(M68="نعم",IF(AND(ISNUMBER(O68),N(O68)&lt;=cfg_VAL_M),G68,0),MAX(0,MIN(F68,cfg_VAL_DATE)-MAX(E68,cfg_Y_START)+1)))</f>
        <v>0</v>
      </c>
      <c r="V68" s="57" t="n">
        <f aca="false">IF(OR($B68="",$E68="",$F68=""),0,MAX(0,MIN($F68,EOMONTH(DATE(cfg_FY,1,1),0))-MAX($E68,DATE(cfg_FY,1,1))+1)*(1-IF($M68="نعم",0,N($J68))))</f>
        <v>0</v>
      </c>
      <c r="W68" s="57" t="n">
        <f aca="false">IF(OR($B68="",$E68="",$F68=""),0,MAX(0,MIN($F68,EOMONTH(DATE(cfg_FY,2,1),0))-MAX($E68,DATE(cfg_FY,2,1))+1)*(1-IF($M68="نعم",0,N($J68))))</f>
        <v>0</v>
      </c>
      <c r="X68" s="57" t="n">
        <f aca="false">IF(OR($B68="",$E68="",$F68=""),0,MAX(0,MIN($F68,EOMONTH(DATE(cfg_FY,3,1),0))-MAX($E68,DATE(cfg_FY,3,1))+1)*(1-IF($M68="نعم",0,N($J68))))</f>
        <v>0</v>
      </c>
      <c r="Y68" s="57" t="n">
        <f aca="false">IF(OR($B68="",$E68="",$F68=""),0,MAX(0,MIN($F68,EOMONTH(DATE(cfg_FY,4,1),0))-MAX($E68,DATE(cfg_FY,4,1))+1)*(1-IF($M68="نعم",0,N($J68))))</f>
        <v>0</v>
      </c>
      <c r="Z68" s="57" t="n">
        <f aca="false">IF(OR($B68="",$E68="",$F68=""),0,MAX(0,MIN($F68,EOMONTH(DATE(cfg_FY,5,1),0))-MAX($E68,DATE(cfg_FY,5,1))+1)*(1-IF($M68="نعم",0,N($J68))))</f>
        <v>0</v>
      </c>
      <c r="AA68" s="57" t="n">
        <f aca="false">IF(OR($B68="",$E68="",$F68=""),0,MAX(0,MIN($F68,EOMONTH(DATE(cfg_FY,6,1),0))-MAX($E68,DATE(cfg_FY,6,1))+1)*(1-IF($M68="نعم",0,N($J68))))</f>
        <v>0</v>
      </c>
      <c r="AB68" s="57" t="n">
        <f aca="false">IF(OR($B68="",$E68="",$F68=""),0,MAX(0,MIN($F68,EOMONTH(DATE(cfg_FY,7,1),0))-MAX($E68,DATE(cfg_FY,7,1))+1)*(1-IF($M68="نعم",0,N($J68))))</f>
        <v>0</v>
      </c>
      <c r="AC68" s="57" t="n">
        <f aca="false">IF(OR($B68="",$E68="",$F68=""),0,MAX(0,MIN($F68,EOMONTH(DATE(cfg_FY,8,1),0))-MAX($E68,DATE(cfg_FY,8,1))+1)*(1-IF($M68="نعم",0,N($J68))))</f>
        <v>0</v>
      </c>
      <c r="AD68" s="57" t="n">
        <f aca="false">IF(OR($B68="",$E68="",$F68=""),0,MAX(0,MIN($F68,EOMONTH(DATE(cfg_FY,9,1),0))-MAX($E68,DATE(cfg_FY,9,1))+1)*(1-IF($M68="نعم",0,N($J68))))</f>
        <v>0</v>
      </c>
      <c r="AE68" s="57" t="n">
        <f aca="false">IF(OR($B68="",$E68="",$F68=""),0,MAX(0,MIN($F68,EOMONTH(DATE(cfg_FY,10,1),0))-MAX($E68,DATE(cfg_FY,10,1))+1)*(1-IF($M68="نعم",0,N($J68))))</f>
        <v>0</v>
      </c>
      <c r="AF68" s="57" t="n">
        <f aca="false">IF(OR($B68="",$E68="",$F68=""),0,MAX(0,MIN($F68,EOMONTH(DATE(cfg_FY,11,1),0))-MAX($E68,DATE(cfg_FY,11,1))+1)*(1-IF($M68="نعم",0,N($J68))))</f>
        <v>0</v>
      </c>
      <c r="AG68" s="57" t="n">
        <f aca="false">IF(OR($B68="",$E68="",$F68=""),0,MAX(0,MIN($F68,EOMONTH(DATE(cfg_FY,12,1),0))-MAX($E68,DATE(cfg_FY,12,1))+1)*(1-IF($M68="نعم",0,N($J68))))</f>
        <v>0</v>
      </c>
      <c r="AH68" s="57" t="n">
        <f aca="false">IF(OR(OR($B68="",$E68="",$F68=""),$L68&lt;&gt;"لا"),0,MAX(0,MIN($F68,EOMONTH(DATE(cfg_FY,1,1),0))-$E68+1))</f>
        <v>0</v>
      </c>
      <c r="AI68" s="57" t="n">
        <f aca="false">IF(OR(OR($B68="",$E68="",$F68=""),$L68&lt;&gt;"لا"),0,MAX(0,MIN($F68,EOMONTH(DATE(cfg_FY,2,1),0))-$E68+1))</f>
        <v>0</v>
      </c>
      <c r="AJ68" s="57" t="n">
        <f aca="false">IF(OR(OR($B68="",$E68="",$F68=""),$L68&lt;&gt;"لا"),0,MAX(0,MIN($F68,EOMONTH(DATE(cfg_FY,3,1),0))-$E68+1))</f>
        <v>0</v>
      </c>
      <c r="AK68" s="57" t="n">
        <f aca="false">IF(OR(OR($B68="",$E68="",$F68=""),$L68&lt;&gt;"لا"),0,MAX(0,MIN($F68,EOMONTH(DATE(cfg_FY,4,1),0))-$E68+1))</f>
        <v>0</v>
      </c>
      <c r="AL68" s="57" t="n">
        <f aca="false">IF(OR(OR($B68="",$E68="",$F68=""),$L68&lt;&gt;"لا"),0,MAX(0,MIN($F68,EOMONTH(DATE(cfg_FY,5,1),0))-$E68+1))</f>
        <v>0</v>
      </c>
      <c r="AM68" s="57" t="n">
        <f aca="false">IF(OR(OR($B68="",$E68="",$F68=""),$L68&lt;&gt;"لا"),0,MAX(0,MIN($F68,EOMONTH(DATE(cfg_FY,6,1),0))-$E68+1))</f>
        <v>0</v>
      </c>
      <c r="AN68" s="57" t="n">
        <f aca="false">IF(OR(OR($B68="",$E68="",$F68=""),$L68&lt;&gt;"لا"),0,MAX(0,MIN($F68,EOMONTH(DATE(cfg_FY,7,1),0))-$E68+1))</f>
        <v>0</v>
      </c>
      <c r="AO68" s="57" t="n">
        <f aca="false">IF(OR(OR($B68="",$E68="",$F68=""),$L68&lt;&gt;"لا"),0,MAX(0,MIN($F68,EOMONTH(DATE(cfg_FY,8,1),0))-$E68+1))</f>
        <v>0</v>
      </c>
      <c r="AP68" s="57" t="n">
        <f aca="false">IF(OR(OR($B68="",$E68="",$F68=""),$L68&lt;&gt;"لا"),0,MAX(0,MIN($F68,EOMONTH(DATE(cfg_FY,9,1),0))-$E68+1))</f>
        <v>0</v>
      </c>
      <c r="AQ68" s="57" t="n">
        <f aca="false">IF(OR(OR($B68="",$E68="",$F68=""),$L68&lt;&gt;"لا"),0,MAX(0,MIN($F68,EOMONTH(DATE(cfg_FY,10,1),0))-$E68+1))</f>
        <v>0</v>
      </c>
      <c r="AR68" s="57" t="n">
        <f aca="false">IF(OR(OR($B68="",$E68="",$F68=""),$L68&lt;&gt;"لا"),0,MAX(0,MIN($F68,EOMONTH(DATE(cfg_FY,11,1),0))-$E68+1))</f>
        <v>0</v>
      </c>
      <c r="AS68" s="57" t="n">
        <f aca="false">IF(OR(OR($B68="",$E68="",$F68=""),$L68&lt;&gt;"لا"),0,MAX(0,MIN($F68,EOMONTH(DATE(cfg_FY,12,1),0))-$E68+1))</f>
        <v>0</v>
      </c>
      <c r="AT68" s="57" t="n">
        <f aca="false">IF(OR(OR($B68="",$E68="",$F68=""),$K68&lt;&gt;"نعم",$M68="نعم"),0,MAX(0,MIN($F68,EOMONTH(DATE(cfg_FY,1,1),0))-MAX($E68,DATE(cfg_FY,1,1))+1))</f>
        <v>0</v>
      </c>
      <c r="AU68" s="57" t="n">
        <f aca="false">IF(OR(OR($B68="",$E68="",$F68=""),$K68&lt;&gt;"نعم",$M68="نعم"),0,MAX(0,MIN($F68,EOMONTH(DATE(cfg_FY,2,1),0))-MAX($E68,DATE(cfg_FY,2,1))+1))</f>
        <v>0</v>
      </c>
      <c r="AV68" s="57" t="n">
        <f aca="false">IF(OR(OR($B68="",$E68="",$F68=""),$K68&lt;&gt;"نعم",$M68="نعم"),0,MAX(0,MIN($F68,EOMONTH(DATE(cfg_FY,3,1),0))-MAX($E68,DATE(cfg_FY,3,1))+1))</f>
        <v>0</v>
      </c>
      <c r="AW68" s="57" t="n">
        <f aca="false">IF(OR(OR($B68="",$E68="",$F68=""),$K68&lt;&gt;"نعم",$M68="نعم"),0,MAX(0,MIN($F68,EOMONTH(DATE(cfg_FY,4,1),0))-MAX($E68,DATE(cfg_FY,4,1))+1))</f>
        <v>0</v>
      </c>
      <c r="AX68" s="57" t="n">
        <f aca="false">IF(OR(OR($B68="",$E68="",$F68=""),$K68&lt;&gt;"نعم",$M68="نعم"),0,MAX(0,MIN($F68,EOMONTH(DATE(cfg_FY,5,1),0))-MAX($E68,DATE(cfg_FY,5,1))+1))</f>
        <v>0</v>
      </c>
      <c r="AY68" s="57" t="n">
        <f aca="false">IF(OR(OR($B68="",$E68="",$F68=""),$K68&lt;&gt;"نعم",$M68="نعم"),0,MAX(0,MIN($F68,EOMONTH(DATE(cfg_FY,6,1),0))-MAX($E68,DATE(cfg_FY,6,1))+1))</f>
        <v>0</v>
      </c>
      <c r="AZ68" s="57" t="n">
        <f aca="false">IF(OR(OR($B68="",$E68="",$F68=""),$K68&lt;&gt;"نعم",$M68="نعم"),0,MAX(0,MIN($F68,EOMONTH(DATE(cfg_FY,7,1),0))-MAX($E68,DATE(cfg_FY,7,1))+1))</f>
        <v>0</v>
      </c>
      <c r="BA68" s="57" t="n">
        <f aca="false">IF(OR(OR($B68="",$E68="",$F68=""),$K68&lt;&gt;"نعم",$M68="نعم"),0,MAX(0,MIN($F68,EOMONTH(DATE(cfg_FY,8,1),0))-MAX($E68,DATE(cfg_FY,8,1))+1))</f>
        <v>0</v>
      </c>
      <c r="BB68" s="57" t="n">
        <f aca="false">IF(OR(OR($B68="",$E68="",$F68=""),$K68&lt;&gt;"نعم",$M68="نعم"),0,MAX(0,MIN($F68,EOMONTH(DATE(cfg_FY,9,1),0))-MAX($E68,DATE(cfg_FY,9,1))+1))</f>
        <v>0</v>
      </c>
      <c r="BC68" s="57" t="n">
        <f aca="false">IF(OR(OR($B68="",$E68="",$F68=""),$K68&lt;&gt;"نعم",$M68="نعم"),0,MAX(0,MIN($F68,EOMONTH(DATE(cfg_FY,10,1),0))-MAX($E68,DATE(cfg_FY,10,1))+1))</f>
        <v>0</v>
      </c>
      <c r="BD68" s="57" t="n">
        <f aca="false">IF(OR(OR($B68="",$E68="",$F68=""),$K68&lt;&gt;"نعم",$M68="نعم"),0,MAX(0,MIN($F68,EOMONTH(DATE(cfg_FY,11,1),0))-MAX($E68,DATE(cfg_FY,11,1))+1))</f>
        <v>0</v>
      </c>
      <c r="BE68" s="57" t="n">
        <f aca="false">IF(OR(OR($B68="",$E68="",$F68=""),$K68&lt;&gt;"نعم",$M68="نعم"),0,MAX(0,MIN($F68,EOMONTH(DATE(cfg_FY,12,1),0))-MAX($E68,DATE(cfg_FY,12,1))+1))</f>
        <v>0</v>
      </c>
    </row>
    <row r="69" customFormat="false" ht="15" hidden="false" customHeight="false" outlineLevel="0" collapsed="false">
      <c r="A69" s="100" t="str">
        <f aca="false">IF(B69="","",ROW()-5)</f>
        <v/>
      </c>
      <c r="B69" s="79"/>
      <c r="C69" s="102" t="str">
        <f aca="false">IF(B69="","",IFERROR(INDEX(الموظفون!$C$6:$C$105,MATCH(B69,الموظفون!$B$6:$B$105,0)),"✖ رقم غير موجود"))</f>
        <v/>
      </c>
      <c r="D69" s="79"/>
      <c r="E69" s="94"/>
      <c r="F69" s="94"/>
      <c r="G69" s="110" t="str">
        <f aca="false">IF(OR($B69="",$E69="",$F69=""),"",MAX(0,F69-E69+1))</f>
        <v/>
      </c>
      <c r="H69" s="111" t="str">
        <f aca="false">IF(D69="","",IFERROR(VLOOKUP(D69,cfg_LT,2,FALSE()),1))</f>
        <v/>
      </c>
      <c r="I69" s="82"/>
      <c r="J69" s="111" t="str">
        <f aca="false">IF(D69="","",IF(I69&lt;&gt;"",I69,H69))</f>
        <v/>
      </c>
      <c r="K69" s="102" t="str">
        <f aca="false">IF(D69="","",IFERROR(VLOOKUP($D69,cfg_LT,3,FALSE()),""))</f>
        <v/>
      </c>
      <c r="L69" s="102" t="str">
        <f aca="false">IF(D69="","",IFERROR(VLOOKUP($D69,cfg_LT,4,FALSE()),""))</f>
        <v/>
      </c>
      <c r="M69" s="102" t="str">
        <f aca="false">IF(D69="","",IFERROR(VLOOKUP($D69,cfg_LT,5,FALSE()),""))</f>
        <v/>
      </c>
      <c r="N69" s="101" t="n">
        <f aca="false">IF(OR(OR($B69="",$E69="",$F69=""),M69&lt;&gt;"نعم"),0,G69*J69*IFERROR(INDEX(الموظفون!$R$6:$R$105,MATCH(B69,الموظفون!$B$6:$B$105,0)),0)/cfg_DAYS_M)</f>
        <v>0</v>
      </c>
      <c r="O69" s="100" t="str">
        <f aca="false">IF(OR(OR($B69="",$E69="",$F69=""),M69&lt;&gt;"نعم"),"",IF(YEAR(E69)=cfg_FY,MONTH(E69),""))</f>
        <v/>
      </c>
      <c r="P69" s="102" t="str">
        <f aca="false">IF(B69="","",IF(OR(D69="",E69="",F69=""),"⚠ أكمل النوع والتواريخ",IF(F69&lt;E69,"✖ النهاية قبل البداية",IF(COUNTIFS($B$6:$B$505,B69,$E$6:$E$505,"&lt;="&amp;F69,$F$6:$F$505,"&gt;="&amp;E69)&gt;1,"⚠ تداخل مع سجل آخر",IF(E69&gt;cfg_VAL_DATE,"⏳ قادمة",IF(F69&lt;cfg_VAL_DATE,"✔ منتهية","✈ جارية في تاريخ التقرير"))))))</f>
        <v/>
      </c>
      <c r="Q69" s="79"/>
      <c r="R69" s="110" t="n">
        <f aca="false">IF(OR(OR($B69="",$E69="",$F69=""),L69&lt;&gt;"لا"),0,MAX(0,MIN(F69,cfg_Y_START-1)-E69+1))</f>
        <v>0</v>
      </c>
      <c r="S69" s="110" t="n">
        <f aca="false">IF(OR(OR($B69="",$E69="",$F69=""),L69&lt;&gt;"لا"),0,MAX(0,MIN(F69,cfg_VAL_DATE)-E69+1))</f>
        <v>0</v>
      </c>
      <c r="T69" s="110" t="n">
        <f aca="false">IF(OR(OR($B69="",$E69="",$F69=""),K69&lt;&gt;"نعم"),0,IF(M69="نعم",IF(AND(ISNUMBER(O69),N(O69)&lt;=cfg_VAL_M),G69,0),MAX(0,MIN(F69,cfg_VAL_DATE)-MAX(E69,cfg_Y_START)+1)))</f>
        <v>0</v>
      </c>
      <c r="V69" s="110" t="n">
        <f aca="false">IF(OR($B69="",$E69="",$F69=""),0,MAX(0,MIN($F69,EOMONTH(DATE(cfg_FY,1,1),0))-MAX($E69,DATE(cfg_FY,1,1))+1)*(1-IF($M69="نعم",0,N($J69))))</f>
        <v>0</v>
      </c>
      <c r="W69" s="110" t="n">
        <f aca="false">IF(OR($B69="",$E69="",$F69=""),0,MAX(0,MIN($F69,EOMONTH(DATE(cfg_FY,2,1),0))-MAX($E69,DATE(cfg_FY,2,1))+1)*(1-IF($M69="نعم",0,N($J69))))</f>
        <v>0</v>
      </c>
      <c r="X69" s="110" t="n">
        <f aca="false">IF(OR($B69="",$E69="",$F69=""),0,MAX(0,MIN($F69,EOMONTH(DATE(cfg_FY,3,1),0))-MAX($E69,DATE(cfg_FY,3,1))+1)*(1-IF($M69="نعم",0,N($J69))))</f>
        <v>0</v>
      </c>
      <c r="Y69" s="110" t="n">
        <f aca="false">IF(OR($B69="",$E69="",$F69=""),0,MAX(0,MIN($F69,EOMONTH(DATE(cfg_FY,4,1),0))-MAX($E69,DATE(cfg_FY,4,1))+1)*(1-IF($M69="نعم",0,N($J69))))</f>
        <v>0</v>
      </c>
      <c r="Z69" s="110" t="n">
        <f aca="false">IF(OR($B69="",$E69="",$F69=""),0,MAX(0,MIN($F69,EOMONTH(DATE(cfg_FY,5,1),0))-MAX($E69,DATE(cfg_FY,5,1))+1)*(1-IF($M69="نعم",0,N($J69))))</f>
        <v>0</v>
      </c>
      <c r="AA69" s="110" t="n">
        <f aca="false">IF(OR($B69="",$E69="",$F69=""),0,MAX(0,MIN($F69,EOMONTH(DATE(cfg_FY,6,1),0))-MAX($E69,DATE(cfg_FY,6,1))+1)*(1-IF($M69="نعم",0,N($J69))))</f>
        <v>0</v>
      </c>
      <c r="AB69" s="110" t="n">
        <f aca="false">IF(OR($B69="",$E69="",$F69=""),0,MAX(0,MIN($F69,EOMONTH(DATE(cfg_FY,7,1),0))-MAX($E69,DATE(cfg_FY,7,1))+1)*(1-IF($M69="نعم",0,N($J69))))</f>
        <v>0</v>
      </c>
      <c r="AC69" s="110" t="n">
        <f aca="false">IF(OR($B69="",$E69="",$F69=""),0,MAX(0,MIN($F69,EOMONTH(DATE(cfg_FY,8,1),0))-MAX($E69,DATE(cfg_FY,8,1))+1)*(1-IF($M69="نعم",0,N($J69))))</f>
        <v>0</v>
      </c>
      <c r="AD69" s="110" t="n">
        <f aca="false">IF(OR($B69="",$E69="",$F69=""),0,MAX(0,MIN($F69,EOMONTH(DATE(cfg_FY,9,1),0))-MAX($E69,DATE(cfg_FY,9,1))+1)*(1-IF($M69="نعم",0,N($J69))))</f>
        <v>0</v>
      </c>
      <c r="AE69" s="110" t="n">
        <f aca="false">IF(OR($B69="",$E69="",$F69=""),0,MAX(0,MIN($F69,EOMONTH(DATE(cfg_FY,10,1),0))-MAX($E69,DATE(cfg_FY,10,1))+1)*(1-IF($M69="نعم",0,N($J69))))</f>
        <v>0</v>
      </c>
      <c r="AF69" s="110" t="n">
        <f aca="false">IF(OR($B69="",$E69="",$F69=""),0,MAX(0,MIN($F69,EOMONTH(DATE(cfg_FY,11,1),0))-MAX($E69,DATE(cfg_FY,11,1))+1)*(1-IF($M69="نعم",0,N($J69))))</f>
        <v>0</v>
      </c>
      <c r="AG69" s="110" t="n">
        <f aca="false">IF(OR($B69="",$E69="",$F69=""),0,MAX(0,MIN($F69,EOMONTH(DATE(cfg_FY,12,1),0))-MAX($E69,DATE(cfg_FY,12,1))+1)*(1-IF($M69="نعم",0,N($J69))))</f>
        <v>0</v>
      </c>
      <c r="AH69" s="110" t="n">
        <f aca="false">IF(OR(OR($B69="",$E69="",$F69=""),$L69&lt;&gt;"لا"),0,MAX(0,MIN($F69,EOMONTH(DATE(cfg_FY,1,1),0))-$E69+1))</f>
        <v>0</v>
      </c>
      <c r="AI69" s="110" t="n">
        <f aca="false">IF(OR(OR($B69="",$E69="",$F69=""),$L69&lt;&gt;"لا"),0,MAX(0,MIN($F69,EOMONTH(DATE(cfg_FY,2,1),0))-$E69+1))</f>
        <v>0</v>
      </c>
      <c r="AJ69" s="110" t="n">
        <f aca="false">IF(OR(OR($B69="",$E69="",$F69=""),$L69&lt;&gt;"لا"),0,MAX(0,MIN($F69,EOMONTH(DATE(cfg_FY,3,1),0))-$E69+1))</f>
        <v>0</v>
      </c>
      <c r="AK69" s="110" t="n">
        <f aca="false">IF(OR(OR($B69="",$E69="",$F69=""),$L69&lt;&gt;"لا"),0,MAX(0,MIN($F69,EOMONTH(DATE(cfg_FY,4,1),0))-$E69+1))</f>
        <v>0</v>
      </c>
      <c r="AL69" s="110" t="n">
        <f aca="false">IF(OR(OR($B69="",$E69="",$F69=""),$L69&lt;&gt;"لا"),0,MAX(0,MIN($F69,EOMONTH(DATE(cfg_FY,5,1),0))-$E69+1))</f>
        <v>0</v>
      </c>
      <c r="AM69" s="110" t="n">
        <f aca="false">IF(OR(OR($B69="",$E69="",$F69=""),$L69&lt;&gt;"لا"),0,MAX(0,MIN($F69,EOMONTH(DATE(cfg_FY,6,1),0))-$E69+1))</f>
        <v>0</v>
      </c>
      <c r="AN69" s="110" t="n">
        <f aca="false">IF(OR(OR($B69="",$E69="",$F69=""),$L69&lt;&gt;"لا"),0,MAX(0,MIN($F69,EOMONTH(DATE(cfg_FY,7,1),0))-$E69+1))</f>
        <v>0</v>
      </c>
      <c r="AO69" s="110" t="n">
        <f aca="false">IF(OR(OR($B69="",$E69="",$F69=""),$L69&lt;&gt;"لا"),0,MAX(0,MIN($F69,EOMONTH(DATE(cfg_FY,8,1),0))-$E69+1))</f>
        <v>0</v>
      </c>
      <c r="AP69" s="110" t="n">
        <f aca="false">IF(OR(OR($B69="",$E69="",$F69=""),$L69&lt;&gt;"لا"),0,MAX(0,MIN($F69,EOMONTH(DATE(cfg_FY,9,1),0))-$E69+1))</f>
        <v>0</v>
      </c>
      <c r="AQ69" s="110" t="n">
        <f aca="false">IF(OR(OR($B69="",$E69="",$F69=""),$L69&lt;&gt;"لا"),0,MAX(0,MIN($F69,EOMONTH(DATE(cfg_FY,10,1),0))-$E69+1))</f>
        <v>0</v>
      </c>
      <c r="AR69" s="110" t="n">
        <f aca="false">IF(OR(OR($B69="",$E69="",$F69=""),$L69&lt;&gt;"لا"),0,MAX(0,MIN($F69,EOMONTH(DATE(cfg_FY,11,1),0))-$E69+1))</f>
        <v>0</v>
      </c>
      <c r="AS69" s="110" t="n">
        <f aca="false">IF(OR(OR($B69="",$E69="",$F69=""),$L69&lt;&gt;"لا"),0,MAX(0,MIN($F69,EOMONTH(DATE(cfg_FY,12,1),0))-$E69+1))</f>
        <v>0</v>
      </c>
      <c r="AT69" s="110" t="n">
        <f aca="false">IF(OR(OR($B69="",$E69="",$F69=""),$K69&lt;&gt;"نعم",$M69="نعم"),0,MAX(0,MIN($F69,EOMONTH(DATE(cfg_FY,1,1),0))-MAX($E69,DATE(cfg_FY,1,1))+1))</f>
        <v>0</v>
      </c>
      <c r="AU69" s="110" t="n">
        <f aca="false">IF(OR(OR($B69="",$E69="",$F69=""),$K69&lt;&gt;"نعم",$M69="نعم"),0,MAX(0,MIN($F69,EOMONTH(DATE(cfg_FY,2,1),0))-MAX($E69,DATE(cfg_FY,2,1))+1))</f>
        <v>0</v>
      </c>
      <c r="AV69" s="110" t="n">
        <f aca="false">IF(OR(OR($B69="",$E69="",$F69=""),$K69&lt;&gt;"نعم",$M69="نعم"),0,MAX(0,MIN($F69,EOMONTH(DATE(cfg_FY,3,1),0))-MAX($E69,DATE(cfg_FY,3,1))+1))</f>
        <v>0</v>
      </c>
      <c r="AW69" s="110" t="n">
        <f aca="false">IF(OR(OR($B69="",$E69="",$F69=""),$K69&lt;&gt;"نعم",$M69="نعم"),0,MAX(0,MIN($F69,EOMONTH(DATE(cfg_FY,4,1),0))-MAX($E69,DATE(cfg_FY,4,1))+1))</f>
        <v>0</v>
      </c>
      <c r="AX69" s="110" t="n">
        <f aca="false">IF(OR(OR($B69="",$E69="",$F69=""),$K69&lt;&gt;"نعم",$M69="نعم"),0,MAX(0,MIN($F69,EOMONTH(DATE(cfg_FY,5,1),0))-MAX($E69,DATE(cfg_FY,5,1))+1))</f>
        <v>0</v>
      </c>
      <c r="AY69" s="110" t="n">
        <f aca="false">IF(OR(OR($B69="",$E69="",$F69=""),$K69&lt;&gt;"نعم",$M69="نعم"),0,MAX(0,MIN($F69,EOMONTH(DATE(cfg_FY,6,1),0))-MAX($E69,DATE(cfg_FY,6,1))+1))</f>
        <v>0</v>
      </c>
      <c r="AZ69" s="110" t="n">
        <f aca="false">IF(OR(OR($B69="",$E69="",$F69=""),$K69&lt;&gt;"نعم",$M69="نعم"),0,MAX(0,MIN($F69,EOMONTH(DATE(cfg_FY,7,1),0))-MAX($E69,DATE(cfg_FY,7,1))+1))</f>
        <v>0</v>
      </c>
      <c r="BA69" s="110" t="n">
        <f aca="false">IF(OR(OR($B69="",$E69="",$F69=""),$K69&lt;&gt;"نعم",$M69="نعم"),0,MAX(0,MIN($F69,EOMONTH(DATE(cfg_FY,8,1),0))-MAX($E69,DATE(cfg_FY,8,1))+1))</f>
        <v>0</v>
      </c>
      <c r="BB69" s="110" t="n">
        <f aca="false">IF(OR(OR($B69="",$E69="",$F69=""),$K69&lt;&gt;"نعم",$M69="نعم"),0,MAX(0,MIN($F69,EOMONTH(DATE(cfg_FY,9,1),0))-MAX($E69,DATE(cfg_FY,9,1))+1))</f>
        <v>0</v>
      </c>
      <c r="BC69" s="110" t="n">
        <f aca="false">IF(OR(OR($B69="",$E69="",$F69=""),$K69&lt;&gt;"نعم",$M69="نعم"),0,MAX(0,MIN($F69,EOMONTH(DATE(cfg_FY,10,1),0))-MAX($E69,DATE(cfg_FY,10,1))+1))</f>
        <v>0</v>
      </c>
      <c r="BD69" s="110" t="n">
        <f aca="false">IF(OR(OR($B69="",$E69="",$F69=""),$K69&lt;&gt;"نعم",$M69="نعم"),0,MAX(0,MIN($F69,EOMONTH(DATE(cfg_FY,11,1),0))-MAX($E69,DATE(cfg_FY,11,1))+1))</f>
        <v>0</v>
      </c>
      <c r="BE69" s="110" t="n">
        <f aca="false">IF(OR(OR($B69="",$E69="",$F69=""),$K69&lt;&gt;"نعم",$M69="نعم"),0,MAX(0,MIN($F69,EOMONTH(DATE(cfg_FY,12,1),0))-MAX($E69,DATE(cfg_FY,12,1))+1))</f>
        <v>0</v>
      </c>
    </row>
    <row r="70" customFormat="false" ht="15" hidden="false" customHeight="false" outlineLevel="0" collapsed="false">
      <c r="A70" s="93" t="str">
        <f aca="false">IF(B70="","",ROW()-5)</f>
        <v/>
      </c>
      <c r="B70" s="79"/>
      <c r="C70" s="80" t="str">
        <f aca="false">IF(B70="","",IFERROR(INDEX(الموظفون!$C$6:$C$105,MATCH(B70,الموظفون!$B$6:$B$105,0)),"✖ رقم غير موجود"))</f>
        <v/>
      </c>
      <c r="D70" s="79"/>
      <c r="E70" s="94"/>
      <c r="F70" s="94"/>
      <c r="G70" s="57" t="str">
        <f aca="false">IF(OR($B70="",$E70="",$F70=""),"",MAX(0,F70-E70+1))</f>
        <v/>
      </c>
      <c r="H70" s="58" t="str">
        <f aca="false">IF(D70="","",IFERROR(VLOOKUP(D70,cfg_LT,2,FALSE()),1))</f>
        <v/>
      </c>
      <c r="I70" s="82"/>
      <c r="J70" s="58" t="str">
        <f aca="false">IF(D70="","",IF(I70&lt;&gt;"",I70,H70))</f>
        <v/>
      </c>
      <c r="K70" s="80" t="str">
        <f aca="false">IF(D70="","",IFERROR(VLOOKUP($D70,cfg_LT,3,FALSE()),""))</f>
        <v/>
      </c>
      <c r="L70" s="80" t="str">
        <f aca="false">IF(D70="","",IFERROR(VLOOKUP($D70,cfg_LT,4,FALSE()),""))</f>
        <v/>
      </c>
      <c r="M70" s="80" t="str">
        <f aca="false">IF(D70="","",IFERROR(VLOOKUP($D70,cfg_LT,5,FALSE()),""))</f>
        <v/>
      </c>
      <c r="N70" s="97" t="n">
        <f aca="false">IF(OR(OR($B70="",$E70="",$F70=""),M70&lt;&gt;"نعم"),0,G70*J70*IFERROR(INDEX(الموظفون!$R$6:$R$105,MATCH(B70,الموظفون!$B$6:$B$105,0)),0)/cfg_DAYS_M)</f>
        <v>0</v>
      </c>
      <c r="O70" s="93" t="str">
        <f aca="false">IF(OR(OR($B70="",$E70="",$F70=""),M70&lt;&gt;"نعم"),"",IF(YEAR(E70)=cfg_FY,MONTH(E70),""))</f>
        <v/>
      </c>
      <c r="P70" s="80" t="str">
        <f aca="false">IF(B70="","",IF(OR(D70="",E70="",F70=""),"⚠ أكمل النوع والتواريخ",IF(F70&lt;E70,"✖ النهاية قبل البداية",IF(COUNTIFS($B$6:$B$505,B70,$E$6:$E$505,"&lt;="&amp;F70,$F$6:$F$505,"&gt;="&amp;E70)&gt;1,"⚠ تداخل مع سجل آخر",IF(E70&gt;cfg_VAL_DATE,"⏳ قادمة",IF(F70&lt;cfg_VAL_DATE,"✔ منتهية","✈ جارية في تاريخ التقرير"))))))</f>
        <v/>
      </c>
      <c r="Q70" s="79"/>
      <c r="R70" s="57" t="n">
        <f aca="false">IF(OR(OR($B70="",$E70="",$F70=""),L70&lt;&gt;"لا"),0,MAX(0,MIN(F70,cfg_Y_START-1)-E70+1))</f>
        <v>0</v>
      </c>
      <c r="S70" s="57" t="n">
        <f aca="false">IF(OR(OR($B70="",$E70="",$F70=""),L70&lt;&gt;"لا"),0,MAX(0,MIN(F70,cfg_VAL_DATE)-E70+1))</f>
        <v>0</v>
      </c>
      <c r="T70" s="57" t="n">
        <f aca="false">IF(OR(OR($B70="",$E70="",$F70=""),K70&lt;&gt;"نعم"),0,IF(M70="نعم",IF(AND(ISNUMBER(O70),N(O70)&lt;=cfg_VAL_M),G70,0),MAX(0,MIN(F70,cfg_VAL_DATE)-MAX(E70,cfg_Y_START)+1)))</f>
        <v>0</v>
      </c>
      <c r="V70" s="57" t="n">
        <f aca="false">IF(OR($B70="",$E70="",$F70=""),0,MAX(0,MIN($F70,EOMONTH(DATE(cfg_FY,1,1),0))-MAX($E70,DATE(cfg_FY,1,1))+1)*(1-IF($M70="نعم",0,N($J70))))</f>
        <v>0</v>
      </c>
      <c r="W70" s="57" t="n">
        <f aca="false">IF(OR($B70="",$E70="",$F70=""),0,MAX(0,MIN($F70,EOMONTH(DATE(cfg_FY,2,1),0))-MAX($E70,DATE(cfg_FY,2,1))+1)*(1-IF($M70="نعم",0,N($J70))))</f>
        <v>0</v>
      </c>
      <c r="X70" s="57" t="n">
        <f aca="false">IF(OR($B70="",$E70="",$F70=""),0,MAX(0,MIN($F70,EOMONTH(DATE(cfg_FY,3,1),0))-MAX($E70,DATE(cfg_FY,3,1))+1)*(1-IF($M70="نعم",0,N($J70))))</f>
        <v>0</v>
      </c>
      <c r="Y70" s="57" t="n">
        <f aca="false">IF(OR($B70="",$E70="",$F70=""),0,MAX(0,MIN($F70,EOMONTH(DATE(cfg_FY,4,1),0))-MAX($E70,DATE(cfg_FY,4,1))+1)*(1-IF($M70="نعم",0,N($J70))))</f>
        <v>0</v>
      </c>
      <c r="Z70" s="57" t="n">
        <f aca="false">IF(OR($B70="",$E70="",$F70=""),0,MAX(0,MIN($F70,EOMONTH(DATE(cfg_FY,5,1),0))-MAX($E70,DATE(cfg_FY,5,1))+1)*(1-IF($M70="نعم",0,N($J70))))</f>
        <v>0</v>
      </c>
      <c r="AA70" s="57" t="n">
        <f aca="false">IF(OR($B70="",$E70="",$F70=""),0,MAX(0,MIN($F70,EOMONTH(DATE(cfg_FY,6,1),0))-MAX($E70,DATE(cfg_FY,6,1))+1)*(1-IF($M70="نعم",0,N($J70))))</f>
        <v>0</v>
      </c>
      <c r="AB70" s="57" t="n">
        <f aca="false">IF(OR($B70="",$E70="",$F70=""),0,MAX(0,MIN($F70,EOMONTH(DATE(cfg_FY,7,1),0))-MAX($E70,DATE(cfg_FY,7,1))+1)*(1-IF($M70="نعم",0,N($J70))))</f>
        <v>0</v>
      </c>
      <c r="AC70" s="57" t="n">
        <f aca="false">IF(OR($B70="",$E70="",$F70=""),0,MAX(0,MIN($F70,EOMONTH(DATE(cfg_FY,8,1),0))-MAX($E70,DATE(cfg_FY,8,1))+1)*(1-IF($M70="نعم",0,N($J70))))</f>
        <v>0</v>
      </c>
      <c r="AD70" s="57" t="n">
        <f aca="false">IF(OR($B70="",$E70="",$F70=""),0,MAX(0,MIN($F70,EOMONTH(DATE(cfg_FY,9,1),0))-MAX($E70,DATE(cfg_FY,9,1))+1)*(1-IF($M70="نعم",0,N($J70))))</f>
        <v>0</v>
      </c>
      <c r="AE70" s="57" t="n">
        <f aca="false">IF(OR($B70="",$E70="",$F70=""),0,MAX(0,MIN($F70,EOMONTH(DATE(cfg_FY,10,1),0))-MAX($E70,DATE(cfg_FY,10,1))+1)*(1-IF($M70="نعم",0,N($J70))))</f>
        <v>0</v>
      </c>
      <c r="AF70" s="57" t="n">
        <f aca="false">IF(OR($B70="",$E70="",$F70=""),0,MAX(0,MIN($F70,EOMONTH(DATE(cfg_FY,11,1),0))-MAX($E70,DATE(cfg_FY,11,1))+1)*(1-IF($M70="نعم",0,N($J70))))</f>
        <v>0</v>
      </c>
      <c r="AG70" s="57" t="n">
        <f aca="false">IF(OR($B70="",$E70="",$F70=""),0,MAX(0,MIN($F70,EOMONTH(DATE(cfg_FY,12,1),0))-MAX($E70,DATE(cfg_FY,12,1))+1)*(1-IF($M70="نعم",0,N($J70))))</f>
        <v>0</v>
      </c>
      <c r="AH70" s="57" t="n">
        <f aca="false">IF(OR(OR($B70="",$E70="",$F70=""),$L70&lt;&gt;"لا"),0,MAX(0,MIN($F70,EOMONTH(DATE(cfg_FY,1,1),0))-$E70+1))</f>
        <v>0</v>
      </c>
      <c r="AI70" s="57" t="n">
        <f aca="false">IF(OR(OR($B70="",$E70="",$F70=""),$L70&lt;&gt;"لا"),0,MAX(0,MIN($F70,EOMONTH(DATE(cfg_FY,2,1),0))-$E70+1))</f>
        <v>0</v>
      </c>
      <c r="AJ70" s="57" t="n">
        <f aca="false">IF(OR(OR($B70="",$E70="",$F70=""),$L70&lt;&gt;"لا"),0,MAX(0,MIN($F70,EOMONTH(DATE(cfg_FY,3,1),0))-$E70+1))</f>
        <v>0</v>
      </c>
      <c r="AK70" s="57" t="n">
        <f aca="false">IF(OR(OR($B70="",$E70="",$F70=""),$L70&lt;&gt;"لا"),0,MAX(0,MIN($F70,EOMONTH(DATE(cfg_FY,4,1),0))-$E70+1))</f>
        <v>0</v>
      </c>
      <c r="AL70" s="57" t="n">
        <f aca="false">IF(OR(OR($B70="",$E70="",$F70=""),$L70&lt;&gt;"لا"),0,MAX(0,MIN($F70,EOMONTH(DATE(cfg_FY,5,1),0))-$E70+1))</f>
        <v>0</v>
      </c>
      <c r="AM70" s="57" t="n">
        <f aca="false">IF(OR(OR($B70="",$E70="",$F70=""),$L70&lt;&gt;"لا"),0,MAX(0,MIN($F70,EOMONTH(DATE(cfg_FY,6,1),0))-$E70+1))</f>
        <v>0</v>
      </c>
      <c r="AN70" s="57" t="n">
        <f aca="false">IF(OR(OR($B70="",$E70="",$F70=""),$L70&lt;&gt;"لا"),0,MAX(0,MIN($F70,EOMONTH(DATE(cfg_FY,7,1),0))-$E70+1))</f>
        <v>0</v>
      </c>
      <c r="AO70" s="57" t="n">
        <f aca="false">IF(OR(OR($B70="",$E70="",$F70=""),$L70&lt;&gt;"لا"),0,MAX(0,MIN($F70,EOMONTH(DATE(cfg_FY,8,1),0))-$E70+1))</f>
        <v>0</v>
      </c>
      <c r="AP70" s="57" t="n">
        <f aca="false">IF(OR(OR($B70="",$E70="",$F70=""),$L70&lt;&gt;"لا"),0,MAX(0,MIN($F70,EOMONTH(DATE(cfg_FY,9,1),0))-$E70+1))</f>
        <v>0</v>
      </c>
      <c r="AQ70" s="57" t="n">
        <f aca="false">IF(OR(OR($B70="",$E70="",$F70=""),$L70&lt;&gt;"لا"),0,MAX(0,MIN($F70,EOMONTH(DATE(cfg_FY,10,1),0))-$E70+1))</f>
        <v>0</v>
      </c>
      <c r="AR70" s="57" t="n">
        <f aca="false">IF(OR(OR($B70="",$E70="",$F70=""),$L70&lt;&gt;"لا"),0,MAX(0,MIN($F70,EOMONTH(DATE(cfg_FY,11,1),0))-$E70+1))</f>
        <v>0</v>
      </c>
      <c r="AS70" s="57" t="n">
        <f aca="false">IF(OR(OR($B70="",$E70="",$F70=""),$L70&lt;&gt;"لا"),0,MAX(0,MIN($F70,EOMONTH(DATE(cfg_FY,12,1),0))-$E70+1))</f>
        <v>0</v>
      </c>
      <c r="AT70" s="57" t="n">
        <f aca="false">IF(OR(OR($B70="",$E70="",$F70=""),$K70&lt;&gt;"نعم",$M70="نعم"),0,MAX(0,MIN($F70,EOMONTH(DATE(cfg_FY,1,1),0))-MAX($E70,DATE(cfg_FY,1,1))+1))</f>
        <v>0</v>
      </c>
      <c r="AU70" s="57" t="n">
        <f aca="false">IF(OR(OR($B70="",$E70="",$F70=""),$K70&lt;&gt;"نعم",$M70="نعم"),0,MAX(0,MIN($F70,EOMONTH(DATE(cfg_FY,2,1),0))-MAX($E70,DATE(cfg_FY,2,1))+1))</f>
        <v>0</v>
      </c>
      <c r="AV70" s="57" t="n">
        <f aca="false">IF(OR(OR($B70="",$E70="",$F70=""),$K70&lt;&gt;"نعم",$M70="نعم"),0,MAX(0,MIN($F70,EOMONTH(DATE(cfg_FY,3,1),0))-MAX($E70,DATE(cfg_FY,3,1))+1))</f>
        <v>0</v>
      </c>
      <c r="AW70" s="57" t="n">
        <f aca="false">IF(OR(OR($B70="",$E70="",$F70=""),$K70&lt;&gt;"نعم",$M70="نعم"),0,MAX(0,MIN($F70,EOMONTH(DATE(cfg_FY,4,1),0))-MAX($E70,DATE(cfg_FY,4,1))+1))</f>
        <v>0</v>
      </c>
      <c r="AX70" s="57" t="n">
        <f aca="false">IF(OR(OR($B70="",$E70="",$F70=""),$K70&lt;&gt;"نعم",$M70="نعم"),0,MAX(0,MIN($F70,EOMONTH(DATE(cfg_FY,5,1),0))-MAX($E70,DATE(cfg_FY,5,1))+1))</f>
        <v>0</v>
      </c>
      <c r="AY70" s="57" t="n">
        <f aca="false">IF(OR(OR($B70="",$E70="",$F70=""),$K70&lt;&gt;"نعم",$M70="نعم"),0,MAX(0,MIN($F70,EOMONTH(DATE(cfg_FY,6,1),0))-MAX($E70,DATE(cfg_FY,6,1))+1))</f>
        <v>0</v>
      </c>
      <c r="AZ70" s="57" t="n">
        <f aca="false">IF(OR(OR($B70="",$E70="",$F70=""),$K70&lt;&gt;"نعم",$M70="نعم"),0,MAX(0,MIN($F70,EOMONTH(DATE(cfg_FY,7,1),0))-MAX($E70,DATE(cfg_FY,7,1))+1))</f>
        <v>0</v>
      </c>
      <c r="BA70" s="57" t="n">
        <f aca="false">IF(OR(OR($B70="",$E70="",$F70=""),$K70&lt;&gt;"نعم",$M70="نعم"),0,MAX(0,MIN($F70,EOMONTH(DATE(cfg_FY,8,1),0))-MAX($E70,DATE(cfg_FY,8,1))+1))</f>
        <v>0</v>
      </c>
      <c r="BB70" s="57" t="n">
        <f aca="false">IF(OR(OR($B70="",$E70="",$F70=""),$K70&lt;&gt;"نعم",$M70="نعم"),0,MAX(0,MIN($F70,EOMONTH(DATE(cfg_FY,9,1),0))-MAX($E70,DATE(cfg_FY,9,1))+1))</f>
        <v>0</v>
      </c>
      <c r="BC70" s="57" t="n">
        <f aca="false">IF(OR(OR($B70="",$E70="",$F70=""),$K70&lt;&gt;"نعم",$M70="نعم"),0,MAX(0,MIN($F70,EOMONTH(DATE(cfg_FY,10,1),0))-MAX($E70,DATE(cfg_FY,10,1))+1))</f>
        <v>0</v>
      </c>
      <c r="BD70" s="57" t="n">
        <f aca="false">IF(OR(OR($B70="",$E70="",$F70=""),$K70&lt;&gt;"نعم",$M70="نعم"),0,MAX(0,MIN($F70,EOMONTH(DATE(cfg_FY,11,1),0))-MAX($E70,DATE(cfg_FY,11,1))+1))</f>
        <v>0</v>
      </c>
      <c r="BE70" s="57" t="n">
        <f aca="false">IF(OR(OR($B70="",$E70="",$F70=""),$K70&lt;&gt;"نعم",$M70="نعم"),0,MAX(0,MIN($F70,EOMONTH(DATE(cfg_FY,12,1),0))-MAX($E70,DATE(cfg_FY,12,1))+1))</f>
        <v>0</v>
      </c>
    </row>
    <row r="71" customFormat="false" ht="15" hidden="false" customHeight="false" outlineLevel="0" collapsed="false">
      <c r="A71" s="100" t="str">
        <f aca="false">IF(B71="","",ROW()-5)</f>
        <v/>
      </c>
      <c r="B71" s="79"/>
      <c r="C71" s="102" t="str">
        <f aca="false">IF(B71="","",IFERROR(INDEX(الموظفون!$C$6:$C$105,MATCH(B71,الموظفون!$B$6:$B$105,0)),"✖ رقم غير موجود"))</f>
        <v/>
      </c>
      <c r="D71" s="79"/>
      <c r="E71" s="94"/>
      <c r="F71" s="94"/>
      <c r="G71" s="110" t="str">
        <f aca="false">IF(OR($B71="",$E71="",$F71=""),"",MAX(0,F71-E71+1))</f>
        <v/>
      </c>
      <c r="H71" s="111" t="str">
        <f aca="false">IF(D71="","",IFERROR(VLOOKUP(D71,cfg_LT,2,FALSE()),1))</f>
        <v/>
      </c>
      <c r="I71" s="82"/>
      <c r="J71" s="111" t="str">
        <f aca="false">IF(D71="","",IF(I71&lt;&gt;"",I71,H71))</f>
        <v/>
      </c>
      <c r="K71" s="102" t="str">
        <f aca="false">IF(D71="","",IFERROR(VLOOKUP($D71,cfg_LT,3,FALSE()),""))</f>
        <v/>
      </c>
      <c r="L71" s="102" t="str">
        <f aca="false">IF(D71="","",IFERROR(VLOOKUP($D71,cfg_LT,4,FALSE()),""))</f>
        <v/>
      </c>
      <c r="M71" s="102" t="str">
        <f aca="false">IF(D71="","",IFERROR(VLOOKUP($D71,cfg_LT,5,FALSE()),""))</f>
        <v/>
      </c>
      <c r="N71" s="101" t="n">
        <f aca="false">IF(OR(OR($B71="",$E71="",$F71=""),M71&lt;&gt;"نعم"),0,G71*J71*IFERROR(INDEX(الموظفون!$R$6:$R$105,MATCH(B71,الموظفون!$B$6:$B$105,0)),0)/cfg_DAYS_M)</f>
        <v>0</v>
      </c>
      <c r="O71" s="100" t="str">
        <f aca="false">IF(OR(OR($B71="",$E71="",$F71=""),M71&lt;&gt;"نعم"),"",IF(YEAR(E71)=cfg_FY,MONTH(E71),""))</f>
        <v/>
      </c>
      <c r="P71" s="102" t="str">
        <f aca="false">IF(B71="","",IF(OR(D71="",E71="",F71=""),"⚠ أكمل النوع والتواريخ",IF(F71&lt;E71,"✖ النهاية قبل البداية",IF(COUNTIFS($B$6:$B$505,B71,$E$6:$E$505,"&lt;="&amp;F71,$F$6:$F$505,"&gt;="&amp;E71)&gt;1,"⚠ تداخل مع سجل آخر",IF(E71&gt;cfg_VAL_DATE,"⏳ قادمة",IF(F71&lt;cfg_VAL_DATE,"✔ منتهية","✈ جارية في تاريخ التقرير"))))))</f>
        <v/>
      </c>
      <c r="Q71" s="79"/>
      <c r="R71" s="110" t="n">
        <f aca="false">IF(OR(OR($B71="",$E71="",$F71=""),L71&lt;&gt;"لا"),0,MAX(0,MIN(F71,cfg_Y_START-1)-E71+1))</f>
        <v>0</v>
      </c>
      <c r="S71" s="110" t="n">
        <f aca="false">IF(OR(OR($B71="",$E71="",$F71=""),L71&lt;&gt;"لا"),0,MAX(0,MIN(F71,cfg_VAL_DATE)-E71+1))</f>
        <v>0</v>
      </c>
      <c r="T71" s="110" t="n">
        <f aca="false">IF(OR(OR($B71="",$E71="",$F71=""),K71&lt;&gt;"نعم"),0,IF(M71="نعم",IF(AND(ISNUMBER(O71),N(O71)&lt;=cfg_VAL_M),G71,0),MAX(0,MIN(F71,cfg_VAL_DATE)-MAX(E71,cfg_Y_START)+1)))</f>
        <v>0</v>
      </c>
      <c r="V71" s="110" t="n">
        <f aca="false">IF(OR($B71="",$E71="",$F71=""),0,MAX(0,MIN($F71,EOMONTH(DATE(cfg_FY,1,1),0))-MAX($E71,DATE(cfg_FY,1,1))+1)*(1-IF($M71="نعم",0,N($J71))))</f>
        <v>0</v>
      </c>
      <c r="W71" s="110" t="n">
        <f aca="false">IF(OR($B71="",$E71="",$F71=""),0,MAX(0,MIN($F71,EOMONTH(DATE(cfg_FY,2,1),0))-MAX($E71,DATE(cfg_FY,2,1))+1)*(1-IF($M71="نعم",0,N($J71))))</f>
        <v>0</v>
      </c>
      <c r="X71" s="110" t="n">
        <f aca="false">IF(OR($B71="",$E71="",$F71=""),0,MAX(0,MIN($F71,EOMONTH(DATE(cfg_FY,3,1),0))-MAX($E71,DATE(cfg_FY,3,1))+1)*(1-IF($M71="نعم",0,N($J71))))</f>
        <v>0</v>
      </c>
      <c r="Y71" s="110" t="n">
        <f aca="false">IF(OR($B71="",$E71="",$F71=""),0,MAX(0,MIN($F71,EOMONTH(DATE(cfg_FY,4,1),0))-MAX($E71,DATE(cfg_FY,4,1))+1)*(1-IF($M71="نعم",0,N($J71))))</f>
        <v>0</v>
      </c>
      <c r="Z71" s="110" t="n">
        <f aca="false">IF(OR($B71="",$E71="",$F71=""),0,MAX(0,MIN($F71,EOMONTH(DATE(cfg_FY,5,1),0))-MAX($E71,DATE(cfg_FY,5,1))+1)*(1-IF($M71="نعم",0,N($J71))))</f>
        <v>0</v>
      </c>
      <c r="AA71" s="110" t="n">
        <f aca="false">IF(OR($B71="",$E71="",$F71=""),0,MAX(0,MIN($F71,EOMONTH(DATE(cfg_FY,6,1),0))-MAX($E71,DATE(cfg_FY,6,1))+1)*(1-IF($M71="نعم",0,N($J71))))</f>
        <v>0</v>
      </c>
      <c r="AB71" s="110" t="n">
        <f aca="false">IF(OR($B71="",$E71="",$F71=""),0,MAX(0,MIN($F71,EOMONTH(DATE(cfg_FY,7,1),0))-MAX($E71,DATE(cfg_FY,7,1))+1)*(1-IF($M71="نعم",0,N($J71))))</f>
        <v>0</v>
      </c>
      <c r="AC71" s="110" t="n">
        <f aca="false">IF(OR($B71="",$E71="",$F71=""),0,MAX(0,MIN($F71,EOMONTH(DATE(cfg_FY,8,1),0))-MAX($E71,DATE(cfg_FY,8,1))+1)*(1-IF($M71="نعم",0,N($J71))))</f>
        <v>0</v>
      </c>
      <c r="AD71" s="110" t="n">
        <f aca="false">IF(OR($B71="",$E71="",$F71=""),0,MAX(0,MIN($F71,EOMONTH(DATE(cfg_FY,9,1),0))-MAX($E71,DATE(cfg_FY,9,1))+1)*(1-IF($M71="نعم",0,N($J71))))</f>
        <v>0</v>
      </c>
      <c r="AE71" s="110" t="n">
        <f aca="false">IF(OR($B71="",$E71="",$F71=""),0,MAX(0,MIN($F71,EOMONTH(DATE(cfg_FY,10,1),0))-MAX($E71,DATE(cfg_FY,10,1))+1)*(1-IF($M71="نعم",0,N($J71))))</f>
        <v>0</v>
      </c>
      <c r="AF71" s="110" t="n">
        <f aca="false">IF(OR($B71="",$E71="",$F71=""),0,MAX(0,MIN($F71,EOMONTH(DATE(cfg_FY,11,1),0))-MAX($E71,DATE(cfg_FY,11,1))+1)*(1-IF($M71="نعم",0,N($J71))))</f>
        <v>0</v>
      </c>
      <c r="AG71" s="110" t="n">
        <f aca="false">IF(OR($B71="",$E71="",$F71=""),0,MAX(0,MIN($F71,EOMONTH(DATE(cfg_FY,12,1),0))-MAX($E71,DATE(cfg_FY,12,1))+1)*(1-IF($M71="نعم",0,N($J71))))</f>
        <v>0</v>
      </c>
      <c r="AH71" s="110" t="n">
        <f aca="false">IF(OR(OR($B71="",$E71="",$F71=""),$L71&lt;&gt;"لا"),0,MAX(0,MIN($F71,EOMONTH(DATE(cfg_FY,1,1),0))-$E71+1))</f>
        <v>0</v>
      </c>
      <c r="AI71" s="110" t="n">
        <f aca="false">IF(OR(OR($B71="",$E71="",$F71=""),$L71&lt;&gt;"لا"),0,MAX(0,MIN($F71,EOMONTH(DATE(cfg_FY,2,1),0))-$E71+1))</f>
        <v>0</v>
      </c>
      <c r="AJ71" s="110" t="n">
        <f aca="false">IF(OR(OR($B71="",$E71="",$F71=""),$L71&lt;&gt;"لا"),0,MAX(0,MIN($F71,EOMONTH(DATE(cfg_FY,3,1),0))-$E71+1))</f>
        <v>0</v>
      </c>
      <c r="AK71" s="110" t="n">
        <f aca="false">IF(OR(OR($B71="",$E71="",$F71=""),$L71&lt;&gt;"لا"),0,MAX(0,MIN($F71,EOMONTH(DATE(cfg_FY,4,1),0))-$E71+1))</f>
        <v>0</v>
      </c>
      <c r="AL71" s="110" t="n">
        <f aca="false">IF(OR(OR($B71="",$E71="",$F71=""),$L71&lt;&gt;"لا"),0,MAX(0,MIN($F71,EOMONTH(DATE(cfg_FY,5,1),0))-$E71+1))</f>
        <v>0</v>
      </c>
      <c r="AM71" s="110" t="n">
        <f aca="false">IF(OR(OR($B71="",$E71="",$F71=""),$L71&lt;&gt;"لا"),0,MAX(0,MIN($F71,EOMONTH(DATE(cfg_FY,6,1),0))-$E71+1))</f>
        <v>0</v>
      </c>
      <c r="AN71" s="110" t="n">
        <f aca="false">IF(OR(OR($B71="",$E71="",$F71=""),$L71&lt;&gt;"لا"),0,MAX(0,MIN($F71,EOMONTH(DATE(cfg_FY,7,1),0))-$E71+1))</f>
        <v>0</v>
      </c>
      <c r="AO71" s="110" t="n">
        <f aca="false">IF(OR(OR($B71="",$E71="",$F71=""),$L71&lt;&gt;"لا"),0,MAX(0,MIN($F71,EOMONTH(DATE(cfg_FY,8,1),0))-$E71+1))</f>
        <v>0</v>
      </c>
      <c r="AP71" s="110" t="n">
        <f aca="false">IF(OR(OR($B71="",$E71="",$F71=""),$L71&lt;&gt;"لا"),0,MAX(0,MIN($F71,EOMONTH(DATE(cfg_FY,9,1),0))-$E71+1))</f>
        <v>0</v>
      </c>
      <c r="AQ71" s="110" t="n">
        <f aca="false">IF(OR(OR($B71="",$E71="",$F71=""),$L71&lt;&gt;"لا"),0,MAX(0,MIN($F71,EOMONTH(DATE(cfg_FY,10,1),0))-$E71+1))</f>
        <v>0</v>
      </c>
      <c r="AR71" s="110" t="n">
        <f aca="false">IF(OR(OR($B71="",$E71="",$F71=""),$L71&lt;&gt;"لا"),0,MAX(0,MIN($F71,EOMONTH(DATE(cfg_FY,11,1),0))-$E71+1))</f>
        <v>0</v>
      </c>
      <c r="AS71" s="110" t="n">
        <f aca="false">IF(OR(OR($B71="",$E71="",$F71=""),$L71&lt;&gt;"لا"),0,MAX(0,MIN($F71,EOMONTH(DATE(cfg_FY,12,1),0))-$E71+1))</f>
        <v>0</v>
      </c>
      <c r="AT71" s="110" t="n">
        <f aca="false">IF(OR(OR($B71="",$E71="",$F71=""),$K71&lt;&gt;"نعم",$M71="نعم"),0,MAX(0,MIN($F71,EOMONTH(DATE(cfg_FY,1,1),0))-MAX($E71,DATE(cfg_FY,1,1))+1))</f>
        <v>0</v>
      </c>
      <c r="AU71" s="110" t="n">
        <f aca="false">IF(OR(OR($B71="",$E71="",$F71=""),$K71&lt;&gt;"نعم",$M71="نعم"),0,MAX(0,MIN($F71,EOMONTH(DATE(cfg_FY,2,1),0))-MAX($E71,DATE(cfg_FY,2,1))+1))</f>
        <v>0</v>
      </c>
      <c r="AV71" s="110" t="n">
        <f aca="false">IF(OR(OR($B71="",$E71="",$F71=""),$K71&lt;&gt;"نعم",$M71="نعم"),0,MAX(0,MIN($F71,EOMONTH(DATE(cfg_FY,3,1),0))-MAX($E71,DATE(cfg_FY,3,1))+1))</f>
        <v>0</v>
      </c>
      <c r="AW71" s="110" t="n">
        <f aca="false">IF(OR(OR($B71="",$E71="",$F71=""),$K71&lt;&gt;"نعم",$M71="نعم"),0,MAX(0,MIN($F71,EOMONTH(DATE(cfg_FY,4,1),0))-MAX($E71,DATE(cfg_FY,4,1))+1))</f>
        <v>0</v>
      </c>
      <c r="AX71" s="110" t="n">
        <f aca="false">IF(OR(OR($B71="",$E71="",$F71=""),$K71&lt;&gt;"نعم",$M71="نعم"),0,MAX(0,MIN($F71,EOMONTH(DATE(cfg_FY,5,1),0))-MAX($E71,DATE(cfg_FY,5,1))+1))</f>
        <v>0</v>
      </c>
      <c r="AY71" s="110" t="n">
        <f aca="false">IF(OR(OR($B71="",$E71="",$F71=""),$K71&lt;&gt;"نعم",$M71="نعم"),0,MAX(0,MIN($F71,EOMONTH(DATE(cfg_FY,6,1),0))-MAX($E71,DATE(cfg_FY,6,1))+1))</f>
        <v>0</v>
      </c>
      <c r="AZ71" s="110" t="n">
        <f aca="false">IF(OR(OR($B71="",$E71="",$F71=""),$K71&lt;&gt;"نعم",$M71="نعم"),0,MAX(0,MIN($F71,EOMONTH(DATE(cfg_FY,7,1),0))-MAX($E71,DATE(cfg_FY,7,1))+1))</f>
        <v>0</v>
      </c>
      <c r="BA71" s="110" t="n">
        <f aca="false">IF(OR(OR($B71="",$E71="",$F71=""),$K71&lt;&gt;"نعم",$M71="نعم"),0,MAX(0,MIN($F71,EOMONTH(DATE(cfg_FY,8,1),0))-MAX($E71,DATE(cfg_FY,8,1))+1))</f>
        <v>0</v>
      </c>
      <c r="BB71" s="110" t="n">
        <f aca="false">IF(OR(OR($B71="",$E71="",$F71=""),$K71&lt;&gt;"نعم",$M71="نعم"),0,MAX(0,MIN($F71,EOMONTH(DATE(cfg_FY,9,1),0))-MAX($E71,DATE(cfg_FY,9,1))+1))</f>
        <v>0</v>
      </c>
      <c r="BC71" s="110" t="n">
        <f aca="false">IF(OR(OR($B71="",$E71="",$F71=""),$K71&lt;&gt;"نعم",$M71="نعم"),0,MAX(0,MIN($F71,EOMONTH(DATE(cfg_FY,10,1),0))-MAX($E71,DATE(cfg_FY,10,1))+1))</f>
        <v>0</v>
      </c>
      <c r="BD71" s="110" t="n">
        <f aca="false">IF(OR(OR($B71="",$E71="",$F71=""),$K71&lt;&gt;"نعم",$M71="نعم"),0,MAX(0,MIN($F71,EOMONTH(DATE(cfg_FY,11,1),0))-MAX($E71,DATE(cfg_FY,11,1))+1))</f>
        <v>0</v>
      </c>
      <c r="BE71" s="110" t="n">
        <f aca="false">IF(OR(OR($B71="",$E71="",$F71=""),$K71&lt;&gt;"نعم",$M71="نعم"),0,MAX(0,MIN($F71,EOMONTH(DATE(cfg_FY,12,1),0))-MAX($E71,DATE(cfg_FY,12,1))+1))</f>
        <v>0</v>
      </c>
    </row>
    <row r="72" customFormat="false" ht="15" hidden="false" customHeight="false" outlineLevel="0" collapsed="false">
      <c r="A72" s="93" t="str">
        <f aca="false">IF(B72="","",ROW()-5)</f>
        <v/>
      </c>
      <c r="B72" s="79"/>
      <c r="C72" s="80" t="str">
        <f aca="false">IF(B72="","",IFERROR(INDEX(الموظفون!$C$6:$C$105,MATCH(B72,الموظفون!$B$6:$B$105,0)),"✖ رقم غير موجود"))</f>
        <v/>
      </c>
      <c r="D72" s="79"/>
      <c r="E72" s="94"/>
      <c r="F72" s="94"/>
      <c r="G72" s="57" t="str">
        <f aca="false">IF(OR($B72="",$E72="",$F72=""),"",MAX(0,F72-E72+1))</f>
        <v/>
      </c>
      <c r="H72" s="58" t="str">
        <f aca="false">IF(D72="","",IFERROR(VLOOKUP(D72,cfg_LT,2,FALSE()),1))</f>
        <v/>
      </c>
      <c r="I72" s="82"/>
      <c r="J72" s="58" t="str">
        <f aca="false">IF(D72="","",IF(I72&lt;&gt;"",I72,H72))</f>
        <v/>
      </c>
      <c r="K72" s="80" t="str">
        <f aca="false">IF(D72="","",IFERROR(VLOOKUP($D72,cfg_LT,3,FALSE()),""))</f>
        <v/>
      </c>
      <c r="L72" s="80" t="str">
        <f aca="false">IF(D72="","",IFERROR(VLOOKUP($D72,cfg_LT,4,FALSE()),""))</f>
        <v/>
      </c>
      <c r="M72" s="80" t="str">
        <f aca="false">IF(D72="","",IFERROR(VLOOKUP($D72,cfg_LT,5,FALSE()),""))</f>
        <v/>
      </c>
      <c r="N72" s="97" t="n">
        <f aca="false">IF(OR(OR($B72="",$E72="",$F72=""),M72&lt;&gt;"نعم"),0,G72*J72*IFERROR(INDEX(الموظفون!$R$6:$R$105,MATCH(B72,الموظفون!$B$6:$B$105,0)),0)/cfg_DAYS_M)</f>
        <v>0</v>
      </c>
      <c r="O72" s="93" t="str">
        <f aca="false">IF(OR(OR($B72="",$E72="",$F72=""),M72&lt;&gt;"نعم"),"",IF(YEAR(E72)=cfg_FY,MONTH(E72),""))</f>
        <v/>
      </c>
      <c r="P72" s="80" t="str">
        <f aca="false">IF(B72="","",IF(OR(D72="",E72="",F72=""),"⚠ أكمل النوع والتواريخ",IF(F72&lt;E72,"✖ النهاية قبل البداية",IF(COUNTIFS($B$6:$B$505,B72,$E$6:$E$505,"&lt;="&amp;F72,$F$6:$F$505,"&gt;="&amp;E72)&gt;1,"⚠ تداخل مع سجل آخر",IF(E72&gt;cfg_VAL_DATE,"⏳ قادمة",IF(F72&lt;cfg_VAL_DATE,"✔ منتهية","✈ جارية في تاريخ التقرير"))))))</f>
        <v/>
      </c>
      <c r="Q72" s="79"/>
      <c r="R72" s="57" t="n">
        <f aca="false">IF(OR(OR($B72="",$E72="",$F72=""),L72&lt;&gt;"لا"),0,MAX(0,MIN(F72,cfg_Y_START-1)-E72+1))</f>
        <v>0</v>
      </c>
      <c r="S72" s="57" t="n">
        <f aca="false">IF(OR(OR($B72="",$E72="",$F72=""),L72&lt;&gt;"لا"),0,MAX(0,MIN(F72,cfg_VAL_DATE)-E72+1))</f>
        <v>0</v>
      </c>
      <c r="T72" s="57" t="n">
        <f aca="false">IF(OR(OR($B72="",$E72="",$F72=""),K72&lt;&gt;"نعم"),0,IF(M72="نعم",IF(AND(ISNUMBER(O72),N(O72)&lt;=cfg_VAL_M),G72,0),MAX(0,MIN(F72,cfg_VAL_DATE)-MAX(E72,cfg_Y_START)+1)))</f>
        <v>0</v>
      </c>
      <c r="V72" s="57" t="n">
        <f aca="false">IF(OR($B72="",$E72="",$F72=""),0,MAX(0,MIN($F72,EOMONTH(DATE(cfg_FY,1,1),0))-MAX($E72,DATE(cfg_FY,1,1))+1)*(1-IF($M72="نعم",0,N($J72))))</f>
        <v>0</v>
      </c>
      <c r="W72" s="57" t="n">
        <f aca="false">IF(OR($B72="",$E72="",$F72=""),0,MAX(0,MIN($F72,EOMONTH(DATE(cfg_FY,2,1),0))-MAX($E72,DATE(cfg_FY,2,1))+1)*(1-IF($M72="نعم",0,N($J72))))</f>
        <v>0</v>
      </c>
      <c r="X72" s="57" t="n">
        <f aca="false">IF(OR($B72="",$E72="",$F72=""),0,MAX(0,MIN($F72,EOMONTH(DATE(cfg_FY,3,1),0))-MAX($E72,DATE(cfg_FY,3,1))+1)*(1-IF($M72="نعم",0,N($J72))))</f>
        <v>0</v>
      </c>
      <c r="Y72" s="57" t="n">
        <f aca="false">IF(OR($B72="",$E72="",$F72=""),0,MAX(0,MIN($F72,EOMONTH(DATE(cfg_FY,4,1),0))-MAX($E72,DATE(cfg_FY,4,1))+1)*(1-IF($M72="نعم",0,N($J72))))</f>
        <v>0</v>
      </c>
      <c r="Z72" s="57" t="n">
        <f aca="false">IF(OR($B72="",$E72="",$F72=""),0,MAX(0,MIN($F72,EOMONTH(DATE(cfg_FY,5,1),0))-MAX($E72,DATE(cfg_FY,5,1))+1)*(1-IF($M72="نعم",0,N($J72))))</f>
        <v>0</v>
      </c>
      <c r="AA72" s="57" t="n">
        <f aca="false">IF(OR($B72="",$E72="",$F72=""),0,MAX(0,MIN($F72,EOMONTH(DATE(cfg_FY,6,1),0))-MAX($E72,DATE(cfg_FY,6,1))+1)*(1-IF($M72="نعم",0,N($J72))))</f>
        <v>0</v>
      </c>
      <c r="AB72" s="57" t="n">
        <f aca="false">IF(OR($B72="",$E72="",$F72=""),0,MAX(0,MIN($F72,EOMONTH(DATE(cfg_FY,7,1),0))-MAX($E72,DATE(cfg_FY,7,1))+1)*(1-IF($M72="نعم",0,N($J72))))</f>
        <v>0</v>
      </c>
      <c r="AC72" s="57" t="n">
        <f aca="false">IF(OR($B72="",$E72="",$F72=""),0,MAX(0,MIN($F72,EOMONTH(DATE(cfg_FY,8,1),0))-MAX($E72,DATE(cfg_FY,8,1))+1)*(1-IF($M72="نعم",0,N($J72))))</f>
        <v>0</v>
      </c>
      <c r="AD72" s="57" t="n">
        <f aca="false">IF(OR($B72="",$E72="",$F72=""),0,MAX(0,MIN($F72,EOMONTH(DATE(cfg_FY,9,1),0))-MAX($E72,DATE(cfg_FY,9,1))+1)*(1-IF($M72="نعم",0,N($J72))))</f>
        <v>0</v>
      </c>
      <c r="AE72" s="57" t="n">
        <f aca="false">IF(OR($B72="",$E72="",$F72=""),0,MAX(0,MIN($F72,EOMONTH(DATE(cfg_FY,10,1),0))-MAX($E72,DATE(cfg_FY,10,1))+1)*(1-IF($M72="نعم",0,N($J72))))</f>
        <v>0</v>
      </c>
      <c r="AF72" s="57" t="n">
        <f aca="false">IF(OR($B72="",$E72="",$F72=""),0,MAX(0,MIN($F72,EOMONTH(DATE(cfg_FY,11,1),0))-MAX($E72,DATE(cfg_FY,11,1))+1)*(1-IF($M72="نعم",0,N($J72))))</f>
        <v>0</v>
      </c>
      <c r="AG72" s="57" t="n">
        <f aca="false">IF(OR($B72="",$E72="",$F72=""),0,MAX(0,MIN($F72,EOMONTH(DATE(cfg_FY,12,1),0))-MAX($E72,DATE(cfg_FY,12,1))+1)*(1-IF($M72="نعم",0,N($J72))))</f>
        <v>0</v>
      </c>
      <c r="AH72" s="57" t="n">
        <f aca="false">IF(OR(OR($B72="",$E72="",$F72=""),$L72&lt;&gt;"لا"),0,MAX(0,MIN($F72,EOMONTH(DATE(cfg_FY,1,1),0))-$E72+1))</f>
        <v>0</v>
      </c>
      <c r="AI72" s="57" t="n">
        <f aca="false">IF(OR(OR($B72="",$E72="",$F72=""),$L72&lt;&gt;"لا"),0,MAX(0,MIN($F72,EOMONTH(DATE(cfg_FY,2,1),0))-$E72+1))</f>
        <v>0</v>
      </c>
      <c r="AJ72" s="57" t="n">
        <f aca="false">IF(OR(OR($B72="",$E72="",$F72=""),$L72&lt;&gt;"لا"),0,MAX(0,MIN($F72,EOMONTH(DATE(cfg_FY,3,1),0))-$E72+1))</f>
        <v>0</v>
      </c>
      <c r="AK72" s="57" t="n">
        <f aca="false">IF(OR(OR($B72="",$E72="",$F72=""),$L72&lt;&gt;"لا"),0,MAX(0,MIN($F72,EOMONTH(DATE(cfg_FY,4,1),0))-$E72+1))</f>
        <v>0</v>
      </c>
      <c r="AL72" s="57" t="n">
        <f aca="false">IF(OR(OR($B72="",$E72="",$F72=""),$L72&lt;&gt;"لا"),0,MAX(0,MIN($F72,EOMONTH(DATE(cfg_FY,5,1),0))-$E72+1))</f>
        <v>0</v>
      </c>
      <c r="AM72" s="57" t="n">
        <f aca="false">IF(OR(OR($B72="",$E72="",$F72=""),$L72&lt;&gt;"لا"),0,MAX(0,MIN($F72,EOMONTH(DATE(cfg_FY,6,1),0))-$E72+1))</f>
        <v>0</v>
      </c>
      <c r="AN72" s="57" t="n">
        <f aca="false">IF(OR(OR($B72="",$E72="",$F72=""),$L72&lt;&gt;"لا"),0,MAX(0,MIN($F72,EOMONTH(DATE(cfg_FY,7,1),0))-$E72+1))</f>
        <v>0</v>
      </c>
      <c r="AO72" s="57" t="n">
        <f aca="false">IF(OR(OR($B72="",$E72="",$F72=""),$L72&lt;&gt;"لا"),0,MAX(0,MIN($F72,EOMONTH(DATE(cfg_FY,8,1),0))-$E72+1))</f>
        <v>0</v>
      </c>
      <c r="AP72" s="57" t="n">
        <f aca="false">IF(OR(OR($B72="",$E72="",$F72=""),$L72&lt;&gt;"لا"),0,MAX(0,MIN($F72,EOMONTH(DATE(cfg_FY,9,1),0))-$E72+1))</f>
        <v>0</v>
      </c>
      <c r="AQ72" s="57" t="n">
        <f aca="false">IF(OR(OR($B72="",$E72="",$F72=""),$L72&lt;&gt;"لا"),0,MAX(0,MIN($F72,EOMONTH(DATE(cfg_FY,10,1),0))-$E72+1))</f>
        <v>0</v>
      </c>
      <c r="AR72" s="57" t="n">
        <f aca="false">IF(OR(OR($B72="",$E72="",$F72=""),$L72&lt;&gt;"لا"),0,MAX(0,MIN($F72,EOMONTH(DATE(cfg_FY,11,1),0))-$E72+1))</f>
        <v>0</v>
      </c>
      <c r="AS72" s="57" t="n">
        <f aca="false">IF(OR(OR($B72="",$E72="",$F72=""),$L72&lt;&gt;"لا"),0,MAX(0,MIN($F72,EOMONTH(DATE(cfg_FY,12,1),0))-$E72+1))</f>
        <v>0</v>
      </c>
      <c r="AT72" s="57" t="n">
        <f aca="false">IF(OR(OR($B72="",$E72="",$F72=""),$K72&lt;&gt;"نعم",$M72="نعم"),0,MAX(0,MIN($F72,EOMONTH(DATE(cfg_FY,1,1),0))-MAX($E72,DATE(cfg_FY,1,1))+1))</f>
        <v>0</v>
      </c>
      <c r="AU72" s="57" t="n">
        <f aca="false">IF(OR(OR($B72="",$E72="",$F72=""),$K72&lt;&gt;"نعم",$M72="نعم"),0,MAX(0,MIN($F72,EOMONTH(DATE(cfg_FY,2,1),0))-MAX($E72,DATE(cfg_FY,2,1))+1))</f>
        <v>0</v>
      </c>
      <c r="AV72" s="57" t="n">
        <f aca="false">IF(OR(OR($B72="",$E72="",$F72=""),$K72&lt;&gt;"نعم",$M72="نعم"),0,MAX(0,MIN($F72,EOMONTH(DATE(cfg_FY,3,1),0))-MAX($E72,DATE(cfg_FY,3,1))+1))</f>
        <v>0</v>
      </c>
      <c r="AW72" s="57" t="n">
        <f aca="false">IF(OR(OR($B72="",$E72="",$F72=""),$K72&lt;&gt;"نعم",$M72="نعم"),0,MAX(0,MIN($F72,EOMONTH(DATE(cfg_FY,4,1),0))-MAX($E72,DATE(cfg_FY,4,1))+1))</f>
        <v>0</v>
      </c>
      <c r="AX72" s="57" t="n">
        <f aca="false">IF(OR(OR($B72="",$E72="",$F72=""),$K72&lt;&gt;"نعم",$M72="نعم"),0,MAX(0,MIN($F72,EOMONTH(DATE(cfg_FY,5,1),0))-MAX($E72,DATE(cfg_FY,5,1))+1))</f>
        <v>0</v>
      </c>
      <c r="AY72" s="57" t="n">
        <f aca="false">IF(OR(OR($B72="",$E72="",$F72=""),$K72&lt;&gt;"نعم",$M72="نعم"),0,MAX(0,MIN($F72,EOMONTH(DATE(cfg_FY,6,1),0))-MAX($E72,DATE(cfg_FY,6,1))+1))</f>
        <v>0</v>
      </c>
      <c r="AZ72" s="57" t="n">
        <f aca="false">IF(OR(OR($B72="",$E72="",$F72=""),$K72&lt;&gt;"نعم",$M72="نعم"),0,MAX(0,MIN($F72,EOMONTH(DATE(cfg_FY,7,1),0))-MAX($E72,DATE(cfg_FY,7,1))+1))</f>
        <v>0</v>
      </c>
      <c r="BA72" s="57" t="n">
        <f aca="false">IF(OR(OR($B72="",$E72="",$F72=""),$K72&lt;&gt;"نعم",$M72="نعم"),0,MAX(0,MIN($F72,EOMONTH(DATE(cfg_FY,8,1),0))-MAX($E72,DATE(cfg_FY,8,1))+1))</f>
        <v>0</v>
      </c>
      <c r="BB72" s="57" t="n">
        <f aca="false">IF(OR(OR($B72="",$E72="",$F72=""),$K72&lt;&gt;"نعم",$M72="نعم"),0,MAX(0,MIN($F72,EOMONTH(DATE(cfg_FY,9,1),0))-MAX($E72,DATE(cfg_FY,9,1))+1))</f>
        <v>0</v>
      </c>
      <c r="BC72" s="57" t="n">
        <f aca="false">IF(OR(OR($B72="",$E72="",$F72=""),$K72&lt;&gt;"نعم",$M72="نعم"),0,MAX(0,MIN($F72,EOMONTH(DATE(cfg_FY,10,1),0))-MAX($E72,DATE(cfg_FY,10,1))+1))</f>
        <v>0</v>
      </c>
      <c r="BD72" s="57" t="n">
        <f aca="false">IF(OR(OR($B72="",$E72="",$F72=""),$K72&lt;&gt;"نعم",$M72="نعم"),0,MAX(0,MIN($F72,EOMONTH(DATE(cfg_FY,11,1),0))-MAX($E72,DATE(cfg_FY,11,1))+1))</f>
        <v>0</v>
      </c>
      <c r="BE72" s="57" t="n">
        <f aca="false">IF(OR(OR($B72="",$E72="",$F72=""),$K72&lt;&gt;"نعم",$M72="نعم"),0,MAX(0,MIN($F72,EOMONTH(DATE(cfg_FY,12,1),0))-MAX($E72,DATE(cfg_FY,12,1))+1))</f>
        <v>0</v>
      </c>
    </row>
    <row r="73" customFormat="false" ht="15" hidden="false" customHeight="false" outlineLevel="0" collapsed="false">
      <c r="A73" s="100" t="str">
        <f aca="false">IF(B73="","",ROW()-5)</f>
        <v/>
      </c>
      <c r="B73" s="79"/>
      <c r="C73" s="102" t="str">
        <f aca="false">IF(B73="","",IFERROR(INDEX(الموظفون!$C$6:$C$105,MATCH(B73,الموظفون!$B$6:$B$105,0)),"✖ رقم غير موجود"))</f>
        <v/>
      </c>
      <c r="D73" s="79"/>
      <c r="E73" s="94"/>
      <c r="F73" s="94"/>
      <c r="G73" s="110" t="str">
        <f aca="false">IF(OR($B73="",$E73="",$F73=""),"",MAX(0,F73-E73+1))</f>
        <v/>
      </c>
      <c r="H73" s="111" t="str">
        <f aca="false">IF(D73="","",IFERROR(VLOOKUP(D73,cfg_LT,2,FALSE()),1))</f>
        <v/>
      </c>
      <c r="I73" s="82"/>
      <c r="J73" s="111" t="str">
        <f aca="false">IF(D73="","",IF(I73&lt;&gt;"",I73,H73))</f>
        <v/>
      </c>
      <c r="K73" s="102" t="str">
        <f aca="false">IF(D73="","",IFERROR(VLOOKUP($D73,cfg_LT,3,FALSE()),""))</f>
        <v/>
      </c>
      <c r="L73" s="102" t="str">
        <f aca="false">IF(D73="","",IFERROR(VLOOKUP($D73,cfg_LT,4,FALSE()),""))</f>
        <v/>
      </c>
      <c r="M73" s="102" t="str">
        <f aca="false">IF(D73="","",IFERROR(VLOOKUP($D73,cfg_LT,5,FALSE()),""))</f>
        <v/>
      </c>
      <c r="N73" s="101" t="n">
        <f aca="false">IF(OR(OR($B73="",$E73="",$F73=""),M73&lt;&gt;"نعم"),0,G73*J73*IFERROR(INDEX(الموظفون!$R$6:$R$105,MATCH(B73,الموظفون!$B$6:$B$105,0)),0)/cfg_DAYS_M)</f>
        <v>0</v>
      </c>
      <c r="O73" s="100" t="str">
        <f aca="false">IF(OR(OR($B73="",$E73="",$F73=""),M73&lt;&gt;"نعم"),"",IF(YEAR(E73)=cfg_FY,MONTH(E73),""))</f>
        <v/>
      </c>
      <c r="P73" s="102" t="str">
        <f aca="false">IF(B73="","",IF(OR(D73="",E73="",F73=""),"⚠ أكمل النوع والتواريخ",IF(F73&lt;E73,"✖ النهاية قبل البداية",IF(COUNTIFS($B$6:$B$505,B73,$E$6:$E$505,"&lt;="&amp;F73,$F$6:$F$505,"&gt;="&amp;E73)&gt;1,"⚠ تداخل مع سجل آخر",IF(E73&gt;cfg_VAL_DATE,"⏳ قادمة",IF(F73&lt;cfg_VAL_DATE,"✔ منتهية","✈ جارية في تاريخ التقرير"))))))</f>
        <v/>
      </c>
      <c r="Q73" s="79"/>
      <c r="R73" s="110" t="n">
        <f aca="false">IF(OR(OR($B73="",$E73="",$F73=""),L73&lt;&gt;"لا"),0,MAX(0,MIN(F73,cfg_Y_START-1)-E73+1))</f>
        <v>0</v>
      </c>
      <c r="S73" s="110" t="n">
        <f aca="false">IF(OR(OR($B73="",$E73="",$F73=""),L73&lt;&gt;"لا"),0,MAX(0,MIN(F73,cfg_VAL_DATE)-E73+1))</f>
        <v>0</v>
      </c>
      <c r="T73" s="110" t="n">
        <f aca="false">IF(OR(OR($B73="",$E73="",$F73=""),K73&lt;&gt;"نعم"),0,IF(M73="نعم",IF(AND(ISNUMBER(O73),N(O73)&lt;=cfg_VAL_M),G73,0),MAX(0,MIN(F73,cfg_VAL_DATE)-MAX(E73,cfg_Y_START)+1)))</f>
        <v>0</v>
      </c>
      <c r="V73" s="110" t="n">
        <f aca="false">IF(OR($B73="",$E73="",$F73=""),0,MAX(0,MIN($F73,EOMONTH(DATE(cfg_FY,1,1),0))-MAX($E73,DATE(cfg_FY,1,1))+1)*(1-IF($M73="نعم",0,N($J73))))</f>
        <v>0</v>
      </c>
      <c r="W73" s="110" t="n">
        <f aca="false">IF(OR($B73="",$E73="",$F73=""),0,MAX(0,MIN($F73,EOMONTH(DATE(cfg_FY,2,1),0))-MAX($E73,DATE(cfg_FY,2,1))+1)*(1-IF($M73="نعم",0,N($J73))))</f>
        <v>0</v>
      </c>
      <c r="X73" s="110" t="n">
        <f aca="false">IF(OR($B73="",$E73="",$F73=""),0,MAX(0,MIN($F73,EOMONTH(DATE(cfg_FY,3,1),0))-MAX($E73,DATE(cfg_FY,3,1))+1)*(1-IF($M73="نعم",0,N($J73))))</f>
        <v>0</v>
      </c>
      <c r="Y73" s="110" t="n">
        <f aca="false">IF(OR($B73="",$E73="",$F73=""),0,MAX(0,MIN($F73,EOMONTH(DATE(cfg_FY,4,1),0))-MAX($E73,DATE(cfg_FY,4,1))+1)*(1-IF($M73="نعم",0,N($J73))))</f>
        <v>0</v>
      </c>
      <c r="Z73" s="110" t="n">
        <f aca="false">IF(OR($B73="",$E73="",$F73=""),0,MAX(0,MIN($F73,EOMONTH(DATE(cfg_FY,5,1),0))-MAX($E73,DATE(cfg_FY,5,1))+1)*(1-IF($M73="نعم",0,N($J73))))</f>
        <v>0</v>
      </c>
      <c r="AA73" s="110" t="n">
        <f aca="false">IF(OR($B73="",$E73="",$F73=""),0,MAX(0,MIN($F73,EOMONTH(DATE(cfg_FY,6,1),0))-MAX($E73,DATE(cfg_FY,6,1))+1)*(1-IF($M73="نعم",0,N($J73))))</f>
        <v>0</v>
      </c>
      <c r="AB73" s="110" t="n">
        <f aca="false">IF(OR($B73="",$E73="",$F73=""),0,MAX(0,MIN($F73,EOMONTH(DATE(cfg_FY,7,1),0))-MAX($E73,DATE(cfg_FY,7,1))+1)*(1-IF($M73="نعم",0,N($J73))))</f>
        <v>0</v>
      </c>
      <c r="AC73" s="110" t="n">
        <f aca="false">IF(OR($B73="",$E73="",$F73=""),0,MAX(0,MIN($F73,EOMONTH(DATE(cfg_FY,8,1),0))-MAX($E73,DATE(cfg_FY,8,1))+1)*(1-IF($M73="نعم",0,N($J73))))</f>
        <v>0</v>
      </c>
      <c r="AD73" s="110" t="n">
        <f aca="false">IF(OR($B73="",$E73="",$F73=""),0,MAX(0,MIN($F73,EOMONTH(DATE(cfg_FY,9,1),0))-MAX($E73,DATE(cfg_FY,9,1))+1)*(1-IF($M73="نعم",0,N($J73))))</f>
        <v>0</v>
      </c>
      <c r="AE73" s="110" t="n">
        <f aca="false">IF(OR($B73="",$E73="",$F73=""),0,MAX(0,MIN($F73,EOMONTH(DATE(cfg_FY,10,1),0))-MAX($E73,DATE(cfg_FY,10,1))+1)*(1-IF($M73="نعم",0,N($J73))))</f>
        <v>0</v>
      </c>
      <c r="AF73" s="110" t="n">
        <f aca="false">IF(OR($B73="",$E73="",$F73=""),0,MAX(0,MIN($F73,EOMONTH(DATE(cfg_FY,11,1),0))-MAX($E73,DATE(cfg_FY,11,1))+1)*(1-IF($M73="نعم",0,N($J73))))</f>
        <v>0</v>
      </c>
      <c r="AG73" s="110" t="n">
        <f aca="false">IF(OR($B73="",$E73="",$F73=""),0,MAX(0,MIN($F73,EOMONTH(DATE(cfg_FY,12,1),0))-MAX($E73,DATE(cfg_FY,12,1))+1)*(1-IF($M73="نعم",0,N($J73))))</f>
        <v>0</v>
      </c>
      <c r="AH73" s="110" t="n">
        <f aca="false">IF(OR(OR($B73="",$E73="",$F73=""),$L73&lt;&gt;"لا"),0,MAX(0,MIN($F73,EOMONTH(DATE(cfg_FY,1,1),0))-$E73+1))</f>
        <v>0</v>
      </c>
      <c r="AI73" s="110" t="n">
        <f aca="false">IF(OR(OR($B73="",$E73="",$F73=""),$L73&lt;&gt;"لا"),0,MAX(0,MIN($F73,EOMONTH(DATE(cfg_FY,2,1),0))-$E73+1))</f>
        <v>0</v>
      </c>
      <c r="AJ73" s="110" t="n">
        <f aca="false">IF(OR(OR($B73="",$E73="",$F73=""),$L73&lt;&gt;"لا"),0,MAX(0,MIN($F73,EOMONTH(DATE(cfg_FY,3,1),0))-$E73+1))</f>
        <v>0</v>
      </c>
      <c r="AK73" s="110" t="n">
        <f aca="false">IF(OR(OR($B73="",$E73="",$F73=""),$L73&lt;&gt;"لا"),0,MAX(0,MIN($F73,EOMONTH(DATE(cfg_FY,4,1),0))-$E73+1))</f>
        <v>0</v>
      </c>
      <c r="AL73" s="110" t="n">
        <f aca="false">IF(OR(OR($B73="",$E73="",$F73=""),$L73&lt;&gt;"لا"),0,MAX(0,MIN($F73,EOMONTH(DATE(cfg_FY,5,1),0))-$E73+1))</f>
        <v>0</v>
      </c>
      <c r="AM73" s="110" t="n">
        <f aca="false">IF(OR(OR($B73="",$E73="",$F73=""),$L73&lt;&gt;"لا"),0,MAX(0,MIN($F73,EOMONTH(DATE(cfg_FY,6,1),0))-$E73+1))</f>
        <v>0</v>
      </c>
      <c r="AN73" s="110" t="n">
        <f aca="false">IF(OR(OR($B73="",$E73="",$F73=""),$L73&lt;&gt;"لا"),0,MAX(0,MIN($F73,EOMONTH(DATE(cfg_FY,7,1),0))-$E73+1))</f>
        <v>0</v>
      </c>
      <c r="AO73" s="110" t="n">
        <f aca="false">IF(OR(OR($B73="",$E73="",$F73=""),$L73&lt;&gt;"لا"),0,MAX(0,MIN($F73,EOMONTH(DATE(cfg_FY,8,1),0))-$E73+1))</f>
        <v>0</v>
      </c>
      <c r="AP73" s="110" t="n">
        <f aca="false">IF(OR(OR($B73="",$E73="",$F73=""),$L73&lt;&gt;"لا"),0,MAX(0,MIN($F73,EOMONTH(DATE(cfg_FY,9,1),0))-$E73+1))</f>
        <v>0</v>
      </c>
      <c r="AQ73" s="110" t="n">
        <f aca="false">IF(OR(OR($B73="",$E73="",$F73=""),$L73&lt;&gt;"لا"),0,MAX(0,MIN($F73,EOMONTH(DATE(cfg_FY,10,1),0))-$E73+1))</f>
        <v>0</v>
      </c>
      <c r="AR73" s="110" t="n">
        <f aca="false">IF(OR(OR($B73="",$E73="",$F73=""),$L73&lt;&gt;"لا"),0,MAX(0,MIN($F73,EOMONTH(DATE(cfg_FY,11,1),0))-$E73+1))</f>
        <v>0</v>
      </c>
      <c r="AS73" s="110" t="n">
        <f aca="false">IF(OR(OR($B73="",$E73="",$F73=""),$L73&lt;&gt;"لا"),0,MAX(0,MIN($F73,EOMONTH(DATE(cfg_FY,12,1),0))-$E73+1))</f>
        <v>0</v>
      </c>
      <c r="AT73" s="110" t="n">
        <f aca="false">IF(OR(OR($B73="",$E73="",$F73=""),$K73&lt;&gt;"نعم",$M73="نعم"),0,MAX(0,MIN($F73,EOMONTH(DATE(cfg_FY,1,1),0))-MAX($E73,DATE(cfg_FY,1,1))+1))</f>
        <v>0</v>
      </c>
      <c r="AU73" s="110" t="n">
        <f aca="false">IF(OR(OR($B73="",$E73="",$F73=""),$K73&lt;&gt;"نعم",$M73="نعم"),0,MAX(0,MIN($F73,EOMONTH(DATE(cfg_FY,2,1),0))-MAX($E73,DATE(cfg_FY,2,1))+1))</f>
        <v>0</v>
      </c>
      <c r="AV73" s="110" t="n">
        <f aca="false">IF(OR(OR($B73="",$E73="",$F73=""),$K73&lt;&gt;"نعم",$M73="نعم"),0,MAX(0,MIN($F73,EOMONTH(DATE(cfg_FY,3,1),0))-MAX($E73,DATE(cfg_FY,3,1))+1))</f>
        <v>0</v>
      </c>
      <c r="AW73" s="110" t="n">
        <f aca="false">IF(OR(OR($B73="",$E73="",$F73=""),$K73&lt;&gt;"نعم",$M73="نعم"),0,MAX(0,MIN($F73,EOMONTH(DATE(cfg_FY,4,1),0))-MAX($E73,DATE(cfg_FY,4,1))+1))</f>
        <v>0</v>
      </c>
      <c r="AX73" s="110" t="n">
        <f aca="false">IF(OR(OR($B73="",$E73="",$F73=""),$K73&lt;&gt;"نعم",$M73="نعم"),0,MAX(0,MIN($F73,EOMONTH(DATE(cfg_FY,5,1),0))-MAX($E73,DATE(cfg_FY,5,1))+1))</f>
        <v>0</v>
      </c>
      <c r="AY73" s="110" t="n">
        <f aca="false">IF(OR(OR($B73="",$E73="",$F73=""),$K73&lt;&gt;"نعم",$M73="نعم"),0,MAX(0,MIN($F73,EOMONTH(DATE(cfg_FY,6,1),0))-MAX($E73,DATE(cfg_FY,6,1))+1))</f>
        <v>0</v>
      </c>
      <c r="AZ73" s="110" t="n">
        <f aca="false">IF(OR(OR($B73="",$E73="",$F73=""),$K73&lt;&gt;"نعم",$M73="نعم"),0,MAX(0,MIN($F73,EOMONTH(DATE(cfg_FY,7,1),0))-MAX($E73,DATE(cfg_FY,7,1))+1))</f>
        <v>0</v>
      </c>
      <c r="BA73" s="110" t="n">
        <f aca="false">IF(OR(OR($B73="",$E73="",$F73=""),$K73&lt;&gt;"نعم",$M73="نعم"),0,MAX(0,MIN($F73,EOMONTH(DATE(cfg_FY,8,1),0))-MAX($E73,DATE(cfg_FY,8,1))+1))</f>
        <v>0</v>
      </c>
      <c r="BB73" s="110" t="n">
        <f aca="false">IF(OR(OR($B73="",$E73="",$F73=""),$K73&lt;&gt;"نعم",$M73="نعم"),0,MAX(0,MIN($F73,EOMONTH(DATE(cfg_FY,9,1),0))-MAX($E73,DATE(cfg_FY,9,1))+1))</f>
        <v>0</v>
      </c>
      <c r="BC73" s="110" t="n">
        <f aca="false">IF(OR(OR($B73="",$E73="",$F73=""),$K73&lt;&gt;"نعم",$M73="نعم"),0,MAX(0,MIN($F73,EOMONTH(DATE(cfg_FY,10,1),0))-MAX($E73,DATE(cfg_FY,10,1))+1))</f>
        <v>0</v>
      </c>
      <c r="BD73" s="110" t="n">
        <f aca="false">IF(OR(OR($B73="",$E73="",$F73=""),$K73&lt;&gt;"نعم",$M73="نعم"),0,MAX(0,MIN($F73,EOMONTH(DATE(cfg_FY,11,1),0))-MAX($E73,DATE(cfg_FY,11,1))+1))</f>
        <v>0</v>
      </c>
      <c r="BE73" s="110" t="n">
        <f aca="false">IF(OR(OR($B73="",$E73="",$F73=""),$K73&lt;&gt;"نعم",$M73="نعم"),0,MAX(0,MIN($F73,EOMONTH(DATE(cfg_FY,12,1),0))-MAX($E73,DATE(cfg_FY,12,1))+1))</f>
        <v>0</v>
      </c>
    </row>
    <row r="74" customFormat="false" ht="15" hidden="false" customHeight="false" outlineLevel="0" collapsed="false">
      <c r="A74" s="93" t="str">
        <f aca="false">IF(B74="","",ROW()-5)</f>
        <v/>
      </c>
      <c r="B74" s="79"/>
      <c r="C74" s="80" t="str">
        <f aca="false">IF(B74="","",IFERROR(INDEX(الموظفون!$C$6:$C$105,MATCH(B74,الموظفون!$B$6:$B$105,0)),"✖ رقم غير موجود"))</f>
        <v/>
      </c>
      <c r="D74" s="79"/>
      <c r="E74" s="94"/>
      <c r="F74" s="94"/>
      <c r="G74" s="57" t="str">
        <f aca="false">IF(OR($B74="",$E74="",$F74=""),"",MAX(0,F74-E74+1))</f>
        <v/>
      </c>
      <c r="H74" s="58" t="str">
        <f aca="false">IF(D74="","",IFERROR(VLOOKUP(D74,cfg_LT,2,FALSE()),1))</f>
        <v/>
      </c>
      <c r="I74" s="82"/>
      <c r="J74" s="58" t="str">
        <f aca="false">IF(D74="","",IF(I74&lt;&gt;"",I74,H74))</f>
        <v/>
      </c>
      <c r="K74" s="80" t="str">
        <f aca="false">IF(D74="","",IFERROR(VLOOKUP($D74,cfg_LT,3,FALSE()),""))</f>
        <v/>
      </c>
      <c r="L74" s="80" t="str">
        <f aca="false">IF(D74="","",IFERROR(VLOOKUP($D74,cfg_LT,4,FALSE()),""))</f>
        <v/>
      </c>
      <c r="M74" s="80" t="str">
        <f aca="false">IF(D74="","",IFERROR(VLOOKUP($D74,cfg_LT,5,FALSE()),""))</f>
        <v/>
      </c>
      <c r="N74" s="97" t="n">
        <f aca="false">IF(OR(OR($B74="",$E74="",$F74=""),M74&lt;&gt;"نعم"),0,G74*J74*IFERROR(INDEX(الموظفون!$R$6:$R$105,MATCH(B74,الموظفون!$B$6:$B$105,0)),0)/cfg_DAYS_M)</f>
        <v>0</v>
      </c>
      <c r="O74" s="93" t="str">
        <f aca="false">IF(OR(OR($B74="",$E74="",$F74=""),M74&lt;&gt;"نعم"),"",IF(YEAR(E74)=cfg_FY,MONTH(E74),""))</f>
        <v/>
      </c>
      <c r="P74" s="80" t="str">
        <f aca="false">IF(B74="","",IF(OR(D74="",E74="",F74=""),"⚠ أكمل النوع والتواريخ",IF(F74&lt;E74,"✖ النهاية قبل البداية",IF(COUNTIFS($B$6:$B$505,B74,$E$6:$E$505,"&lt;="&amp;F74,$F$6:$F$505,"&gt;="&amp;E74)&gt;1,"⚠ تداخل مع سجل آخر",IF(E74&gt;cfg_VAL_DATE,"⏳ قادمة",IF(F74&lt;cfg_VAL_DATE,"✔ منتهية","✈ جارية في تاريخ التقرير"))))))</f>
        <v/>
      </c>
      <c r="Q74" s="79"/>
      <c r="R74" s="57" t="n">
        <f aca="false">IF(OR(OR($B74="",$E74="",$F74=""),L74&lt;&gt;"لا"),0,MAX(0,MIN(F74,cfg_Y_START-1)-E74+1))</f>
        <v>0</v>
      </c>
      <c r="S74" s="57" t="n">
        <f aca="false">IF(OR(OR($B74="",$E74="",$F74=""),L74&lt;&gt;"لا"),0,MAX(0,MIN(F74,cfg_VAL_DATE)-E74+1))</f>
        <v>0</v>
      </c>
      <c r="T74" s="57" t="n">
        <f aca="false">IF(OR(OR($B74="",$E74="",$F74=""),K74&lt;&gt;"نعم"),0,IF(M74="نعم",IF(AND(ISNUMBER(O74),N(O74)&lt;=cfg_VAL_M),G74,0),MAX(0,MIN(F74,cfg_VAL_DATE)-MAX(E74,cfg_Y_START)+1)))</f>
        <v>0</v>
      </c>
      <c r="V74" s="57" t="n">
        <f aca="false">IF(OR($B74="",$E74="",$F74=""),0,MAX(0,MIN($F74,EOMONTH(DATE(cfg_FY,1,1),0))-MAX($E74,DATE(cfg_FY,1,1))+1)*(1-IF($M74="نعم",0,N($J74))))</f>
        <v>0</v>
      </c>
      <c r="W74" s="57" t="n">
        <f aca="false">IF(OR($B74="",$E74="",$F74=""),0,MAX(0,MIN($F74,EOMONTH(DATE(cfg_FY,2,1),0))-MAX($E74,DATE(cfg_FY,2,1))+1)*(1-IF($M74="نعم",0,N($J74))))</f>
        <v>0</v>
      </c>
      <c r="X74" s="57" t="n">
        <f aca="false">IF(OR($B74="",$E74="",$F74=""),0,MAX(0,MIN($F74,EOMONTH(DATE(cfg_FY,3,1),0))-MAX($E74,DATE(cfg_FY,3,1))+1)*(1-IF($M74="نعم",0,N($J74))))</f>
        <v>0</v>
      </c>
      <c r="Y74" s="57" t="n">
        <f aca="false">IF(OR($B74="",$E74="",$F74=""),0,MAX(0,MIN($F74,EOMONTH(DATE(cfg_FY,4,1),0))-MAX($E74,DATE(cfg_FY,4,1))+1)*(1-IF($M74="نعم",0,N($J74))))</f>
        <v>0</v>
      </c>
      <c r="Z74" s="57" t="n">
        <f aca="false">IF(OR($B74="",$E74="",$F74=""),0,MAX(0,MIN($F74,EOMONTH(DATE(cfg_FY,5,1),0))-MAX($E74,DATE(cfg_FY,5,1))+1)*(1-IF($M74="نعم",0,N($J74))))</f>
        <v>0</v>
      </c>
      <c r="AA74" s="57" t="n">
        <f aca="false">IF(OR($B74="",$E74="",$F74=""),0,MAX(0,MIN($F74,EOMONTH(DATE(cfg_FY,6,1),0))-MAX($E74,DATE(cfg_FY,6,1))+1)*(1-IF($M74="نعم",0,N($J74))))</f>
        <v>0</v>
      </c>
      <c r="AB74" s="57" t="n">
        <f aca="false">IF(OR($B74="",$E74="",$F74=""),0,MAX(0,MIN($F74,EOMONTH(DATE(cfg_FY,7,1),0))-MAX($E74,DATE(cfg_FY,7,1))+1)*(1-IF($M74="نعم",0,N($J74))))</f>
        <v>0</v>
      </c>
      <c r="AC74" s="57" t="n">
        <f aca="false">IF(OR($B74="",$E74="",$F74=""),0,MAX(0,MIN($F74,EOMONTH(DATE(cfg_FY,8,1),0))-MAX($E74,DATE(cfg_FY,8,1))+1)*(1-IF($M74="نعم",0,N($J74))))</f>
        <v>0</v>
      </c>
      <c r="AD74" s="57" t="n">
        <f aca="false">IF(OR($B74="",$E74="",$F74=""),0,MAX(0,MIN($F74,EOMONTH(DATE(cfg_FY,9,1),0))-MAX($E74,DATE(cfg_FY,9,1))+1)*(1-IF($M74="نعم",0,N($J74))))</f>
        <v>0</v>
      </c>
      <c r="AE74" s="57" t="n">
        <f aca="false">IF(OR($B74="",$E74="",$F74=""),0,MAX(0,MIN($F74,EOMONTH(DATE(cfg_FY,10,1),0))-MAX($E74,DATE(cfg_FY,10,1))+1)*(1-IF($M74="نعم",0,N($J74))))</f>
        <v>0</v>
      </c>
      <c r="AF74" s="57" t="n">
        <f aca="false">IF(OR($B74="",$E74="",$F74=""),0,MAX(0,MIN($F74,EOMONTH(DATE(cfg_FY,11,1),0))-MAX($E74,DATE(cfg_FY,11,1))+1)*(1-IF($M74="نعم",0,N($J74))))</f>
        <v>0</v>
      </c>
      <c r="AG74" s="57" t="n">
        <f aca="false">IF(OR($B74="",$E74="",$F74=""),0,MAX(0,MIN($F74,EOMONTH(DATE(cfg_FY,12,1),0))-MAX($E74,DATE(cfg_FY,12,1))+1)*(1-IF($M74="نعم",0,N($J74))))</f>
        <v>0</v>
      </c>
      <c r="AH74" s="57" t="n">
        <f aca="false">IF(OR(OR($B74="",$E74="",$F74=""),$L74&lt;&gt;"لا"),0,MAX(0,MIN($F74,EOMONTH(DATE(cfg_FY,1,1),0))-$E74+1))</f>
        <v>0</v>
      </c>
      <c r="AI74" s="57" t="n">
        <f aca="false">IF(OR(OR($B74="",$E74="",$F74=""),$L74&lt;&gt;"لا"),0,MAX(0,MIN($F74,EOMONTH(DATE(cfg_FY,2,1),0))-$E74+1))</f>
        <v>0</v>
      </c>
      <c r="AJ74" s="57" t="n">
        <f aca="false">IF(OR(OR($B74="",$E74="",$F74=""),$L74&lt;&gt;"لا"),0,MAX(0,MIN($F74,EOMONTH(DATE(cfg_FY,3,1),0))-$E74+1))</f>
        <v>0</v>
      </c>
      <c r="AK74" s="57" t="n">
        <f aca="false">IF(OR(OR($B74="",$E74="",$F74=""),$L74&lt;&gt;"لا"),0,MAX(0,MIN($F74,EOMONTH(DATE(cfg_FY,4,1),0))-$E74+1))</f>
        <v>0</v>
      </c>
      <c r="AL74" s="57" t="n">
        <f aca="false">IF(OR(OR($B74="",$E74="",$F74=""),$L74&lt;&gt;"لا"),0,MAX(0,MIN($F74,EOMONTH(DATE(cfg_FY,5,1),0))-$E74+1))</f>
        <v>0</v>
      </c>
      <c r="AM74" s="57" t="n">
        <f aca="false">IF(OR(OR($B74="",$E74="",$F74=""),$L74&lt;&gt;"لا"),0,MAX(0,MIN($F74,EOMONTH(DATE(cfg_FY,6,1),0))-$E74+1))</f>
        <v>0</v>
      </c>
      <c r="AN74" s="57" t="n">
        <f aca="false">IF(OR(OR($B74="",$E74="",$F74=""),$L74&lt;&gt;"لا"),0,MAX(0,MIN($F74,EOMONTH(DATE(cfg_FY,7,1),0))-$E74+1))</f>
        <v>0</v>
      </c>
      <c r="AO74" s="57" t="n">
        <f aca="false">IF(OR(OR($B74="",$E74="",$F74=""),$L74&lt;&gt;"لا"),0,MAX(0,MIN($F74,EOMONTH(DATE(cfg_FY,8,1),0))-$E74+1))</f>
        <v>0</v>
      </c>
      <c r="AP74" s="57" t="n">
        <f aca="false">IF(OR(OR($B74="",$E74="",$F74=""),$L74&lt;&gt;"لا"),0,MAX(0,MIN($F74,EOMONTH(DATE(cfg_FY,9,1),0))-$E74+1))</f>
        <v>0</v>
      </c>
      <c r="AQ74" s="57" t="n">
        <f aca="false">IF(OR(OR($B74="",$E74="",$F74=""),$L74&lt;&gt;"لا"),0,MAX(0,MIN($F74,EOMONTH(DATE(cfg_FY,10,1),0))-$E74+1))</f>
        <v>0</v>
      </c>
      <c r="AR74" s="57" t="n">
        <f aca="false">IF(OR(OR($B74="",$E74="",$F74=""),$L74&lt;&gt;"لا"),0,MAX(0,MIN($F74,EOMONTH(DATE(cfg_FY,11,1),0))-$E74+1))</f>
        <v>0</v>
      </c>
      <c r="AS74" s="57" t="n">
        <f aca="false">IF(OR(OR($B74="",$E74="",$F74=""),$L74&lt;&gt;"لا"),0,MAX(0,MIN($F74,EOMONTH(DATE(cfg_FY,12,1),0))-$E74+1))</f>
        <v>0</v>
      </c>
      <c r="AT74" s="57" t="n">
        <f aca="false">IF(OR(OR($B74="",$E74="",$F74=""),$K74&lt;&gt;"نعم",$M74="نعم"),0,MAX(0,MIN($F74,EOMONTH(DATE(cfg_FY,1,1),0))-MAX($E74,DATE(cfg_FY,1,1))+1))</f>
        <v>0</v>
      </c>
      <c r="AU74" s="57" t="n">
        <f aca="false">IF(OR(OR($B74="",$E74="",$F74=""),$K74&lt;&gt;"نعم",$M74="نعم"),0,MAX(0,MIN($F74,EOMONTH(DATE(cfg_FY,2,1),0))-MAX($E74,DATE(cfg_FY,2,1))+1))</f>
        <v>0</v>
      </c>
      <c r="AV74" s="57" t="n">
        <f aca="false">IF(OR(OR($B74="",$E74="",$F74=""),$K74&lt;&gt;"نعم",$M74="نعم"),0,MAX(0,MIN($F74,EOMONTH(DATE(cfg_FY,3,1),0))-MAX($E74,DATE(cfg_FY,3,1))+1))</f>
        <v>0</v>
      </c>
      <c r="AW74" s="57" t="n">
        <f aca="false">IF(OR(OR($B74="",$E74="",$F74=""),$K74&lt;&gt;"نعم",$M74="نعم"),0,MAX(0,MIN($F74,EOMONTH(DATE(cfg_FY,4,1),0))-MAX($E74,DATE(cfg_FY,4,1))+1))</f>
        <v>0</v>
      </c>
      <c r="AX74" s="57" t="n">
        <f aca="false">IF(OR(OR($B74="",$E74="",$F74=""),$K74&lt;&gt;"نعم",$M74="نعم"),0,MAX(0,MIN($F74,EOMONTH(DATE(cfg_FY,5,1),0))-MAX($E74,DATE(cfg_FY,5,1))+1))</f>
        <v>0</v>
      </c>
      <c r="AY74" s="57" t="n">
        <f aca="false">IF(OR(OR($B74="",$E74="",$F74=""),$K74&lt;&gt;"نعم",$M74="نعم"),0,MAX(0,MIN($F74,EOMONTH(DATE(cfg_FY,6,1),0))-MAX($E74,DATE(cfg_FY,6,1))+1))</f>
        <v>0</v>
      </c>
      <c r="AZ74" s="57" t="n">
        <f aca="false">IF(OR(OR($B74="",$E74="",$F74=""),$K74&lt;&gt;"نعم",$M74="نعم"),0,MAX(0,MIN($F74,EOMONTH(DATE(cfg_FY,7,1),0))-MAX($E74,DATE(cfg_FY,7,1))+1))</f>
        <v>0</v>
      </c>
      <c r="BA74" s="57" t="n">
        <f aca="false">IF(OR(OR($B74="",$E74="",$F74=""),$K74&lt;&gt;"نعم",$M74="نعم"),0,MAX(0,MIN($F74,EOMONTH(DATE(cfg_FY,8,1),0))-MAX($E74,DATE(cfg_FY,8,1))+1))</f>
        <v>0</v>
      </c>
      <c r="BB74" s="57" t="n">
        <f aca="false">IF(OR(OR($B74="",$E74="",$F74=""),$K74&lt;&gt;"نعم",$M74="نعم"),0,MAX(0,MIN($F74,EOMONTH(DATE(cfg_FY,9,1),0))-MAX($E74,DATE(cfg_FY,9,1))+1))</f>
        <v>0</v>
      </c>
      <c r="BC74" s="57" t="n">
        <f aca="false">IF(OR(OR($B74="",$E74="",$F74=""),$K74&lt;&gt;"نعم",$M74="نعم"),0,MAX(0,MIN($F74,EOMONTH(DATE(cfg_FY,10,1),0))-MAX($E74,DATE(cfg_FY,10,1))+1))</f>
        <v>0</v>
      </c>
      <c r="BD74" s="57" t="n">
        <f aca="false">IF(OR(OR($B74="",$E74="",$F74=""),$K74&lt;&gt;"نعم",$M74="نعم"),0,MAX(0,MIN($F74,EOMONTH(DATE(cfg_FY,11,1),0))-MAX($E74,DATE(cfg_FY,11,1))+1))</f>
        <v>0</v>
      </c>
      <c r="BE74" s="57" t="n">
        <f aca="false">IF(OR(OR($B74="",$E74="",$F74=""),$K74&lt;&gt;"نعم",$M74="نعم"),0,MAX(0,MIN($F74,EOMONTH(DATE(cfg_FY,12,1),0))-MAX($E74,DATE(cfg_FY,12,1))+1))</f>
        <v>0</v>
      </c>
    </row>
    <row r="75" customFormat="false" ht="15" hidden="false" customHeight="false" outlineLevel="0" collapsed="false">
      <c r="A75" s="100" t="str">
        <f aca="false">IF(B75="","",ROW()-5)</f>
        <v/>
      </c>
      <c r="B75" s="79"/>
      <c r="C75" s="102" t="str">
        <f aca="false">IF(B75="","",IFERROR(INDEX(الموظفون!$C$6:$C$105,MATCH(B75,الموظفون!$B$6:$B$105,0)),"✖ رقم غير موجود"))</f>
        <v/>
      </c>
      <c r="D75" s="79"/>
      <c r="E75" s="94"/>
      <c r="F75" s="94"/>
      <c r="G75" s="110" t="str">
        <f aca="false">IF(OR($B75="",$E75="",$F75=""),"",MAX(0,F75-E75+1))</f>
        <v/>
      </c>
      <c r="H75" s="111" t="str">
        <f aca="false">IF(D75="","",IFERROR(VLOOKUP(D75,cfg_LT,2,FALSE()),1))</f>
        <v/>
      </c>
      <c r="I75" s="82"/>
      <c r="J75" s="111" t="str">
        <f aca="false">IF(D75="","",IF(I75&lt;&gt;"",I75,H75))</f>
        <v/>
      </c>
      <c r="K75" s="102" t="str">
        <f aca="false">IF(D75="","",IFERROR(VLOOKUP($D75,cfg_LT,3,FALSE()),""))</f>
        <v/>
      </c>
      <c r="L75" s="102" t="str">
        <f aca="false">IF(D75="","",IFERROR(VLOOKUP($D75,cfg_LT,4,FALSE()),""))</f>
        <v/>
      </c>
      <c r="M75" s="102" t="str">
        <f aca="false">IF(D75="","",IFERROR(VLOOKUP($D75,cfg_LT,5,FALSE()),""))</f>
        <v/>
      </c>
      <c r="N75" s="101" t="n">
        <f aca="false">IF(OR(OR($B75="",$E75="",$F75=""),M75&lt;&gt;"نعم"),0,G75*J75*IFERROR(INDEX(الموظفون!$R$6:$R$105,MATCH(B75,الموظفون!$B$6:$B$105,0)),0)/cfg_DAYS_M)</f>
        <v>0</v>
      </c>
      <c r="O75" s="100" t="str">
        <f aca="false">IF(OR(OR($B75="",$E75="",$F75=""),M75&lt;&gt;"نعم"),"",IF(YEAR(E75)=cfg_FY,MONTH(E75),""))</f>
        <v/>
      </c>
      <c r="P75" s="102" t="str">
        <f aca="false">IF(B75="","",IF(OR(D75="",E75="",F75=""),"⚠ أكمل النوع والتواريخ",IF(F75&lt;E75,"✖ النهاية قبل البداية",IF(COUNTIFS($B$6:$B$505,B75,$E$6:$E$505,"&lt;="&amp;F75,$F$6:$F$505,"&gt;="&amp;E75)&gt;1,"⚠ تداخل مع سجل آخر",IF(E75&gt;cfg_VAL_DATE,"⏳ قادمة",IF(F75&lt;cfg_VAL_DATE,"✔ منتهية","✈ جارية في تاريخ التقرير"))))))</f>
        <v/>
      </c>
      <c r="Q75" s="79"/>
      <c r="R75" s="110" t="n">
        <f aca="false">IF(OR(OR($B75="",$E75="",$F75=""),L75&lt;&gt;"لا"),0,MAX(0,MIN(F75,cfg_Y_START-1)-E75+1))</f>
        <v>0</v>
      </c>
      <c r="S75" s="110" t="n">
        <f aca="false">IF(OR(OR($B75="",$E75="",$F75=""),L75&lt;&gt;"لا"),0,MAX(0,MIN(F75,cfg_VAL_DATE)-E75+1))</f>
        <v>0</v>
      </c>
      <c r="T75" s="110" t="n">
        <f aca="false">IF(OR(OR($B75="",$E75="",$F75=""),K75&lt;&gt;"نعم"),0,IF(M75="نعم",IF(AND(ISNUMBER(O75),N(O75)&lt;=cfg_VAL_M),G75,0),MAX(0,MIN(F75,cfg_VAL_DATE)-MAX(E75,cfg_Y_START)+1)))</f>
        <v>0</v>
      </c>
      <c r="V75" s="110" t="n">
        <f aca="false">IF(OR($B75="",$E75="",$F75=""),0,MAX(0,MIN($F75,EOMONTH(DATE(cfg_FY,1,1),0))-MAX($E75,DATE(cfg_FY,1,1))+1)*(1-IF($M75="نعم",0,N($J75))))</f>
        <v>0</v>
      </c>
      <c r="W75" s="110" t="n">
        <f aca="false">IF(OR($B75="",$E75="",$F75=""),0,MAX(0,MIN($F75,EOMONTH(DATE(cfg_FY,2,1),0))-MAX($E75,DATE(cfg_FY,2,1))+1)*(1-IF($M75="نعم",0,N($J75))))</f>
        <v>0</v>
      </c>
      <c r="X75" s="110" t="n">
        <f aca="false">IF(OR($B75="",$E75="",$F75=""),0,MAX(0,MIN($F75,EOMONTH(DATE(cfg_FY,3,1),0))-MAX($E75,DATE(cfg_FY,3,1))+1)*(1-IF($M75="نعم",0,N($J75))))</f>
        <v>0</v>
      </c>
      <c r="Y75" s="110" t="n">
        <f aca="false">IF(OR($B75="",$E75="",$F75=""),0,MAX(0,MIN($F75,EOMONTH(DATE(cfg_FY,4,1),0))-MAX($E75,DATE(cfg_FY,4,1))+1)*(1-IF($M75="نعم",0,N($J75))))</f>
        <v>0</v>
      </c>
      <c r="Z75" s="110" t="n">
        <f aca="false">IF(OR($B75="",$E75="",$F75=""),0,MAX(0,MIN($F75,EOMONTH(DATE(cfg_FY,5,1),0))-MAX($E75,DATE(cfg_FY,5,1))+1)*(1-IF($M75="نعم",0,N($J75))))</f>
        <v>0</v>
      </c>
      <c r="AA75" s="110" t="n">
        <f aca="false">IF(OR($B75="",$E75="",$F75=""),0,MAX(0,MIN($F75,EOMONTH(DATE(cfg_FY,6,1),0))-MAX($E75,DATE(cfg_FY,6,1))+1)*(1-IF($M75="نعم",0,N($J75))))</f>
        <v>0</v>
      </c>
      <c r="AB75" s="110" t="n">
        <f aca="false">IF(OR($B75="",$E75="",$F75=""),0,MAX(0,MIN($F75,EOMONTH(DATE(cfg_FY,7,1),0))-MAX($E75,DATE(cfg_FY,7,1))+1)*(1-IF($M75="نعم",0,N($J75))))</f>
        <v>0</v>
      </c>
      <c r="AC75" s="110" t="n">
        <f aca="false">IF(OR($B75="",$E75="",$F75=""),0,MAX(0,MIN($F75,EOMONTH(DATE(cfg_FY,8,1),0))-MAX($E75,DATE(cfg_FY,8,1))+1)*(1-IF($M75="نعم",0,N($J75))))</f>
        <v>0</v>
      </c>
      <c r="AD75" s="110" t="n">
        <f aca="false">IF(OR($B75="",$E75="",$F75=""),0,MAX(0,MIN($F75,EOMONTH(DATE(cfg_FY,9,1),0))-MAX($E75,DATE(cfg_FY,9,1))+1)*(1-IF($M75="نعم",0,N($J75))))</f>
        <v>0</v>
      </c>
      <c r="AE75" s="110" t="n">
        <f aca="false">IF(OR($B75="",$E75="",$F75=""),0,MAX(0,MIN($F75,EOMONTH(DATE(cfg_FY,10,1),0))-MAX($E75,DATE(cfg_FY,10,1))+1)*(1-IF($M75="نعم",0,N($J75))))</f>
        <v>0</v>
      </c>
      <c r="AF75" s="110" t="n">
        <f aca="false">IF(OR($B75="",$E75="",$F75=""),0,MAX(0,MIN($F75,EOMONTH(DATE(cfg_FY,11,1),0))-MAX($E75,DATE(cfg_FY,11,1))+1)*(1-IF($M75="نعم",0,N($J75))))</f>
        <v>0</v>
      </c>
      <c r="AG75" s="110" t="n">
        <f aca="false">IF(OR($B75="",$E75="",$F75=""),0,MAX(0,MIN($F75,EOMONTH(DATE(cfg_FY,12,1),0))-MAX($E75,DATE(cfg_FY,12,1))+1)*(1-IF($M75="نعم",0,N($J75))))</f>
        <v>0</v>
      </c>
      <c r="AH75" s="110" t="n">
        <f aca="false">IF(OR(OR($B75="",$E75="",$F75=""),$L75&lt;&gt;"لا"),0,MAX(0,MIN($F75,EOMONTH(DATE(cfg_FY,1,1),0))-$E75+1))</f>
        <v>0</v>
      </c>
      <c r="AI75" s="110" t="n">
        <f aca="false">IF(OR(OR($B75="",$E75="",$F75=""),$L75&lt;&gt;"لا"),0,MAX(0,MIN($F75,EOMONTH(DATE(cfg_FY,2,1),0))-$E75+1))</f>
        <v>0</v>
      </c>
      <c r="AJ75" s="110" t="n">
        <f aca="false">IF(OR(OR($B75="",$E75="",$F75=""),$L75&lt;&gt;"لا"),0,MAX(0,MIN($F75,EOMONTH(DATE(cfg_FY,3,1),0))-$E75+1))</f>
        <v>0</v>
      </c>
      <c r="AK75" s="110" t="n">
        <f aca="false">IF(OR(OR($B75="",$E75="",$F75=""),$L75&lt;&gt;"لا"),0,MAX(0,MIN($F75,EOMONTH(DATE(cfg_FY,4,1),0))-$E75+1))</f>
        <v>0</v>
      </c>
      <c r="AL75" s="110" t="n">
        <f aca="false">IF(OR(OR($B75="",$E75="",$F75=""),$L75&lt;&gt;"لا"),0,MAX(0,MIN($F75,EOMONTH(DATE(cfg_FY,5,1),0))-$E75+1))</f>
        <v>0</v>
      </c>
      <c r="AM75" s="110" t="n">
        <f aca="false">IF(OR(OR($B75="",$E75="",$F75=""),$L75&lt;&gt;"لا"),0,MAX(0,MIN($F75,EOMONTH(DATE(cfg_FY,6,1),0))-$E75+1))</f>
        <v>0</v>
      </c>
      <c r="AN75" s="110" t="n">
        <f aca="false">IF(OR(OR($B75="",$E75="",$F75=""),$L75&lt;&gt;"لا"),0,MAX(0,MIN($F75,EOMONTH(DATE(cfg_FY,7,1),0))-$E75+1))</f>
        <v>0</v>
      </c>
      <c r="AO75" s="110" t="n">
        <f aca="false">IF(OR(OR($B75="",$E75="",$F75=""),$L75&lt;&gt;"لا"),0,MAX(0,MIN($F75,EOMONTH(DATE(cfg_FY,8,1),0))-$E75+1))</f>
        <v>0</v>
      </c>
      <c r="AP75" s="110" t="n">
        <f aca="false">IF(OR(OR($B75="",$E75="",$F75=""),$L75&lt;&gt;"لا"),0,MAX(0,MIN($F75,EOMONTH(DATE(cfg_FY,9,1),0))-$E75+1))</f>
        <v>0</v>
      </c>
      <c r="AQ75" s="110" t="n">
        <f aca="false">IF(OR(OR($B75="",$E75="",$F75=""),$L75&lt;&gt;"لا"),0,MAX(0,MIN($F75,EOMONTH(DATE(cfg_FY,10,1),0))-$E75+1))</f>
        <v>0</v>
      </c>
      <c r="AR75" s="110" t="n">
        <f aca="false">IF(OR(OR($B75="",$E75="",$F75=""),$L75&lt;&gt;"لا"),0,MAX(0,MIN($F75,EOMONTH(DATE(cfg_FY,11,1),0))-$E75+1))</f>
        <v>0</v>
      </c>
      <c r="AS75" s="110" t="n">
        <f aca="false">IF(OR(OR($B75="",$E75="",$F75=""),$L75&lt;&gt;"لا"),0,MAX(0,MIN($F75,EOMONTH(DATE(cfg_FY,12,1),0))-$E75+1))</f>
        <v>0</v>
      </c>
      <c r="AT75" s="110" t="n">
        <f aca="false">IF(OR(OR($B75="",$E75="",$F75=""),$K75&lt;&gt;"نعم",$M75="نعم"),0,MAX(0,MIN($F75,EOMONTH(DATE(cfg_FY,1,1),0))-MAX($E75,DATE(cfg_FY,1,1))+1))</f>
        <v>0</v>
      </c>
      <c r="AU75" s="110" t="n">
        <f aca="false">IF(OR(OR($B75="",$E75="",$F75=""),$K75&lt;&gt;"نعم",$M75="نعم"),0,MAX(0,MIN($F75,EOMONTH(DATE(cfg_FY,2,1),0))-MAX($E75,DATE(cfg_FY,2,1))+1))</f>
        <v>0</v>
      </c>
      <c r="AV75" s="110" t="n">
        <f aca="false">IF(OR(OR($B75="",$E75="",$F75=""),$K75&lt;&gt;"نعم",$M75="نعم"),0,MAX(0,MIN($F75,EOMONTH(DATE(cfg_FY,3,1),0))-MAX($E75,DATE(cfg_FY,3,1))+1))</f>
        <v>0</v>
      </c>
      <c r="AW75" s="110" t="n">
        <f aca="false">IF(OR(OR($B75="",$E75="",$F75=""),$K75&lt;&gt;"نعم",$M75="نعم"),0,MAX(0,MIN($F75,EOMONTH(DATE(cfg_FY,4,1),0))-MAX($E75,DATE(cfg_FY,4,1))+1))</f>
        <v>0</v>
      </c>
      <c r="AX75" s="110" t="n">
        <f aca="false">IF(OR(OR($B75="",$E75="",$F75=""),$K75&lt;&gt;"نعم",$M75="نعم"),0,MAX(0,MIN($F75,EOMONTH(DATE(cfg_FY,5,1),0))-MAX($E75,DATE(cfg_FY,5,1))+1))</f>
        <v>0</v>
      </c>
      <c r="AY75" s="110" t="n">
        <f aca="false">IF(OR(OR($B75="",$E75="",$F75=""),$K75&lt;&gt;"نعم",$M75="نعم"),0,MAX(0,MIN($F75,EOMONTH(DATE(cfg_FY,6,1),0))-MAX($E75,DATE(cfg_FY,6,1))+1))</f>
        <v>0</v>
      </c>
      <c r="AZ75" s="110" t="n">
        <f aca="false">IF(OR(OR($B75="",$E75="",$F75=""),$K75&lt;&gt;"نعم",$M75="نعم"),0,MAX(0,MIN($F75,EOMONTH(DATE(cfg_FY,7,1),0))-MAX($E75,DATE(cfg_FY,7,1))+1))</f>
        <v>0</v>
      </c>
      <c r="BA75" s="110" t="n">
        <f aca="false">IF(OR(OR($B75="",$E75="",$F75=""),$K75&lt;&gt;"نعم",$M75="نعم"),0,MAX(0,MIN($F75,EOMONTH(DATE(cfg_FY,8,1),0))-MAX($E75,DATE(cfg_FY,8,1))+1))</f>
        <v>0</v>
      </c>
      <c r="BB75" s="110" t="n">
        <f aca="false">IF(OR(OR($B75="",$E75="",$F75=""),$K75&lt;&gt;"نعم",$M75="نعم"),0,MAX(0,MIN($F75,EOMONTH(DATE(cfg_FY,9,1),0))-MAX($E75,DATE(cfg_FY,9,1))+1))</f>
        <v>0</v>
      </c>
      <c r="BC75" s="110" t="n">
        <f aca="false">IF(OR(OR($B75="",$E75="",$F75=""),$K75&lt;&gt;"نعم",$M75="نعم"),0,MAX(0,MIN($F75,EOMONTH(DATE(cfg_FY,10,1),0))-MAX($E75,DATE(cfg_FY,10,1))+1))</f>
        <v>0</v>
      </c>
      <c r="BD75" s="110" t="n">
        <f aca="false">IF(OR(OR($B75="",$E75="",$F75=""),$K75&lt;&gt;"نعم",$M75="نعم"),0,MAX(0,MIN($F75,EOMONTH(DATE(cfg_FY,11,1),0))-MAX($E75,DATE(cfg_FY,11,1))+1))</f>
        <v>0</v>
      </c>
      <c r="BE75" s="110" t="n">
        <f aca="false">IF(OR(OR($B75="",$E75="",$F75=""),$K75&lt;&gt;"نعم",$M75="نعم"),0,MAX(0,MIN($F75,EOMONTH(DATE(cfg_FY,12,1),0))-MAX($E75,DATE(cfg_FY,12,1))+1))</f>
        <v>0</v>
      </c>
    </row>
    <row r="76" customFormat="false" ht="15" hidden="false" customHeight="false" outlineLevel="0" collapsed="false">
      <c r="A76" s="93" t="str">
        <f aca="false">IF(B76="","",ROW()-5)</f>
        <v/>
      </c>
      <c r="B76" s="79"/>
      <c r="C76" s="80" t="str">
        <f aca="false">IF(B76="","",IFERROR(INDEX(الموظفون!$C$6:$C$105,MATCH(B76,الموظفون!$B$6:$B$105,0)),"✖ رقم غير موجود"))</f>
        <v/>
      </c>
      <c r="D76" s="79"/>
      <c r="E76" s="94"/>
      <c r="F76" s="94"/>
      <c r="G76" s="57" t="str">
        <f aca="false">IF(OR($B76="",$E76="",$F76=""),"",MAX(0,F76-E76+1))</f>
        <v/>
      </c>
      <c r="H76" s="58" t="str">
        <f aca="false">IF(D76="","",IFERROR(VLOOKUP(D76,cfg_LT,2,FALSE()),1))</f>
        <v/>
      </c>
      <c r="I76" s="82"/>
      <c r="J76" s="58" t="str">
        <f aca="false">IF(D76="","",IF(I76&lt;&gt;"",I76,H76))</f>
        <v/>
      </c>
      <c r="K76" s="80" t="str">
        <f aca="false">IF(D76="","",IFERROR(VLOOKUP($D76,cfg_LT,3,FALSE()),""))</f>
        <v/>
      </c>
      <c r="L76" s="80" t="str">
        <f aca="false">IF(D76="","",IFERROR(VLOOKUP($D76,cfg_LT,4,FALSE()),""))</f>
        <v/>
      </c>
      <c r="M76" s="80" t="str">
        <f aca="false">IF(D76="","",IFERROR(VLOOKUP($D76,cfg_LT,5,FALSE()),""))</f>
        <v/>
      </c>
      <c r="N76" s="97" t="n">
        <f aca="false">IF(OR(OR($B76="",$E76="",$F76=""),M76&lt;&gt;"نعم"),0,G76*J76*IFERROR(INDEX(الموظفون!$R$6:$R$105,MATCH(B76,الموظفون!$B$6:$B$105,0)),0)/cfg_DAYS_M)</f>
        <v>0</v>
      </c>
      <c r="O76" s="93" t="str">
        <f aca="false">IF(OR(OR($B76="",$E76="",$F76=""),M76&lt;&gt;"نعم"),"",IF(YEAR(E76)=cfg_FY,MONTH(E76),""))</f>
        <v/>
      </c>
      <c r="P76" s="80" t="str">
        <f aca="false">IF(B76="","",IF(OR(D76="",E76="",F76=""),"⚠ أكمل النوع والتواريخ",IF(F76&lt;E76,"✖ النهاية قبل البداية",IF(COUNTIFS($B$6:$B$505,B76,$E$6:$E$505,"&lt;="&amp;F76,$F$6:$F$505,"&gt;="&amp;E76)&gt;1,"⚠ تداخل مع سجل آخر",IF(E76&gt;cfg_VAL_DATE,"⏳ قادمة",IF(F76&lt;cfg_VAL_DATE,"✔ منتهية","✈ جارية في تاريخ التقرير"))))))</f>
        <v/>
      </c>
      <c r="Q76" s="79"/>
      <c r="R76" s="57" t="n">
        <f aca="false">IF(OR(OR($B76="",$E76="",$F76=""),L76&lt;&gt;"لا"),0,MAX(0,MIN(F76,cfg_Y_START-1)-E76+1))</f>
        <v>0</v>
      </c>
      <c r="S76" s="57" t="n">
        <f aca="false">IF(OR(OR($B76="",$E76="",$F76=""),L76&lt;&gt;"لا"),0,MAX(0,MIN(F76,cfg_VAL_DATE)-E76+1))</f>
        <v>0</v>
      </c>
      <c r="T76" s="57" t="n">
        <f aca="false">IF(OR(OR($B76="",$E76="",$F76=""),K76&lt;&gt;"نعم"),0,IF(M76="نعم",IF(AND(ISNUMBER(O76),N(O76)&lt;=cfg_VAL_M),G76,0),MAX(0,MIN(F76,cfg_VAL_DATE)-MAX(E76,cfg_Y_START)+1)))</f>
        <v>0</v>
      </c>
      <c r="V76" s="57" t="n">
        <f aca="false">IF(OR($B76="",$E76="",$F76=""),0,MAX(0,MIN($F76,EOMONTH(DATE(cfg_FY,1,1),0))-MAX($E76,DATE(cfg_FY,1,1))+1)*(1-IF($M76="نعم",0,N($J76))))</f>
        <v>0</v>
      </c>
      <c r="W76" s="57" t="n">
        <f aca="false">IF(OR($B76="",$E76="",$F76=""),0,MAX(0,MIN($F76,EOMONTH(DATE(cfg_FY,2,1),0))-MAX($E76,DATE(cfg_FY,2,1))+1)*(1-IF($M76="نعم",0,N($J76))))</f>
        <v>0</v>
      </c>
      <c r="X76" s="57" t="n">
        <f aca="false">IF(OR($B76="",$E76="",$F76=""),0,MAX(0,MIN($F76,EOMONTH(DATE(cfg_FY,3,1),0))-MAX($E76,DATE(cfg_FY,3,1))+1)*(1-IF($M76="نعم",0,N($J76))))</f>
        <v>0</v>
      </c>
      <c r="Y76" s="57" t="n">
        <f aca="false">IF(OR($B76="",$E76="",$F76=""),0,MAX(0,MIN($F76,EOMONTH(DATE(cfg_FY,4,1),0))-MAX($E76,DATE(cfg_FY,4,1))+1)*(1-IF($M76="نعم",0,N($J76))))</f>
        <v>0</v>
      </c>
      <c r="Z76" s="57" t="n">
        <f aca="false">IF(OR($B76="",$E76="",$F76=""),0,MAX(0,MIN($F76,EOMONTH(DATE(cfg_FY,5,1),0))-MAX($E76,DATE(cfg_FY,5,1))+1)*(1-IF($M76="نعم",0,N($J76))))</f>
        <v>0</v>
      </c>
      <c r="AA76" s="57" t="n">
        <f aca="false">IF(OR($B76="",$E76="",$F76=""),0,MAX(0,MIN($F76,EOMONTH(DATE(cfg_FY,6,1),0))-MAX($E76,DATE(cfg_FY,6,1))+1)*(1-IF($M76="نعم",0,N($J76))))</f>
        <v>0</v>
      </c>
      <c r="AB76" s="57" t="n">
        <f aca="false">IF(OR($B76="",$E76="",$F76=""),0,MAX(0,MIN($F76,EOMONTH(DATE(cfg_FY,7,1),0))-MAX($E76,DATE(cfg_FY,7,1))+1)*(1-IF($M76="نعم",0,N($J76))))</f>
        <v>0</v>
      </c>
      <c r="AC76" s="57" t="n">
        <f aca="false">IF(OR($B76="",$E76="",$F76=""),0,MAX(0,MIN($F76,EOMONTH(DATE(cfg_FY,8,1),0))-MAX($E76,DATE(cfg_FY,8,1))+1)*(1-IF($M76="نعم",0,N($J76))))</f>
        <v>0</v>
      </c>
      <c r="AD76" s="57" t="n">
        <f aca="false">IF(OR($B76="",$E76="",$F76=""),0,MAX(0,MIN($F76,EOMONTH(DATE(cfg_FY,9,1),0))-MAX($E76,DATE(cfg_FY,9,1))+1)*(1-IF($M76="نعم",0,N($J76))))</f>
        <v>0</v>
      </c>
      <c r="AE76" s="57" t="n">
        <f aca="false">IF(OR($B76="",$E76="",$F76=""),0,MAX(0,MIN($F76,EOMONTH(DATE(cfg_FY,10,1),0))-MAX($E76,DATE(cfg_FY,10,1))+1)*(1-IF($M76="نعم",0,N($J76))))</f>
        <v>0</v>
      </c>
      <c r="AF76" s="57" t="n">
        <f aca="false">IF(OR($B76="",$E76="",$F76=""),0,MAX(0,MIN($F76,EOMONTH(DATE(cfg_FY,11,1),0))-MAX($E76,DATE(cfg_FY,11,1))+1)*(1-IF($M76="نعم",0,N($J76))))</f>
        <v>0</v>
      </c>
      <c r="AG76" s="57" t="n">
        <f aca="false">IF(OR($B76="",$E76="",$F76=""),0,MAX(0,MIN($F76,EOMONTH(DATE(cfg_FY,12,1),0))-MAX($E76,DATE(cfg_FY,12,1))+1)*(1-IF($M76="نعم",0,N($J76))))</f>
        <v>0</v>
      </c>
      <c r="AH76" s="57" t="n">
        <f aca="false">IF(OR(OR($B76="",$E76="",$F76=""),$L76&lt;&gt;"لا"),0,MAX(0,MIN($F76,EOMONTH(DATE(cfg_FY,1,1),0))-$E76+1))</f>
        <v>0</v>
      </c>
      <c r="AI76" s="57" t="n">
        <f aca="false">IF(OR(OR($B76="",$E76="",$F76=""),$L76&lt;&gt;"لا"),0,MAX(0,MIN($F76,EOMONTH(DATE(cfg_FY,2,1),0))-$E76+1))</f>
        <v>0</v>
      </c>
      <c r="AJ76" s="57" t="n">
        <f aca="false">IF(OR(OR($B76="",$E76="",$F76=""),$L76&lt;&gt;"لا"),0,MAX(0,MIN($F76,EOMONTH(DATE(cfg_FY,3,1),0))-$E76+1))</f>
        <v>0</v>
      </c>
      <c r="AK76" s="57" t="n">
        <f aca="false">IF(OR(OR($B76="",$E76="",$F76=""),$L76&lt;&gt;"لا"),0,MAX(0,MIN($F76,EOMONTH(DATE(cfg_FY,4,1),0))-$E76+1))</f>
        <v>0</v>
      </c>
      <c r="AL76" s="57" t="n">
        <f aca="false">IF(OR(OR($B76="",$E76="",$F76=""),$L76&lt;&gt;"لا"),0,MAX(0,MIN($F76,EOMONTH(DATE(cfg_FY,5,1),0))-$E76+1))</f>
        <v>0</v>
      </c>
      <c r="AM76" s="57" t="n">
        <f aca="false">IF(OR(OR($B76="",$E76="",$F76=""),$L76&lt;&gt;"لا"),0,MAX(0,MIN($F76,EOMONTH(DATE(cfg_FY,6,1),0))-$E76+1))</f>
        <v>0</v>
      </c>
      <c r="AN76" s="57" t="n">
        <f aca="false">IF(OR(OR($B76="",$E76="",$F76=""),$L76&lt;&gt;"لا"),0,MAX(0,MIN($F76,EOMONTH(DATE(cfg_FY,7,1),0))-$E76+1))</f>
        <v>0</v>
      </c>
      <c r="AO76" s="57" t="n">
        <f aca="false">IF(OR(OR($B76="",$E76="",$F76=""),$L76&lt;&gt;"لا"),0,MAX(0,MIN($F76,EOMONTH(DATE(cfg_FY,8,1),0))-$E76+1))</f>
        <v>0</v>
      </c>
      <c r="AP76" s="57" t="n">
        <f aca="false">IF(OR(OR($B76="",$E76="",$F76=""),$L76&lt;&gt;"لا"),0,MAX(0,MIN($F76,EOMONTH(DATE(cfg_FY,9,1),0))-$E76+1))</f>
        <v>0</v>
      </c>
      <c r="AQ76" s="57" t="n">
        <f aca="false">IF(OR(OR($B76="",$E76="",$F76=""),$L76&lt;&gt;"لا"),0,MAX(0,MIN($F76,EOMONTH(DATE(cfg_FY,10,1),0))-$E76+1))</f>
        <v>0</v>
      </c>
      <c r="AR76" s="57" t="n">
        <f aca="false">IF(OR(OR($B76="",$E76="",$F76=""),$L76&lt;&gt;"لا"),0,MAX(0,MIN($F76,EOMONTH(DATE(cfg_FY,11,1),0))-$E76+1))</f>
        <v>0</v>
      </c>
      <c r="AS76" s="57" t="n">
        <f aca="false">IF(OR(OR($B76="",$E76="",$F76=""),$L76&lt;&gt;"لا"),0,MAX(0,MIN($F76,EOMONTH(DATE(cfg_FY,12,1),0))-$E76+1))</f>
        <v>0</v>
      </c>
      <c r="AT76" s="57" t="n">
        <f aca="false">IF(OR(OR($B76="",$E76="",$F76=""),$K76&lt;&gt;"نعم",$M76="نعم"),0,MAX(0,MIN($F76,EOMONTH(DATE(cfg_FY,1,1),0))-MAX($E76,DATE(cfg_FY,1,1))+1))</f>
        <v>0</v>
      </c>
      <c r="AU76" s="57" t="n">
        <f aca="false">IF(OR(OR($B76="",$E76="",$F76=""),$K76&lt;&gt;"نعم",$M76="نعم"),0,MAX(0,MIN($F76,EOMONTH(DATE(cfg_FY,2,1),0))-MAX($E76,DATE(cfg_FY,2,1))+1))</f>
        <v>0</v>
      </c>
      <c r="AV76" s="57" t="n">
        <f aca="false">IF(OR(OR($B76="",$E76="",$F76=""),$K76&lt;&gt;"نعم",$M76="نعم"),0,MAX(0,MIN($F76,EOMONTH(DATE(cfg_FY,3,1),0))-MAX($E76,DATE(cfg_FY,3,1))+1))</f>
        <v>0</v>
      </c>
      <c r="AW76" s="57" t="n">
        <f aca="false">IF(OR(OR($B76="",$E76="",$F76=""),$K76&lt;&gt;"نعم",$M76="نعم"),0,MAX(0,MIN($F76,EOMONTH(DATE(cfg_FY,4,1),0))-MAX($E76,DATE(cfg_FY,4,1))+1))</f>
        <v>0</v>
      </c>
      <c r="AX76" s="57" t="n">
        <f aca="false">IF(OR(OR($B76="",$E76="",$F76=""),$K76&lt;&gt;"نعم",$M76="نعم"),0,MAX(0,MIN($F76,EOMONTH(DATE(cfg_FY,5,1),0))-MAX($E76,DATE(cfg_FY,5,1))+1))</f>
        <v>0</v>
      </c>
      <c r="AY76" s="57" t="n">
        <f aca="false">IF(OR(OR($B76="",$E76="",$F76=""),$K76&lt;&gt;"نعم",$M76="نعم"),0,MAX(0,MIN($F76,EOMONTH(DATE(cfg_FY,6,1),0))-MAX($E76,DATE(cfg_FY,6,1))+1))</f>
        <v>0</v>
      </c>
      <c r="AZ76" s="57" t="n">
        <f aca="false">IF(OR(OR($B76="",$E76="",$F76=""),$K76&lt;&gt;"نعم",$M76="نعم"),0,MAX(0,MIN($F76,EOMONTH(DATE(cfg_FY,7,1),0))-MAX($E76,DATE(cfg_FY,7,1))+1))</f>
        <v>0</v>
      </c>
      <c r="BA76" s="57" t="n">
        <f aca="false">IF(OR(OR($B76="",$E76="",$F76=""),$K76&lt;&gt;"نعم",$M76="نعم"),0,MAX(0,MIN($F76,EOMONTH(DATE(cfg_FY,8,1),0))-MAX($E76,DATE(cfg_FY,8,1))+1))</f>
        <v>0</v>
      </c>
      <c r="BB76" s="57" t="n">
        <f aca="false">IF(OR(OR($B76="",$E76="",$F76=""),$K76&lt;&gt;"نعم",$M76="نعم"),0,MAX(0,MIN($F76,EOMONTH(DATE(cfg_FY,9,1),0))-MAX($E76,DATE(cfg_FY,9,1))+1))</f>
        <v>0</v>
      </c>
      <c r="BC76" s="57" t="n">
        <f aca="false">IF(OR(OR($B76="",$E76="",$F76=""),$K76&lt;&gt;"نعم",$M76="نعم"),0,MAX(0,MIN($F76,EOMONTH(DATE(cfg_FY,10,1),0))-MAX($E76,DATE(cfg_FY,10,1))+1))</f>
        <v>0</v>
      </c>
      <c r="BD76" s="57" t="n">
        <f aca="false">IF(OR(OR($B76="",$E76="",$F76=""),$K76&lt;&gt;"نعم",$M76="نعم"),0,MAX(0,MIN($F76,EOMONTH(DATE(cfg_FY,11,1),0))-MAX($E76,DATE(cfg_FY,11,1))+1))</f>
        <v>0</v>
      </c>
      <c r="BE76" s="57" t="n">
        <f aca="false">IF(OR(OR($B76="",$E76="",$F76=""),$K76&lt;&gt;"نعم",$M76="نعم"),0,MAX(0,MIN($F76,EOMONTH(DATE(cfg_FY,12,1),0))-MAX($E76,DATE(cfg_FY,12,1))+1))</f>
        <v>0</v>
      </c>
    </row>
    <row r="77" customFormat="false" ht="15" hidden="false" customHeight="false" outlineLevel="0" collapsed="false">
      <c r="A77" s="100" t="str">
        <f aca="false">IF(B77="","",ROW()-5)</f>
        <v/>
      </c>
      <c r="B77" s="79"/>
      <c r="C77" s="102" t="str">
        <f aca="false">IF(B77="","",IFERROR(INDEX(الموظفون!$C$6:$C$105,MATCH(B77,الموظفون!$B$6:$B$105,0)),"✖ رقم غير موجود"))</f>
        <v/>
      </c>
      <c r="D77" s="79"/>
      <c r="E77" s="94"/>
      <c r="F77" s="94"/>
      <c r="G77" s="110" t="str">
        <f aca="false">IF(OR($B77="",$E77="",$F77=""),"",MAX(0,F77-E77+1))</f>
        <v/>
      </c>
      <c r="H77" s="111" t="str">
        <f aca="false">IF(D77="","",IFERROR(VLOOKUP(D77,cfg_LT,2,FALSE()),1))</f>
        <v/>
      </c>
      <c r="I77" s="82"/>
      <c r="J77" s="111" t="str">
        <f aca="false">IF(D77="","",IF(I77&lt;&gt;"",I77,H77))</f>
        <v/>
      </c>
      <c r="K77" s="102" t="str">
        <f aca="false">IF(D77="","",IFERROR(VLOOKUP($D77,cfg_LT,3,FALSE()),""))</f>
        <v/>
      </c>
      <c r="L77" s="102" t="str">
        <f aca="false">IF(D77="","",IFERROR(VLOOKUP($D77,cfg_LT,4,FALSE()),""))</f>
        <v/>
      </c>
      <c r="M77" s="102" t="str">
        <f aca="false">IF(D77="","",IFERROR(VLOOKUP($D77,cfg_LT,5,FALSE()),""))</f>
        <v/>
      </c>
      <c r="N77" s="101" t="n">
        <f aca="false">IF(OR(OR($B77="",$E77="",$F77=""),M77&lt;&gt;"نعم"),0,G77*J77*IFERROR(INDEX(الموظفون!$R$6:$R$105,MATCH(B77,الموظفون!$B$6:$B$105,0)),0)/cfg_DAYS_M)</f>
        <v>0</v>
      </c>
      <c r="O77" s="100" t="str">
        <f aca="false">IF(OR(OR($B77="",$E77="",$F77=""),M77&lt;&gt;"نعم"),"",IF(YEAR(E77)=cfg_FY,MONTH(E77),""))</f>
        <v/>
      </c>
      <c r="P77" s="102" t="str">
        <f aca="false">IF(B77="","",IF(OR(D77="",E77="",F77=""),"⚠ أكمل النوع والتواريخ",IF(F77&lt;E77,"✖ النهاية قبل البداية",IF(COUNTIFS($B$6:$B$505,B77,$E$6:$E$505,"&lt;="&amp;F77,$F$6:$F$505,"&gt;="&amp;E77)&gt;1,"⚠ تداخل مع سجل آخر",IF(E77&gt;cfg_VAL_DATE,"⏳ قادمة",IF(F77&lt;cfg_VAL_DATE,"✔ منتهية","✈ جارية في تاريخ التقرير"))))))</f>
        <v/>
      </c>
      <c r="Q77" s="79"/>
      <c r="R77" s="110" t="n">
        <f aca="false">IF(OR(OR($B77="",$E77="",$F77=""),L77&lt;&gt;"لا"),0,MAX(0,MIN(F77,cfg_Y_START-1)-E77+1))</f>
        <v>0</v>
      </c>
      <c r="S77" s="110" t="n">
        <f aca="false">IF(OR(OR($B77="",$E77="",$F77=""),L77&lt;&gt;"لا"),0,MAX(0,MIN(F77,cfg_VAL_DATE)-E77+1))</f>
        <v>0</v>
      </c>
      <c r="T77" s="110" t="n">
        <f aca="false">IF(OR(OR($B77="",$E77="",$F77=""),K77&lt;&gt;"نعم"),0,IF(M77="نعم",IF(AND(ISNUMBER(O77),N(O77)&lt;=cfg_VAL_M),G77,0),MAX(0,MIN(F77,cfg_VAL_DATE)-MAX(E77,cfg_Y_START)+1)))</f>
        <v>0</v>
      </c>
      <c r="V77" s="110" t="n">
        <f aca="false">IF(OR($B77="",$E77="",$F77=""),0,MAX(0,MIN($F77,EOMONTH(DATE(cfg_FY,1,1),0))-MAX($E77,DATE(cfg_FY,1,1))+1)*(1-IF($M77="نعم",0,N($J77))))</f>
        <v>0</v>
      </c>
      <c r="W77" s="110" t="n">
        <f aca="false">IF(OR($B77="",$E77="",$F77=""),0,MAX(0,MIN($F77,EOMONTH(DATE(cfg_FY,2,1),0))-MAX($E77,DATE(cfg_FY,2,1))+1)*(1-IF($M77="نعم",0,N($J77))))</f>
        <v>0</v>
      </c>
      <c r="X77" s="110" t="n">
        <f aca="false">IF(OR($B77="",$E77="",$F77=""),0,MAX(0,MIN($F77,EOMONTH(DATE(cfg_FY,3,1),0))-MAX($E77,DATE(cfg_FY,3,1))+1)*(1-IF($M77="نعم",0,N($J77))))</f>
        <v>0</v>
      </c>
      <c r="Y77" s="110" t="n">
        <f aca="false">IF(OR($B77="",$E77="",$F77=""),0,MAX(0,MIN($F77,EOMONTH(DATE(cfg_FY,4,1),0))-MAX($E77,DATE(cfg_FY,4,1))+1)*(1-IF($M77="نعم",0,N($J77))))</f>
        <v>0</v>
      </c>
      <c r="Z77" s="110" t="n">
        <f aca="false">IF(OR($B77="",$E77="",$F77=""),0,MAX(0,MIN($F77,EOMONTH(DATE(cfg_FY,5,1),0))-MAX($E77,DATE(cfg_FY,5,1))+1)*(1-IF($M77="نعم",0,N($J77))))</f>
        <v>0</v>
      </c>
      <c r="AA77" s="110" t="n">
        <f aca="false">IF(OR($B77="",$E77="",$F77=""),0,MAX(0,MIN($F77,EOMONTH(DATE(cfg_FY,6,1),0))-MAX($E77,DATE(cfg_FY,6,1))+1)*(1-IF($M77="نعم",0,N($J77))))</f>
        <v>0</v>
      </c>
      <c r="AB77" s="110" t="n">
        <f aca="false">IF(OR($B77="",$E77="",$F77=""),0,MAX(0,MIN($F77,EOMONTH(DATE(cfg_FY,7,1),0))-MAX($E77,DATE(cfg_FY,7,1))+1)*(1-IF($M77="نعم",0,N($J77))))</f>
        <v>0</v>
      </c>
      <c r="AC77" s="110" t="n">
        <f aca="false">IF(OR($B77="",$E77="",$F77=""),0,MAX(0,MIN($F77,EOMONTH(DATE(cfg_FY,8,1),0))-MAX($E77,DATE(cfg_FY,8,1))+1)*(1-IF($M77="نعم",0,N($J77))))</f>
        <v>0</v>
      </c>
      <c r="AD77" s="110" t="n">
        <f aca="false">IF(OR($B77="",$E77="",$F77=""),0,MAX(0,MIN($F77,EOMONTH(DATE(cfg_FY,9,1),0))-MAX($E77,DATE(cfg_FY,9,1))+1)*(1-IF($M77="نعم",0,N($J77))))</f>
        <v>0</v>
      </c>
      <c r="AE77" s="110" t="n">
        <f aca="false">IF(OR($B77="",$E77="",$F77=""),0,MAX(0,MIN($F77,EOMONTH(DATE(cfg_FY,10,1),0))-MAX($E77,DATE(cfg_FY,10,1))+1)*(1-IF($M77="نعم",0,N($J77))))</f>
        <v>0</v>
      </c>
      <c r="AF77" s="110" t="n">
        <f aca="false">IF(OR($B77="",$E77="",$F77=""),0,MAX(0,MIN($F77,EOMONTH(DATE(cfg_FY,11,1),0))-MAX($E77,DATE(cfg_FY,11,1))+1)*(1-IF($M77="نعم",0,N($J77))))</f>
        <v>0</v>
      </c>
      <c r="AG77" s="110" t="n">
        <f aca="false">IF(OR($B77="",$E77="",$F77=""),0,MAX(0,MIN($F77,EOMONTH(DATE(cfg_FY,12,1),0))-MAX($E77,DATE(cfg_FY,12,1))+1)*(1-IF($M77="نعم",0,N($J77))))</f>
        <v>0</v>
      </c>
      <c r="AH77" s="110" t="n">
        <f aca="false">IF(OR(OR($B77="",$E77="",$F77=""),$L77&lt;&gt;"لا"),0,MAX(0,MIN($F77,EOMONTH(DATE(cfg_FY,1,1),0))-$E77+1))</f>
        <v>0</v>
      </c>
      <c r="AI77" s="110" t="n">
        <f aca="false">IF(OR(OR($B77="",$E77="",$F77=""),$L77&lt;&gt;"لا"),0,MAX(0,MIN($F77,EOMONTH(DATE(cfg_FY,2,1),0))-$E77+1))</f>
        <v>0</v>
      </c>
      <c r="AJ77" s="110" t="n">
        <f aca="false">IF(OR(OR($B77="",$E77="",$F77=""),$L77&lt;&gt;"لا"),0,MAX(0,MIN($F77,EOMONTH(DATE(cfg_FY,3,1),0))-$E77+1))</f>
        <v>0</v>
      </c>
      <c r="AK77" s="110" t="n">
        <f aca="false">IF(OR(OR($B77="",$E77="",$F77=""),$L77&lt;&gt;"لا"),0,MAX(0,MIN($F77,EOMONTH(DATE(cfg_FY,4,1),0))-$E77+1))</f>
        <v>0</v>
      </c>
      <c r="AL77" s="110" t="n">
        <f aca="false">IF(OR(OR($B77="",$E77="",$F77=""),$L77&lt;&gt;"لا"),0,MAX(0,MIN($F77,EOMONTH(DATE(cfg_FY,5,1),0))-$E77+1))</f>
        <v>0</v>
      </c>
      <c r="AM77" s="110" t="n">
        <f aca="false">IF(OR(OR($B77="",$E77="",$F77=""),$L77&lt;&gt;"لا"),0,MAX(0,MIN($F77,EOMONTH(DATE(cfg_FY,6,1),0))-$E77+1))</f>
        <v>0</v>
      </c>
      <c r="AN77" s="110" t="n">
        <f aca="false">IF(OR(OR($B77="",$E77="",$F77=""),$L77&lt;&gt;"لا"),0,MAX(0,MIN($F77,EOMONTH(DATE(cfg_FY,7,1),0))-$E77+1))</f>
        <v>0</v>
      </c>
      <c r="AO77" s="110" t="n">
        <f aca="false">IF(OR(OR($B77="",$E77="",$F77=""),$L77&lt;&gt;"لا"),0,MAX(0,MIN($F77,EOMONTH(DATE(cfg_FY,8,1),0))-$E77+1))</f>
        <v>0</v>
      </c>
      <c r="AP77" s="110" t="n">
        <f aca="false">IF(OR(OR($B77="",$E77="",$F77=""),$L77&lt;&gt;"لا"),0,MAX(0,MIN($F77,EOMONTH(DATE(cfg_FY,9,1),0))-$E77+1))</f>
        <v>0</v>
      </c>
      <c r="AQ77" s="110" t="n">
        <f aca="false">IF(OR(OR($B77="",$E77="",$F77=""),$L77&lt;&gt;"لا"),0,MAX(0,MIN($F77,EOMONTH(DATE(cfg_FY,10,1),0))-$E77+1))</f>
        <v>0</v>
      </c>
      <c r="AR77" s="110" t="n">
        <f aca="false">IF(OR(OR($B77="",$E77="",$F77=""),$L77&lt;&gt;"لا"),0,MAX(0,MIN($F77,EOMONTH(DATE(cfg_FY,11,1),0))-$E77+1))</f>
        <v>0</v>
      </c>
      <c r="AS77" s="110" t="n">
        <f aca="false">IF(OR(OR($B77="",$E77="",$F77=""),$L77&lt;&gt;"لا"),0,MAX(0,MIN($F77,EOMONTH(DATE(cfg_FY,12,1),0))-$E77+1))</f>
        <v>0</v>
      </c>
      <c r="AT77" s="110" t="n">
        <f aca="false">IF(OR(OR($B77="",$E77="",$F77=""),$K77&lt;&gt;"نعم",$M77="نعم"),0,MAX(0,MIN($F77,EOMONTH(DATE(cfg_FY,1,1),0))-MAX($E77,DATE(cfg_FY,1,1))+1))</f>
        <v>0</v>
      </c>
      <c r="AU77" s="110" t="n">
        <f aca="false">IF(OR(OR($B77="",$E77="",$F77=""),$K77&lt;&gt;"نعم",$M77="نعم"),0,MAX(0,MIN($F77,EOMONTH(DATE(cfg_FY,2,1),0))-MAX($E77,DATE(cfg_FY,2,1))+1))</f>
        <v>0</v>
      </c>
      <c r="AV77" s="110" t="n">
        <f aca="false">IF(OR(OR($B77="",$E77="",$F77=""),$K77&lt;&gt;"نعم",$M77="نعم"),0,MAX(0,MIN($F77,EOMONTH(DATE(cfg_FY,3,1),0))-MAX($E77,DATE(cfg_FY,3,1))+1))</f>
        <v>0</v>
      </c>
      <c r="AW77" s="110" t="n">
        <f aca="false">IF(OR(OR($B77="",$E77="",$F77=""),$K77&lt;&gt;"نعم",$M77="نعم"),0,MAX(0,MIN($F77,EOMONTH(DATE(cfg_FY,4,1),0))-MAX($E77,DATE(cfg_FY,4,1))+1))</f>
        <v>0</v>
      </c>
      <c r="AX77" s="110" t="n">
        <f aca="false">IF(OR(OR($B77="",$E77="",$F77=""),$K77&lt;&gt;"نعم",$M77="نعم"),0,MAX(0,MIN($F77,EOMONTH(DATE(cfg_FY,5,1),0))-MAX($E77,DATE(cfg_FY,5,1))+1))</f>
        <v>0</v>
      </c>
      <c r="AY77" s="110" t="n">
        <f aca="false">IF(OR(OR($B77="",$E77="",$F77=""),$K77&lt;&gt;"نعم",$M77="نعم"),0,MAX(0,MIN($F77,EOMONTH(DATE(cfg_FY,6,1),0))-MAX($E77,DATE(cfg_FY,6,1))+1))</f>
        <v>0</v>
      </c>
      <c r="AZ77" s="110" t="n">
        <f aca="false">IF(OR(OR($B77="",$E77="",$F77=""),$K77&lt;&gt;"نعم",$M77="نعم"),0,MAX(0,MIN($F77,EOMONTH(DATE(cfg_FY,7,1),0))-MAX($E77,DATE(cfg_FY,7,1))+1))</f>
        <v>0</v>
      </c>
      <c r="BA77" s="110" t="n">
        <f aca="false">IF(OR(OR($B77="",$E77="",$F77=""),$K77&lt;&gt;"نعم",$M77="نعم"),0,MAX(0,MIN($F77,EOMONTH(DATE(cfg_FY,8,1),0))-MAX($E77,DATE(cfg_FY,8,1))+1))</f>
        <v>0</v>
      </c>
      <c r="BB77" s="110" t="n">
        <f aca="false">IF(OR(OR($B77="",$E77="",$F77=""),$K77&lt;&gt;"نعم",$M77="نعم"),0,MAX(0,MIN($F77,EOMONTH(DATE(cfg_FY,9,1),0))-MAX($E77,DATE(cfg_FY,9,1))+1))</f>
        <v>0</v>
      </c>
      <c r="BC77" s="110" t="n">
        <f aca="false">IF(OR(OR($B77="",$E77="",$F77=""),$K77&lt;&gt;"نعم",$M77="نعم"),0,MAX(0,MIN($F77,EOMONTH(DATE(cfg_FY,10,1),0))-MAX($E77,DATE(cfg_FY,10,1))+1))</f>
        <v>0</v>
      </c>
      <c r="BD77" s="110" t="n">
        <f aca="false">IF(OR(OR($B77="",$E77="",$F77=""),$K77&lt;&gt;"نعم",$M77="نعم"),0,MAX(0,MIN($F77,EOMONTH(DATE(cfg_FY,11,1),0))-MAX($E77,DATE(cfg_FY,11,1))+1))</f>
        <v>0</v>
      </c>
      <c r="BE77" s="110" t="n">
        <f aca="false">IF(OR(OR($B77="",$E77="",$F77=""),$K77&lt;&gt;"نعم",$M77="نعم"),0,MAX(0,MIN($F77,EOMONTH(DATE(cfg_FY,12,1),0))-MAX($E77,DATE(cfg_FY,12,1))+1))</f>
        <v>0</v>
      </c>
    </row>
    <row r="78" customFormat="false" ht="15" hidden="false" customHeight="false" outlineLevel="0" collapsed="false">
      <c r="A78" s="93" t="str">
        <f aca="false">IF(B78="","",ROW()-5)</f>
        <v/>
      </c>
      <c r="B78" s="79"/>
      <c r="C78" s="80" t="str">
        <f aca="false">IF(B78="","",IFERROR(INDEX(الموظفون!$C$6:$C$105,MATCH(B78,الموظفون!$B$6:$B$105,0)),"✖ رقم غير موجود"))</f>
        <v/>
      </c>
      <c r="D78" s="79"/>
      <c r="E78" s="94"/>
      <c r="F78" s="94"/>
      <c r="G78" s="57" t="str">
        <f aca="false">IF(OR($B78="",$E78="",$F78=""),"",MAX(0,F78-E78+1))</f>
        <v/>
      </c>
      <c r="H78" s="58" t="str">
        <f aca="false">IF(D78="","",IFERROR(VLOOKUP(D78,cfg_LT,2,FALSE()),1))</f>
        <v/>
      </c>
      <c r="I78" s="82"/>
      <c r="J78" s="58" t="str">
        <f aca="false">IF(D78="","",IF(I78&lt;&gt;"",I78,H78))</f>
        <v/>
      </c>
      <c r="K78" s="80" t="str">
        <f aca="false">IF(D78="","",IFERROR(VLOOKUP($D78,cfg_LT,3,FALSE()),""))</f>
        <v/>
      </c>
      <c r="L78" s="80" t="str">
        <f aca="false">IF(D78="","",IFERROR(VLOOKUP($D78,cfg_LT,4,FALSE()),""))</f>
        <v/>
      </c>
      <c r="M78" s="80" t="str">
        <f aca="false">IF(D78="","",IFERROR(VLOOKUP($D78,cfg_LT,5,FALSE()),""))</f>
        <v/>
      </c>
      <c r="N78" s="97" t="n">
        <f aca="false">IF(OR(OR($B78="",$E78="",$F78=""),M78&lt;&gt;"نعم"),0,G78*J78*IFERROR(INDEX(الموظفون!$R$6:$R$105,MATCH(B78,الموظفون!$B$6:$B$105,0)),0)/cfg_DAYS_M)</f>
        <v>0</v>
      </c>
      <c r="O78" s="93" t="str">
        <f aca="false">IF(OR(OR($B78="",$E78="",$F78=""),M78&lt;&gt;"نعم"),"",IF(YEAR(E78)=cfg_FY,MONTH(E78),""))</f>
        <v/>
      </c>
      <c r="P78" s="80" t="str">
        <f aca="false">IF(B78="","",IF(OR(D78="",E78="",F78=""),"⚠ أكمل النوع والتواريخ",IF(F78&lt;E78,"✖ النهاية قبل البداية",IF(COUNTIFS($B$6:$B$505,B78,$E$6:$E$505,"&lt;="&amp;F78,$F$6:$F$505,"&gt;="&amp;E78)&gt;1,"⚠ تداخل مع سجل آخر",IF(E78&gt;cfg_VAL_DATE,"⏳ قادمة",IF(F78&lt;cfg_VAL_DATE,"✔ منتهية","✈ جارية في تاريخ التقرير"))))))</f>
        <v/>
      </c>
      <c r="Q78" s="79"/>
      <c r="R78" s="57" t="n">
        <f aca="false">IF(OR(OR($B78="",$E78="",$F78=""),L78&lt;&gt;"لا"),0,MAX(0,MIN(F78,cfg_Y_START-1)-E78+1))</f>
        <v>0</v>
      </c>
      <c r="S78" s="57" t="n">
        <f aca="false">IF(OR(OR($B78="",$E78="",$F78=""),L78&lt;&gt;"لا"),0,MAX(0,MIN(F78,cfg_VAL_DATE)-E78+1))</f>
        <v>0</v>
      </c>
      <c r="T78" s="57" t="n">
        <f aca="false">IF(OR(OR($B78="",$E78="",$F78=""),K78&lt;&gt;"نعم"),0,IF(M78="نعم",IF(AND(ISNUMBER(O78),N(O78)&lt;=cfg_VAL_M),G78,0),MAX(0,MIN(F78,cfg_VAL_DATE)-MAX(E78,cfg_Y_START)+1)))</f>
        <v>0</v>
      </c>
      <c r="V78" s="57" t="n">
        <f aca="false">IF(OR($B78="",$E78="",$F78=""),0,MAX(0,MIN($F78,EOMONTH(DATE(cfg_FY,1,1),0))-MAX($E78,DATE(cfg_FY,1,1))+1)*(1-IF($M78="نعم",0,N($J78))))</f>
        <v>0</v>
      </c>
      <c r="W78" s="57" t="n">
        <f aca="false">IF(OR($B78="",$E78="",$F78=""),0,MAX(0,MIN($F78,EOMONTH(DATE(cfg_FY,2,1),0))-MAX($E78,DATE(cfg_FY,2,1))+1)*(1-IF($M78="نعم",0,N($J78))))</f>
        <v>0</v>
      </c>
      <c r="X78" s="57" t="n">
        <f aca="false">IF(OR($B78="",$E78="",$F78=""),0,MAX(0,MIN($F78,EOMONTH(DATE(cfg_FY,3,1),0))-MAX($E78,DATE(cfg_FY,3,1))+1)*(1-IF($M78="نعم",0,N($J78))))</f>
        <v>0</v>
      </c>
      <c r="Y78" s="57" t="n">
        <f aca="false">IF(OR($B78="",$E78="",$F78=""),0,MAX(0,MIN($F78,EOMONTH(DATE(cfg_FY,4,1),0))-MAX($E78,DATE(cfg_FY,4,1))+1)*(1-IF($M78="نعم",0,N($J78))))</f>
        <v>0</v>
      </c>
      <c r="Z78" s="57" t="n">
        <f aca="false">IF(OR($B78="",$E78="",$F78=""),0,MAX(0,MIN($F78,EOMONTH(DATE(cfg_FY,5,1),0))-MAX($E78,DATE(cfg_FY,5,1))+1)*(1-IF($M78="نعم",0,N($J78))))</f>
        <v>0</v>
      </c>
      <c r="AA78" s="57" t="n">
        <f aca="false">IF(OR($B78="",$E78="",$F78=""),0,MAX(0,MIN($F78,EOMONTH(DATE(cfg_FY,6,1),0))-MAX($E78,DATE(cfg_FY,6,1))+1)*(1-IF($M78="نعم",0,N($J78))))</f>
        <v>0</v>
      </c>
      <c r="AB78" s="57" t="n">
        <f aca="false">IF(OR($B78="",$E78="",$F78=""),0,MAX(0,MIN($F78,EOMONTH(DATE(cfg_FY,7,1),0))-MAX($E78,DATE(cfg_FY,7,1))+1)*(1-IF($M78="نعم",0,N($J78))))</f>
        <v>0</v>
      </c>
      <c r="AC78" s="57" t="n">
        <f aca="false">IF(OR($B78="",$E78="",$F78=""),0,MAX(0,MIN($F78,EOMONTH(DATE(cfg_FY,8,1),0))-MAX($E78,DATE(cfg_FY,8,1))+1)*(1-IF($M78="نعم",0,N($J78))))</f>
        <v>0</v>
      </c>
      <c r="AD78" s="57" t="n">
        <f aca="false">IF(OR($B78="",$E78="",$F78=""),0,MAX(0,MIN($F78,EOMONTH(DATE(cfg_FY,9,1),0))-MAX($E78,DATE(cfg_FY,9,1))+1)*(1-IF($M78="نعم",0,N($J78))))</f>
        <v>0</v>
      </c>
      <c r="AE78" s="57" t="n">
        <f aca="false">IF(OR($B78="",$E78="",$F78=""),0,MAX(0,MIN($F78,EOMONTH(DATE(cfg_FY,10,1),0))-MAX($E78,DATE(cfg_FY,10,1))+1)*(1-IF($M78="نعم",0,N($J78))))</f>
        <v>0</v>
      </c>
      <c r="AF78" s="57" t="n">
        <f aca="false">IF(OR($B78="",$E78="",$F78=""),0,MAX(0,MIN($F78,EOMONTH(DATE(cfg_FY,11,1),0))-MAX($E78,DATE(cfg_FY,11,1))+1)*(1-IF($M78="نعم",0,N($J78))))</f>
        <v>0</v>
      </c>
      <c r="AG78" s="57" t="n">
        <f aca="false">IF(OR($B78="",$E78="",$F78=""),0,MAX(0,MIN($F78,EOMONTH(DATE(cfg_FY,12,1),0))-MAX($E78,DATE(cfg_FY,12,1))+1)*(1-IF($M78="نعم",0,N($J78))))</f>
        <v>0</v>
      </c>
      <c r="AH78" s="57" t="n">
        <f aca="false">IF(OR(OR($B78="",$E78="",$F78=""),$L78&lt;&gt;"لا"),0,MAX(0,MIN($F78,EOMONTH(DATE(cfg_FY,1,1),0))-$E78+1))</f>
        <v>0</v>
      </c>
      <c r="AI78" s="57" t="n">
        <f aca="false">IF(OR(OR($B78="",$E78="",$F78=""),$L78&lt;&gt;"لا"),0,MAX(0,MIN($F78,EOMONTH(DATE(cfg_FY,2,1),0))-$E78+1))</f>
        <v>0</v>
      </c>
      <c r="AJ78" s="57" t="n">
        <f aca="false">IF(OR(OR($B78="",$E78="",$F78=""),$L78&lt;&gt;"لا"),0,MAX(0,MIN($F78,EOMONTH(DATE(cfg_FY,3,1),0))-$E78+1))</f>
        <v>0</v>
      </c>
      <c r="AK78" s="57" t="n">
        <f aca="false">IF(OR(OR($B78="",$E78="",$F78=""),$L78&lt;&gt;"لا"),0,MAX(0,MIN($F78,EOMONTH(DATE(cfg_FY,4,1),0))-$E78+1))</f>
        <v>0</v>
      </c>
      <c r="AL78" s="57" t="n">
        <f aca="false">IF(OR(OR($B78="",$E78="",$F78=""),$L78&lt;&gt;"لا"),0,MAX(0,MIN($F78,EOMONTH(DATE(cfg_FY,5,1),0))-$E78+1))</f>
        <v>0</v>
      </c>
      <c r="AM78" s="57" t="n">
        <f aca="false">IF(OR(OR($B78="",$E78="",$F78=""),$L78&lt;&gt;"لا"),0,MAX(0,MIN($F78,EOMONTH(DATE(cfg_FY,6,1),0))-$E78+1))</f>
        <v>0</v>
      </c>
      <c r="AN78" s="57" t="n">
        <f aca="false">IF(OR(OR($B78="",$E78="",$F78=""),$L78&lt;&gt;"لا"),0,MAX(0,MIN($F78,EOMONTH(DATE(cfg_FY,7,1),0))-$E78+1))</f>
        <v>0</v>
      </c>
      <c r="AO78" s="57" t="n">
        <f aca="false">IF(OR(OR($B78="",$E78="",$F78=""),$L78&lt;&gt;"لا"),0,MAX(0,MIN($F78,EOMONTH(DATE(cfg_FY,8,1),0))-$E78+1))</f>
        <v>0</v>
      </c>
      <c r="AP78" s="57" t="n">
        <f aca="false">IF(OR(OR($B78="",$E78="",$F78=""),$L78&lt;&gt;"لا"),0,MAX(0,MIN($F78,EOMONTH(DATE(cfg_FY,9,1),0))-$E78+1))</f>
        <v>0</v>
      </c>
      <c r="AQ78" s="57" t="n">
        <f aca="false">IF(OR(OR($B78="",$E78="",$F78=""),$L78&lt;&gt;"لا"),0,MAX(0,MIN($F78,EOMONTH(DATE(cfg_FY,10,1),0))-$E78+1))</f>
        <v>0</v>
      </c>
      <c r="AR78" s="57" t="n">
        <f aca="false">IF(OR(OR($B78="",$E78="",$F78=""),$L78&lt;&gt;"لا"),0,MAX(0,MIN($F78,EOMONTH(DATE(cfg_FY,11,1),0))-$E78+1))</f>
        <v>0</v>
      </c>
      <c r="AS78" s="57" t="n">
        <f aca="false">IF(OR(OR($B78="",$E78="",$F78=""),$L78&lt;&gt;"لا"),0,MAX(0,MIN($F78,EOMONTH(DATE(cfg_FY,12,1),0))-$E78+1))</f>
        <v>0</v>
      </c>
      <c r="AT78" s="57" t="n">
        <f aca="false">IF(OR(OR($B78="",$E78="",$F78=""),$K78&lt;&gt;"نعم",$M78="نعم"),0,MAX(0,MIN($F78,EOMONTH(DATE(cfg_FY,1,1),0))-MAX($E78,DATE(cfg_FY,1,1))+1))</f>
        <v>0</v>
      </c>
      <c r="AU78" s="57" t="n">
        <f aca="false">IF(OR(OR($B78="",$E78="",$F78=""),$K78&lt;&gt;"نعم",$M78="نعم"),0,MAX(0,MIN($F78,EOMONTH(DATE(cfg_FY,2,1),0))-MAX($E78,DATE(cfg_FY,2,1))+1))</f>
        <v>0</v>
      </c>
      <c r="AV78" s="57" t="n">
        <f aca="false">IF(OR(OR($B78="",$E78="",$F78=""),$K78&lt;&gt;"نعم",$M78="نعم"),0,MAX(0,MIN($F78,EOMONTH(DATE(cfg_FY,3,1),0))-MAX($E78,DATE(cfg_FY,3,1))+1))</f>
        <v>0</v>
      </c>
      <c r="AW78" s="57" t="n">
        <f aca="false">IF(OR(OR($B78="",$E78="",$F78=""),$K78&lt;&gt;"نعم",$M78="نعم"),0,MAX(0,MIN($F78,EOMONTH(DATE(cfg_FY,4,1),0))-MAX($E78,DATE(cfg_FY,4,1))+1))</f>
        <v>0</v>
      </c>
      <c r="AX78" s="57" t="n">
        <f aca="false">IF(OR(OR($B78="",$E78="",$F78=""),$K78&lt;&gt;"نعم",$M78="نعم"),0,MAX(0,MIN($F78,EOMONTH(DATE(cfg_FY,5,1),0))-MAX($E78,DATE(cfg_FY,5,1))+1))</f>
        <v>0</v>
      </c>
      <c r="AY78" s="57" t="n">
        <f aca="false">IF(OR(OR($B78="",$E78="",$F78=""),$K78&lt;&gt;"نعم",$M78="نعم"),0,MAX(0,MIN($F78,EOMONTH(DATE(cfg_FY,6,1),0))-MAX($E78,DATE(cfg_FY,6,1))+1))</f>
        <v>0</v>
      </c>
      <c r="AZ78" s="57" t="n">
        <f aca="false">IF(OR(OR($B78="",$E78="",$F78=""),$K78&lt;&gt;"نعم",$M78="نعم"),0,MAX(0,MIN($F78,EOMONTH(DATE(cfg_FY,7,1),0))-MAX($E78,DATE(cfg_FY,7,1))+1))</f>
        <v>0</v>
      </c>
      <c r="BA78" s="57" t="n">
        <f aca="false">IF(OR(OR($B78="",$E78="",$F78=""),$K78&lt;&gt;"نعم",$M78="نعم"),0,MAX(0,MIN($F78,EOMONTH(DATE(cfg_FY,8,1),0))-MAX($E78,DATE(cfg_FY,8,1))+1))</f>
        <v>0</v>
      </c>
      <c r="BB78" s="57" t="n">
        <f aca="false">IF(OR(OR($B78="",$E78="",$F78=""),$K78&lt;&gt;"نعم",$M78="نعم"),0,MAX(0,MIN($F78,EOMONTH(DATE(cfg_FY,9,1),0))-MAX($E78,DATE(cfg_FY,9,1))+1))</f>
        <v>0</v>
      </c>
      <c r="BC78" s="57" t="n">
        <f aca="false">IF(OR(OR($B78="",$E78="",$F78=""),$K78&lt;&gt;"نعم",$M78="نعم"),0,MAX(0,MIN($F78,EOMONTH(DATE(cfg_FY,10,1),0))-MAX($E78,DATE(cfg_FY,10,1))+1))</f>
        <v>0</v>
      </c>
      <c r="BD78" s="57" t="n">
        <f aca="false">IF(OR(OR($B78="",$E78="",$F78=""),$K78&lt;&gt;"نعم",$M78="نعم"),0,MAX(0,MIN($F78,EOMONTH(DATE(cfg_FY,11,1),0))-MAX($E78,DATE(cfg_FY,11,1))+1))</f>
        <v>0</v>
      </c>
      <c r="BE78" s="57" t="n">
        <f aca="false">IF(OR(OR($B78="",$E78="",$F78=""),$K78&lt;&gt;"نعم",$M78="نعم"),0,MAX(0,MIN($F78,EOMONTH(DATE(cfg_FY,12,1),0))-MAX($E78,DATE(cfg_FY,12,1))+1))</f>
        <v>0</v>
      </c>
    </row>
    <row r="79" customFormat="false" ht="15" hidden="false" customHeight="false" outlineLevel="0" collapsed="false">
      <c r="A79" s="100" t="str">
        <f aca="false">IF(B79="","",ROW()-5)</f>
        <v/>
      </c>
      <c r="B79" s="79"/>
      <c r="C79" s="102" t="str">
        <f aca="false">IF(B79="","",IFERROR(INDEX(الموظفون!$C$6:$C$105,MATCH(B79,الموظفون!$B$6:$B$105,0)),"✖ رقم غير موجود"))</f>
        <v/>
      </c>
      <c r="D79" s="79"/>
      <c r="E79" s="94"/>
      <c r="F79" s="94"/>
      <c r="G79" s="110" t="str">
        <f aca="false">IF(OR($B79="",$E79="",$F79=""),"",MAX(0,F79-E79+1))</f>
        <v/>
      </c>
      <c r="H79" s="111" t="str">
        <f aca="false">IF(D79="","",IFERROR(VLOOKUP(D79,cfg_LT,2,FALSE()),1))</f>
        <v/>
      </c>
      <c r="I79" s="82"/>
      <c r="J79" s="111" t="str">
        <f aca="false">IF(D79="","",IF(I79&lt;&gt;"",I79,H79))</f>
        <v/>
      </c>
      <c r="K79" s="102" t="str">
        <f aca="false">IF(D79="","",IFERROR(VLOOKUP($D79,cfg_LT,3,FALSE()),""))</f>
        <v/>
      </c>
      <c r="L79" s="102" t="str">
        <f aca="false">IF(D79="","",IFERROR(VLOOKUP($D79,cfg_LT,4,FALSE()),""))</f>
        <v/>
      </c>
      <c r="M79" s="102" t="str">
        <f aca="false">IF(D79="","",IFERROR(VLOOKUP($D79,cfg_LT,5,FALSE()),""))</f>
        <v/>
      </c>
      <c r="N79" s="101" t="n">
        <f aca="false">IF(OR(OR($B79="",$E79="",$F79=""),M79&lt;&gt;"نعم"),0,G79*J79*IFERROR(INDEX(الموظفون!$R$6:$R$105,MATCH(B79,الموظفون!$B$6:$B$105,0)),0)/cfg_DAYS_M)</f>
        <v>0</v>
      </c>
      <c r="O79" s="100" t="str">
        <f aca="false">IF(OR(OR($B79="",$E79="",$F79=""),M79&lt;&gt;"نعم"),"",IF(YEAR(E79)=cfg_FY,MONTH(E79),""))</f>
        <v/>
      </c>
      <c r="P79" s="102" t="str">
        <f aca="false">IF(B79="","",IF(OR(D79="",E79="",F79=""),"⚠ أكمل النوع والتواريخ",IF(F79&lt;E79,"✖ النهاية قبل البداية",IF(COUNTIFS($B$6:$B$505,B79,$E$6:$E$505,"&lt;="&amp;F79,$F$6:$F$505,"&gt;="&amp;E79)&gt;1,"⚠ تداخل مع سجل آخر",IF(E79&gt;cfg_VAL_DATE,"⏳ قادمة",IF(F79&lt;cfg_VAL_DATE,"✔ منتهية","✈ جارية في تاريخ التقرير"))))))</f>
        <v/>
      </c>
      <c r="Q79" s="79"/>
      <c r="R79" s="110" t="n">
        <f aca="false">IF(OR(OR($B79="",$E79="",$F79=""),L79&lt;&gt;"لا"),0,MAX(0,MIN(F79,cfg_Y_START-1)-E79+1))</f>
        <v>0</v>
      </c>
      <c r="S79" s="110" t="n">
        <f aca="false">IF(OR(OR($B79="",$E79="",$F79=""),L79&lt;&gt;"لا"),0,MAX(0,MIN(F79,cfg_VAL_DATE)-E79+1))</f>
        <v>0</v>
      </c>
      <c r="T79" s="110" t="n">
        <f aca="false">IF(OR(OR($B79="",$E79="",$F79=""),K79&lt;&gt;"نعم"),0,IF(M79="نعم",IF(AND(ISNUMBER(O79),N(O79)&lt;=cfg_VAL_M),G79,0),MAX(0,MIN(F79,cfg_VAL_DATE)-MAX(E79,cfg_Y_START)+1)))</f>
        <v>0</v>
      </c>
      <c r="V79" s="110" t="n">
        <f aca="false">IF(OR($B79="",$E79="",$F79=""),0,MAX(0,MIN($F79,EOMONTH(DATE(cfg_FY,1,1),0))-MAX($E79,DATE(cfg_FY,1,1))+1)*(1-IF($M79="نعم",0,N($J79))))</f>
        <v>0</v>
      </c>
      <c r="W79" s="110" t="n">
        <f aca="false">IF(OR($B79="",$E79="",$F79=""),0,MAX(0,MIN($F79,EOMONTH(DATE(cfg_FY,2,1),0))-MAX($E79,DATE(cfg_FY,2,1))+1)*(1-IF($M79="نعم",0,N($J79))))</f>
        <v>0</v>
      </c>
      <c r="X79" s="110" t="n">
        <f aca="false">IF(OR($B79="",$E79="",$F79=""),0,MAX(0,MIN($F79,EOMONTH(DATE(cfg_FY,3,1),0))-MAX($E79,DATE(cfg_FY,3,1))+1)*(1-IF($M79="نعم",0,N($J79))))</f>
        <v>0</v>
      </c>
      <c r="Y79" s="110" t="n">
        <f aca="false">IF(OR($B79="",$E79="",$F79=""),0,MAX(0,MIN($F79,EOMONTH(DATE(cfg_FY,4,1),0))-MAX($E79,DATE(cfg_FY,4,1))+1)*(1-IF($M79="نعم",0,N($J79))))</f>
        <v>0</v>
      </c>
      <c r="Z79" s="110" t="n">
        <f aca="false">IF(OR($B79="",$E79="",$F79=""),0,MAX(0,MIN($F79,EOMONTH(DATE(cfg_FY,5,1),0))-MAX($E79,DATE(cfg_FY,5,1))+1)*(1-IF($M79="نعم",0,N($J79))))</f>
        <v>0</v>
      </c>
      <c r="AA79" s="110" t="n">
        <f aca="false">IF(OR($B79="",$E79="",$F79=""),0,MAX(0,MIN($F79,EOMONTH(DATE(cfg_FY,6,1),0))-MAX($E79,DATE(cfg_FY,6,1))+1)*(1-IF($M79="نعم",0,N($J79))))</f>
        <v>0</v>
      </c>
      <c r="AB79" s="110" t="n">
        <f aca="false">IF(OR($B79="",$E79="",$F79=""),0,MAX(0,MIN($F79,EOMONTH(DATE(cfg_FY,7,1),0))-MAX($E79,DATE(cfg_FY,7,1))+1)*(1-IF($M79="نعم",0,N($J79))))</f>
        <v>0</v>
      </c>
      <c r="AC79" s="110" t="n">
        <f aca="false">IF(OR($B79="",$E79="",$F79=""),0,MAX(0,MIN($F79,EOMONTH(DATE(cfg_FY,8,1),0))-MAX($E79,DATE(cfg_FY,8,1))+1)*(1-IF($M79="نعم",0,N($J79))))</f>
        <v>0</v>
      </c>
      <c r="AD79" s="110" t="n">
        <f aca="false">IF(OR($B79="",$E79="",$F79=""),0,MAX(0,MIN($F79,EOMONTH(DATE(cfg_FY,9,1),0))-MAX($E79,DATE(cfg_FY,9,1))+1)*(1-IF($M79="نعم",0,N($J79))))</f>
        <v>0</v>
      </c>
      <c r="AE79" s="110" t="n">
        <f aca="false">IF(OR($B79="",$E79="",$F79=""),0,MAX(0,MIN($F79,EOMONTH(DATE(cfg_FY,10,1),0))-MAX($E79,DATE(cfg_FY,10,1))+1)*(1-IF($M79="نعم",0,N($J79))))</f>
        <v>0</v>
      </c>
      <c r="AF79" s="110" t="n">
        <f aca="false">IF(OR($B79="",$E79="",$F79=""),0,MAX(0,MIN($F79,EOMONTH(DATE(cfg_FY,11,1),0))-MAX($E79,DATE(cfg_FY,11,1))+1)*(1-IF($M79="نعم",0,N($J79))))</f>
        <v>0</v>
      </c>
      <c r="AG79" s="110" t="n">
        <f aca="false">IF(OR($B79="",$E79="",$F79=""),0,MAX(0,MIN($F79,EOMONTH(DATE(cfg_FY,12,1),0))-MAX($E79,DATE(cfg_FY,12,1))+1)*(1-IF($M79="نعم",0,N($J79))))</f>
        <v>0</v>
      </c>
      <c r="AH79" s="110" t="n">
        <f aca="false">IF(OR(OR($B79="",$E79="",$F79=""),$L79&lt;&gt;"لا"),0,MAX(0,MIN($F79,EOMONTH(DATE(cfg_FY,1,1),0))-$E79+1))</f>
        <v>0</v>
      </c>
      <c r="AI79" s="110" t="n">
        <f aca="false">IF(OR(OR($B79="",$E79="",$F79=""),$L79&lt;&gt;"لا"),0,MAX(0,MIN($F79,EOMONTH(DATE(cfg_FY,2,1),0))-$E79+1))</f>
        <v>0</v>
      </c>
      <c r="AJ79" s="110" t="n">
        <f aca="false">IF(OR(OR($B79="",$E79="",$F79=""),$L79&lt;&gt;"لا"),0,MAX(0,MIN($F79,EOMONTH(DATE(cfg_FY,3,1),0))-$E79+1))</f>
        <v>0</v>
      </c>
      <c r="AK79" s="110" t="n">
        <f aca="false">IF(OR(OR($B79="",$E79="",$F79=""),$L79&lt;&gt;"لا"),0,MAX(0,MIN($F79,EOMONTH(DATE(cfg_FY,4,1),0))-$E79+1))</f>
        <v>0</v>
      </c>
      <c r="AL79" s="110" t="n">
        <f aca="false">IF(OR(OR($B79="",$E79="",$F79=""),$L79&lt;&gt;"لا"),0,MAX(0,MIN($F79,EOMONTH(DATE(cfg_FY,5,1),0))-$E79+1))</f>
        <v>0</v>
      </c>
      <c r="AM79" s="110" t="n">
        <f aca="false">IF(OR(OR($B79="",$E79="",$F79=""),$L79&lt;&gt;"لا"),0,MAX(0,MIN($F79,EOMONTH(DATE(cfg_FY,6,1),0))-$E79+1))</f>
        <v>0</v>
      </c>
      <c r="AN79" s="110" t="n">
        <f aca="false">IF(OR(OR($B79="",$E79="",$F79=""),$L79&lt;&gt;"لا"),0,MAX(0,MIN($F79,EOMONTH(DATE(cfg_FY,7,1),0))-$E79+1))</f>
        <v>0</v>
      </c>
      <c r="AO79" s="110" t="n">
        <f aca="false">IF(OR(OR($B79="",$E79="",$F79=""),$L79&lt;&gt;"لا"),0,MAX(0,MIN($F79,EOMONTH(DATE(cfg_FY,8,1),0))-$E79+1))</f>
        <v>0</v>
      </c>
      <c r="AP79" s="110" t="n">
        <f aca="false">IF(OR(OR($B79="",$E79="",$F79=""),$L79&lt;&gt;"لا"),0,MAX(0,MIN($F79,EOMONTH(DATE(cfg_FY,9,1),0))-$E79+1))</f>
        <v>0</v>
      </c>
      <c r="AQ79" s="110" t="n">
        <f aca="false">IF(OR(OR($B79="",$E79="",$F79=""),$L79&lt;&gt;"لا"),0,MAX(0,MIN($F79,EOMONTH(DATE(cfg_FY,10,1),0))-$E79+1))</f>
        <v>0</v>
      </c>
      <c r="AR79" s="110" t="n">
        <f aca="false">IF(OR(OR($B79="",$E79="",$F79=""),$L79&lt;&gt;"لا"),0,MAX(0,MIN($F79,EOMONTH(DATE(cfg_FY,11,1),0))-$E79+1))</f>
        <v>0</v>
      </c>
      <c r="AS79" s="110" t="n">
        <f aca="false">IF(OR(OR($B79="",$E79="",$F79=""),$L79&lt;&gt;"لا"),0,MAX(0,MIN($F79,EOMONTH(DATE(cfg_FY,12,1),0))-$E79+1))</f>
        <v>0</v>
      </c>
      <c r="AT79" s="110" t="n">
        <f aca="false">IF(OR(OR($B79="",$E79="",$F79=""),$K79&lt;&gt;"نعم",$M79="نعم"),0,MAX(0,MIN($F79,EOMONTH(DATE(cfg_FY,1,1),0))-MAX($E79,DATE(cfg_FY,1,1))+1))</f>
        <v>0</v>
      </c>
      <c r="AU79" s="110" t="n">
        <f aca="false">IF(OR(OR($B79="",$E79="",$F79=""),$K79&lt;&gt;"نعم",$M79="نعم"),0,MAX(0,MIN($F79,EOMONTH(DATE(cfg_FY,2,1),0))-MAX($E79,DATE(cfg_FY,2,1))+1))</f>
        <v>0</v>
      </c>
      <c r="AV79" s="110" t="n">
        <f aca="false">IF(OR(OR($B79="",$E79="",$F79=""),$K79&lt;&gt;"نعم",$M79="نعم"),0,MAX(0,MIN($F79,EOMONTH(DATE(cfg_FY,3,1),0))-MAX($E79,DATE(cfg_FY,3,1))+1))</f>
        <v>0</v>
      </c>
      <c r="AW79" s="110" t="n">
        <f aca="false">IF(OR(OR($B79="",$E79="",$F79=""),$K79&lt;&gt;"نعم",$M79="نعم"),0,MAX(0,MIN($F79,EOMONTH(DATE(cfg_FY,4,1),0))-MAX($E79,DATE(cfg_FY,4,1))+1))</f>
        <v>0</v>
      </c>
      <c r="AX79" s="110" t="n">
        <f aca="false">IF(OR(OR($B79="",$E79="",$F79=""),$K79&lt;&gt;"نعم",$M79="نعم"),0,MAX(0,MIN($F79,EOMONTH(DATE(cfg_FY,5,1),0))-MAX($E79,DATE(cfg_FY,5,1))+1))</f>
        <v>0</v>
      </c>
      <c r="AY79" s="110" t="n">
        <f aca="false">IF(OR(OR($B79="",$E79="",$F79=""),$K79&lt;&gt;"نعم",$M79="نعم"),0,MAX(0,MIN($F79,EOMONTH(DATE(cfg_FY,6,1),0))-MAX($E79,DATE(cfg_FY,6,1))+1))</f>
        <v>0</v>
      </c>
      <c r="AZ79" s="110" t="n">
        <f aca="false">IF(OR(OR($B79="",$E79="",$F79=""),$K79&lt;&gt;"نعم",$M79="نعم"),0,MAX(0,MIN($F79,EOMONTH(DATE(cfg_FY,7,1),0))-MAX($E79,DATE(cfg_FY,7,1))+1))</f>
        <v>0</v>
      </c>
      <c r="BA79" s="110" t="n">
        <f aca="false">IF(OR(OR($B79="",$E79="",$F79=""),$K79&lt;&gt;"نعم",$M79="نعم"),0,MAX(0,MIN($F79,EOMONTH(DATE(cfg_FY,8,1),0))-MAX($E79,DATE(cfg_FY,8,1))+1))</f>
        <v>0</v>
      </c>
      <c r="BB79" s="110" t="n">
        <f aca="false">IF(OR(OR($B79="",$E79="",$F79=""),$K79&lt;&gt;"نعم",$M79="نعم"),0,MAX(0,MIN($F79,EOMONTH(DATE(cfg_FY,9,1),0))-MAX($E79,DATE(cfg_FY,9,1))+1))</f>
        <v>0</v>
      </c>
      <c r="BC79" s="110" t="n">
        <f aca="false">IF(OR(OR($B79="",$E79="",$F79=""),$K79&lt;&gt;"نعم",$M79="نعم"),0,MAX(0,MIN($F79,EOMONTH(DATE(cfg_FY,10,1),0))-MAX($E79,DATE(cfg_FY,10,1))+1))</f>
        <v>0</v>
      </c>
      <c r="BD79" s="110" t="n">
        <f aca="false">IF(OR(OR($B79="",$E79="",$F79=""),$K79&lt;&gt;"نعم",$M79="نعم"),0,MAX(0,MIN($F79,EOMONTH(DATE(cfg_FY,11,1),0))-MAX($E79,DATE(cfg_FY,11,1))+1))</f>
        <v>0</v>
      </c>
      <c r="BE79" s="110" t="n">
        <f aca="false">IF(OR(OR($B79="",$E79="",$F79=""),$K79&lt;&gt;"نعم",$M79="نعم"),0,MAX(0,MIN($F79,EOMONTH(DATE(cfg_FY,12,1),0))-MAX($E79,DATE(cfg_FY,12,1))+1))</f>
        <v>0</v>
      </c>
    </row>
    <row r="80" customFormat="false" ht="15" hidden="false" customHeight="false" outlineLevel="0" collapsed="false">
      <c r="A80" s="93" t="str">
        <f aca="false">IF(B80="","",ROW()-5)</f>
        <v/>
      </c>
      <c r="B80" s="79"/>
      <c r="C80" s="80" t="str">
        <f aca="false">IF(B80="","",IFERROR(INDEX(الموظفون!$C$6:$C$105,MATCH(B80,الموظفون!$B$6:$B$105,0)),"✖ رقم غير موجود"))</f>
        <v/>
      </c>
      <c r="D80" s="79"/>
      <c r="E80" s="94"/>
      <c r="F80" s="94"/>
      <c r="G80" s="57" t="str">
        <f aca="false">IF(OR($B80="",$E80="",$F80=""),"",MAX(0,F80-E80+1))</f>
        <v/>
      </c>
      <c r="H80" s="58" t="str">
        <f aca="false">IF(D80="","",IFERROR(VLOOKUP(D80,cfg_LT,2,FALSE()),1))</f>
        <v/>
      </c>
      <c r="I80" s="82"/>
      <c r="J80" s="58" t="str">
        <f aca="false">IF(D80="","",IF(I80&lt;&gt;"",I80,H80))</f>
        <v/>
      </c>
      <c r="K80" s="80" t="str">
        <f aca="false">IF(D80="","",IFERROR(VLOOKUP($D80,cfg_LT,3,FALSE()),""))</f>
        <v/>
      </c>
      <c r="L80" s="80" t="str">
        <f aca="false">IF(D80="","",IFERROR(VLOOKUP($D80,cfg_LT,4,FALSE()),""))</f>
        <v/>
      </c>
      <c r="M80" s="80" t="str">
        <f aca="false">IF(D80="","",IFERROR(VLOOKUP($D80,cfg_LT,5,FALSE()),""))</f>
        <v/>
      </c>
      <c r="N80" s="97" t="n">
        <f aca="false">IF(OR(OR($B80="",$E80="",$F80=""),M80&lt;&gt;"نعم"),0,G80*J80*IFERROR(INDEX(الموظفون!$R$6:$R$105,MATCH(B80,الموظفون!$B$6:$B$105,0)),0)/cfg_DAYS_M)</f>
        <v>0</v>
      </c>
      <c r="O80" s="93" t="str">
        <f aca="false">IF(OR(OR($B80="",$E80="",$F80=""),M80&lt;&gt;"نعم"),"",IF(YEAR(E80)=cfg_FY,MONTH(E80),""))</f>
        <v/>
      </c>
      <c r="P80" s="80" t="str">
        <f aca="false">IF(B80="","",IF(OR(D80="",E80="",F80=""),"⚠ أكمل النوع والتواريخ",IF(F80&lt;E80,"✖ النهاية قبل البداية",IF(COUNTIFS($B$6:$B$505,B80,$E$6:$E$505,"&lt;="&amp;F80,$F$6:$F$505,"&gt;="&amp;E80)&gt;1,"⚠ تداخل مع سجل آخر",IF(E80&gt;cfg_VAL_DATE,"⏳ قادمة",IF(F80&lt;cfg_VAL_DATE,"✔ منتهية","✈ جارية في تاريخ التقرير"))))))</f>
        <v/>
      </c>
      <c r="Q80" s="79"/>
      <c r="R80" s="57" t="n">
        <f aca="false">IF(OR(OR($B80="",$E80="",$F80=""),L80&lt;&gt;"لا"),0,MAX(0,MIN(F80,cfg_Y_START-1)-E80+1))</f>
        <v>0</v>
      </c>
      <c r="S80" s="57" t="n">
        <f aca="false">IF(OR(OR($B80="",$E80="",$F80=""),L80&lt;&gt;"لا"),0,MAX(0,MIN(F80,cfg_VAL_DATE)-E80+1))</f>
        <v>0</v>
      </c>
      <c r="T80" s="57" t="n">
        <f aca="false">IF(OR(OR($B80="",$E80="",$F80=""),K80&lt;&gt;"نعم"),0,IF(M80="نعم",IF(AND(ISNUMBER(O80),N(O80)&lt;=cfg_VAL_M),G80,0),MAX(0,MIN(F80,cfg_VAL_DATE)-MAX(E80,cfg_Y_START)+1)))</f>
        <v>0</v>
      </c>
      <c r="V80" s="57" t="n">
        <f aca="false">IF(OR($B80="",$E80="",$F80=""),0,MAX(0,MIN($F80,EOMONTH(DATE(cfg_FY,1,1),0))-MAX($E80,DATE(cfg_FY,1,1))+1)*(1-IF($M80="نعم",0,N($J80))))</f>
        <v>0</v>
      </c>
      <c r="W80" s="57" t="n">
        <f aca="false">IF(OR($B80="",$E80="",$F80=""),0,MAX(0,MIN($F80,EOMONTH(DATE(cfg_FY,2,1),0))-MAX($E80,DATE(cfg_FY,2,1))+1)*(1-IF($M80="نعم",0,N($J80))))</f>
        <v>0</v>
      </c>
      <c r="X80" s="57" t="n">
        <f aca="false">IF(OR($B80="",$E80="",$F80=""),0,MAX(0,MIN($F80,EOMONTH(DATE(cfg_FY,3,1),0))-MAX($E80,DATE(cfg_FY,3,1))+1)*(1-IF($M80="نعم",0,N($J80))))</f>
        <v>0</v>
      </c>
      <c r="Y80" s="57" t="n">
        <f aca="false">IF(OR($B80="",$E80="",$F80=""),0,MAX(0,MIN($F80,EOMONTH(DATE(cfg_FY,4,1),0))-MAX($E80,DATE(cfg_FY,4,1))+1)*(1-IF($M80="نعم",0,N($J80))))</f>
        <v>0</v>
      </c>
      <c r="Z80" s="57" t="n">
        <f aca="false">IF(OR($B80="",$E80="",$F80=""),0,MAX(0,MIN($F80,EOMONTH(DATE(cfg_FY,5,1),0))-MAX($E80,DATE(cfg_FY,5,1))+1)*(1-IF($M80="نعم",0,N($J80))))</f>
        <v>0</v>
      </c>
      <c r="AA80" s="57" t="n">
        <f aca="false">IF(OR($B80="",$E80="",$F80=""),0,MAX(0,MIN($F80,EOMONTH(DATE(cfg_FY,6,1),0))-MAX($E80,DATE(cfg_FY,6,1))+1)*(1-IF($M80="نعم",0,N($J80))))</f>
        <v>0</v>
      </c>
      <c r="AB80" s="57" t="n">
        <f aca="false">IF(OR($B80="",$E80="",$F80=""),0,MAX(0,MIN($F80,EOMONTH(DATE(cfg_FY,7,1),0))-MAX($E80,DATE(cfg_FY,7,1))+1)*(1-IF($M80="نعم",0,N($J80))))</f>
        <v>0</v>
      </c>
      <c r="AC80" s="57" t="n">
        <f aca="false">IF(OR($B80="",$E80="",$F80=""),0,MAX(0,MIN($F80,EOMONTH(DATE(cfg_FY,8,1),0))-MAX($E80,DATE(cfg_FY,8,1))+1)*(1-IF($M80="نعم",0,N($J80))))</f>
        <v>0</v>
      </c>
      <c r="AD80" s="57" t="n">
        <f aca="false">IF(OR($B80="",$E80="",$F80=""),0,MAX(0,MIN($F80,EOMONTH(DATE(cfg_FY,9,1),0))-MAX($E80,DATE(cfg_FY,9,1))+1)*(1-IF($M80="نعم",0,N($J80))))</f>
        <v>0</v>
      </c>
      <c r="AE80" s="57" t="n">
        <f aca="false">IF(OR($B80="",$E80="",$F80=""),0,MAX(0,MIN($F80,EOMONTH(DATE(cfg_FY,10,1),0))-MAX($E80,DATE(cfg_FY,10,1))+1)*(1-IF($M80="نعم",0,N($J80))))</f>
        <v>0</v>
      </c>
      <c r="AF80" s="57" t="n">
        <f aca="false">IF(OR($B80="",$E80="",$F80=""),0,MAX(0,MIN($F80,EOMONTH(DATE(cfg_FY,11,1),0))-MAX($E80,DATE(cfg_FY,11,1))+1)*(1-IF($M80="نعم",0,N($J80))))</f>
        <v>0</v>
      </c>
      <c r="AG80" s="57" t="n">
        <f aca="false">IF(OR($B80="",$E80="",$F80=""),0,MAX(0,MIN($F80,EOMONTH(DATE(cfg_FY,12,1),0))-MAX($E80,DATE(cfg_FY,12,1))+1)*(1-IF($M80="نعم",0,N($J80))))</f>
        <v>0</v>
      </c>
      <c r="AH80" s="57" t="n">
        <f aca="false">IF(OR(OR($B80="",$E80="",$F80=""),$L80&lt;&gt;"لا"),0,MAX(0,MIN($F80,EOMONTH(DATE(cfg_FY,1,1),0))-$E80+1))</f>
        <v>0</v>
      </c>
      <c r="AI80" s="57" t="n">
        <f aca="false">IF(OR(OR($B80="",$E80="",$F80=""),$L80&lt;&gt;"لا"),0,MAX(0,MIN($F80,EOMONTH(DATE(cfg_FY,2,1),0))-$E80+1))</f>
        <v>0</v>
      </c>
      <c r="AJ80" s="57" t="n">
        <f aca="false">IF(OR(OR($B80="",$E80="",$F80=""),$L80&lt;&gt;"لا"),0,MAX(0,MIN($F80,EOMONTH(DATE(cfg_FY,3,1),0))-$E80+1))</f>
        <v>0</v>
      </c>
      <c r="AK80" s="57" t="n">
        <f aca="false">IF(OR(OR($B80="",$E80="",$F80=""),$L80&lt;&gt;"لا"),0,MAX(0,MIN($F80,EOMONTH(DATE(cfg_FY,4,1),0))-$E80+1))</f>
        <v>0</v>
      </c>
      <c r="AL80" s="57" t="n">
        <f aca="false">IF(OR(OR($B80="",$E80="",$F80=""),$L80&lt;&gt;"لا"),0,MAX(0,MIN($F80,EOMONTH(DATE(cfg_FY,5,1),0))-$E80+1))</f>
        <v>0</v>
      </c>
      <c r="AM80" s="57" t="n">
        <f aca="false">IF(OR(OR($B80="",$E80="",$F80=""),$L80&lt;&gt;"لا"),0,MAX(0,MIN($F80,EOMONTH(DATE(cfg_FY,6,1),0))-$E80+1))</f>
        <v>0</v>
      </c>
      <c r="AN80" s="57" t="n">
        <f aca="false">IF(OR(OR($B80="",$E80="",$F80=""),$L80&lt;&gt;"لا"),0,MAX(0,MIN($F80,EOMONTH(DATE(cfg_FY,7,1),0))-$E80+1))</f>
        <v>0</v>
      </c>
      <c r="AO80" s="57" t="n">
        <f aca="false">IF(OR(OR($B80="",$E80="",$F80=""),$L80&lt;&gt;"لا"),0,MAX(0,MIN($F80,EOMONTH(DATE(cfg_FY,8,1),0))-$E80+1))</f>
        <v>0</v>
      </c>
      <c r="AP80" s="57" t="n">
        <f aca="false">IF(OR(OR($B80="",$E80="",$F80=""),$L80&lt;&gt;"لا"),0,MAX(0,MIN($F80,EOMONTH(DATE(cfg_FY,9,1),0))-$E80+1))</f>
        <v>0</v>
      </c>
      <c r="AQ80" s="57" t="n">
        <f aca="false">IF(OR(OR($B80="",$E80="",$F80=""),$L80&lt;&gt;"لا"),0,MAX(0,MIN($F80,EOMONTH(DATE(cfg_FY,10,1),0))-$E80+1))</f>
        <v>0</v>
      </c>
      <c r="AR80" s="57" t="n">
        <f aca="false">IF(OR(OR($B80="",$E80="",$F80=""),$L80&lt;&gt;"لا"),0,MAX(0,MIN($F80,EOMONTH(DATE(cfg_FY,11,1),0))-$E80+1))</f>
        <v>0</v>
      </c>
      <c r="AS80" s="57" t="n">
        <f aca="false">IF(OR(OR($B80="",$E80="",$F80=""),$L80&lt;&gt;"لا"),0,MAX(0,MIN($F80,EOMONTH(DATE(cfg_FY,12,1),0))-$E80+1))</f>
        <v>0</v>
      </c>
      <c r="AT80" s="57" t="n">
        <f aca="false">IF(OR(OR($B80="",$E80="",$F80=""),$K80&lt;&gt;"نعم",$M80="نعم"),0,MAX(0,MIN($F80,EOMONTH(DATE(cfg_FY,1,1),0))-MAX($E80,DATE(cfg_FY,1,1))+1))</f>
        <v>0</v>
      </c>
      <c r="AU80" s="57" t="n">
        <f aca="false">IF(OR(OR($B80="",$E80="",$F80=""),$K80&lt;&gt;"نعم",$M80="نعم"),0,MAX(0,MIN($F80,EOMONTH(DATE(cfg_FY,2,1),0))-MAX($E80,DATE(cfg_FY,2,1))+1))</f>
        <v>0</v>
      </c>
      <c r="AV80" s="57" t="n">
        <f aca="false">IF(OR(OR($B80="",$E80="",$F80=""),$K80&lt;&gt;"نعم",$M80="نعم"),0,MAX(0,MIN($F80,EOMONTH(DATE(cfg_FY,3,1),0))-MAX($E80,DATE(cfg_FY,3,1))+1))</f>
        <v>0</v>
      </c>
      <c r="AW80" s="57" t="n">
        <f aca="false">IF(OR(OR($B80="",$E80="",$F80=""),$K80&lt;&gt;"نعم",$M80="نعم"),0,MAX(0,MIN($F80,EOMONTH(DATE(cfg_FY,4,1),0))-MAX($E80,DATE(cfg_FY,4,1))+1))</f>
        <v>0</v>
      </c>
      <c r="AX80" s="57" t="n">
        <f aca="false">IF(OR(OR($B80="",$E80="",$F80=""),$K80&lt;&gt;"نعم",$M80="نعم"),0,MAX(0,MIN($F80,EOMONTH(DATE(cfg_FY,5,1),0))-MAX($E80,DATE(cfg_FY,5,1))+1))</f>
        <v>0</v>
      </c>
      <c r="AY80" s="57" t="n">
        <f aca="false">IF(OR(OR($B80="",$E80="",$F80=""),$K80&lt;&gt;"نعم",$M80="نعم"),0,MAX(0,MIN($F80,EOMONTH(DATE(cfg_FY,6,1),0))-MAX($E80,DATE(cfg_FY,6,1))+1))</f>
        <v>0</v>
      </c>
      <c r="AZ80" s="57" t="n">
        <f aca="false">IF(OR(OR($B80="",$E80="",$F80=""),$K80&lt;&gt;"نعم",$M80="نعم"),0,MAX(0,MIN($F80,EOMONTH(DATE(cfg_FY,7,1),0))-MAX($E80,DATE(cfg_FY,7,1))+1))</f>
        <v>0</v>
      </c>
      <c r="BA80" s="57" t="n">
        <f aca="false">IF(OR(OR($B80="",$E80="",$F80=""),$K80&lt;&gt;"نعم",$M80="نعم"),0,MAX(0,MIN($F80,EOMONTH(DATE(cfg_FY,8,1),0))-MAX($E80,DATE(cfg_FY,8,1))+1))</f>
        <v>0</v>
      </c>
      <c r="BB80" s="57" t="n">
        <f aca="false">IF(OR(OR($B80="",$E80="",$F80=""),$K80&lt;&gt;"نعم",$M80="نعم"),0,MAX(0,MIN($F80,EOMONTH(DATE(cfg_FY,9,1),0))-MAX($E80,DATE(cfg_FY,9,1))+1))</f>
        <v>0</v>
      </c>
      <c r="BC80" s="57" t="n">
        <f aca="false">IF(OR(OR($B80="",$E80="",$F80=""),$K80&lt;&gt;"نعم",$M80="نعم"),0,MAX(0,MIN($F80,EOMONTH(DATE(cfg_FY,10,1),0))-MAX($E80,DATE(cfg_FY,10,1))+1))</f>
        <v>0</v>
      </c>
      <c r="BD80" s="57" t="n">
        <f aca="false">IF(OR(OR($B80="",$E80="",$F80=""),$K80&lt;&gt;"نعم",$M80="نعم"),0,MAX(0,MIN($F80,EOMONTH(DATE(cfg_FY,11,1),0))-MAX($E80,DATE(cfg_FY,11,1))+1))</f>
        <v>0</v>
      </c>
      <c r="BE80" s="57" t="n">
        <f aca="false">IF(OR(OR($B80="",$E80="",$F80=""),$K80&lt;&gt;"نعم",$M80="نعم"),0,MAX(0,MIN($F80,EOMONTH(DATE(cfg_FY,12,1),0))-MAX($E80,DATE(cfg_FY,12,1))+1))</f>
        <v>0</v>
      </c>
    </row>
    <row r="81" customFormat="false" ht="15" hidden="false" customHeight="false" outlineLevel="0" collapsed="false">
      <c r="A81" s="100" t="str">
        <f aca="false">IF(B81="","",ROW()-5)</f>
        <v/>
      </c>
      <c r="B81" s="79"/>
      <c r="C81" s="102" t="str">
        <f aca="false">IF(B81="","",IFERROR(INDEX(الموظفون!$C$6:$C$105,MATCH(B81,الموظفون!$B$6:$B$105,0)),"✖ رقم غير موجود"))</f>
        <v/>
      </c>
      <c r="D81" s="79"/>
      <c r="E81" s="94"/>
      <c r="F81" s="94"/>
      <c r="G81" s="110" t="str">
        <f aca="false">IF(OR($B81="",$E81="",$F81=""),"",MAX(0,F81-E81+1))</f>
        <v/>
      </c>
      <c r="H81" s="111" t="str">
        <f aca="false">IF(D81="","",IFERROR(VLOOKUP(D81,cfg_LT,2,FALSE()),1))</f>
        <v/>
      </c>
      <c r="I81" s="82"/>
      <c r="J81" s="111" t="str">
        <f aca="false">IF(D81="","",IF(I81&lt;&gt;"",I81,H81))</f>
        <v/>
      </c>
      <c r="K81" s="102" t="str">
        <f aca="false">IF(D81="","",IFERROR(VLOOKUP($D81,cfg_LT,3,FALSE()),""))</f>
        <v/>
      </c>
      <c r="L81" s="102" t="str">
        <f aca="false">IF(D81="","",IFERROR(VLOOKUP($D81,cfg_LT,4,FALSE()),""))</f>
        <v/>
      </c>
      <c r="M81" s="102" t="str">
        <f aca="false">IF(D81="","",IFERROR(VLOOKUP($D81,cfg_LT,5,FALSE()),""))</f>
        <v/>
      </c>
      <c r="N81" s="101" t="n">
        <f aca="false">IF(OR(OR($B81="",$E81="",$F81=""),M81&lt;&gt;"نعم"),0,G81*J81*IFERROR(INDEX(الموظفون!$R$6:$R$105,MATCH(B81,الموظفون!$B$6:$B$105,0)),0)/cfg_DAYS_M)</f>
        <v>0</v>
      </c>
      <c r="O81" s="100" t="str">
        <f aca="false">IF(OR(OR($B81="",$E81="",$F81=""),M81&lt;&gt;"نعم"),"",IF(YEAR(E81)=cfg_FY,MONTH(E81),""))</f>
        <v/>
      </c>
      <c r="P81" s="102" t="str">
        <f aca="false">IF(B81="","",IF(OR(D81="",E81="",F81=""),"⚠ أكمل النوع والتواريخ",IF(F81&lt;E81,"✖ النهاية قبل البداية",IF(COUNTIFS($B$6:$B$505,B81,$E$6:$E$505,"&lt;="&amp;F81,$F$6:$F$505,"&gt;="&amp;E81)&gt;1,"⚠ تداخل مع سجل آخر",IF(E81&gt;cfg_VAL_DATE,"⏳ قادمة",IF(F81&lt;cfg_VAL_DATE,"✔ منتهية","✈ جارية في تاريخ التقرير"))))))</f>
        <v/>
      </c>
      <c r="Q81" s="79"/>
      <c r="R81" s="110" t="n">
        <f aca="false">IF(OR(OR($B81="",$E81="",$F81=""),L81&lt;&gt;"لا"),0,MAX(0,MIN(F81,cfg_Y_START-1)-E81+1))</f>
        <v>0</v>
      </c>
      <c r="S81" s="110" t="n">
        <f aca="false">IF(OR(OR($B81="",$E81="",$F81=""),L81&lt;&gt;"لا"),0,MAX(0,MIN(F81,cfg_VAL_DATE)-E81+1))</f>
        <v>0</v>
      </c>
      <c r="T81" s="110" t="n">
        <f aca="false">IF(OR(OR($B81="",$E81="",$F81=""),K81&lt;&gt;"نعم"),0,IF(M81="نعم",IF(AND(ISNUMBER(O81),N(O81)&lt;=cfg_VAL_M),G81,0),MAX(0,MIN(F81,cfg_VAL_DATE)-MAX(E81,cfg_Y_START)+1)))</f>
        <v>0</v>
      </c>
      <c r="V81" s="110" t="n">
        <f aca="false">IF(OR($B81="",$E81="",$F81=""),0,MAX(0,MIN($F81,EOMONTH(DATE(cfg_FY,1,1),0))-MAX($E81,DATE(cfg_FY,1,1))+1)*(1-IF($M81="نعم",0,N($J81))))</f>
        <v>0</v>
      </c>
      <c r="W81" s="110" t="n">
        <f aca="false">IF(OR($B81="",$E81="",$F81=""),0,MAX(0,MIN($F81,EOMONTH(DATE(cfg_FY,2,1),0))-MAX($E81,DATE(cfg_FY,2,1))+1)*(1-IF($M81="نعم",0,N($J81))))</f>
        <v>0</v>
      </c>
      <c r="X81" s="110" t="n">
        <f aca="false">IF(OR($B81="",$E81="",$F81=""),0,MAX(0,MIN($F81,EOMONTH(DATE(cfg_FY,3,1),0))-MAX($E81,DATE(cfg_FY,3,1))+1)*(1-IF($M81="نعم",0,N($J81))))</f>
        <v>0</v>
      </c>
      <c r="Y81" s="110" t="n">
        <f aca="false">IF(OR($B81="",$E81="",$F81=""),0,MAX(0,MIN($F81,EOMONTH(DATE(cfg_FY,4,1),0))-MAX($E81,DATE(cfg_FY,4,1))+1)*(1-IF($M81="نعم",0,N($J81))))</f>
        <v>0</v>
      </c>
      <c r="Z81" s="110" t="n">
        <f aca="false">IF(OR($B81="",$E81="",$F81=""),0,MAX(0,MIN($F81,EOMONTH(DATE(cfg_FY,5,1),0))-MAX($E81,DATE(cfg_FY,5,1))+1)*(1-IF($M81="نعم",0,N($J81))))</f>
        <v>0</v>
      </c>
      <c r="AA81" s="110" t="n">
        <f aca="false">IF(OR($B81="",$E81="",$F81=""),0,MAX(0,MIN($F81,EOMONTH(DATE(cfg_FY,6,1),0))-MAX($E81,DATE(cfg_FY,6,1))+1)*(1-IF($M81="نعم",0,N($J81))))</f>
        <v>0</v>
      </c>
      <c r="AB81" s="110" t="n">
        <f aca="false">IF(OR($B81="",$E81="",$F81=""),0,MAX(0,MIN($F81,EOMONTH(DATE(cfg_FY,7,1),0))-MAX($E81,DATE(cfg_FY,7,1))+1)*(1-IF($M81="نعم",0,N($J81))))</f>
        <v>0</v>
      </c>
      <c r="AC81" s="110" t="n">
        <f aca="false">IF(OR($B81="",$E81="",$F81=""),0,MAX(0,MIN($F81,EOMONTH(DATE(cfg_FY,8,1),0))-MAX($E81,DATE(cfg_FY,8,1))+1)*(1-IF($M81="نعم",0,N($J81))))</f>
        <v>0</v>
      </c>
      <c r="AD81" s="110" t="n">
        <f aca="false">IF(OR($B81="",$E81="",$F81=""),0,MAX(0,MIN($F81,EOMONTH(DATE(cfg_FY,9,1),0))-MAX($E81,DATE(cfg_FY,9,1))+1)*(1-IF($M81="نعم",0,N($J81))))</f>
        <v>0</v>
      </c>
      <c r="AE81" s="110" t="n">
        <f aca="false">IF(OR($B81="",$E81="",$F81=""),0,MAX(0,MIN($F81,EOMONTH(DATE(cfg_FY,10,1),0))-MAX($E81,DATE(cfg_FY,10,1))+1)*(1-IF($M81="نعم",0,N($J81))))</f>
        <v>0</v>
      </c>
      <c r="AF81" s="110" t="n">
        <f aca="false">IF(OR($B81="",$E81="",$F81=""),0,MAX(0,MIN($F81,EOMONTH(DATE(cfg_FY,11,1),0))-MAX($E81,DATE(cfg_FY,11,1))+1)*(1-IF($M81="نعم",0,N($J81))))</f>
        <v>0</v>
      </c>
      <c r="AG81" s="110" t="n">
        <f aca="false">IF(OR($B81="",$E81="",$F81=""),0,MAX(0,MIN($F81,EOMONTH(DATE(cfg_FY,12,1),0))-MAX($E81,DATE(cfg_FY,12,1))+1)*(1-IF($M81="نعم",0,N($J81))))</f>
        <v>0</v>
      </c>
      <c r="AH81" s="110" t="n">
        <f aca="false">IF(OR(OR($B81="",$E81="",$F81=""),$L81&lt;&gt;"لا"),0,MAX(0,MIN($F81,EOMONTH(DATE(cfg_FY,1,1),0))-$E81+1))</f>
        <v>0</v>
      </c>
      <c r="AI81" s="110" t="n">
        <f aca="false">IF(OR(OR($B81="",$E81="",$F81=""),$L81&lt;&gt;"لا"),0,MAX(0,MIN($F81,EOMONTH(DATE(cfg_FY,2,1),0))-$E81+1))</f>
        <v>0</v>
      </c>
      <c r="AJ81" s="110" t="n">
        <f aca="false">IF(OR(OR($B81="",$E81="",$F81=""),$L81&lt;&gt;"لا"),0,MAX(0,MIN($F81,EOMONTH(DATE(cfg_FY,3,1),0))-$E81+1))</f>
        <v>0</v>
      </c>
      <c r="AK81" s="110" t="n">
        <f aca="false">IF(OR(OR($B81="",$E81="",$F81=""),$L81&lt;&gt;"لا"),0,MAX(0,MIN($F81,EOMONTH(DATE(cfg_FY,4,1),0))-$E81+1))</f>
        <v>0</v>
      </c>
      <c r="AL81" s="110" t="n">
        <f aca="false">IF(OR(OR($B81="",$E81="",$F81=""),$L81&lt;&gt;"لا"),0,MAX(0,MIN($F81,EOMONTH(DATE(cfg_FY,5,1),0))-$E81+1))</f>
        <v>0</v>
      </c>
      <c r="AM81" s="110" t="n">
        <f aca="false">IF(OR(OR($B81="",$E81="",$F81=""),$L81&lt;&gt;"لا"),0,MAX(0,MIN($F81,EOMONTH(DATE(cfg_FY,6,1),0))-$E81+1))</f>
        <v>0</v>
      </c>
      <c r="AN81" s="110" t="n">
        <f aca="false">IF(OR(OR($B81="",$E81="",$F81=""),$L81&lt;&gt;"لا"),0,MAX(0,MIN($F81,EOMONTH(DATE(cfg_FY,7,1),0))-$E81+1))</f>
        <v>0</v>
      </c>
      <c r="AO81" s="110" t="n">
        <f aca="false">IF(OR(OR($B81="",$E81="",$F81=""),$L81&lt;&gt;"لا"),0,MAX(0,MIN($F81,EOMONTH(DATE(cfg_FY,8,1),0))-$E81+1))</f>
        <v>0</v>
      </c>
      <c r="AP81" s="110" t="n">
        <f aca="false">IF(OR(OR($B81="",$E81="",$F81=""),$L81&lt;&gt;"لا"),0,MAX(0,MIN($F81,EOMONTH(DATE(cfg_FY,9,1),0))-$E81+1))</f>
        <v>0</v>
      </c>
      <c r="AQ81" s="110" t="n">
        <f aca="false">IF(OR(OR($B81="",$E81="",$F81=""),$L81&lt;&gt;"لا"),0,MAX(0,MIN($F81,EOMONTH(DATE(cfg_FY,10,1),0))-$E81+1))</f>
        <v>0</v>
      </c>
      <c r="AR81" s="110" t="n">
        <f aca="false">IF(OR(OR($B81="",$E81="",$F81=""),$L81&lt;&gt;"لا"),0,MAX(0,MIN($F81,EOMONTH(DATE(cfg_FY,11,1),0))-$E81+1))</f>
        <v>0</v>
      </c>
      <c r="AS81" s="110" t="n">
        <f aca="false">IF(OR(OR($B81="",$E81="",$F81=""),$L81&lt;&gt;"لا"),0,MAX(0,MIN($F81,EOMONTH(DATE(cfg_FY,12,1),0))-$E81+1))</f>
        <v>0</v>
      </c>
      <c r="AT81" s="110" t="n">
        <f aca="false">IF(OR(OR($B81="",$E81="",$F81=""),$K81&lt;&gt;"نعم",$M81="نعم"),0,MAX(0,MIN($F81,EOMONTH(DATE(cfg_FY,1,1),0))-MAX($E81,DATE(cfg_FY,1,1))+1))</f>
        <v>0</v>
      </c>
      <c r="AU81" s="110" t="n">
        <f aca="false">IF(OR(OR($B81="",$E81="",$F81=""),$K81&lt;&gt;"نعم",$M81="نعم"),0,MAX(0,MIN($F81,EOMONTH(DATE(cfg_FY,2,1),0))-MAX($E81,DATE(cfg_FY,2,1))+1))</f>
        <v>0</v>
      </c>
      <c r="AV81" s="110" t="n">
        <f aca="false">IF(OR(OR($B81="",$E81="",$F81=""),$K81&lt;&gt;"نعم",$M81="نعم"),0,MAX(0,MIN($F81,EOMONTH(DATE(cfg_FY,3,1),0))-MAX($E81,DATE(cfg_FY,3,1))+1))</f>
        <v>0</v>
      </c>
      <c r="AW81" s="110" t="n">
        <f aca="false">IF(OR(OR($B81="",$E81="",$F81=""),$K81&lt;&gt;"نعم",$M81="نعم"),0,MAX(0,MIN($F81,EOMONTH(DATE(cfg_FY,4,1),0))-MAX($E81,DATE(cfg_FY,4,1))+1))</f>
        <v>0</v>
      </c>
      <c r="AX81" s="110" t="n">
        <f aca="false">IF(OR(OR($B81="",$E81="",$F81=""),$K81&lt;&gt;"نعم",$M81="نعم"),0,MAX(0,MIN($F81,EOMONTH(DATE(cfg_FY,5,1),0))-MAX($E81,DATE(cfg_FY,5,1))+1))</f>
        <v>0</v>
      </c>
      <c r="AY81" s="110" t="n">
        <f aca="false">IF(OR(OR($B81="",$E81="",$F81=""),$K81&lt;&gt;"نعم",$M81="نعم"),0,MAX(0,MIN($F81,EOMONTH(DATE(cfg_FY,6,1),0))-MAX($E81,DATE(cfg_FY,6,1))+1))</f>
        <v>0</v>
      </c>
      <c r="AZ81" s="110" t="n">
        <f aca="false">IF(OR(OR($B81="",$E81="",$F81=""),$K81&lt;&gt;"نعم",$M81="نعم"),0,MAX(0,MIN($F81,EOMONTH(DATE(cfg_FY,7,1),0))-MAX($E81,DATE(cfg_FY,7,1))+1))</f>
        <v>0</v>
      </c>
      <c r="BA81" s="110" t="n">
        <f aca="false">IF(OR(OR($B81="",$E81="",$F81=""),$K81&lt;&gt;"نعم",$M81="نعم"),0,MAX(0,MIN($F81,EOMONTH(DATE(cfg_FY,8,1),0))-MAX($E81,DATE(cfg_FY,8,1))+1))</f>
        <v>0</v>
      </c>
      <c r="BB81" s="110" t="n">
        <f aca="false">IF(OR(OR($B81="",$E81="",$F81=""),$K81&lt;&gt;"نعم",$M81="نعم"),0,MAX(0,MIN($F81,EOMONTH(DATE(cfg_FY,9,1),0))-MAX($E81,DATE(cfg_FY,9,1))+1))</f>
        <v>0</v>
      </c>
      <c r="BC81" s="110" t="n">
        <f aca="false">IF(OR(OR($B81="",$E81="",$F81=""),$K81&lt;&gt;"نعم",$M81="نعم"),0,MAX(0,MIN($F81,EOMONTH(DATE(cfg_FY,10,1),0))-MAX($E81,DATE(cfg_FY,10,1))+1))</f>
        <v>0</v>
      </c>
      <c r="BD81" s="110" t="n">
        <f aca="false">IF(OR(OR($B81="",$E81="",$F81=""),$K81&lt;&gt;"نعم",$M81="نعم"),0,MAX(0,MIN($F81,EOMONTH(DATE(cfg_FY,11,1),0))-MAX($E81,DATE(cfg_FY,11,1))+1))</f>
        <v>0</v>
      </c>
      <c r="BE81" s="110" t="n">
        <f aca="false">IF(OR(OR($B81="",$E81="",$F81=""),$K81&lt;&gt;"نعم",$M81="نعم"),0,MAX(0,MIN($F81,EOMONTH(DATE(cfg_FY,12,1),0))-MAX($E81,DATE(cfg_FY,12,1))+1))</f>
        <v>0</v>
      </c>
    </row>
    <row r="82" customFormat="false" ht="15" hidden="false" customHeight="false" outlineLevel="0" collapsed="false">
      <c r="A82" s="93" t="str">
        <f aca="false">IF(B82="","",ROW()-5)</f>
        <v/>
      </c>
      <c r="B82" s="79"/>
      <c r="C82" s="80" t="str">
        <f aca="false">IF(B82="","",IFERROR(INDEX(الموظفون!$C$6:$C$105,MATCH(B82,الموظفون!$B$6:$B$105,0)),"✖ رقم غير موجود"))</f>
        <v/>
      </c>
      <c r="D82" s="79"/>
      <c r="E82" s="94"/>
      <c r="F82" s="94"/>
      <c r="G82" s="57" t="str">
        <f aca="false">IF(OR($B82="",$E82="",$F82=""),"",MAX(0,F82-E82+1))</f>
        <v/>
      </c>
      <c r="H82" s="58" t="str">
        <f aca="false">IF(D82="","",IFERROR(VLOOKUP(D82,cfg_LT,2,FALSE()),1))</f>
        <v/>
      </c>
      <c r="I82" s="82"/>
      <c r="J82" s="58" t="str">
        <f aca="false">IF(D82="","",IF(I82&lt;&gt;"",I82,H82))</f>
        <v/>
      </c>
      <c r="K82" s="80" t="str">
        <f aca="false">IF(D82="","",IFERROR(VLOOKUP($D82,cfg_LT,3,FALSE()),""))</f>
        <v/>
      </c>
      <c r="L82" s="80" t="str">
        <f aca="false">IF(D82="","",IFERROR(VLOOKUP($D82,cfg_LT,4,FALSE()),""))</f>
        <v/>
      </c>
      <c r="M82" s="80" t="str">
        <f aca="false">IF(D82="","",IFERROR(VLOOKUP($D82,cfg_LT,5,FALSE()),""))</f>
        <v/>
      </c>
      <c r="N82" s="97" t="n">
        <f aca="false">IF(OR(OR($B82="",$E82="",$F82=""),M82&lt;&gt;"نعم"),0,G82*J82*IFERROR(INDEX(الموظفون!$R$6:$R$105,MATCH(B82,الموظفون!$B$6:$B$105,0)),0)/cfg_DAYS_M)</f>
        <v>0</v>
      </c>
      <c r="O82" s="93" t="str">
        <f aca="false">IF(OR(OR($B82="",$E82="",$F82=""),M82&lt;&gt;"نعم"),"",IF(YEAR(E82)=cfg_FY,MONTH(E82),""))</f>
        <v/>
      </c>
      <c r="P82" s="80" t="str">
        <f aca="false">IF(B82="","",IF(OR(D82="",E82="",F82=""),"⚠ أكمل النوع والتواريخ",IF(F82&lt;E82,"✖ النهاية قبل البداية",IF(COUNTIFS($B$6:$B$505,B82,$E$6:$E$505,"&lt;="&amp;F82,$F$6:$F$505,"&gt;="&amp;E82)&gt;1,"⚠ تداخل مع سجل آخر",IF(E82&gt;cfg_VAL_DATE,"⏳ قادمة",IF(F82&lt;cfg_VAL_DATE,"✔ منتهية","✈ جارية في تاريخ التقرير"))))))</f>
        <v/>
      </c>
      <c r="Q82" s="79"/>
      <c r="R82" s="57" t="n">
        <f aca="false">IF(OR(OR($B82="",$E82="",$F82=""),L82&lt;&gt;"لا"),0,MAX(0,MIN(F82,cfg_Y_START-1)-E82+1))</f>
        <v>0</v>
      </c>
      <c r="S82" s="57" t="n">
        <f aca="false">IF(OR(OR($B82="",$E82="",$F82=""),L82&lt;&gt;"لا"),0,MAX(0,MIN(F82,cfg_VAL_DATE)-E82+1))</f>
        <v>0</v>
      </c>
      <c r="T82" s="57" t="n">
        <f aca="false">IF(OR(OR($B82="",$E82="",$F82=""),K82&lt;&gt;"نعم"),0,IF(M82="نعم",IF(AND(ISNUMBER(O82),N(O82)&lt;=cfg_VAL_M),G82,0),MAX(0,MIN(F82,cfg_VAL_DATE)-MAX(E82,cfg_Y_START)+1)))</f>
        <v>0</v>
      </c>
      <c r="V82" s="57" t="n">
        <f aca="false">IF(OR($B82="",$E82="",$F82=""),0,MAX(0,MIN($F82,EOMONTH(DATE(cfg_FY,1,1),0))-MAX($E82,DATE(cfg_FY,1,1))+1)*(1-IF($M82="نعم",0,N($J82))))</f>
        <v>0</v>
      </c>
      <c r="W82" s="57" t="n">
        <f aca="false">IF(OR($B82="",$E82="",$F82=""),0,MAX(0,MIN($F82,EOMONTH(DATE(cfg_FY,2,1),0))-MAX($E82,DATE(cfg_FY,2,1))+1)*(1-IF($M82="نعم",0,N($J82))))</f>
        <v>0</v>
      </c>
      <c r="X82" s="57" t="n">
        <f aca="false">IF(OR($B82="",$E82="",$F82=""),0,MAX(0,MIN($F82,EOMONTH(DATE(cfg_FY,3,1),0))-MAX($E82,DATE(cfg_FY,3,1))+1)*(1-IF($M82="نعم",0,N($J82))))</f>
        <v>0</v>
      </c>
      <c r="Y82" s="57" t="n">
        <f aca="false">IF(OR($B82="",$E82="",$F82=""),0,MAX(0,MIN($F82,EOMONTH(DATE(cfg_FY,4,1),0))-MAX($E82,DATE(cfg_FY,4,1))+1)*(1-IF($M82="نعم",0,N($J82))))</f>
        <v>0</v>
      </c>
      <c r="Z82" s="57" t="n">
        <f aca="false">IF(OR($B82="",$E82="",$F82=""),0,MAX(0,MIN($F82,EOMONTH(DATE(cfg_FY,5,1),0))-MAX($E82,DATE(cfg_FY,5,1))+1)*(1-IF($M82="نعم",0,N($J82))))</f>
        <v>0</v>
      </c>
      <c r="AA82" s="57" t="n">
        <f aca="false">IF(OR($B82="",$E82="",$F82=""),0,MAX(0,MIN($F82,EOMONTH(DATE(cfg_FY,6,1),0))-MAX($E82,DATE(cfg_FY,6,1))+1)*(1-IF($M82="نعم",0,N($J82))))</f>
        <v>0</v>
      </c>
      <c r="AB82" s="57" t="n">
        <f aca="false">IF(OR($B82="",$E82="",$F82=""),0,MAX(0,MIN($F82,EOMONTH(DATE(cfg_FY,7,1),0))-MAX($E82,DATE(cfg_FY,7,1))+1)*(1-IF($M82="نعم",0,N($J82))))</f>
        <v>0</v>
      </c>
      <c r="AC82" s="57" t="n">
        <f aca="false">IF(OR($B82="",$E82="",$F82=""),0,MAX(0,MIN($F82,EOMONTH(DATE(cfg_FY,8,1),0))-MAX($E82,DATE(cfg_FY,8,1))+1)*(1-IF($M82="نعم",0,N($J82))))</f>
        <v>0</v>
      </c>
      <c r="AD82" s="57" t="n">
        <f aca="false">IF(OR($B82="",$E82="",$F82=""),0,MAX(0,MIN($F82,EOMONTH(DATE(cfg_FY,9,1),0))-MAX($E82,DATE(cfg_FY,9,1))+1)*(1-IF($M82="نعم",0,N($J82))))</f>
        <v>0</v>
      </c>
      <c r="AE82" s="57" t="n">
        <f aca="false">IF(OR($B82="",$E82="",$F82=""),0,MAX(0,MIN($F82,EOMONTH(DATE(cfg_FY,10,1),0))-MAX($E82,DATE(cfg_FY,10,1))+1)*(1-IF($M82="نعم",0,N($J82))))</f>
        <v>0</v>
      </c>
      <c r="AF82" s="57" t="n">
        <f aca="false">IF(OR($B82="",$E82="",$F82=""),0,MAX(0,MIN($F82,EOMONTH(DATE(cfg_FY,11,1),0))-MAX($E82,DATE(cfg_FY,11,1))+1)*(1-IF($M82="نعم",0,N($J82))))</f>
        <v>0</v>
      </c>
      <c r="AG82" s="57" t="n">
        <f aca="false">IF(OR($B82="",$E82="",$F82=""),0,MAX(0,MIN($F82,EOMONTH(DATE(cfg_FY,12,1),0))-MAX($E82,DATE(cfg_FY,12,1))+1)*(1-IF($M82="نعم",0,N($J82))))</f>
        <v>0</v>
      </c>
      <c r="AH82" s="57" t="n">
        <f aca="false">IF(OR(OR($B82="",$E82="",$F82=""),$L82&lt;&gt;"لا"),0,MAX(0,MIN($F82,EOMONTH(DATE(cfg_FY,1,1),0))-$E82+1))</f>
        <v>0</v>
      </c>
      <c r="AI82" s="57" t="n">
        <f aca="false">IF(OR(OR($B82="",$E82="",$F82=""),$L82&lt;&gt;"لا"),0,MAX(0,MIN($F82,EOMONTH(DATE(cfg_FY,2,1),0))-$E82+1))</f>
        <v>0</v>
      </c>
      <c r="AJ82" s="57" t="n">
        <f aca="false">IF(OR(OR($B82="",$E82="",$F82=""),$L82&lt;&gt;"لا"),0,MAX(0,MIN($F82,EOMONTH(DATE(cfg_FY,3,1),0))-$E82+1))</f>
        <v>0</v>
      </c>
      <c r="AK82" s="57" t="n">
        <f aca="false">IF(OR(OR($B82="",$E82="",$F82=""),$L82&lt;&gt;"لا"),0,MAX(0,MIN($F82,EOMONTH(DATE(cfg_FY,4,1),0))-$E82+1))</f>
        <v>0</v>
      </c>
      <c r="AL82" s="57" t="n">
        <f aca="false">IF(OR(OR($B82="",$E82="",$F82=""),$L82&lt;&gt;"لا"),0,MAX(0,MIN($F82,EOMONTH(DATE(cfg_FY,5,1),0))-$E82+1))</f>
        <v>0</v>
      </c>
      <c r="AM82" s="57" t="n">
        <f aca="false">IF(OR(OR($B82="",$E82="",$F82=""),$L82&lt;&gt;"لا"),0,MAX(0,MIN($F82,EOMONTH(DATE(cfg_FY,6,1),0))-$E82+1))</f>
        <v>0</v>
      </c>
      <c r="AN82" s="57" t="n">
        <f aca="false">IF(OR(OR($B82="",$E82="",$F82=""),$L82&lt;&gt;"لا"),0,MAX(0,MIN($F82,EOMONTH(DATE(cfg_FY,7,1),0))-$E82+1))</f>
        <v>0</v>
      </c>
      <c r="AO82" s="57" t="n">
        <f aca="false">IF(OR(OR($B82="",$E82="",$F82=""),$L82&lt;&gt;"لا"),0,MAX(0,MIN($F82,EOMONTH(DATE(cfg_FY,8,1),0))-$E82+1))</f>
        <v>0</v>
      </c>
      <c r="AP82" s="57" t="n">
        <f aca="false">IF(OR(OR($B82="",$E82="",$F82=""),$L82&lt;&gt;"لا"),0,MAX(0,MIN($F82,EOMONTH(DATE(cfg_FY,9,1),0))-$E82+1))</f>
        <v>0</v>
      </c>
      <c r="AQ82" s="57" t="n">
        <f aca="false">IF(OR(OR($B82="",$E82="",$F82=""),$L82&lt;&gt;"لا"),0,MAX(0,MIN($F82,EOMONTH(DATE(cfg_FY,10,1),0))-$E82+1))</f>
        <v>0</v>
      </c>
      <c r="AR82" s="57" t="n">
        <f aca="false">IF(OR(OR($B82="",$E82="",$F82=""),$L82&lt;&gt;"لا"),0,MAX(0,MIN($F82,EOMONTH(DATE(cfg_FY,11,1),0))-$E82+1))</f>
        <v>0</v>
      </c>
      <c r="AS82" s="57" t="n">
        <f aca="false">IF(OR(OR($B82="",$E82="",$F82=""),$L82&lt;&gt;"لا"),0,MAX(0,MIN($F82,EOMONTH(DATE(cfg_FY,12,1),0))-$E82+1))</f>
        <v>0</v>
      </c>
      <c r="AT82" s="57" t="n">
        <f aca="false">IF(OR(OR($B82="",$E82="",$F82=""),$K82&lt;&gt;"نعم",$M82="نعم"),0,MAX(0,MIN($F82,EOMONTH(DATE(cfg_FY,1,1),0))-MAX($E82,DATE(cfg_FY,1,1))+1))</f>
        <v>0</v>
      </c>
      <c r="AU82" s="57" t="n">
        <f aca="false">IF(OR(OR($B82="",$E82="",$F82=""),$K82&lt;&gt;"نعم",$M82="نعم"),0,MAX(0,MIN($F82,EOMONTH(DATE(cfg_FY,2,1),0))-MAX($E82,DATE(cfg_FY,2,1))+1))</f>
        <v>0</v>
      </c>
      <c r="AV82" s="57" t="n">
        <f aca="false">IF(OR(OR($B82="",$E82="",$F82=""),$K82&lt;&gt;"نعم",$M82="نعم"),0,MAX(0,MIN($F82,EOMONTH(DATE(cfg_FY,3,1),0))-MAX($E82,DATE(cfg_FY,3,1))+1))</f>
        <v>0</v>
      </c>
      <c r="AW82" s="57" t="n">
        <f aca="false">IF(OR(OR($B82="",$E82="",$F82=""),$K82&lt;&gt;"نعم",$M82="نعم"),0,MAX(0,MIN($F82,EOMONTH(DATE(cfg_FY,4,1),0))-MAX($E82,DATE(cfg_FY,4,1))+1))</f>
        <v>0</v>
      </c>
      <c r="AX82" s="57" t="n">
        <f aca="false">IF(OR(OR($B82="",$E82="",$F82=""),$K82&lt;&gt;"نعم",$M82="نعم"),0,MAX(0,MIN($F82,EOMONTH(DATE(cfg_FY,5,1),0))-MAX($E82,DATE(cfg_FY,5,1))+1))</f>
        <v>0</v>
      </c>
      <c r="AY82" s="57" t="n">
        <f aca="false">IF(OR(OR($B82="",$E82="",$F82=""),$K82&lt;&gt;"نعم",$M82="نعم"),0,MAX(0,MIN($F82,EOMONTH(DATE(cfg_FY,6,1),0))-MAX($E82,DATE(cfg_FY,6,1))+1))</f>
        <v>0</v>
      </c>
      <c r="AZ82" s="57" t="n">
        <f aca="false">IF(OR(OR($B82="",$E82="",$F82=""),$K82&lt;&gt;"نعم",$M82="نعم"),0,MAX(0,MIN($F82,EOMONTH(DATE(cfg_FY,7,1),0))-MAX($E82,DATE(cfg_FY,7,1))+1))</f>
        <v>0</v>
      </c>
      <c r="BA82" s="57" t="n">
        <f aca="false">IF(OR(OR($B82="",$E82="",$F82=""),$K82&lt;&gt;"نعم",$M82="نعم"),0,MAX(0,MIN($F82,EOMONTH(DATE(cfg_FY,8,1),0))-MAX($E82,DATE(cfg_FY,8,1))+1))</f>
        <v>0</v>
      </c>
      <c r="BB82" s="57" t="n">
        <f aca="false">IF(OR(OR($B82="",$E82="",$F82=""),$K82&lt;&gt;"نعم",$M82="نعم"),0,MAX(0,MIN($F82,EOMONTH(DATE(cfg_FY,9,1),0))-MAX($E82,DATE(cfg_FY,9,1))+1))</f>
        <v>0</v>
      </c>
      <c r="BC82" s="57" t="n">
        <f aca="false">IF(OR(OR($B82="",$E82="",$F82=""),$K82&lt;&gt;"نعم",$M82="نعم"),0,MAX(0,MIN($F82,EOMONTH(DATE(cfg_FY,10,1),0))-MAX($E82,DATE(cfg_FY,10,1))+1))</f>
        <v>0</v>
      </c>
      <c r="BD82" s="57" t="n">
        <f aca="false">IF(OR(OR($B82="",$E82="",$F82=""),$K82&lt;&gt;"نعم",$M82="نعم"),0,MAX(0,MIN($F82,EOMONTH(DATE(cfg_FY,11,1),0))-MAX($E82,DATE(cfg_FY,11,1))+1))</f>
        <v>0</v>
      </c>
      <c r="BE82" s="57" t="n">
        <f aca="false">IF(OR(OR($B82="",$E82="",$F82=""),$K82&lt;&gt;"نعم",$M82="نعم"),0,MAX(0,MIN($F82,EOMONTH(DATE(cfg_FY,12,1),0))-MAX($E82,DATE(cfg_FY,12,1))+1))</f>
        <v>0</v>
      </c>
    </row>
    <row r="83" customFormat="false" ht="15" hidden="false" customHeight="false" outlineLevel="0" collapsed="false">
      <c r="A83" s="100" t="str">
        <f aca="false">IF(B83="","",ROW()-5)</f>
        <v/>
      </c>
      <c r="B83" s="79"/>
      <c r="C83" s="102" t="str">
        <f aca="false">IF(B83="","",IFERROR(INDEX(الموظفون!$C$6:$C$105,MATCH(B83,الموظفون!$B$6:$B$105,0)),"✖ رقم غير موجود"))</f>
        <v/>
      </c>
      <c r="D83" s="79"/>
      <c r="E83" s="94"/>
      <c r="F83" s="94"/>
      <c r="G83" s="110" t="str">
        <f aca="false">IF(OR($B83="",$E83="",$F83=""),"",MAX(0,F83-E83+1))</f>
        <v/>
      </c>
      <c r="H83" s="111" t="str">
        <f aca="false">IF(D83="","",IFERROR(VLOOKUP(D83,cfg_LT,2,FALSE()),1))</f>
        <v/>
      </c>
      <c r="I83" s="82"/>
      <c r="J83" s="111" t="str">
        <f aca="false">IF(D83="","",IF(I83&lt;&gt;"",I83,H83))</f>
        <v/>
      </c>
      <c r="K83" s="102" t="str">
        <f aca="false">IF(D83="","",IFERROR(VLOOKUP($D83,cfg_LT,3,FALSE()),""))</f>
        <v/>
      </c>
      <c r="L83" s="102" t="str">
        <f aca="false">IF(D83="","",IFERROR(VLOOKUP($D83,cfg_LT,4,FALSE()),""))</f>
        <v/>
      </c>
      <c r="M83" s="102" t="str">
        <f aca="false">IF(D83="","",IFERROR(VLOOKUP($D83,cfg_LT,5,FALSE()),""))</f>
        <v/>
      </c>
      <c r="N83" s="101" t="n">
        <f aca="false">IF(OR(OR($B83="",$E83="",$F83=""),M83&lt;&gt;"نعم"),0,G83*J83*IFERROR(INDEX(الموظفون!$R$6:$R$105,MATCH(B83,الموظفون!$B$6:$B$105,0)),0)/cfg_DAYS_M)</f>
        <v>0</v>
      </c>
      <c r="O83" s="100" t="str">
        <f aca="false">IF(OR(OR($B83="",$E83="",$F83=""),M83&lt;&gt;"نعم"),"",IF(YEAR(E83)=cfg_FY,MONTH(E83),""))</f>
        <v/>
      </c>
      <c r="P83" s="102" t="str">
        <f aca="false">IF(B83="","",IF(OR(D83="",E83="",F83=""),"⚠ أكمل النوع والتواريخ",IF(F83&lt;E83,"✖ النهاية قبل البداية",IF(COUNTIFS($B$6:$B$505,B83,$E$6:$E$505,"&lt;="&amp;F83,$F$6:$F$505,"&gt;="&amp;E83)&gt;1,"⚠ تداخل مع سجل آخر",IF(E83&gt;cfg_VAL_DATE,"⏳ قادمة",IF(F83&lt;cfg_VAL_DATE,"✔ منتهية","✈ جارية في تاريخ التقرير"))))))</f>
        <v/>
      </c>
      <c r="Q83" s="79"/>
      <c r="R83" s="110" t="n">
        <f aca="false">IF(OR(OR($B83="",$E83="",$F83=""),L83&lt;&gt;"لا"),0,MAX(0,MIN(F83,cfg_Y_START-1)-E83+1))</f>
        <v>0</v>
      </c>
      <c r="S83" s="110" t="n">
        <f aca="false">IF(OR(OR($B83="",$E83="",$F83=""),L83&lt;&gt;"لا"),0,MAX(0,MIN(F83,cfg_VAL_DATE)-E83+1))</f>
        <v>0</v>
      </c>
      <c r="T83" s="110" t="n">
        <f aca="false">IF(OR(OR($B83="",$E83="",$F83=""),K83&lt;&gt;"نعم"),0,IF(M83="نعم",IF(AND(ISNUMBER(O83),N(O83)&lt;=cfg_VAL_M),G83,0),MAX(0,MIN(F83,cfg_VAL_DATE)-MAX(E83,cfg_Y_START)+1)))</f>
        <v>0</v>
      </c>
      <c r="V83" s="110" t="n">
        <f aca="false">IF(OR($B83="",$E83="",$F83=""),0,MAX(0,MIN($F83,EOMONTH(DATE(cfg_FY,1,1),0))-MAX($E83,DATE(cfg_FY,1,1))+1)*(1-IF($M83="نعم",0,N($J83))))</f>
        <v>0</v>
      </c>
      <c r="W83" s="110" t="n">
        <f aca="false">IF(OR($B83="",$E83="",$F83=""),0,MAX(0,MIN($F83,EOMONTH(DATE(cfg_FY,2,1),0))-MAX($E83,DATE(cfg_FY,2,1))+1)*(1-IF($M83="نعم",0,N($J83))))</f>
        <v>0</v>
      </c>
      <c r="X83" s="110" t="n">
        <f aca="false">IF(OR($B83="",$E83="",$F83=""),0,MAX(0,MIN($F83,EOMONTH(DATE(cfg_FY,3,1),0))-MAX($E83,DATE(cfg_FY,3,1))+1)*(1-IF($M83="نعم",0,N($J83))))</f>
        <v>0</v>
      </c>
      <c r="Y83" s="110" t="n">
        <f aca="false">IF(OR($B83="",$E83="",$F83=""),0,MAX(0,MIN($F83,EOMONTH(DATE(cfg_FY,4,1),0))-MAX($E83,DATE(cfg_FY,4,1))+1)*(1-IF($M83="نعم",0,N($J83))))</f>
        <v>0</v>
      </c>
      <c r="Z83" s="110" t="n">
        <f aca="false">IF(OR($B83="",$E83="",$F83=""),0,MAX(0,MIN($F83,EOMONTH(DATE(cfg_FY,5,1),0))-MAX($E83,DATE(cfg_FY,5,1))+1)*(1-IF($M83="نعم",0,N($J83))))</f>
        <v>0</v>
      </c>
      <c r="AA83" s="110" t="n">
        <f aca="false">IF(OR($B83="",$E83="",$F83=""),0,MAX(0,MIN($F83,EOMONTH(DATE(cfg_FY,6,1),0))-MAX($E83,DATE(cfg_FY,6,1))+1)*(1-IF($M83="نعم",0,N($J83))))</f>
        <v>0</v>
      </c>
      <c r="AB83" s="110" t="n">
        <f aca="false">IF(OR($B83="",$E83="",$F83=""),0,MAX(0,MIN($F83,EOMONTH(DATE(cfg_FY,7,1),0))-MAX($E83,DATE(cfg_FY,7,1))+1)*(1-IF($M83="نعم",0,N($J83))))</f>
        <v>0</v>
      </c>
      <c r="AC83" s="110" t="n">
        <f aca="false">IF(OR($B83="",$E83="",$F83=""),0,MAX(0,MIN($F83,EOMONTH(DATE(cfg_FY,8,1),0))-MAX($E83,DATE(cfg_FY,8,1))+1)*(1-IF($M83="نعم",0,N($J83))))</f>
        <v>0</v>
      </c>
      <c r="AD83" s="110" t="n">
        <f aca="false">IF(OR($B83="",$E83="",$F83=""),0,MAX(0,MIN($F83,EOMONTH(DATE(cfg_FY,9,1),0))-MAX($E83,DATE(cfg_FY,9,1))+1)*(1-IF($M83="نعم",0,N($J83))))</f>
        <v>0</v>
      </c>
      <c r="AE83" s="110" t="n">
        <f aca="false">IF(OR($B83="",$E83="",$F83=""),0,MAX(0,MIN($F83,EOMONTH(DATE(cfg_FY,10,1),0))-MAX($E83,DATE(cfg_FY,10,1))+1)*(1-IF($M83="نعم",0,N($J83))))</f>
        <v>0</v>
      </c>
      <c r="AF83" s="110" t="n">
        <f aca="false">IF(OR($B83="",$E83="",$F83=""),0,MAX(0,MIN($F83,EOMONTH(DATE(cfg_FY,11,1),0))-MAX($E83,DATE(cfg_FY,11,1))+1)*(1-IF($M83="نعم",0,N($J83))))</f>
        <v>0</v>
      </c>
      <c r="AG83" s="110" t="n">
        <f aca="false">IF(OR($B83="",$E83="",$F83=""),0,MAX(0,MIN($F83,EOMONTH(DATE(cfg_FY,12,1),0))-MAX($E83,DATE(cfg_FY,12,1))+1)*(1-IF($M83="نعم",0,N($J83))))</f>
        <v>0</v>
      </c>
      <c r="AH83" s="110" t="n">
        <f aca="false">IF(OR(OR($B83="",$E83="",$F83=""),$L83&lt;&gt;"لا"),0,MAX(0,MIN($F83,EOMONTH(DATE(cfg_FY,1,1),0))-$E83+1))</f>
        <v>0</v>
      </c>
      <c r="AI83" s="110" t="n">
        <f aca="false">IF(OR(OR($B83="",$E83="",$F83=""),$L83&lt;&gt;"لا"),0,MAX(0,MIN($F83,EOMONTH(DATE(cfg_FY,2,1),0))-$E83+1))</f>
        <v>0</v>
      </c>
      <c r="AJ83" s="110" t="n">
        <f aca="false">IF(OR(OR($B83="",$E83="",$F83=""),$L83&lt;&gt;"لا"),0,MAX(0,MIN($F83,EOMONTH(DATE(cfg_FY,3,1),0))-$E83+1))</f>
        <v>0</v>
      </c>
      <c r="AK83" s="110" t="n">
        <f aca="false">IF(OR(OR($B83="",$E83="",$F83=""),$L83&lt;&gt;"لا"),0,MAX(0,MIN($F83,EOMONTH(DATE(cfg_FY,4,1),0))-$E83+1))</f>
        <v>0</v>
      </c>
      <c r="AL83" s="110" t="n">
        <f aca="false">IF(OR(OR($B83="",$E83="",$F83=""),$L83&lt;&gt;"لا"),0,MAX(0,MIN($F83,EOMONTH(DATE(cfg_FY,5,1),0))-$E83+1))</f>
        <v>0</v>
      </c>
      <c r="AM83" s="110" t="n">
        <f aca="false">IF(OR(OR($B83="",$E83="",$F83=""),$L83&lt;&gt;"لا"),0,MAX(0,MIN($F83,EOMONTH(DATE(cfg_FY,6,1),0))-$E83+1))</f>
        <v>0</v>
      </c>
      <c r="AN83" s="110" t="n">
        <f aca="false">IF(OR(OR($B83="",$E83="",$F83=""),$L83&lt;&gt;"لا"),0,MAX(0,MIN($F83,EOMONTH(DATE(cfg_FY,7,1),0))-$E83+1))</f>
        <v>0</v>
      </c>
      <c r="AO83" s="110" t="n">
        <f aca="false">IF(OR(OR($B83="",$E83="",$F83=""),$L83&lt;&gt;"لا"),0,MAX(0,MIN($F83,EOMONTH(DATE(cfg_FY,8,1),0))-$E83+1))</f>
        <v>0</v>
      </c>
      <c r="AP83" s="110" t="n">
        <f aca="false">IF(OR(OR($B83="",$E83="",$F83=""),$L83&lt;&gt;"لا"),0,MAX(0,MIN($F83,EOMONTH(DATE(cfg_FY,9,1),0))-$E83+1))</f>
        <v>0</v>
      </c>
      <c r="AQ83" s="110" t="n">
        <f aca="false">IF(OR(OR($B83="",$E83="",$F83=""),$L83&lt;&gt;"لا"),0,MAX(0,MIN($F83,EOMONTH(DATE(cfg_FY,10,1),0))-$E83+1))</f>
        <v>0</v>
      </c>
      <c r="AR83" s="110" t="n">
        <f aca="false">IF(OR(OR($B83="",$E83="",$F83=""),$L83&lt;&gt;"لا"),0,MAX(0,MIN($F83,EOMONTH(DATE(cfg_FY,11,1),0))-$E83+1))</f>
        <v>0</v>
      </c>
      <c r="AS83" s="110" t="n">
        <f aca="false">IF(OR(OR($B83="",$E83="",$F83=""),$L83&lt;&gt;"لا"),0,MAX(0,MIN($F83,EOMONTH(DATE(cfg_FY,12,1),0))-$E83+1))</f>
        <v>0</v>
      </c>
      <c r="AT83" s="110" t="n">
        <f aca="false">IF(OR(OR($B83="",$E83="",$F83=""),$K83&lt;&gt;"نعم",$M83="نعم"),0,MAX(0,MIN($F83,EOMONTH(DATE(cfg_FY,1,1),0))-MAX($E83,DATE(cfg_FY,1,1))+1))</f>
        <v>0</v>
      </c>
      <c r="AU83" s="110" t="n">
        <f aca="false">IF(OR(OR($B83="",$E83="",$F83=""),$K83&lt;&gt;"نعم",$M83="نعم"),0,MAX(0,MIN($F83,EOMONTH(DATE(cfg_FY,2,1),0))-MAX($E83,DATE(cfg_FY,2,1))+1))</f>
        <v>0</v>
      </c>
      <c r="AV83" s="110" t="n">
        <f aca="false">IF(OR(OR($B83="",$E83="",$F83=""),$K83&lt;&gt;"نعم",$M83="نعم"),0,MAX(0,MIN($F83,EOMONTH(DATE(cfg_FY,3,1),0))-MAX($E83,DATE(cfg_FY,3,1))+1))</f>
        <v>0</v>
      </c>
      <c r="AW83" s="110" t="n">
        <f aca="false">IF(OR(OR($B83="",$E83="",$F83=""),$K83&lt;&gt;"نعم",$M83="نعم"),0,MAX(0,MIN($F83,EOMONTH(DATE(cfg_FY,4,1),0))-MAX($E83,DATE(cfg_FY,4,1))+1))</f>
        <v>0</v>
      </c>
      <c r="AX83" s="110" t="n">
        <f aca="false">IF(OR(OR($B83="",$E83="",$F83=""),$K83&lt;&gt;"نعم",$M83="نعم"),0,MAX(0,MIN($F83,EOMONTH(DATE(cfg_FY,5,1),0))-MAX($E83,DATE(cfg_FY,5,1))+1))</f>
        <v>0</v>
      </c>
      <c r="AY83" s="110" t="n">
        <f aca="false">IF(OR(OR($B83="",$E83="",$F83=""),$K83&lt;&gt;"نعم",$M83="نعم"),0,MAX(0,MIN($F83,EOMONTH(DATE(cfg_FY,6,1),0))-MAX($E83,DATE(cfg_FY,6,1))+1))</f>
        <v>0</v>
      </c>
      <c r="AZ83" s="110" t="n">
        <f aca="false">IF(OR(OR($B83="",$E83="",$F83=""),$K83&lt;&gt;"نعم",$M83="نعم"),0,MAX(0,MIN($F83,EOMONTH(DATE(cfg_FY,7,1),0))-MAX($E83,DATE(cfg_FY,7,1))+1))</f>
        <v>0</v>
      </c>
      <c r="BA83" s="110" t="n">
        <f aca="false">IF(OR(OR($B83="",$E83="",$F83=""),$K83&lt;&gt;"نعم",$M83="نعم"),0,MAX(0,MIN($F83,EOMONTH(DATE(cfg_FY,8,1),0))-MAX($E83,DATE(cfg_FY,8,1))+1))</f>
        <v>0</v>
      </c>
      <c r="BB83" s="110" t="n">
        <f aca="false">IF(OR(OR($B83="",$E83="",$F83=""),$K83&lt;&gt;"نعم",$M83="نعم"),0,MAX(0,MIN($F83,EOMONTH(DATE(cfg_FY,9,1),0))-MAX($E83,DATE(cfg_FY,9,1))+1))</f>
        <v>0</v>
      </c>
      <c r="BC83" s="110" t="n">
        <f aca="false">IF(OR(OR($B83="",$E83="",$F83=""),$K83&lt;&gt;"نعم",$M83="نعم"),0,MAX(0,MIN($F83,EOMONTH(DATE(cfg_FY,10,1),0))-MAX($E83,DATE(cfg_FY,10,1))+1))</f>
        <v>0</v>
      </c>
      <c r="BD83" s="110" t="n">
        <f aca="false">IF(OR(OR($B83="",$E83="",$F83=""),$K83&lt;&gt;"نعم",$M83="نعم"),0,MAX(0,MIN($F83,EOMONTH(DATE(cfg_FY,11,1),0))-MAX($E83,DATE(cfg_FY,11,1))+1))</f>
        <v>0</v>
      </c>
      <c r="BE83" s="110" t="n">
        <f aca="false">IF(OR(OR($B83="",$E83="",$F83=""),$K83&lt;&gt;"نعم",$M83="نعم"),0,MAX(0,MIN($F83,EOMONTH(DATE(cfg_FY,12,1),0))-MAX($E83,DATE(cfg_FY,12,1))+1))</f>
        <v>0</v>
      </c>
    </row>
    <row r="84" customFormat="false" ht="15" hidden="false" customHeight="false" outlineLevel="0" collapsed="false">
      <c r="A84" s="93" t="str">
        <f aca="false">IF(B84="","",ROW()-5)</f>
        <v/>
      </c>
      <c r="B84" s="79"/>
      <c r="C84" s="80" t="str">
        <f aca="false">IF(B84="","",IFERROR(INDEX(الموظفون!$C$6:$C$105,MATCH(B84,الموظفون!$B$6:$B$105,0)),"✖ رقم غير موجود"))</f>
        <v/>
      </c>
      <c r="D84" s="79"/>
      <c r="E84" s="94"/>
      <c r="F84" s="94"/>
      <c r="G84" s="57" t="str">
        <f aca="false">IF(OR($B84="",$E84="",$F84=""),"",MAX(0,F84-E84+1))</f>
        <v/>
      </c>
      <c r="H84" s="58" t="str">
        <f aca="false">IF(D84="","",IFERROR(VLOOKUP(D84,cfg_LT,2,FALSE()),1))</f>
        <v/>
      </c>
      <c r="I84" s="82"/>
      <c r="J84" s="58" t="str">
        <f aca="false">IF(D84="","",IF(I84&lt;&gt;"",I84,H84))</f>
        <v/>
      </c>
      <c r="K84" s="80" t="str">
        <f aca="false">IF(D84="","",IFERROR(VLOOKUP($D84,cfg_LT,3,FALSE()),""))</f>
        <v/>
      </c>
      <c r="L84" s="80" t="str">
        <f aca="false">IF(D84="","",IFERROR(VLOOKUP($D84,cfg_LT,4,FALSE()),""))</f>
        <v/>
      </c>
      <c r="M84" s="80" t="str">
        <f aca="false">IF(D84="","",IFERROR(VLOOKUP($D84,cfg_LT,5,FALSE()),""))</f>
        <v/>
      </c>
      <c r="N84" s="97" t="n">
        <f aca="false">IF(OR(OR($B84="",$E84="",$F84=""),M84&lt;&gt;"نعم"),0,G84*J84*IFERROR(INDEX(الموظفون!$R$6:$R$105,MATCH(B84,الموظفون!$B$6:$B$105,0)),0)/cfg_DAYS_M)</f>
        <v>0</v>
      </c>
      <c r="O84" s="93" t="str">
        <f aca="false">IF(OR(OR($B84="",$E84="",$F84=""),M84&lt;&gt;"نعم"),"",IF(YEAR(E84)=cfg_FY,MONTH(E84),""))</f>
        <v/>
      </c>
      <c r="P84" s="80" t="str">
        <f aca="false">IF(B84="","",IF(OR(D84="",E84="",F84=""),"⚠ أكمل النوع والتواريخ",IF(F84&lt;E84,"✖ النهاية قبل البداية",IF(COUNTIFS($B$6:$B$505,B84,$E$6:$E$505,"&lt;="&amp;F84,$F$6:$F$505,"&gt;="&amp;E84)&gt;1,"⚠ تداخل مع سجل آخر",IF(E84&gt;cfg_VAL_DATE,"⏳ قادمة",IF(F84&lt;cfg_VAL_DATE,"✔ منتهية","✈ جارية في تاريخ التقرير"))))))</f>
        <v/>
      </c>
      <c r="Q84" s="79"/>
      <c r="R84" s="57" t="n">
        <f aca="false">IF(OR(OR($B84="",$E84="",$F84=""),L84&lt;&gt;"لا"),0,MAX(0,MIN(F84,cfg_Y_START-1)-E84+1))</f>
        <v>0</v>
      </c>
      <c r="S84" s="57" t="n">
        <f aca="false">IF(OR(OR($B84="",$E84="",$F84=""),L84&lt;&gt;"لا"),0,MAX(0,MIN(F84,cfg_VAL_DATE)-E84+1))</f>
        <v>0</v>
      </c>
      <c r="T84" s="57" t="n">
        <f aca="false">IF(OR(OR($B84="",$E84="",$F84=""),K84&lt;&gt;"نعم"),0,IF(M84="نعم",IF(AND(ISNUMBER(O84),N(O84)&lt;=cfg_VAL_M),G84,0),MAX(0,MIN(F84,cfg_VAL_DATE)-MAX(E84,cfg_Y_START)+1)))</f>
        <v>0</v>
      </c>
      <c r="V84" s="57" t="n">
        <f aca="false">IF(OR($B84="",$E84="",$F84=""),0,MAX(0,MIN($F84,EOMONTH(DATE(cfg_FY,1,1),0))-MAX($E84,DATE(cfg_FY,1,1))+1)*(1-IF($M84="نعم",0,N($J84))))</f>
        <v>0</v>
      </c>
      <c r="W84" s="57" t="n">
        <f aca="false">IF(OR($B84="",$E84="",$F84=""),0,MAX(0,MIN($F84,EOMONTH(DATE(cfg_FY,2,1),0))-MAX($E84,DATE(cfg_FY,2,1))+1)*(1-IF($M84="نعم",0,N($J84))))</f>
        <v>0</v>
      </c>
      <c r="X84" s="57" t="n">
        <f aca="false">IF(OR($B84="",$E84="",$F84=""),0,MAX(0,MIN($F84,EOMONTH(DATE(cfg_FY,3,1),0))-MAX($E84,DATE(cfg_FY,3,1))+1)*(1-IF($M84="نعم",0,N($J84))))</f>
        <v>0</v>
      </c>
      <c r="Y84" s="57" t="n">
        <f aca="false">IF(OR($B84="",$E84="",$F84=""),0,MAX(0,MIN($F84,EOMONTH(DATE(cfg_FY,4,1),0))-MAX($E84,DATE(cfg_FY,4,1))+1)*(1-IF($M84="نعم",0,N($J84))))</f>
        <v>0</v>
      </c>
      <c r="Z84" s="57" t="n">
        <f aca="false">IF(OR($B84="",$E84="",$F84=""),0,MAX(0,MIN($F84,EOMONTH(DATE(cfg_FY,5,1),0))-MAX($E84,DATE(cfg_FY,5,1))+1)*(1-IF($M84="نعم",0,N($J84))))</f>
        <v>0</v>
      </c>
      <c r="AA84" s="57" t="n">
        <f aca="false">IF(OR($B84="",$E84="",$F84=""),0,MAX(0,MIN($F84,EOMONTH(DATE(cfg_FY,6,1),0))-MAX($E84,DATE(cfg_FY,6,1))+1)*(1-IF($M84="نعم",0,N($J84))))</f>
        <v>0</v>
      </c>
      <c r="AB84" s="57" t="n">
        <f aca="false">IF(OR($B84="",$E84="",$F84=""),0,MAX(0,MIN($F84,EOMONTH(DATE(cfg_FY,7,1),0))-MAX($E84,DATE(cfg_FY,7,1))+1)*(1-IF($M84="نعم",0,N($J84))))</f>
        <v>0</v>
      </c>
      <c r="AC84" s="57" t="n">
        <f aca="false">IF(OR($B84="",$E84="",$F84=""),0,MAX(0,MIN($F84,EOMONTH(DATE(cfg_FY,8,1),0))-MAX($E84,DATE(cfg_FY,8,1))+1)*(1-IF($M84="نعم",0,N($J84))))</f>
        <v>0</v>
      </c>
      <c r="AD84" s="57" t="n">
        <f aca="false">IF(OR($B84="",$E84="",$F84=""),0,MAX(0,MIN($F84,EOMONTH(DATE(cfg_FY,9,1),0))-MAX($E84,DATE(cfg_FY,9,1))+1)*(1-IF($M84="نعم",0,N($J84))))</f>
        <v>0</v>
      </c>
      <c r="AE84" s="57" t="n">
        <f aca="false">IF(OR($B84="",$E84="",$F84=""),0,MAX(0,MIN($F84,EOMONTH(DATE(cfg_FY,10,1),0))-MAX($E84,DATE(cfg_FY,10,1))+1)*(1-IF($M84="نعم",0,N($J84))))</f>
        <v>0</v>
      </c>
      <c r="AF84" s="57" t="n">
        <f aca="false">IF(OR($B84="",$E84="",$F84=""),0,MAX(0,MIN($F84,EOMONTH(DATE(cfg_FY,11,1),0))-MAX($E84,DATE(cfg_FY,11,1))+1)*(1-IF($M84="نعم",0,N($J84))))</f>
        <v>0</v>
      </c>
      <c r="AG84" s="57" t="n">
        <f aca="false">IF(OR($B84="",$E84="",$F84=""),0,MAX(0,MIN($F84,EOMONTH(DATE(cfg_FY,12,1),0))-MAX($E84,DATE(cfg_FY,12,1))+1)*(1-IF($M84="نعم",0,N($J84))))</f>
        <v>0</v>
      </c>
      <c r="AH84" s="57" t="n">
        <f aca="false">IF(OR(OR($B84="",$E84="",$F84=""),$L84&lt;&gt;"لا"),0,MAX(0,MIN($F84,EOMONTH(DATE(cfg_FY,1,1),0))-$E84+1))</f>
        <v>0</v>
      </c>
      <c r="AI84" s="57" t="n">
        <f aca="false">IF(OR(OR($B84="",$E84="",$F84=""),$L84&lt;&gt;"لا"),0,MAX(0,MIN($F84,EOMONTH(DATE(cfg_FY,2,1),0))-$E84+1))</f>
        <v>0</v>
      </c>
      <c r="AJ84" s="57" t="n">
        <f aca="false">IF(OR(OR($B84="",$E84="",$F84=""),$L84&lt;&gt;"لا"),0,MAX(0,MIN($F84,EOMONTH(DATE(cfg_FY,3,1),0))-$E84+1))</f>
        <v>0</v>
      </c>
      <c r="AK84" s="57" t="n">
        <f aca="false">IF(OR(OR($B84="",$E84="",$F84=""),$L84&lt;&gt;"لا"),0,MAX(0,MIN($F84,EOMONTH(DATE(cfg_FY,4,1),0))-$E84+1))</f>
        <v>0</v>
      </c>
      <c r="AL84" s="57" t="n">
        <f aca="false">IF(OR(OR($B84="",$E84="",$F84=""),$L84&lt;&gt;"لا"),0,MAX(0,MIN($F84,EOMONTH(DATE(cfg_FY,5,1),0))-$E84+1))</f>
        <v>0</v>
      </c>
      <c r="AM84" s="57" t="n">
        <f aca="false">IF(OR(OR($B84="",$E84="",$F84=""),$L84&lt;&gt;"لا"),0,MAX(0,MIN($F84,EOMONTH(DATE(cfg_FY,6,1),0))-$E84+1))</f>
        <v>0</v>
      </c>
      <c r="AN84" s="57" t="n">
        <f aca="false">IF(OR(OR($B84="",$E84="",$F84=""),$L84&lt;&gt;"لا"),0,MAX(0,MIN($F84,EOMONTH(DATE(cfg_FY,7,1),0))-$E84+1))</f>
        <v>0</v>
      </c>
      <c r="AO84" s="57" t="n">
        <f aca="false">IF(OR(OR($B84="",$E84="",$F84=""),$L84&lt;&gt;"لا"),0,MAX(0,MIN($F84,EOMONTH(DATE(cfg_FY,8,1),0))-$E84+1))</f>
        <v>0</v>
      </c>
      <c r="AP84" s="57" t="n">
        <f aca="false">IF(OR(OR($B84="",$E84="",$F84=""),$L84&lt;&gt;"لا"),0,MAX(0,MIN($F84,EOMONTH(DATE(cfg_FY,9,1),0))-$E84+1))</f>
        <v>0</v>
      </c>
      <c r="AQ84" s="57" t="n">
        <f aca="false">IF(OR(OR($B84="",$E84="",$F84=""),$L84&lt;&gt;"لا"),0,MAX(0,MIN($F84,EOMONTH(DATE(cfg_FY,10,1),0))-$E84+1))</f>
        <v>0</v>
      </c>
      <c r="AR84" s="57" t="n">
        <f aca="false">IF(OR(OR($B84="",$E84="",$F84=""),$L84&lt;&gt;"لا"),0,MAX(0,MIN($F84,EOMONTH(DATE(cfg_FY,11,1),0))-$E84+1))</f>
        <v>0</v>
      </c>
      <c r="AS84" s="57" t="n">
        <f aca="false">IF(OR(OR($B84="",$E84="",$F84=""),$L84&lt;&gt;"لا"),0,MAX(0,MIN($F84,EOMONTH(DATE(cfg_FY,12,1),0))-$E84+1))</f>
        <v>0</v>
      </c>
      <c r="AT84" s="57" t="n">
        <f aca="false">IF(OR(OR($B84="",$E84="",$F84=""),$K84&lt;&gt;"نعم",$M84="نعم"),0,MAX(0,MIN($F84,EOMONTH(DATE(cfg_FY,1,1),0))-MAX($E84,DATE(cfg_FY,1,1))+1))</f>
        <v>0</v>
      </c>
      <c r="AU84" s="57" t="n">
        <f aca="false">IF(OR(OR($B84="",$E84="",$F84=""),$K84&lt;&gt;"نعم",$M84="نعم"),0,MAX(0,MIN($F84,EOMONTH(DATE(cfg_FY,2,1),0))-MAX($E84,DATE(cfg_FY,2,1))+1))</f>
        <v>0</v>
      </c>
      <c r="AV84" s="57" t="n">
        <f aca="false">IF(OR(OR($B84="",$E84="",$F84=""),$K84&lt;&gt;"نعم",$M84="نعم"),0,MAX(0,MIN($F84,EOMONTH(DATE(cfg_FY,3,1),0))-MAX($E84,DATE(cfg_FY,3,1))+1))</f>
        <v>0</v>
      </c>
      <c r="AW84" s="57" t="n">
        <f aca="false">IF(OR(OR($B84="",$E84="",$F84=""),$K84&lt;&gt;"نعم",$M84="نعم"),0,MAX(0,MIN($F84,EOMONTH(DATE(cfg_FY,4,1),0))-MAX($E84,DATE(cfg_FY,4,1))+1))</f>
        <v>0</v>
      </c>
      <c r="AX84" s="57" t="n">
        <f aca="false">IF(OR(OR($B84="",$E84="",$F84=""),$K84&lt;&gt;"نعم",$M84="نعم"),0,MAX(0,MIN($F84,EOMONTH(DATE(cfg_FY,5,1),0))-MAX($E84,DATE(cfg_FY,5,1))+1))</f>
        <v>0</v>
      </c>
      <c r="AY84" s="57" t="n">
        <f aca="false">IF(OR(OR($B84="",$E84="",$F84=""),$K84&lt;&gt;"نعم",$M84="نعم"),0,MAX(0,MIN($F84,EOMONTH(DATE(cfg_FY,6,1),0))-MAX($E84,DATE(cfg_FY,6,1))+1))</f>
        <v>0</v>
      </c>
      <c r="AZ84" s="57" t="n">
        <f aca="false">IF(OR(OR($B84="",$E84="",$F84=""),$K84&lt;&gt;"نعم",$M84="نعم"),0,MAX(0,MIN($F84,EOMONTH(DATE(cfg_FY,7,1),0))-MAX($E84,DATE(cfg_FY,7,1))+1))</f>
        <v>0</v>
      </c>
      <c r="BA84" s="57" t="n">
        <f aca="false">IF(OR(OR($B84="",$E84="",$F84=""),$K84&lt;&gt;"نعم",$M84="نعم"),0,MAX(0,MIN($F84,EOMONTH(DATE(cfg_FY,8,1),0))-MAX($E84,DATE(cfg_FY,8,1))+1))</f>
        <v>0</v>
      </c>
      <c r="BB84" s="57" t="n">
        <f aca="false">IF(OR(OR($B84="",$E84="",$F84=""),$K84&lt;&gt;"نعم",$M84="نعم"),0,MAX(0,MIN($F84,EOMONTH(DATE(cfg_FY,9,1),0))-MAX($E84,DATE(cfg_FY,9,1))+1))</f>
        <v>0</v>
      </c>
      <c r="BC84" s="57" t="n">
        <f aca="false">IF(OR(OR($B84="",$E84="",$F84=""),$K84&lt;&gt;"نعم",$M84="نعم"),0,MAX(0,MIN($F84,EOMONTH(DATE(cfg_FY,10,1),0))-MAX($E84,DATE(cfg_FY,10,1))+1))</f>
        <v>0</v>
      </c>
      <c r="BD84" s="57" t="n">
        <f aca="false">IF(OR(OR($B84="",$E84="",$F84=""),$K84&lt;&gt;"نعم",$M84="نعم"),0,MAX(0,MIN($F84,EOMONTH(DATE(cfg_FY,11,1),0))-MAX($E84,DATE(cfg_FY,11,1))+1))</f>
        <v>0</v>
      </c>
      <c r="BE84" s="57" t="n">
        <f aca="false">IF(OR(OR($B84="",$E84="",$F84=""),$K84&lt;&gt;"نعم",$M84="نعم"),0,MAX(0,MIN($F84,EOMONTH(DATE(cfg_FY,12,1),0))-MAX($E84,DATE(cfg_FY,12,1))+1))</f>
        <v>0</v>
      </c>
    </row>
    <row r="85" customFormat="false" ht="15" hidden="false" customHeight="false" outlineLevel="0" collapsed="false">
      <c r="A85" s="100" t="str">
        <f aca="false">IF(B85="","",ROW()-5)</f>
        <v/>
      </c>
      <c r="B85" s="79"/>
      <c r="C85" s="102" t="str">
        <f aca="false">IF(B85="","",IFERROR(INDEX(الموظفون!$C$6:$C$105,MATCH(B85,الموظفون!$B$6:$B$105,0)),"✖ رقم غير موجود"))</f>
        <v/>
      </c>
      <c r="D85" s="79"/>
      <c r="E85" s="94"/>
      <c r="F85" s="94"/>
      <c r="G85" s="110" t="str">
        <f aca="false">IF(OR($B85="",$E85="",$F85=""),"",MAX(0,F85-E85+1))</f>
        <v/>
      </c>
      <c r="H85" s="111" t="str">
        <f aca="false">IF(D85="","",IFERROR(VLOOKUP(D85,cfg_LT,2,FALSE()),1))</f>
        <v/>
      </c>
      <c r="I85" s="82"/>
      <c r="J85" s="111" t="str">
        <f aca="false">IF(D85="","",IF(I85&lt;&gt;"",I85,H85))</f>
        <v/>
      </c>
      <c r="K85" s="102" t="str">
        <f aca="false">IF(D85="","",IFERROR(VLOOKUP($D85,cfg_LT,3,FALSE()),""))</f>
        <v/>
      </c>
      <c r="L85" s="102" t="str">
        <f aca="false">IF(D85="","",IFERROR(VLOOKUP($D85,cfg_LT,4,FALSE()),""))</f>
        <v/>
      </c>
      <c r="M85" s="102" t="str">
        <f aca="false">IF(D85="","",IFERROR(VLOOKUP($D85,cfg_LT,5,FALSE()),""))</f>
        <v/>
      </c>
      <c r="N85" s="101" t="n">
        <f aca="false">IF(OR(OR($B85="",$E85="",$F85=""),M85&lt;&gt;"نعم"),0,G85*J85*IFERROR(INDEX(الموظفون!$R$6:$R$105,MATCH(B85,الموظفون!$B$6:$B$105,0)),0)/cfg_DAYS_M)</f>
        <v>0</v>
      </c>
      <c r="O85" s="100" t="str">
        <f aca="false">IF(OR(OR($B85="",$E85="",$F85=""),M85&lt;&gt;"نعم"),"",IF(YEAR(E85)=cfg_FY,MONTH(E85),""))</f>
        <v/>
      </c>
      <c r="P85" s="102" t="str">
        <f aca="false">IF(B85="","",IF(OR(D85="",E85="",F85=""),"⚠ أكمل النوع والتواريخ",IF(F85&lt;E85,"✖ النهاية قبل البداية",IF(COUNTIFS($B$6:$B$505,B85,$E$6:$E$505,"&lt;="&amp;F85,$F$6:$F$505,"&gt;="&amp;E85)&gt;1,"⚠ تداخل مع سجل آخر",IF(E85&gt;cfg_VAL_DATE,"⏳ قادمة",IF(F85&lt;cfg_VAL_DATE,"✔ منتهية","✈ جارية في تاريخ التقرير"))))))</f>
        <v/>
      </c>
      <c r="Q85" s="79"/>
      <c r="R85" s="110" t="n">
        <f aca="false">IF(OR(OR($B85="",$E85="",$F85=""),L85&lt;&gt;"لا"),0,MAX(0,MIN(F85,cfg_Y_START-1)-E85+1))</f>
        <v>0</v>
      </c>
      <c r="S85" s="110" t="n">
        <f aca="false">IF(OR(OR($B85="",$E85="",$F85=""),L85&lt;&gt;"لا"),0,MAX(0,MIN(F85,cfg_VAL_DATE)-E85+1))</f>
        <v>0</v>
      </c>
      <c r="T85" s="110" t="n">
        <f aca="false">IF(OR(OR($B85="",$E85="",$F85=""),K85&lt;&gt;"نعم"),0,IF(M85="نعم",IF(AND(ISNUMBER(O85),N(O85)&lt;=cfg_VAL_M),G85,0),MAX(0,MIN(F85,cfg_VAL_DATE)-MAX(E85,cfg_Y_START)+1)))</f>
        <v>0</v>
      </c>
      <c r="V85" s="110" t="n">
        <f aca="false">IF(OR($B85="",$E85="",$F85=""),0,MAX(0,MIN($F85,EOMONTH(DATE(cfg_FY,1,1),0))-MAX($E85,DATE(cfg_FY,1,1))+1)*(1-IF($M85="نعم",0,N($J85))))</f>
        <v>0</v>
      </c>
      <c r="W85" s="110" t="n">
        <f aca="false">IF(OR($B85="",$E85="",$F85=""),0,MAX(0,MIN($F85,EOMONTH(DATE(cfg_FY,2,1),0))-MAX($E85,DATE(cfg_FY,2,1))+1)*(1-IF($M85="نعم",0,N($J85))))</f>
        <v>0</v>
      </c>
      <c r="X85" s="110" t="n">
        <f aca="false">IF(OR($B85="",$E85="",$F85=""),0,MAX(0,MIN($F85,EOMONTH(DATE(cfg_FY,3,1),0))-MAX($E85,DATE(cfg_FY,3,1))+1)*(1-IF($M85="نعم",0,N($J85))))</f>
        <v>0</v>
      </c>
      <c r="Y85" s="110" t="n">
        <f aca="false">IF(OR($B85="",$E85="",$F85=""),0,MAX(0,MIN($F85,EOMONTH(DATE(cfg_FY,4,1),0))-MAX($E85,DATE(cfg_FY,4,1))+1)*(1-IF($M85="نعم",0,N($J85))))</f>
        <v>0</v>
      </c>
      <c r="Z85" s="110" t="n">
        <f aca="false">IF(OR($B85="",$E85="",$F85=""),0,MAX(0,MIN($F85,EOMONTH(DATE(cfg_FY,5,1),0))-MAX($E85,DATE(cfg_FY,5,1))+1)*(1-IF($M85="نعم",0,N($J85))))</f>
        <v>0</v>
      </c>
      <c r="AA85" s="110" t="n">
        <f aca="false">IF(OR($B85="",$E85="",$F85=""),0,MAX(0,MIN($F85,EOMONTH(DATE(cfg_FY,6,1),0))-MAX($E85,DATE(cfg_FY,6,1))+1)*(1-IF($M85="نعم",0,N($J85))))</f>
        <v>0</v>
      </c>
      <c r="AB85" s="110" t="n">
        <f aca="false">IF(OR($B85="",$E85="",$F85=""),0,MAX(0,MIN($F85,EOMONTH(DATE(cfg_FY,7,1),0))-MAX($E85,DATE(cfg_FY,7,1))+1)*(1-IF($M85="نعم",0,N($J85))))</f>
        <v>0</v>
      </c>
      <c r="AC85" s="110" t="n">
        <f aca="false">IF(OR($B85="",$E85="",$F85=""),0,MAX(0,MIN($F85,EOMONTH(DATE(cfg_FY,8,1),0))-MAX($E85,DATE(cfg_FY,8,1))+1)*(1-IF($M85="نعم",0,N($J85))))</f>
        <v>0</v>
      </c>
      <c r="AD85" s="110" t="n">
        <f aca="false">IF(OR($B85="",$E85="",$F85=""),0,MAX(0,MIN($F85,EOMONTH(DATE(cfg_FY,9,1),0))-MAX($E85,DATE(cfg_FY,9,1))+1)*(1-IF($M85="نعم",0,N($J85))))</f>
        <v>0</v>
      </c>
      <c r="AE85" s="110" t="n">
        <f aca="false">IF(OR($B85="",$E85="",$F85=""),0,MAX(0,MIN($F85,EOMONTH(DATE(cfg_FY,10,1),0))-MAX($E85,DATE(cfg_FY,10,1))+1)*(1-IF($M85="نعم",0,N($J85))))</f>
        <v>0</v>
      </c>
      <c r="AF85" s="110" t="n">
        <f aca="false">IF(OR($B85="",$E85="",$F85=""),0,MAX(0,MIN($F85,EOMONTH(DATE(cfg_FY,11,1),0))-MAX($E85,DATE(cfg_FY,11,1))+1)*(1-IF($M85="نعم",0,N($J85))))</f>
        <v>0</v>
      </c>
      <c r="AG85" s="110" t="n">
        <f aca="false">IF(OR($B85="",$E85="",$F85=""),0,MAX(0,MIN($F85,EOMONTH(DATE(cfg_FY,12,1),0))-MAX($E85,DATE(cfg_FY,12,1))+1)*(1-IF($M85="نعم",0,N($J85))))</f>
        <v>0</v>
      </c>
      <c r="AH85" s="110" t="n">
        <f aca="false">IF(OR(OR($B85="",$E85="",$F85=""),$L85&lt;&gt;"لا"),0,MAX(0,MIN($F85,EOMONTH(DATE(cfg_FY,1,1),0))-$E85+1))</f>
        <v>0</v>
      </c>
      <c r="AI85" s="110" t="n">
        <f aca="false">IF(OR(OR($B85="",$E85="",$F85=""),$L85&lt;&gt;"لا"),0,MAX(0,MIN($F85,EOMONTH(DATE(cfg_FY,2,1),0))-$E85+1))</f>
        <v>0</v>
      </c>
      <c r="AJ85" s="110" t="n">
        <f aca="false">IF(OR(OR($B85="",$E85="",$F85=""),$L85&lt;&gt;"لا"),0,MAX(0,MIN($F85,EOMONTH(DATE(cfg_FY,3,1),0))-$E85+1))</f>
        <v>0</v>
      </c>
      <c r="AK85" s="110" t="n">
        <f aca="false">IF(OR(OR($B85="",$E85="",$F85=""),$L85&lt;&gt;"لا"),0,MAX(0,MIN($F85,EOMONTH(DATE(cfg_FY,4,1),0))-$E85+1))</f>
        <v>0</v>
      </c>
      <c r="AL85" s="110" t="n">
        <f aca="false">IF(OR(OR($B85="",$E85="",$F85=""),$L85&lt;&gt;"لا"),0,MAX(0,MIN($F85,EOMONTH(DATE(cfg_FY,5,1),0))-$E85+1))</f>
        <v>0</v>
      </c>
      <c r="AM85" s="110" t="n">
        <f aca="false">IF(OR(OR($B85="",$E85="",$F85=""),$L85&lt;&gt;"لا"),0,MAX(0,MIN($F85,EOMONTH(DATE(cfg_FY,6,1),0))-$E85+1))</f>
        <v>0</v>
      </c>
      <c r="AN85" s="110" t="n">
        <f aca="false">IF(OR(OR($B85="",$E85="",$F85=""),$L85&lt;&gt;"لا"),0,MAX(0,MIN($F85,EOMONTH(DATE(cfg_FY,7,1),0))-$E85+1))</f>
        <v>0</v>
      </c>
      <c r="AO85" s="110" t="n">
        <f aca="false">IF(OR(OR($B85="",$E85="",$F85=""),$L85&lt;&gt;"لا"),0,MAX(0,MIN($F85,EOMONTH(DATE(cfg_FY,8,1),0))-$E85+1))</f>
        <v>0</v>
      </c>
      <c r="AP85" s="110" t="n">
        <f aca="false">IF(OR(OR($B85="",$E85="",$F85=""),$L85&lt;&gt;"لا"),0,MAX(0,MIN($F85,EOMONTH(DATE(cfg_FY,9,1),0))-$E85+1))</f>
        <v>0</v>
      </c>
      <c r="AQ85" s="110" t="n">
        <f aca="false">IF(OR(OR($B85="",$E85="",$F85=""),$L85&lt;&gt;"لا"),0,MAX(0,MIN($F85,EOMONTH(DATE(cfg_FY,10,1),0))-$E85+1))</f>
        <v>0</v>
      </c>
      <c r="AR85" s="110" t="n">
        <f aca="false">IF(OR(OR($B85="",$E85="",$F85=""),$L85&lt;&gt;"لا"),0,MAX(0,MIN($F85,EOMONTH(DATE(cfg_FY,11,1),0))-$E85+1))</f>
        <v>0</v>
      </c>
      <c r="AS85" s="110" t="n">
        <f aca="false">IF(OR(OR($B85="",$E85="",$F85=""),$L85&lt;&gt;"لا"),0,MAX(0,MIN($F85,EOMONTH(DATE(cfg_FY,12,1),0))-$E85+1))</f>
        <v>0</v>
      </c>
      <c r="AT85" s="110" t="n">
        <f aca="false">IF(OR(OR($B85="",$E85="",$F85=""),$K85&lt;&gt;"نعم",$M85="نعم"),0,MAX(0,MIN($F85,EOMONTH(DATE(cfg_FY,1,1),0))-MAX($E85,DATE(cfg_FY,1,1))+1))</f>
        <v>0</v>
      </c>
      <c r="AU85" s="110" t="n">
        <f aca="false">IF(OR(OR($B85="",$E85="",$F85=""),$K85&lt;&gt;"نعم",$M85="نعم"),0,MAX(0,MIN($F85,EOMONTH(DATE(cfg_FY,2,1),0))-MAX($E85,DATE(cfg_FY,2,1))+1))</f>
        <v>0</v>
      </c>
      <c r="AV85" s="110" t="n">
        <f aca="false">IF(OR(OR($B85="",$E85="",$F85=""),$K85&lt;&gt;"نعم",$M85="نعم"),0,MAX(0,MIN($F85,EOMONTH(DATE(cfg_FY,3,1),0))-MAX($E85,DATE(cfg_FY,3,1))+1))</f>
        <v>0</v>
      </c>
      <c r="AW85" s="110" t="n">
        <f aca="false">IF(OR(OR($B85="",$E85="",$F85=""),$K85&lt;&gt;"نعم",$M85="نعم"),0,MAX(0,MIN($F85,EOMONTH(DATE(cfg_FY,4,1),0))-MAX($E85,DATE(cfg_FY,4,1))+1))</f>
        <v>0</v>
      </c>
      <c r="AX85" s="110" t="n">
        <f aca="false">IF(OR(OR($B85="",$E85="",$F85=""),$K85&lt;&gt;"نعم",$M85="نعم"),0,MAX(0,MIN($F85,EOMONTH(DATE(cfg_FY,5,1),0))-MAX($E85,DATE(cfg_FY,5,1))+1))</f>
        <v>0</v>
      </c>
      <c r="AY85" s="110" t="n">
        <f aca="false">IF(OR(OR($B85="",$E85="",$F85=""),$K85&lt;&gt;"نعم",$M85="نعم"),0,MAX(0,MIN($F85,EOMONTH(DATE(cfg_FY,6,1),0))-MAX($E85,DATE(cfg_FY,6,1))+1))</f>
        <v>0</v>
      </c>
      <c r="AZ85" s="110" t="n">
        <f aca="false">IF(OR(OR($B85="",$E85="",$F85=""),$K85&lt;&gt;"نعم",$M85="نعم"),0,MAX(0,MIN($F85,EOMONTH(DATE(cfg_FY,7,1),0))-MAX($E85,DATE(cfg_FY,7,1))+1))</f>
        <v>0</v>
      </c>
      <c r="BA85" s="110" t="n">
        <f aca="false">IF(OR(OR($B85="",$E85="",$F85=""),$K85&lt;&gt;"نعم",$M85="نعم"),0,MAX(0,MIN($F85,EOMONTH(DATE(cfg_FY,8,1),0))-MAX($E85,DATE(cfg_FY,8,1))+1))</f>
        <v>0</v>
      </c>
      <c r="BB85" s="110" t="n">
        <f aca="false">IF(OR(OR($B85="",$E85="",$F85=""),$K85&lt;&gt;"نعم",$M85="نعم"),0,MAX(0,MIN($F85,EOMONTH(DATE(cfg_FY,9,1),0))-MAX($E85,DATE(cfg_FY,9,1))+1))</f>
        <v>0</v>
      </c>
      <c r="BC85" s="110" t="n">
        <f aca="false">IF(OR(OR($B85="",$E85="",$F85=""),$K85&lt;&gt;"نعم",$M85="نعم"),0,MAX(0,MIN($F85,EOMONTH(DATE(cfg_FY,10,1),0))-MAX($E85,DATE(cfg_FY,10,1))+1))</f>
        <v>0</v>
      </c>
      <c r="BD85" s="110" t="n">
        <f aca="false">IF(OR(OR($B85="",$E85="",$F85=""),$K85&lt;&gt;"نعم",$M85="نعم"),0,MAX(0,MIN($F85,EOMONTH(DATE(cfg_FY,11,1),0))-MAX($E85,DATE(cfg_FY,11,1))+1))</f>
        <v>0</v>
      </c>
      <c r="BE85" s="110" t="n">
        <f aca="false">IF(OR(OR($B85="",$E85="",$F85=""),$K85&lt;&gt;"نعم",$M85="نعم"),0,MAX(0,MIN($F85,EOMONTH(DATE(cfg_FY,12,1),0))-MAX($E85,DATE(cfg_FY,12,1))+1))</f>
        <v>0</v>
      </c>
    </row>
    <row r="86" customFormat="false" ht="15" hidden="false" customHeight="false" outlineLevel="0" collapsed="false">
      <c r="A86" s="93" t="str">
        <f aca="false">IF(B86="","",ROW()-5)</f>
        <v/>
      </c>
      <c r="B86" s="79"/>
      <c r="C86" s="80" t="str">
        <f aca="false">IF(B86="","",IFERROR(INDEX(الموظفون!$C$6:$C$105,MATCH(B86,الموظفون!$B$6:$B$105,0)),"✖ رقم غير موجود"))</f>
        <v/>
      </c>
      <c r="D86" s="79"/>
      <c r="E86" s="94"/>
      <c r="F86" s="94"/>
      <c r="G86" s="57" t="str">
        <f aca="false">IF(OR($B86="",$E86="",$F86=""),"",MAX(0,F86-E86+1))</f>
        <v/>
      </c>
      <c r="H86" s="58" t="str">
        <f aca="false">IF(D86="","",IFERROR(VLOOKUP(D86,cfg_LT,2,FALSE()),1))</f>
        <v/>
      </c>
      <c r="I86" s="82"/>
      <c r="J86" s="58" t="str">
        <f aca="false">IF(D86="","",IF(I86&lt;&gt;"",I86,H86))</f>
        <v/>
      </c>
      <c r="K86" s="80" t="str">
        <f aca="false">IF(D86="","",IFERROR(VLOOKUP($D86,cfg_LT,3,FALSE()),""))</f>
        <v/>
      </c>
      <c r="L86" s="80" t="str">
        <f aca="false">IF(D86="","",IFERROR(VLOOKUP($D86,cfg_LT,4,FALSE()),""))</f>
        <v/>
      </c>
      <c r="M86" s="80" t="str">
        <f aca="false">IF(D86="","",IFERROR(VLOOKUP($D86,cfg_LT,5,FALSE()),""))</f>
        <v/>
      </c>
      <c r="N86" s="97" t="n">
        <f aca="false">IF(OR(OR($B86="",$E86="",$F86=""),M86&lt;&gt;"نعم"),0,G86*J86*IFERROR(INDEX(الموظفون!$R$6:$R$105,MATCH(B86,الموظفون!$B$6:$B$105,0)),0)/cfg_DAYS_M)</f>
        <v>0</v>
      </c>
      <c r="O86" s="93" t="str">
        <f aca="false">IF(OR(OR($B86="",$E86="",$F86=""),M86&lt;&gt;"نعم"),"",IF(YEAR(E86)=cfg_FY,MONTH(E86),""))</f>
        <v/>
      </c>
      <c r="P86" s="80" t="str">
        <f aca="false">IF(B86="","",IF(OR(D86="",E86="",F86=""),"⚠ أكمل النوع والتواريخ",IF(F86&lt;E86,"✖ النهاية قبل البداية",IF(COUNTIFS($B$6:$B$505,B86,$E$6:$E$505,"&lt;="&amp;F86,$F$6:$F$505,"&gt;="&amp;E86)&gt;1,"⚠ تداخل مع سجل آخر",IF(E86&gt;cfg_VAL_DATE,"⏳ قادمة",IF(F86&lt;cfg_VAL_DATE,"✔ منتهية","✈ جارية في تاريخ التقرير"))))))</f>
        <v/>
      </c>
      <c r="Q86" s="79"/>
      <c r="R86" s="57" t="n">
        <f aca="false">IF(OR(OR($B86="",$E86="",$F86=""),L86&lt;&gt;"لا"),0,MAX(0,MIN(F86,cfg_Y_START-1)-E86+1))</f>
        <v>0</v>
      </c>
      <c r="S86" s="57" t="n">
        <f aca="false">IF(OR(OR($B86="",$E86="",$F86=""),L86&lt;&gt;"لا"),0,MAX(0,MIN(F86,cfg_VAL_DATE)-E86+1))</f>
        <v>0</v>
      </c>
      <c r="T86" s="57" t="n">
        <f aca="false">IF(OR(OR($B86="",$E86="",$F86=""),K86&lt;&gt;"نعم"),0,IF(M86="نعم",IF(AND(ISNUMBER(O86),N(O86)&lt;=cfg_VAL_M),G86,0),MAX(0,MIN(F86,cfg_VAL_DATE)-MAX(E86,cfg_Y_START)+1)))</f>
        <v>0</v>
      </c>
      <c r="V86" s="57" t="n">
        <f aca="false">IF(OR($B86="",$E86="",$F86=""),0,MAX(0,MIN($F86,EOMONTH(DATE(cfg_FY,1,1),0))-MAX($E86,DATE(cfg_FY,1,1))+1)*(1-IF($M86="نعم",0,N($J86))))</f>
        <v>0</v>
      </c>
      <c r="W86" s="57" t="n">
        <f aca="false">IF(OR($B86="",$E86="",$F86=""),0,MAX(0,MIN($F86,EOMONTH(DATE(cfg_FY,2,1),0))-MAX($E86,DATE(cfg_FY,2,1))+1)*(1-IF($M86="نعم",0,N($J86))))</f>
        <v>0</v>
      </c>
      <c r="X86" s="57" t="n">
        <f aca="false">IF(OR($B86="",$E86="",$F86=""),0,MAX(0,MIN($F86,EOMONTH(DATE(cfg_FY,3,1),0))-MAX($E86,DATE(cfg_FY,3,1))+1)*(1-IF($M86="نعم",0,N($J86))))</f>
        <v>0</v>
      </c>
      <c r="Y86" s="57" t="n">
        <f aca="false">IF(OR($B86="",$E86="",$F86=""),0,MAX(0,MIN($F86,EOMONTH(DATE(cfg_FY,4,1),0))-MAX($E86,DATE(cfg_FY,4,1))+1)*(1-IF($M86="نعم",0,N($J86))))</f>
        <v>0</v>
      </c>
      <c r="Z86" s="57" t="n">
        <f aca="false">IF(OR($B86="",$E86="",$F86=""),0,MAX(0,MIN($F86,EOMONTH(DATE(cfg_FY,5,1),0))-MAX($E86,DATE(cfg_FY,5,1))+1)*(1-IF($M86="نعم",0,N($J86))))</f>
        <v>0</v>
      </c>
      <c r="AA86" s="57" t="n">
        <f aca="false">IF(OR($B86="",$E86="",$F86=""),0,MAX(0,MIN($F86,EOMONTH(DATE(cfg_FY,6,1),0))-MAX($E86,DATE(cfg_FY,6,1))+1)*(1-IF($M86="نعم",0,N($J86))))</f>
        <v>0</v>
      </c>
      <c r="AB86" s="57" t="n">
        <f aca="false">IF(OR($B86="",$E86="",$F86=""),0,MAX(0,MIN($F86,EOMONTH(DATE(cfg_FY,7,1),0))-MAX($E86,DATE(cfg_FY,7,1))+1)*(1-IF($M86="نعم",0,N($J86))))</f>
        <v>0</v>
      </c>
      <c r="AC86" s="57" t="n">
        <f aca="false">IF(OR($B86="",$E86="",$F86=""),0,MAX(0,MIN($F86,EOMONTH(DATE(cfg_FY,8,1),0))-MAX($E86,DATE(cfg_FY,8,1))+1)*(1-IF($M86="نعم",0,N($J86))))</f>
        <v>0</v>
      </c>
      <c r="AD86" s="57" t="n">
        <f aca="false">IF(OR($B86="",$E86="",$F86=""),0,MAX(0,MIN($F86,EOMONTH(DATE(cfg_FY,9,1),0))-MAX($E86,DATE(cfg_FY,9,1))+1)*(1-IF($M86="نعم",0,N($J86))))</f>
        <v>0</v>
      </c>
      <c r="AE86" s="57" t="n">
        <f aca="false">IF(OR($B86="",$E86="",$F86=""),0,MAX(0,MIN($F86,EOMONTH(DATE(cfg_FY,10,1),0))-MAX($E86,DATE(cfg_FY,10,1))+1)*(1-IF($M86="نعم",0,N($J86))))</f>
        <v>0</v>
      </c>
      <c r="AF86" s="57" t="n">
        <f aca="false">IF(OR($B86="",$E86="",$F86=""),0,MAX(0,MIN($F86,EOMONTH(DATE(cfg_FY,11,1),0))-MAX($E86,DATE(cfg_FY,11,1))+1)*(1-IF($M86="نعم",0,N($J86))))</f>
        <v>0</v>
      </c>
      <c r="AG86" s="57" t="n">
        <f aca="false">IF(OR($B86="",$E86="",$F86=""),0,MAX(0,MIN($F86,EOMONTH(DATE(cfg_FY,12,1),0))-MAX($E86,DATE(cfg_FY,12,1))+1)*(1-IF($M86="نعم",0,N($J86))))</f>
        <v>0</v>
      </c>
      <c r="AH86" s="57" t="n">
        <f aca="false">IF(OR(OR($B86="",$E86="",$F86=""),$L86&lt;&gt;"لا"),0,MAX(0,MIN($F86,EOMONTH(DATE(cfg_FY,1,1),0))-$E86+1))</f>
        <v>0</v>
      </c>
      <c r="AI86" s="57" t="n">
        <f aca="false">IF(OR(OR($B86="",$E86="",$F86=""),$L86&lt;&gt;"لا"),0,MAX(0,MIN($F86,EOMONTH(DATE(cfg_FY,2,1),0))-$E86+1))</f>
        <v>0</v>
      </c>
      <c r="AJ86" s="57" t="n">
        <f aca="false">IF(OR(OR($B86="",$E86="",$F86=""),$L86&lt;&gt;"لا"),0,MAX(0,MIN($F86,EOMONTH(DATE(cfg_FY,3,1),0))-$E86+1))</f>
        <v>0</v>
      </c>
      <c r="AK86" s="57" t="n">
        <f aca="false">IF(OR(OR($B86="",$E86="",$F86=""),$L86&lt;&gt;"لا"),0,MAX(0,MIN($F86,EOMONTH(DATE(cfg_FY,4,1),0))-$E86+1))</f>
        <v>0</v>
      </c>
      <c r="AL86" s="57" t="n">
        <f aca="false">IF(OR(OR($B86="",$E86="",$F86=""),$L86&lt;&gt;"لا"),0,MAX(0,MIN($F86,EOMONTH(DATE(cfg_FY,5,1),0))-$E86+1))</f>
        <v>0</v>
      </c>
      <c r="AM86" s="57" t="n">
        <f aca="false">IF(OR(OR($B86="",$E86="",$F86=""),$L86&lt;&gt;"لا"),0,MAX(0,MIN($F86,EOMONTH(DATE(cfg_FY,6,1),0))-$E86+1))</f>
        <v>0</v>
      </c>
      <c r="AN86" s="57" t="n">
        <f aca="false">IF(OR(OR($B86="",$E86="",$F86=""),$L86&lt;&gt;"لا"),0,MAX(0,MIN($F86,EOMONTH(DATE(cfg_FY,7,1),0))-$E86+1))</f>
        <v>0</v>
      </c>
      <c r="AO86" s="57" t="n">
        <f aca="false">IF(OR(OR($B86="",$E86="",$F86=""),$L86&lt;&gt;"لا"),0,MAX(0,MIN($F86,EOMONTH(DATE(cfg_FY,8,1),0))-$E86+1))</f>
        <v>0</v>
      </c>
      <c r="AP86" s="57" t="n">
        <f aca="false">IF(OR(OR($B86="",$E86="",$F86=""),$L86&lt;&gt;"لا"),0,MAX(0,MIN($F86,EOMONTH(DATE(cfg_FY,9,1),0))-$E86+1))</f>
        <v>0</v>
      </c>
      <c r="AQ86" s="57" t="n">
        <f aca="false">IF(OR(OR($B86="",$E86="",$F86=""),$L86&lt;&gt;"لا"),0,MAX(0,MIN($F86,EOMONTH(DATE(cfg_FY,10,1),0))-$E86+1))</f>
        <v>0</v>
      </c>
      <c r="AR86" s="57" t="n">
        <f aca="false">IF(OR(OR($B86="",$E86="",$F86=""),$L86&lt;&gt;"لا"),0,MAX(0,MIN($F86,EOMONTH(DATE(cfg_FY,11,1),0))-$E86+1))</f>
        <v>0</v>
      </c>
      <c r="AS86" s="57" t="n">
        <f aca="false">IF(OR(OR($B86="",$E86="",$F86=""),$L86&lt;&gt;"لا"),0,MAX(0,MIN($F86,EOMONTH(DATE(cfg_FY,12,1),0))-$E86+1))</f>
        <v>0</v>
      </c>
      <c r="AT86" s="57" t="n">
        <f aca="false">IF(OR(OR($B86="",$E86="",$F86=""),$K86&lt;&gt;"نعم",$M86="نعم"),0,MAX(0,MIN($F86,EOMONTH(DATE(cfg_FY,1,1),0))-MAX($E86,DATE(cfg_FY,1,1))+1))</f>
        <v>0</v>
      </c>
      <c r="AU86" s="57" t="n">
        <f aca="false">IF(OR(OR($B86="",$E86="",$F86=""),$K86&lt;&gt;"نعم",$M86="نعم"),0,MAX(0,MIN($F86,EOMONTH(DATE(cfg_FY,2,1),0))-MAX($E86,DATE(cfg_FY,2,1))+1))</f>
        <v>0</v>
      </c>
      <c r="AV86" s="57" t="n">
        <f aca="false">IF(OR(OR($B86="",$E86="",$F86=""),$K86&lt;&gt;"نعم",$M86="نعم"),0,MAX(0,MIN($F86,EOMONTH(DATE(cfg_FY,3,1),0))-MAX($E86,DATE(cfg_FY,3,1))+1))</f>
        <v>0</v>
      </c>
      <c r="AW86" s="57" t="n">
        <f aca="false">IF(OR(OR($B86="",$E86="",$F86=""),$K86&lt;&gt;"نعم",$M86="نعم"),0,MAX(0,MIN($F86,EOMONTH(DATE(cfg_FY,4,1),0))-MAX($E86,DATE(cfg_FY,4,1))+1))</f>
        <v>0</v>
      </c>
      <c r="AX86" s="57" t="n">
        <f aca="false">IF(OR(OR($B86="",$E86="",$F86=""),$K86&lt;&gt;"نعم",$M86="نعم"),0,MAX(0,MIN($F86,EOMONTH(DATE(cfg_FY,5,1),0))-MAX($E86,DATE(cfg_FY,5,1))+1))</f>
        <v>0</v>
      </c>
      <c r="AY86" s="57" t="n">
        <f aca="false">IF(OR(OR($B86="",$E86="",$F86=""),$K86&lt;&gt;"نعم",$M86="نعم"),0,MAX(0,MIN($F86,EOMONTH(DATE(cfg_FY,6,1),0))-MAX($E86,DATE(cfg_FY,6,1))+1))</f>
        <v>0</v>
      </c>
      <c r="AZ86" s="57" t="n">
        <f aca="false">IF(OR(OR($B86="",$E86="",$F86=""),$K86&lt;&gt;"نعم",$M86="نعم"),0,MAX(0,MIN($F86,EOMONTH(DATE(cfg_FY,7,1),0))-MAX($E86,DATE(cfg_FY,7,1))+1))</f>
        <v>0</v>
      </c>
      <c r="BA86" s="57" t="n">
        <f aca="false">IF(OR(OR($B86="",$E86="",$F86=""),$K86&lt;&gt;"نعم",$M86="نعم"),0,MAX(0,MIN($F86,EOMONTH(DATE(cfg_FY,8,1),0))-MAX($E86,DATE(cfg_FY,8,1))+1))</f>
        <v>0</v>
      </c>
      <c r="BB86" s="57" t="n">
        <f aca="false">IF(OR(OR($B86="",$E86="",$F86=""),$K86&lt;&gt;"نعم",$M86="نعم"),0,MAX(0,MIN($F86,EOMONTH(DATE(cfg_FY,9,1),0))-MAX($E86,DATE(cfg_FY,9,1))+1))</f>
        <v>0</v>
      </c>
      <c r="BC86" s="57" t="n">
        <f aca="false">IF(OR(OR($B86="",$E86="",$F86=""),$K86&lt;&gt;"نعم",$M86="نعم"),0,MAX(0,MIN($F86,EOMONTH(DATE(cfg_FY,10,1),0))-MAX($E86,DATE(cfg_FY,10,1))+1))</f>
        <v>0</v>
      </c>
      <c r="BD86" s="57" t="n">
        <f aca="false">IF(OR(OR($B86="",$E86="",$F86=""),$K86&lt;&gt;"نعم",$M86="نعم"),0,MAX(0,MIN($F86,EOMONTH(DATE(cfg_FY,11,1),0))-MAX($E86,DATE(cfg_FY,11,1))+1))</f>
        <v>0</v>
      </c>
      <c r="BE86" s="57" t="n">
        <f aca="false">IF(OR(OR($B86="",$E86="",$F86=""),$K86&lt;&gt;"نعم",$M86="نعم"),0,MAX(0,MIN($F86,EOMONTH(DATE(cfg_FY,12,1),0))-MAX($E86,DATE(cfg_FY,12,1))+1))</f>
        <v>0</v>
      </c>
    </row>
    <row r="87" customFormat="false" ht="15" hidden="false" customHeight="false" outlineLevel="0" collapsed="false">
      <c r="A87" s="100" t="str">
        <f aca="false">IF(B87="","",ROW()-5)</f>
        <v/>
      </c>
      <c r="B87" s="79"/>
      <c r="C87" s="102" t="str">
        <f aca="false">IF(B87="","",IFERROR(INDEX(الموظفون!$C$6:$C$105,MATCH(B87,الموظفون!$B$6:$B$105,0)),"✖ رقم غير موجود"))</f>
        <v/>
      </c>
      <c r="D87" s="79"/>
      <c r="E87" s="94"/>
      <c r="F87" s="94"/>
      <c r="G87" s="110" t="str">
        <f aca="false">IF(OR($B87="",$E87="",$F87=""),"",MAX(0,F87-E87+1))</f>
        <v/>
      </c>
      <c r="H87" s="111" t="str">
        <f aca="false">IF(D87="","",IFERROR(VLOOKUP(D87,cfg_LT,2,FALSE()),1))</f>
        <v/>
      </c>
      <c r="I87" s="82"/>
      <c r="J87" s="111" t="str">
        <f aca="false">IF(D87="","",IF(I87&lt;&gt;"",I87,H87))</f>
        <v/>
      </c>
      <c r="K87" s="102" t="str">
        <f aca="false">IF(D87="","",IFERROR(VLOOKUP($D87,cfg_LT,3,FALSE()),""))</f>
        <v/>
      </c>
      <c r="L87" s="102" t="str">
        <f aca="false">IF(D87="","",IFERROR(VLOOKUP($D87,cfg_LT,4,FALSE()),""))</f>
        <v/>
      </c>
      <c r="M87" s="102" t="str">
        <f aca="false">IF(D87="","",IFERROR(VLOOKUP($D87,cfg_LT,5,FALSE()),""))</f>
        <v/>
      </c>
      <c r="N87" s="101" t="n">
        <f aca="false">IF(OR(OR($B87="",$E87="",$F87=""),M87&lt;&gt;"نعم"),0,G87*J87*IFERROR(INDEX(الموظفون!$R$6:$R$105,MATCH(B87,الموظفون!$B$6:$B$105,0)),0)/cfg_DAYS_M)</f>
        <v>0</v>
      </c>
      <c r="O87" s="100" t="str">
        <f aca="false">IF(OR(OR($B87="",$E87="",$F87=""),M87&lt;&gt;"نعم"),"",IF(YEAR(E87)=cfg_FY,MONTH(E87),""))</f>
        <v/>
      </c>
      <c r="P87" s="102" t="str">
        <f aca="false">IF(B87="","",IF(OR(D87="",E87="",F87=""),"⚠ أكمل النوع والتواريخ",IF(F87&lt;E87,"✖ النهاية قبل البداية",IF(COUNTIFS($B$6:$B$505,B87,$E$6:$E$505,"&lt;="&amp;F87,$F$6:$F$505,"&gt;="&amp;E87)&gt;1,"⚠ تداخل مع سجل آخر",IF(E87&gt;cfg_VAL_DATE,"⏳ قادمة",IF(F87&lt;cfg_VAL_DATE,"✔ منتهية","✈ جارية في تاريخ التقرير"))))))</f>
        <v/>
      </c>
      <c r="Q87" s="79"/>
      <c r="R87" s="110" t="n">
        <f aca="false">IF(OR(OR($B87="",$E87="",$F87=""),L87&lt;&gt;"لا"),0,MAX(0,MIN(F87,cfg_Y_START-1)-E87+1))</f>
        <v>0</v>
      </c>
      <c r="S87" s="110" t="n">
        <f aca="false">IF(OR(OR($B87="",$E87="",$F87=""),L87&lt;&gt;"لا"),0,MAX(0,MIN(F87,cfg_VAL_DATE)-E87+1))</f>
        <v>0</v>
      </c>
      <c r="T87" s="110" t="n">
        <f aca="false">IF(OR(OR($B87="",$E87="",$F87=""),K87&lt;&gt;"نعم"),0,IF(M87="نعم",IF(AND(ISNUMBER(O87),N(O87)&lt;=cfg_VAL_M),G87,0),MAX(0,MIN(F87,cfg_VAL_DATE)-MAX(E87,cfg_Y_START)+1)))</f>
        <v>0</v>
      </c>
      <c r="V87" s="110" t="n">
        <f aca="false">IF(OR($B87="",$E87="",$F87=""),0,MAX(0,MIN($F87,EOMONTH(DATE(cfg_FY,1,1),0))-MAX($E87,DATE(cfg_FY,1,1))+1)*(1-IF($M87="نعم",0,N($J87))))</f>
        <v>0</v>
      </c>
      <c r="W87" s="110" t="n">
        <f aca="false">IF(OR($B87="",$E87="",$F87=""),0,MAX(0,MIN($F87,EOMONTH(DATE(cfg_FY,2,1),0))-MAX($E87,DATE(cfg_FY,2,1))+1)*(1-IF($M87="نعم",0,N($J87))))</f>
        <v>0</v>
      </c>
      <c r="X87" s="110" t="n">
        <f aca="false">IF(OR($B87="",$E87="",$F87=""),0,MAX(0,MIN($F87,EOMONTH(DATE(cfg_FY,3,1),0))-MAX($E87,DATE(cfg_FY,3,1))+1)*(1-IF($M87="نعم",0,N($J87))))</f>
        <v>0</v>
      </c>
      <c r="Y87" s="110" t="n">
        <f aca="false">IF(OR($B87="",$E87="",$F87=""),0,MAX(0,MIN($F87,EOMONTH(DATE(cfg_FY,4,1),0))-MAX($E87,DATE(cfg_FY,4,1))+1)*(1-IF($M87="نعم",0,N($J87))))</f>
        <v>0</v>
      </c>
      <c r="Z87" s="110" t="n">
        <f aca="false">IF(OR($B87="",$E87="",$F87=""),0,MAX(0,MIN($F87,EOMONTH(DATE(cfg_FY,5,1),0))-MAX($E87,DATE(cfg_FY,5,1))+1)*(1-IF($M87="نعم",0,N($J87))))</f>
        <v>0</v>
      </c>
      <c r="AA87" s="110" t="n">
        <f aca="false">IF(OR($B87="",$E87="",$F87=""),0,MAX(0,MIN($F87,EOMONTH(DATE(cfg_FY,6,1),0))-MAX($E87,DATE(cfg_FY,6,1))+1)*(1-IF($M87="نعم",0,N($J87))))</f>
        <v>0</v>
      </c>
      <c r="AB87" s="110" t="n">
        <f aca="false">IF(OR($B87="",$E87="",$F87=""),0,MAX(0,MIN($F87,EOMONTH(DATE(cfg_FY,7,1),0))-MAX($E87,DATE(cfg_FY,7,1))+1)*(1-IF($M87="نعم",0,N($J87))))</f>
        <v>0</v>
      </c>
      <c r="AC87" s="110" t="n">
        <f aca="false">IF(OR($B87="",$E87="",$F87=""),0,MAX(0,MIN($F87,EOMONTH(DATE(cfg_FY,8,1),0))-MAX($E87,DATE(cfg_FY,8,1))+1)*(1-IF($M87="نعم",0,N($J87))))</f>
        <v>0</v>
      </c>
      <c r="AD87" s="110" t="n">
        <f aca="false">IF(OR($B87="",$E87="",$F87=""),0,MAX(0,MIN($F87,EOMONTH(DATE(cfg_FY,9,1),0))-MAX($E87,DATE(cfg_FY,9,1))+1)*(1-IF($M87="نعم",0,N($J87))))</f>
        <v>0</v>
      </c>
      <c r="AE87" s="110" t="n">
        <f aca="false">IF(OR($B87="",$E87="",$F87=""),0,MAX(0,MIN($F87,EOMONTH(DATE(cfg_FY,10,1),0))-MAX($E87,DATE(cfg_FY,10,1))+1)*(1-IF($M87="نعم",0,N($J87))))</f>
        <v>0</v>
      </c>
      <c r="AF87" s="110" t="n">
        <f aca="false">IF(OR($B87="",$E87="",$F87=""),0,MAX(0,MIN($F87,EOMONTH(DATE(cfg_FY,11,1),0))-MAX($E87,DATE(cfg_FY,11,1))+1)*(1-IF($M87="نعم",0,N($J87))))</f>
        <v>0</v>
      </c>
      <c r="AG87" s="110" t="n">
        <f aca="false">IF(OR($B87="",$E87="",$F87=""),0,MAX(0,MIN($F87,EOMONTH(DATE(cfg_FY,12,1),0))-MAX($E87,DATE(cfg_FY,12,1))+1)*(1-IF($M87="نعم",0,N($J87))))</f>
        <v>0</v>
      </c>
      <c r="AH87" s="110" t="n">
        <f aca="false">IF(OR(OR($B87="",$E87="",$F87=""),$L87&lt;&gt;"لا"),0,MAX(0,MIN($F87,EOMONTH(DATE(cfg_FY,1,1),0))-$E87+1))</f>
        <v>0</v>
      </c>
      <c r="AI87" s="110" t="n">
        <f aca="false">IF(OR(OR($B87="",$E87="",$F87=""),$L87&lt;&gt;"لا"),0,MAX(0,MIN($F87,EOMONTH(DATE(cfg_FY,2,1),0))-$E87+1))</f>
        <v>0</v>
      </c>
      <c r="AJ87" s="110" t="n">
        <f aca="false">IF(OR(OR($B87="",$E87="",$F87=""),$L87&lt;&gt;"لا"),0,MAX(0,MIN($F87,EOMONTH(DATE(cfg_FY,3,1),0))-$E87+1))</f>
        <v>0</v>
      </c>
      <c r="AK87" s="110" t="n">
        <f aca="false">IF(OR(OR($B87="",$E87="",$F87=""),$L87&lt;&gt;"لا"),0,MAX(0,MIN($F87,EOMONTH(DATE(cfg_FY,4,1),0))-$E87+1))</f>
        <v>0</v>
      </c>
      <c r="AL87" s="110" t="n">
        <f aca="false">IF(OR(OR($B87="",$E87="",$F87=""),$L87&lt;&gt;"لا"),0,MAX(0,MIN($F87,EOMONTH(DATE(cfg_FY,5,1),0))-$E87+1))</f>
        <v>0</v>
      </c>
      <c r="AM87" s="110" t="n">
        <f aca="false">IF(OR(OR($B87="",$E87="",$F87=""),$L87&lt;&gt;"لا"),0,MAX(0,MIN($F87,EOMONTH(DATE(cfg_FY,6,1),0))-$E87+1))</f>
        <v>0</v>
      </c>
      <c r="AN87" s="110" t="n">
        <f aca="false">IF(OR(OR($B87="",$E87="",$F87=""),$L87&lt;&gt;"لا"),0,MAX(0,MIN($F87,EOMONTH(DATE(cfg_FY,7,1),0))-$E87+1))</f>
        <v>0</v>
      </c>
      <c r="AO87" s="110" t="n">
        <f aca="false">IF(OR(OR($B87="",$E87="",$F87=""),$L87&lt;&gt;"لا"),0,MAX(0,MIN($F87,EOMONTH(DATE(cfg_FY,8,1),0))-$E87+1))</f>
        <v>0</v>
      </c>
      <c r="AP87" s="110" t="n">
        <f aca="false">IF(OR(OR($B87="",$E87="",$F87=""),$L87&lt;&gt;"لا"),0,MAX(0,MIN($F87,EOMONTH(DATE(cfg_FY,9,1),0))-$E87+1))</f>
        <v>0</v>
      </c>
      <c r="AQ87" s="110" t="n">
        <f aca="false">IF(OR(OR($B87="",$E87="",$F87=""),$L87&lt;&gt;"لا"),0,MAX(0,MIN($F87,EOMONTH(DATE(cfg_FY,10,1),0))-$E87+1))</f>
        <v>0</v>
      </c>
      <c r="AR87" s="110" t="n">
        <f aca="false">IF(OR(OR($B87="",$E87="",$F87=""),$L87&lt;&gt;"لا"),0,MAX(0,MIN($F87,EOMONTH(DATE(cfg_FY,11,1),0))-$E87+1))</f>
        <v>0</v>
      </c>
      <c r="AS87" s="110" t="n">
        <f aca="false">IF(OR(OR($B87="",$E87="",$F87=""),$L87&lt;&gt;"لا"),0,MAX(0,MIN($F87,EOMONTH(DATE(cfg_FY,12,1),0))-$E87+1))</f>
        <v>0</v>
      </c>
      <c r="AT87" s="110" t="n">
        <f aca="false">IF(OR(OR($B87="",$E87="",$F87=""),$K87&lt;&gt;"نعم",$M87="نعم"),0,MAX(0,MIN($F87,EOMONTH(DATE(cfg_FY,1,1),0))-MAX($E87,DATE(cfg_FY,1,1))+1))</f>
        <v>0</v>
      </c>
      <c r="AU87" s="110" t="n">
        <f aca="false">IF(OR(OR($B87="",$E87="",$F87=""),$K87&lt;&gt;"نعم",$M87="نعم"),0,MAX(0,MIN($F87,EOMONTH(DATE(cfg_FY,2,1),0))-MAX($E87,DATE(cfg_FY,2,1))+1))</f>
        <v>0</v>
      </c>
      <c r="AV87" s="110" t="n">
        <f aca="false">IF(OR(OR($B87="",$E87="",$F87=""),$K87&lt;&gt;"نعم",$M87="نعم"),0,MAX(0,MIN($F87,EOMONTH(DATE(cfg_FY,3,1),0))-MAX($E87,DATE(cfg_FY,3,1))+1))</f>
        <v>0</v>
      </c>
      <c r="AW87" s="110" t="n">
        <f aca="false">IF(OR(OR($B87="",$E87="",$F87=""),$K87&lt;&gt;"نعم",$M87="نعم"),0,MAX(0,MIN($F87,EOMONTH(DATE(cfg_FY,4,1),0))-MAX($E87,DATE(cfg_FY,4,1))+1))</f>
        <v>0</v>
      </c>
      <c r="AX87" s="110" t="n">
        <f aca="false">IF(OR(OR($B87="",$E87="",$F87=""),$K87&lt;&gt;"نعم",$M87="نعم"),0,MAX(0,MIN($F87,EOMONTH(DATE(cfg_FY,5,1),0))-MAX($E87,DATE(cfg_FY,5,1))+1))</f>
        <v>0</v>
      </c>
      <c r="AY87" s="110" t="n">
        <f aca="false">IF(OR(OR($B87="",$E87="",$F87=""),$K87&lt;&gt;"نعم",$M87="نعم"),0,MAX(0,MIN($F87,EOMONTH(DATE(cfg_FY,6,1),0))-MAX($E87,DATE(cfg_FY,6,1))+1))</f>
        <v>0</v>
      </c>
      <c r="AZ87" s="110" t="n">
        <f aca="false">IF(OR(OR($B87="",$E87="",$F87=""),$K87&lt;&gt;"نعم",$M87="نعم"),0,MAX(0,MIN($F87,EOMONTH(DATE(cfg_FY,7,1),0))-MAX($E87,DATE(cfg_FY,7,1))+1))</f>
        <v>0</v>
      </c>
      <c r="BA87" s="110" t="n">
        <f aca="false">IF(OR(OR($B87="",$E87="",$F87=""),$K87&lt;&gt;"نعم",$M87="نعم"),0,MAX(0,MIN($F87,EOMONTH(DATE(cfg_FY,8,1),0))-MAX($E87,DATE(cfg_FY,8,1))+1))</f>
        <v>0</v>
      </c>
      <c r="BB87" s="110" t="n">
        <f aca="false">IF(OR(OR($B87="",$E87="",$F87=""),$K87&lt;&gt;"نعم",$M87="نعم"),0,MAX(0,MIN($F87,EOMONTH(DATE(cfg_FY,9,1),0))-MAX($E87,DATE(cfg_FY,9,1))+1))</f>
        <v>0</v>
      </c>
      <c r="BC87" s="110" t="n">
        <f aca="false">IF(OR(OR($B87="",$E87="",$F87=""),$K87&lt;&gt;"نعم",$M87="نعم"),0,MAX(0,MIN($F87,EOMONTH(DATE(cfg_FY,10,1),0))-MAX($E87,DATE(cfg_FY,10,1))+1))</f>
        <v>0</v>
      </c>
      <c r="BD87" s="110" t="n">
        <f aca="false">IF(OR(OR($B87="",$E87="",$F87=""),$K87&lt;&gt;"نعم",$M87="نعم"),0,MAX(0,MIN($F87,EOMONTH(DATE(cfg_FY,11,1),0))-MAX($E87,DATE(cfg_FY,11,1))+1))</f>
        <v>0</v>
      </c>
      <c r="BE87" s="110" t="n">
        <f aca="false">IF(OR(OR($B87="",$E87="",$F87=""),$K87&lt;&gt;"نعم",$M87="نعم"),0,MAX(0,MIN($F87,EOMONTH(DATE(cfg_FY,12,1),0))-MAX($E87,DATE(cfg_FY,12,1))+1))</f>
        <v>0</v>
      </c>
    </row>
    <row r="88" customFormat="false" ht="15" hidden="false" customHeight="false" outlineLevel="0" collapsed="false">
      <c r="A88" s="93" t="str">
        <f aca="false">IF(B88="","",ROW()-5)</f>
        <v/>
      </c>
      <c r="B88" s="79"/>
      <c r="C88" s="80" t="str">
        <f aca="false">IF(B88="","",IFERROR(INDEX(الموظفون!$C$6:$C$105,MATCH(B88,الموظفون!$B$6:$B$105,0)),"✖ رقم غير موجود"))</f>
        <v/>
      </c>
      <c r="D88" s="79"/>
      <c r="E88" s="94"/>
      <c r="F88" s="94"/>
      <c r="G88" s="57" t="str">
        <f aca="false">IF(OR($B88="",$E88="",$F88=""),"",MAX(0,F88-E88+1))</f>
        <v/>
      </c>
      <c r="H88" s="58" t="str">
        <f aca="false">IF(D88="","",IFERROR(VLOOKUP(D88,cfg_LT,2,FALSE()),1))</f>
        <v/>
      </c>
      <c r="I88" s="82"/>
      <c r="J88" s="58" t="str">
        <f aca="false">IF(D88="","",IF(I88&lt;&gt;"",I88,H88))</f>
        <v/>
      </c>
      <c r="K88" s="80" t="str">
        <f aca="false">IF(D88="","",IFERROR(VLOOKUP($D88,cfg_LT,3,FALSE()),""))</f>
        <v/>
      </c>
      <c r="L88" s="80" t="str">
        <f aca="false">IF(D88="","",IFERROR(VLOOKUP($D88,cfg_LT,4,FALSE()),""))</f>
        <v/>
      </c>
      <c r="M88" s="80" t="str">
        <f aca="false">IF(D88="","",IFERROR(VLOOKUP($D88,cfg_LT,5,FALSE()),""))</f>
        <v/>
      </c>
      <c r="N88" s="97" t="n">
        <f aca="false">IF(OR(OR($B88="",$E88="",$F88=""),M88&lt;&gt;"نعم"),0,G88*J88*IFERROR(INDEX(الموظفون!$R$6:$R$105,MATCH(B88,الموظفون!$B$6:$B$105,0)),0)/cfg_DAYS_M)</f>
        <v>0</v>
      </c>
      <c r="O88" s="93" t="str">
        <f aca="false">IF(OR(OR($B88="",$E88="",$F88=""),M88&lt;&gt;"نعم"),"",IF(YEAR(E88)=cfg_FY,MONTH(E88),""))</f>
        <v/>
      </c>
      <c r="P88" s="80" t="str">
        <f aca="false">IF(B88="","",IF(OR(D88="",E88="",F88=""),"⚠ أكمل النوع والتواريخ",IF(F88&lt;E88,"✖ النهاية قبل البداية",IF(COUNTIFS($B$6:$B$505,B88,$E$6:$E$505,"&lt;="&amp;F88,$F$6:$F$505,"&gt;="&amp;E88)&gt;1,"⚠ تداخل مع سجل آخر",IF(E88&gt;cfg_VAL_DATE,"⏳ قادمة",IF(F88&lt;cfg_VAL_DATE,"✔ منتهية","✈ جارية في تاريخ التقرير"))))))</f>
        <v/>
      </c>
      <c r="Q88" s="79"/>
      <c r="R88" s="57" t="n">
        <f aca="false">IF(OR(OR($B88="",$E88="",$F88=""),L88&lt;&gt;"لا"),0,MAX(0,MIN(F88,cfg_Y_START-1)-E88+1))</f>
        <v>0</v>
      </c>
      <c r="S88" s="57" t="n">
        <f aca="false">IF(OR(OR($B88="",$E88="",$F88=""),L88&lt;&gt;"لا"),0,MAX(0,MIN(F88,cfg_VAL_DATE)-E88+1))</f>
        <v>0</v>
      </c>
      <c r="T88" s="57" t="n">
        <f aca="false">IF(OR(OR($B88="",$E88="",$F88=""),K88&lt;&gt;"نعم"),0,IF(M88="نعم",IF(AND(ISNUMBER(O88),N(O88)&lt;=cfg_VAL_M),G88,0),MAX(0,MIN(F88,cfg_VAL_DATE)-MAX(E88,cfg_Y_START)+1)))</f>
        <v>0</v>
      </c>
      <c r="V88" s="57" t="n">
        <f aca="false">IF(OR($B88="",$E88="",$F88=""),0,MAX(0,MIN($F88,EOMONTH(DATE(cfg_FY,1,1),0))-MAX($E88,DATE(cfg_FY,1,1))+1)*(1-IF($M88="نعم",0,N($J88))))</f>
        <v>0</v>
      </c>
      <c r="W88" s="57" t="n">
        <f aca="false">IF(OR($B88="",$E88="",$F88=""),0,MAX(0,MIN($F88,EOMONTH(DATE(cfg_FY,2,1),0))-MAX($E88,DATE(cfg_FY,2,1))+1)*(1-IF($M88="نعم",0,N($J88))))</f>
        <v>0</v>
      </c>
      <c r="X88" s="57" t="n">
        <f aca="false">IF(OR($B88="",$E88="",$F88=""),0,MAX(0,MIN($F88,EOMONTH(DATE(cfg_FY,3,1),0))-MAX($E88,DATE(cfg_FY,3,1))+1)*(1-IF($M88="نعم",0,N($J88))))</f>
        <v>0</v>
      </c>
      <c r="Y88" s="57" t="n">
        <f aca="false">IF(OR($B88="",$E88="",$F88=""),0,MAX(0,MIN($F88,EOMONTH(DATE(cfg_FY,4,1),0))-MAX($E88,DATE(cfg_FY,4,1))+1)*(1-IF($M88="نعم",0,N($J88))))</f>
        <v>0</v>
      </c>
      <c r="Z88" s="57" t="n">
        <f aca="false">IF(OR($B88="",$E88="",$F88=""),0,MAX(0,MIN($F88,EOMONTH(DATE(cfg_FY,5,1),0))-MAX($E88,DATE(cfg_FY,5,1))+1)*(1-IF($M88="نعم",0,N($J88))))</f>
        <v>0</v>
      </c>
      <c r="AA88" s="57" t="n">
        <f aca="false">IF(OR($B88="",$E88="",$F88=""),0,MAX(0,MIN($F88,EOMONTH(DATE(cfg_FY,6,1),0))-MAX($E88,DATE(cfg_FY,6,1))+1)*(1-IF($M88="نعم",0,N($J88))))</f>
        <v>0</v>
      </c>
      <c r="AB88" s="57" t="n">
        <f aca="false">IF(OR($B88="",$E88="",$F88=""),0,MAX(0,MIN($F88,EOMONTH(DATE(cfg_FY,7,1),0))-MAX($E88,DATE(cfg_FY,7,1))+1)*(1-IF($M88="نعم",0,N($J88))))</f>
        <v>0</v>
      </c>
      <c r="AC88" s="57" t="n">
        <f aca="false">IF(OR($B88="",$E88="",$F88=""),0,MAX(0,MIN($F88,EOMONTH(DATE(cfg_FY,8,1),0))-MAX($E88,DATE(cfg_FY,8,1))+1)*(1-IF($M88="نعم",0,N($J88))))</f>
        <v>0</v>
      </c>
      <c r="AD88" s="57" t="n">
        <f aca="false">IF(OR($B88="",$E88="",$F88=""),0,MAX(0,MIN($F88,EOMONTH(DATE(cfg_FY,9,1),0))-MAX($E88,DATE(cfg_FY,9,1))+1)*(1-IF($M88="نعم",0,N($J88))))</f>
        <v>0</v>
      </c>
      <c r="AE88" s="57" t="n">
        <f aca="false">IF(OR($B88="",$E88="",$F88=""),0,MAX(0,MIN($F88,EOMONTH(DATE(cfg_FY,10,1),0))-MAX($E88,DATE(cfg_FY,10,1))+1)*(1-IF($M88="نعم",0,N($J88))))</f>
        <v>0</v>
      </c>
      <c r="AF88" s="57" t="n">
        <f aca="false">IF(OR($B88="",$E88="",$F88=""),0,MAX(0,MIN($F88,EOMONTH(DATE(cfg_FY,11,1),0))-MAX($E88,DATE(cfg_FY,11,1))+1)*(1-IF($M88="نعم",0,N($J88))))</f>
        <v>0</v>
      </c>
      <c r="AG88" s="57" t="n">
        <f aca="false">IF(OR($B88="",$E88="",$F88=""),0,MAX(0,MIN($F88,EOMONTH(DATE(cfg_FY,12,1),0))-MAX($E88,DATE(cfg_FY,12,1))+1)*(1-IF($M88="نعم",0,N($J88))))</f>
        <v>0</v>
      </c>
      <c r="AH88" s="57" t="n">
        <f aca="false">IF(OR(OR($B88="",$E88="",$F88=""),$L88&lt;&gt;"لا"),0,MAX(0,MIN($F88,EOMONTH(DATE(cfg_FY,1,1),0))-$E88+1))</f>
        <v>0</v>
      </c>
      <c r="AI88" s="57" t="n">
        <f aca="false">IF(OR(OR($B88="",$E88="",$F88=""),$L88&lt;&gt;"لا"),0,MAX(0,MIN($F88,EOMONTH(DATE(cfg_FY,2,1),0))-$E88+1))</f>
        <v>0</v>
      </c>
      <c r="AJ88" s="57" t="n">
        <f aca="false">IF(OR(OR($B88="",$E88="",$F88=""),$L88&lt;&gt;"لا"),0,MAX(0,MIN($F88,EOMONTH(DATE(cfg_FY,3,1),0))-$E88+1))</f>
        <v>0</v>
      </c>
      <c r="AK88" s="57" t="n">
        <f aca="false">IF(OR(OR($B88="",$E88="",$F88=""),$L88&lt;&gt;"لا"),0,MAX(0,MIN($F88,EOMONTH(DATE(cfg_FY,4,1),0))-$E88+1))</f>
        <v>0</v>
      </c>
      <c r="AL88" s="57" t="n">
        <f aca="false">IF(OR(OR($B88="",$E88="",$F88=""),$L88&lt;&gt;"لا"),0,MAX(0,MIN($F88,EOMONTH(DATE(cfg_FY,5,1),0))-$E88+1))</f>
        <v>0</v>
      </c>
      <c r="AM88" s="57" t="n">
        <f aca="false">IF(OR(OR($B88="",$E88="",$F88=""),$L88&lt;&gt;"لا"),0,MAX(0,MIN($F88,EOMONTH(DATE(cfg_FY,6,1),0))-$E88+1))</f>
        <v>0</v>
      </c>
      <c r="AN88" s="57" t="n">
        <f aca="false">IF(OR(OR($B88="",$E88="",$F88=""),$L88&lt;&gt;"لا"),0,MAX(0,MIN($F88,EOMONTH(DATE(cfg_FY,7,1),0))-$E88+1))</f>
        <v>0</v>
      </c>
      <c r="AO88" s="57" t="n">
        <f aca="false">IF(OR(OR($B88="",$E88="",$F88=""),$L88&lt;&gt;"لا"),0,MAX(0,MIN($F88,EOMONTH(DATE(cfg_FY,8,1),0))-$E88+1))</f>
        <v>0</v>
      </c>
      <c r="AP88" s="57" t="n">
        <f aca="false">IF(OR(OR($B88="",$E88="",$F88=""),$L88&lt;&gt;"لا"),0,MAX(0,MIN($F88,EOMONTH(DATE(cfg_FY,9,1),0))-$E88+1))</f>
        <v>0</v>
      </c>
      <c r="AQ88" s="57" t="n">
        <f aca="false">IF(OR(OR($B88="",$E88="",$F88=""),$L88&lt;&gt;"لا"),0,MAX(0,MIN($F88,EOMONTH(DATE(cfg_FY,10,1),0))-$E88+1))</f>
        <v>0</v>
      </c>
      <c r="AR88" s="57" t="n">
        <f aca="false">IF(OR(OR($B88="",$E88="",$F88=""),$L88&lt;&gt;"لا"),0,MAX(0,MIN($F88,EOMONTH(DATE(cfg_FY,11,1),0))-$E88+1))</f>
        <v>0</v>
      </c>
      <c r="AS88" s="57" t="n">
        <f aca="false">IF(OR(OR($B88="",$E88="",$F88=""),$L88&lt;&gt;"لا"),0,MAX(0,MIN($F88,EOMONTH(DATE(cfg_FY,12,1),0))-$E88+1))</f>
        <v>0</v>
      </c>
      <c r="AT88" s="57" t="n">
        <f aca="false">IF(OR(OR($B88="",$E88="",$F88=""),$K88&lt;&gt;"نعم",$M88="نعم"),0,MAX(0,MIN($F88,EOMONTH(DATE(cfg_FY,1,1),0))-MAX($E88,DATE(cfg_FY,1,1))+1))</f>
        <v>0</v>
      </c>
      <c r="AU88" s="57" t="n">
        <f aca="false">IF(OR(OR($B88="",$E88="",$F88=""),$K88&lt;&gt;"نعم",$M88="نعم"),0,MAX(0,MIN($F88,EOMONTH(DATE(cfg_FY,2,1),0))-MAX($E88,DATE(cfg_FY,2,1))+1))</f>
        <v>0</v>
      </c>
      <c r="AV88" s="57" t="n">
        <f aca="false">IF(OR(OR($B88="",$E88="",$F88=""),$K88&lt;&gt;"نعم",$M88="نعم"),0,MAX(0,MIN($F88,EOMONTH(DATE(cfg_FY,3,1),0))-MAX($E88,DATE(cfg_FY,3,1))+1))</f>
        <v>0</v>
      </c>
      <c r="AW88" s="57" t="n">
        <f aca="false">IF(OR(OR($B88="",$E88="",$F88=""),$K88&lt;&gt;"نعم",$M88="نعم"),0,MAX(0,MIN($F88,EOMONTH(DATE(cfg_FY,4,1),0))-MAX($E88,DATE(cfg_FY,4,1))+1))</f>
        <v>0</v>
      </c>
      <c r="AX88" s="57" t="n">
        <f aca="false">IF(OR(OR($B88="",$E88="",$F88=""),$K88&lt;&gt;"نعم",$M88="نعم"),0,MAX(0,MIN($F88,EOMONTH(DATE(cfg_FY,5,1),0))-MAX($E88,DATE(cfg_FY,5,1))+1))</f>
        <v>0</v>
      </c>
      <c r="AY88" s="57" t="n">
        <f aca="false">IF(OR(OR($B88="",$E88="",$F88=""),$K88&lt;&gt;"نعم",$M88="نعم"),0,MAX(0,MIN($F88,EOMONTH(DATE(cfg_FY,6,1),0))-MAX($E88,DATE(cfg_FY,6,1))+1))</f>
        <v>0</v>
      </c>
      <c r="AZ88" s="57" t="n">
        <f aca="false">IF(OR(OR($B88="",$E88="",$F88=""),$K88&lt;&gt;"نعم",$M88="نعم"),0,MAX(0,MIN($F88,EOMONTH(DATE(cfg_FY,7,1),0))-MAX($E88,DATE(cfg_FY,7,1))+1))</f>
        <v>0</v>
      </c>
      <c r="BA88" s="57" t="n">
        <f aca="false">IF(OR(OR($B88="",$E88="",$F88=""),$K88&lt;&gt;"نعم",$M88="نعم"),0,MAX(0,MIN($F88,EOMONTH(DATE(cfg_FY,8,1),0))-MAX($E88,DATE(cfg_FY,8,1))+1))</f>
        <v>0</v>
      </c>
      <c r="BB88" s="57" t="n">
        <f aca="false">IF(OR(OR($B88="",$E88="",$F88=""),$K88&lt;&gt;"نعم",$M88="نعم"),0,MAX(0,MIN($F88,EOMONTH(DATE(cfg_FY,9,1),0))-MAX($E88,DATE(cfg_FY,9,1))+1))</f>
        <v>0</v>
      </c>
      <c r="BC88" s="57" t="n">
        <f aca="false">IF(OR(OR($B88="",$E88="",$F88=""),$K88&lt;&gt;"نعم",$M88="نعم"),0,MAX(0,MIN($F88,EOMONTH(DATE(cfg_FY,10,1),0))-MAX($E88,DATE(cfg_FY,10,1))+1))</f>
        <v>0</v>
      </c>
      <c r="BD88" s="57" t="n">
        <f aca="false">IF(OR(OR($B88="",$E88="",$F88=""),$K88&lt;&gt;"نعم",$M88="نعم"),0,MAX(0,MIN($F88,EOMONTH(DATE(cfg_FY,11,1),0))-MAX($E88,DATE(cfg_FY,11,1))+1))</f>
        <v>0</v>
      </c>
      <c r="BE88" s="57" t="n">
        <f aca="false">IF(OR(OR($B88="",$E88="",$F88=""),$K88&lt;&gt;"نعم",$M88="نعم"),0,MAX(0,MIN($F88,EOMONTH(DATE(cfg_FY,12,1),0))-MAX($E88,DATE(cfg_FY,12,1))+1))</f>
        <v>0</v>
      </c>
    </row>
    <row r="89" customFormat="false" ht="15" hidden="false" customHeight="false" outlineLevel="0" collapsed="false">
      <c r="A89" s="100" t="str">
        <f aca="false">IF(B89="","",ROW()-5)</f>
        <v/>
      </c>
      <c r="B89" s="79"/>
      <c r="C89" s="102" t="str">
        <f aca="false">IF(B89="","",IFERROR(INDEX(الموظفون!$C$6:$C$105,MATCH(B89,الموظفون!$B$6:$B$105,0)),"✖ رقم غير موجود"))</f>
        <v/>
      </c>
      <c r="D89" s="79"/>
      <c r="E89" s="94"/>
      <c r="F89" s="94"/>
      <c r="G89" s="110" t="str">
        <f aca="false">IF(OR($B89="",$E89="",$F89=""),"",MAX(0,F89-E89+1))</f>
        <v/>
      </c>
      <c r="H89" s="111" t="str">
        <f aca="false">IF(D89="","",IFERROR(VLOOKUP(D89,cfg_LT,2,FALSE()),1))</f>
        <v/>
      </c>
      <c r="I89" s="82"/>
      <c r="J89" s="111" t="str">
        <f aca="false">IF(D89="","",IF(I89&lt;&gt;"",I89,H89))</f>
        <v/>
      </c>
      <c r="K89" s="102" t="str">
        <f aca="false">IF(D89="","",IFERROR(VLOOKUP($D89,cfg_LT,3,FALSE()),""))</f>
        <v/>
      </c>
      <c r="L89" s="102" t="str">
        <f aca="false">IF(D89="","",IFERROR(VLOOKUP($D89,cfg_LT,4,FALSE()),""))</f>
        <v/>
      </c>
      <c r="M89" s="102" t="str">
        <f aca="false">IF(D89="","",IFERROR(VLOOKUP($D89,cfg_LT,5,FALSE()),""))</f>
        <v/>
      </c>
      <c r="N89" s="101" t="n">
        <f aca="false">IF(OR(OR($B89="",$E89="",$F89=""),M89&lt;&gt;"نعم"),0,G89*J89*IFERROR(INDEX(الموظفون!$R$6:$R$105,MATCH(B89,الموظفون!$B$6:$B$105,0)),0)/cfg_DAYS_M)</f>
        <v>0</v>
      </c>
      <c r="O89" s="100" t="str">
        <f aca="false">IF(OR(OR($B89="",$E89="",$F89=""),M89&lt;&gt;"نعم"),"",IF(YEAR(E89)=cfg_FY,MONTH(E89),""))</f>
        <v/>
      </c>
      <c r="P89" s="102" t="str">
        <f aca="false">IF(B89="","",IF(OR(D89="",E89="",F89=""),"⚠ أكمل النوع والتواريخ",IF(F89&lt;E89,"✖ النهاية قبل البداية",IF(COUNTIFS($B$6:$B$505,B89,$E$6:$E$505,"&lt;="&amp;F89,$F$6:$F$505,"&gt;="&amp;E89)&gt;1,"⚠ تداخل مع سجل آخر",IF(E89&gt;cfg_VAL_DATE,"⏳ قادمة",IF(F89&lt;cfg_VAL_DATE,"✔ منتهية","✈ جارية في تاريخ التقرير"))))))</f>
        <v/>
      </c>
      <c r="Q89" s="79"/>
      <c r="R89" s="110" t="n">
        <f aca="false">IF(OR(OR($B89="",$E89="",$F89=""),L89&lt;&gt;"لا"),0,MAX(0,MIN(F89,cfg_Y_START-1)-E89+1))</f>
        <v>0</v>
      </c>
      <c r="S89" s="110" t="n">
        <f aca="false">IF(OR(OR($B89="",$E89="",$F89=""),L89&lt;&gt;"لا"),0,MAX(0,MIN(F89,cfg_VAL_DATE)-E89+1))</f>
        <v>0</v>
      </c>
      <c r="T89" s="110" t="n">
        <f aca="false">IF(OR(OR($B89="",$E89="",$F89=""),K89&lt;&gt;"نعم"),0,IF(M89="نعم",IF(AND(ISNUMBER(O89),N(O89)&lt;=cfg_VAL_M),G89,0),MAX(0,MIN(F89,cfg_VAL_DATE)-MAX(E89,cfg_Y_START)+1)))</f>
        <v>0</v>
      </c>
      <c r="V89" s="110" t="n">
        <f aca="false">IF(OR($B89="",$E89="",$F89=""),0,MAX(0,MIN($F89,EOMONTH(DATE(cfg_FY,1,1),0))-MAX($E89,DATE(cfg_FY,1,1))+1)*(1-IF($M89="نعم",0,N($J89))))</f>
        <v>0</v>
      </c>
      <c r="W89" s="110" t="n">
        <f aca="false">IF(OR($B89="",$E89="",$F89=""),0,MAX(0,MIN($F89,EOMONTH(DATE(cfg_FY,2,1),0))-MAX($E89,DATE(cfg_FY,2,1))+1)*(1-IF($M89="نعم",0,N($J89))))</f>
        <v>0</v>
      </c>
      <c r="X89" s="110" t="n">
        <f aca="false">IF(OR($B89="",$E89="",$F89=""),0,MAX(0,MIN($F89,EOMONTH(DATE(cfg_FY,3,1),0))-MAX($E89,DATE(cfg_FY,3,1))+1)*(1-IF($M89="نعم",0,N($J89))))</f>
        <v>0</v>
      </c>
      <c r="Y89" s="110" t="n">
        <f aca="false">IF(OR($B89="",$E89="",$F89=""),0,MAX(0,MIN($F89,EOMONTH(DATE(cfg_FY,4,1),0))-MAX($E89,DATE(cfg_FY,4,1))+1)*(1-IF($M89="نعم",0,N($J89))))</f>
        <v>0</v>
      </c>
      <c r="Z89" s="110" t="n">
        <f aca="false">IF(OR($B89="",$E89="",$F89=""),0,MAX(0,MIN($F89,EOMONTH(DATE(cfg_FY,5,1),0))-MAX($E89,DATE(cfg_FY,5,1))+1)*(1-IF($M89="نعم",0,N($J89))))</f>
        <v>0</v>
      </c>
      <c r="AA89" s="110" t="n">
        <f aca="false">IF(OR($B89="",$E89="",$F89=""),0,MAX(0,MIN($F89,EOMONTH(DATE(cfg_FY,6,1),0))-MAX($E89,DATE(cfg_FY,6,1))+1)*(1-IF($M89="نعم",0,N($J89))))</f>
        <v>0</v>
      </c>
      <c r="AB89" s="110" t="n">
        <f aca="false">IF(OR($B89="",$E89="",$F89=""),0,MAX(0,MIN($F89,EOMONTH(DATE(cfg_FY,7,1),0))-MAX($E89,DATE(cfg_FY,7,1))+1)*(1-IF($M89="نعم",0,N($J89))))</f>
        <v>0</v>
      </c>
      <c r="AC89" s="110" t="n">
        <f aca="false">IF(OR($B89="",$E89="",$F89=""),0,MAX(0,MIN($F89,EOMONTH(DATE(cfg_FY,8,1),0))-MAX($E89,DATE(cfg_FY,8,1))+1)*(1-IF($M89="نعم",0,N($J89))))</f>
        <v>0</v>
      </c>
      <c r="AD89" s="110" t="n">
        <f aca="false">IF(OR($B89="",$E89="",$F89=""),0,MAX(0,MIN($F89,EOMONTH(DATE(cfg_FY,9,1),0))-MAX($E89,DATE(cfg_FY,9,1))+1)*(1-IF($M89="نعم",0,N($J89))))</f>
        <v>0</v>
      </c>
      <c r="AE89" s="110" t="n">
        <f aca="false">IF(OR($B89="",$E89="",$F89=""),0,MAX(0,MIN($F89,EOMONTH(DATE(cfg_FY,10,1),0))-MAX($E89,DATE(cfg_FY,10,1))+1)*(1-IF($M89="نعم",0,N($J89))))</f>
        <v>0</v>
      </c>
      <c r="AF89" s="110" t="n">
        <f aca="false">IF(OR($B89="",$E89="",$F89=""),0,MAX(0,MIN($F89,EOMONTH(DATE(cfg_FY,11,1),0))-MAX($E89,DATE(cfg_FY,11,1))+1)*(1-IF($M89="نعم",0,N($J89))))</f>
        <v>0</v>
      </c>
      <c r="AG89" s="110" t="n">
        <f aca="false">IF(OR($B89="",$E89="",$F89=""),0,MAX(0,MIN($F89,EOMONTH(DATE(cfg_FY,12,1),0))-MAX($E89,DATE(cfg_FY,12,1))+1)*(1-IF($M89="نعم",0,N($J89))))</f>
        <v>0</v>
      </c>
      <c r="AH89" s="110" t="n">
        <f aca="false">IF(OR(OR($B89="",$E89="",$F89=""),$L89&lt;&gt;"لا"),0,MAX(0,MIN($F89,EOMONTH(DATE(cfg_FY,1,1),0))-$E89+1))</f>
        <v>0</v>
      </c>
      <c r="AI89" s="110" t="n">
        <f aca="false">IF(OR(OR($B89="",$E89="",$F89=""),$L89&lt;&gt;"لا"),0,MAX(0,MIN($F89,EOMONTH(DATE(cfg_FY,2,1),0))-$E89+1))</f>
        <v>0</v>
      </c>
      <c r="AJ89" s="110" t="n">
        <f aca="false">IF(OR(OR($B89="",$E89="",$F89=""),$L89&lt;&gt;"لا"),0,MAX(0,MIN($F89,EOMONTH(DATE(cfg_FY,3,1),0))-$E89+1))</f>
        <v>0</v>
      </c>
      <c r="AK89" s="110" t="n">
        <f aca="false">IF(OR(OR($B89="",$E89="",$F89=""),$L89&lt;&gt;"لا"),0,MAX(0,MIN($F89,EOMONTH(DATE(cfg_FY,4,1),0))-$E89+1))</f>
        <v>0</v>
      </c>
      <c r="AL89" s="110" t="n">
        <f aca="false">IF(OR(OR($B89="",$E89="",$F89=""),$L89&lt;&gt;"لا"),0,MAX(0,MIN($F89,EOMONTH(DATE(cfg_FY,5,1),0))-$E89+1))</f>
        <v>0</v>
      </c>
      <c r="AM89" s="110" t="n">
        <f aca="false">IF(OR(OR($B89="",$E89="",$F89=""),$L89&lt;&gt;"لا"),0,MAX(0,MIN($F89,EOMONTH(DATE(cfg_FY,6,1),0))-$E89+1))</f>
        <v>0</v>
      </c>
      <c r="AN89" s="110" t="n">
        <f aca="false">IF(OR(OR($B89="",$E89="",$F89=""),$L89&lt;&gt;"لا"),0,MAX(0,MIN($F89,EOMONTH(DATE(cfg_FY,7,1),0))-$E89+1))</f>
        <v>0</v>
      </c>
      <c r="AO89" s="110" t="n">
        <f aca="false">IF(OR(OR($B89="",$E89="",$F89=""),$L89&lt;&gt;"لا"),0,MAX(0,MIN($F89,EOMONTH(DATE(cfg_FY,8,1),0))-$E89+1))</f>
        <v>0</v>
      </c>
      <c r="AP89" s="110" t="n">
        <f aca="false">IF(OR(OR($B89="",$E89="",$F89=""),$L89&lt;&gt;"لا"),0,MAX(0,MIN($F89,EOMONTH(DATE(cfg_FY,9,1),0))-$E89+1))</f>
        <v>0</v>
      </c>
      <c r="AQ89" s="110" t="n">
        <f aca="false">IF(OR(OR($B89="",$E89="",$F89=""),$L89&lt;&gt;"لا"),0,MAX(0,MIN($F89,EOMONTH(DATE(cfg_FY,10,1),0))-$E89+1))</f>
        <v>0</v>
      </c>
      <c r="AR89" s="110" t="n">
        <f aca="false">IF(OR(OR($B89="",$E89="",$F89=""),$L89&lt;&gt;"لا"),0,MAX(0,MIN($F89,EOMONTH(DATE(cfg_FY,11,1),0))-$E89+1))</f>
        <v>0</v>
      </c>
      <c r="AS89" s="110" t="n">
        <f aca="false">IF(OR(OR($B89="",$E89="",$F89=""),$L89&lt;&gt;"لا"),0,MAX(0,MIN($F89,EOMONTH(DATE(cfg_FY,12,1),0))-$E89+1))</f>
        <v>0</v>
      </c>
      <c r="AT89" s="110" t="n">
        <f aca="false">IF(OR(OR($B89="",$E89="",$F89=""),$K89&lt;&gt;"نعم",$M89="نعم"),0,MAX(0,MIN($F89,EOMONTH(DATE(cfg_FY,1,1),0))-MAX($E89,DATE(cfg_FY,1,1))+1))</f>
        <v>0</v>
      </c>
      <c r="AU89" s="110" t="n">
        <f aca="false">IF(OR(OR($B89="",$E89="",$F89=""),$K89&lt;&gt;"نعم",$M89="نعم"),0,MAX(0,MIN($F89,EOMONTH(DATE(cfg_FY,2,1),0))-MAX($E89,DATE(cfg_FY,2,1))+1))</f>
        <v>0</v>
      </c>
      <c r="AV89" s="110" t="n">
        <f aca="false">IF(OR(OR($B89="",$E89="",$F89=""),$K89&lt;&gt;"نعم",$M89="نعم"),0,MAX(0,MIN($F89,EOMONTH(DATE(cfg_FY,3,1),0))-MAX($E89,DATE(cfg_FY,3,1))+1))</f>
        <v>0</v>
      </c>
      <c r="AW89" s="110" t="n">
        <f aca="false">IF(OR(OR($B89="",$E89="",$F89=""),$K89&lt;&gt;"نعم",$M89="نعم"),0,MAX(0,MIN($F89,EOMONTH(DATE(cfg_FY,4,1),0))-MAX($E89,DATE(cfg_FY,4,1))+1))</f>
        <v>0</v>
      </c>
      <c r="AX89" s="110" t="n">
        <f aca="false">IF(OR(OR($B89="",$E89="",$F89=""),$K89&lt;&gt;"نعم",$M89="نعم"),0,MAX(0,MIN($F89,EOMONTH(DATE(cfg_FY,5,1),0))-MAX($E89,DATE(cfg_FY,5,1))+1))</f>
        <v>0</v>
      </c>
      <c r="AY89" s="110" t="n">
        <f aca="false">IF(OR(OR($B89="",$E89="",$F89=""),$K89&lt;&gt;"نعم",$M89="نعم"),0,MAX(0,MIN($F89,EOMONTH(DATE(cfg_FY,6,1),0))-MAX($E89,DATE(cfg_FY,6,1))+1))</f>
        <v>0</v>
      </c>
      <c r="AZ89" s="110" t="n">
        <f aca="false">IF(OR(OR($B89="",$E89="",$F89=""),$K89&lt;&gt;"نعم",$M89="نعم"),0,MAX(0,MIN($F89,EOMONTH(DATE(cfg_FY,7,1),0))-MAX($E89,DATE(cfg_FY,7,1))+1))</f>
        <v>0</v>
      </c>
      <c r="BA89" s="110" t="n">
        <f aca="false">IF(OR(OR($B89="",$E89="",$F89=""),$K89&lt;&gt;"نعم",$M89="نعم"),0,MAX(0,MIN($F89,EOMONTH(DATE(cfg_FY,8,1),0))-MAX($E89,DATE(cfg_FY,8,1))+1))</f>
        <v>0</v>
      </c>
      <c r="BB89" s="110" t="n">
        <f aca="false">IF(OR(OR($B89="",$E89="",$F89=""),$K89&lt;&gt;"نعم",$M89="نعم"),0,MAX(0,MIN($F89,EOMONTH(DATE(cfg_FY,9,1),0))-MAX($E89,DATE(cfg_FY,9,1))+1))</f>
        <v>0</v>
      </c>
      <c r="BC89" s="110" t="n">
        <f aca="false">IF(OR(OR($B89="",$E89="",$F89=""),$K89&lt;&gt;"نعم",$M89="نعم"),0,MAX(0,MIN($F89,EOMONTH(DATE(cfg_FY,10,1),0))-MAX($E89,DATE(cfg_FY,10,1))+1))</f>
        <v>0</v>
      </c>
      <c r="BD89" s="110" t="n">
        <f aca="false">IF(OR(OR($B89="",$E89="",$F89=""),$K89&lt;&gt;"نعم",$M89="نعم"),0,MAX(0,MIN($F89,EOMONTH(DATE(cfg_FY,11,1),0))-MAX($E89,DATE(cfg_FY,11,1))+1))</f>
        <v>0</v>
      </c>
      <c r="BE89" s="110" t="n">
        <f aca="false">IF(OR(OR($B89="",$E89="",$F89=""),$K89&lt;&gt;"نعم",$M89="نعم"),0,MAX(0,MIN($F89,EOMONTH(DATE(cfg_FY,12,1),0))-MAX($E89,DATE(cfg_FY,12,1))+1))</f>
        <v>0</v>
      </c>
    </row>
    <row r="90" customFormat="false" ht="15" hidden="false" customHeight="false" outlineLevel="0" collapsed="false">
      <c r="A90" s="93" t="str">
        <f aca="false">IF(B90="","",ROW()-5)</f>
        <v/>
      </c>
      <c r="B90" s="79"/>
      <c r="C90" s="80" t="str">
        <f aca="false">IF(B90="","",IFERROR(INDEX(الموظفون!$C$6:$C$105,MATCH(B90,الموظفون!$B$6:$B$105,0)),"✖ رقم غير موجود"))</f>
        <v/>
      </c>
      <c r="D90" s="79"/>
      <c r="E90" s="94"/>
      <c r="F90" s="94"/>
      <c r="G90" s="57" t="str">
        <f aca="false">IF(OR($B90="",$E90="",$F90=""),"",MAX(0,F90-E90+1))</f>
        <v/>
      </c>
      <c r="H90" s="58" t="str">
        <f aca="false">IF(D90="","",IFERROR(VLOOKUP(D90,cfg_LT,2,FALSE()),1))</f>
        <v/>
      </c>
      <c r="I90" s="82"/>
      <c r="J90" s="58" t="str">
        <f aca="false">IF(D90="","",IF(I90&lt;&gt;"",I90,H90))</f>
        <v/>
      </c>
      <c r="K90" s="80" t="str">
        <f aca="false">IF(D90="","",IFERROR(VLOOKUP($D90,cfg_LT,3,FALSE()),""))</f>
        <v/>
      </c>
      <c r="L90" s="80" t="str">
        <f aca="false">IF(D90="","",IFERROR(VLOOKUP($D90,cfg_LT,4,FALSE()),""))</f>
        <v/>
      </c>
      <c r="M90" s="80" t="str">
        <f aca="false">IF(D90="","",IFERROR(VLOOKUP($D90,cfg_LT,5,FALSE()),""))</f>
        <v/>
      </c>
      <c r="N90" s="97" t="n">
        <f aca="false">IF(OR(OR($B90="",$E90="",$F90=""),M90&lt;&gt;"نعم"),0,G90*J90*IFERROR(INDEX(الموظفون!$R$6:$R$105,MATCH(B90,الموظفون!$B$6:$B$105,0)),0)/cfg_DAYS_M)</f>
        <v>0</v>
      </c>
      <c r="O90" s="93" t="str">
        <f aca="false">IF(OR(OR($B90="",$E90="",$F90=""),M90&lt;&gt;"نعم"),"",IF(YEAR(E90)=cfg_FY,MONTH(E90),""))</f>
        <v/>
      </c>
      <c r="P90" s="80" t="str">
        <f aca="false">IF(B90="","",IF(OR(D90="",E90="",F90=""),"⚠ أكمل النوع والتواريخ",IF(F90&lt;E90,"✖ النهاية قبل البداية",IF(COUNTIFS($B$6:$B$505,B90,$E$6:$E$505,"&lt;="&amp;F90,$F$6:$F$505,"&gt;="&amp;E90)&gt;1,"⚠ تداخل مع سجل آخر",IF(E90&gt;cfg_VAL_DATE,"⏳ قادمة",IF(F90&lt;cfg_VAL_DATE,"✔ منتهية","✈ جارية في تاريخ التقرير"))))))</f>
        <v/>
      </c>
      <c r="Q90" s="79"/>
      <c r="R90" s="57" t="n">
        <f aca="false">IF(OR(OR($B90="",$E90="",$F90=""),L90&lt;&gt;"لا"),0,MAX(0,MIN(F90,cfg_Y_START-1)-E90+1))</f>
        <v>0</v>
      </c>
      <c r="S90" s="57" t="n">
        <f aca="false">IF(OR(OR($B90="",$E90="",$F90=""),L90&lt;&gt;"لا"),0,MAX(0,MIN(F90,cfg_VAL_DATE)-E90+1))</f>
        <v>0</v>
      </c>
      <c r="T90" s="57" t="n">
        <f aca="false">IF(OR(OR($B90="",$E90="",$F90=""),K90&lt;&gt;"نعم"),0,IF(M90="نعم",IF(AND(ISNUMBER(O90),N(O90)&lt;=cfg_VAL_M),G90,0),MAX(0,MIN(F90,cfg_VAL_DATE)-MAX(E90,cfg_Y_START)+1)))</f>
        <v>0</v>
      </c>
      <c r="V90" s="57" t="n">
        <f aca="false">IF(OR($B90="",$E90="",$F90=""),0,MAX(0,MIN($F90,EOMONTH(DATE(cfg_FY,1,1),0))-MAX($E90,DATE(cfg_FY,1,1))+1)*(1-IF($M90="نعم",0,N($J90))))</f>
        <v>0</v>
      </c>
      <c r="W90" s="57" t="n">
        <f aca="false">IF(OR($B90="",$E90="",$F90=""),0,MAX(0,MIN($F90,EOMONTH(DATE(cfg_FY,2,1),0))-MAX($E90,DATE(cfg_FY,2,1))+1)*(1-IF($M90="نعم",0,N($J90))))</f>
        <v>0</v>
      </c>
      <c r="X90" s="57" t="n">
        <f aca="false">IF(OR($B90="",$E90="",$F90=""),0,MAX(0,MIN($F90,EOMONTH(DATE(cfg_FY,3,1),0))-MAX($E90,DATE(cfg_FY,3,1))+1)*(1-IF($M90="نعم",0,N($J90))))</f>
        <v>0</v>
      </c>
      <c r="Y90" s="57" t="n">
        <f aca="false">IF(OR($B90="",$E90="",$F90=""),0,MAX(0,MIN($F90,EOMONTH(DATE(cfg_FY,4,1),0))-MAX($E90,DATE(cfg_FY,4,1))+1)*(1-IF($M90="نعم",0,N($J90))))</f>
        <v>0</v>
      </c>
      <c r="Z90" s="57" t="n">
        <f aca="false">IF(OR($B90="",$E90="",$F90=""),0,MAX(0,MIN($F90,EOMONTH(DATE(cfg_FY,5,1),0))-MAX($E90,DATE(cfg_FY,5,1))+1)*(1-IF($M90="نعم",0,N($J90))))</f>
        <v>0</v>
      </c>
      <c r="AA90" s="57" t="n">
        <f aca="false">IF(OR($B90="",$E90="",$F90=""),0,MAX(0,MIN($F90,EOMONTH(DATE(cfg_FY,6,1),0))-MAX($E90,DATE(cfg_FY,6,1))+1)*(1-IF($M90="نعم",0,N($J90))))</f>
        <v>0</v>
      </c>
      <c r="AB90" s="57" t="n">
        <f aca="false">IF(OR($B90="",$E90="",$F90=""),0,MAX(0,MIN($F90,EOMONTH(DATE(cfg_FY,7,1),0))-MAX($E90,DATE(cfg_FY,7,1))+1)*(1-IF($M90="نعم",0,N($J90))))</f>
        <v>0</v>
      </c>
      <c r="AC90" s="57" t="n">
        <f aca="false">IF(OR($B90="",$E90="",$F90=""),0,MAX(0,MIN($F90,EOMONTH(DATE(cfg_FY,8,1),0))-MAX($E90,DATE(cfg_FY,8,1))+1)*(1-IF($M90="نعم",0,N($J90))))</f>
        <v>0</v>
      </c>
      <c r="AD90" s="57" t="n">
        <f aca="false">IF(OR($B90="",$E90="",$F90=""),0,MAX(0,MIN($F90,EOMONTH(DATE(cfg_FY,9,1),0))-MAX($E90,DATE(cfg_FY,9,1))+1)*(1-IF($M90="نعم",0,N($J90))))</f>
        <v>0</v>
      </c>
      <c r="AE90" s="57" t="n">
        <f aca="false">IF(OR($B90="",$E90="",$F90=""),0,MAX(0,MIN($F90,EOMONTH(DATE(cfg_FY,10,1),0))-MAX($E90,DATE(cfg_FY,10,1))+1)*(1-IF($M90="نعم",0,N($J90))))</f>
        <v>0</v>
      </c>
      <c r="AF90" s="57" t="n">
        <f aca="false">IF(OR($B90="",$E90="",$F90=""),0,MAX(0,MIN($F90,EOMONTH(DATE(cfg_FY,11,1),0))-MAX($E90,DATE(cfg_FY,11,1))+1)*(1-IF($M90="نعم",0,N($J90))))</f>
        <v>0</v>
      </c>
      <c r="AG90" s="57" t="n">
        <f aca="false">IF(OR($B90="",$E90="",$F90=""),0,MAX(0,MIN($F90,EOMONTH(DATE(cfg_FY,12,1),0))-MAX($E90,DATE(cfg_FY,12,1))+1)*(1-IF($M90="نعم",0,N($J90))))</f>
        <v>0</v>
      </c>
      <c r="AH90" s="57" t="n">
        <f aca="false">IF(OR(OR($B90="",$E90="",$F90=""),$L90&lt;&gt;"لا"),0,MAX(0,MIN($F90,EOMONTH(DATE(cfg_FY,1,1),0))-$E90+1))</f>
        <v>0</v>
      </c>
      <c r="AI90" s="57" t="n">
        <f aca="false">IF(OR(OR($B90="",$E90="",$F90=""),$L90&lt;&gt;"لا"),0,MAX(0,MIN($F90,EOMONTH(DATE(cfg_FY,2,1),0))-$E90+1))</f>
        <v>0</v>
      </c>
      <c r="AJ90" s="57" t="n">
        <f aca="false">IF(OR(OR($B90="",$E90="",$F90=""),$L90&lt;&gt;"لا"),0,MAX(0,MIN($F90,EOMONTH(DATE(cfg_FY,3,1),0))-$E90+1))</f>
        <v>0</v>
      </c>
      <c r="AK90" s="57" t="n">
        <f aca="false">IF(OR(OR($B90="",$E90="",$F90=""),$L90&lt;&gt;"لا"),0,MAX(0,MIN($F90,EOMONTH(DATE(cfg_FY,4,1),0))-$E90+1))</f>
        <v>0</v>
      </c>
      <c r="AL90" s="57" t="n">
        <f aca="false">IF(OR(OR($B90="",$E90="",$F90=""),$L90&lt;&gt;"لا"),0,MAX(0,MIN($F90,EOMONTH(DATE(cfg_FY,5,1),0))-$E90+1))</f>
        <v>0</v>
      </c>
      <c r="AM90" s="57" t="n">
        <f aca="false">IF(OR(OR($B90="",$E90="",$F90=""),$L90&lt;&gt;"لا"),0,MAX(0,MIN($F90,EOMONTH(DATE(cfg_FY,6,1),0))-$E90+1))</f>
        <v>0</v>
      </c>
      <c r="AN90" s="57" t="n">
        <f aca="false">IF(OR(OR($B90="",$E90="",$F90=""),$L90&lt;&gt;"لا"),0,MAX(0,MIN($F90,EOMONTH(DATE(cfg_FY,7,1),0))-$E90+1))</f>
        <v>0</v>
      </c>
      <c r="AO90" s="57" t="n">
        <f aca="false">IF(OR(OR($B90="",$E90="",$F90=""),$L90&lt;&gt;"لا"),0,MAX(0,MIN($F90,EOMONTH(DATE(cfg_FY,8,1),0))-$E90+1))</f>
        <v>0</v>
      </c>
      <c r="AP90" s="57" t="n">
        <f aca="false">IF(OR(OR($B90="",$E90="",$F90=""),$L90&lt;&gt;"لا"),0,MAX(0,MIN($F90,EOMONTH(DATE(cfg_FY,9,1),0))-$E90+1))</f>
        <v>0</v>
      </c>
      <c r="AQ90" s="57" t="n">
        <f aca="false">IF(OR(OR($B90="",$E90="",$F90=""),$L90&lt;&gt;"لا"),0,MAX(0,MIN($F90,EOMONTH(DATE(cfg_FY,10,1),0))-$E90+1))</f>
        <v>0</v>
      </c>
      <c r="AR90" s="57" t="n">
        <f aca="false">IF(OR(OR($B90="",$E90="",$F90=""),$L90&lt;&gt;"لا"),0,MAX(0,MIN($F90,EOMONTH(DATE(cfg_FY,11,1),0))-$E90+1))</f>
        <v>0</v>
      </c>
      <c r="AS90" s="57" t="n">
        <f aca="false">IF(OR(OR($B90="",$E90="",$F90=""),$L90&lt;&gt;"لا"),0,MAX(0,MIN($F90,EOMONTH(DATE(cfg_FY,12,1),0))-$E90+1))</f>
        <v>0</v>
      </c>
      <c r="AT90" s="57" t="n">
        <f aca="false">IF(OR(OR($B90="",$E90="",$F90=""),$K90&lt;&gt;"نعم",$M90="نعم"),0,MAX(0,MIN($F90,EOMONTH(DATE(cfg_FY,1,1),0))-MAX($E90,DATE(cfg_FY,1,1))+1))</f>
        <v>0</v>
      </c>
      <c r="AU90" s="57" t="n">
        <f aca="false">IF(OR(OR($B90="",$E90="",$F90=""),$K90&lt;&gt;"نعم",$M90="نعم"),0,MAX(0,MIN($F90,EOMONTH(DATE(cfg_FY,2,1),0))-MAX($E90,DATE(cfg_FY,2,1))+1))</f>
        <v>0</v>
      </c>
      <c r="AV90" s="57" t="n">
        <f aca="false">IF(OR(OR($B90="",$E90="",$F90=""),$K90&lt;&gt;"نعم",$M90="نعم"),0,MAX(0,MIN($F90,EOMONTH(DATE(cfg_FY,3,1),0))-MAX($E90,DATE(cfg_FY,3,1))+1))</f>
        <v>0</v>
      </c>
      <c r="AW90" s="57" t="n">
        <f aca="false">IF(OR(OR($B90="",$E90="",$F90=""),$K90&lt;&gt;"نعم",$M90="نعم"),0,MAX(0,MIN($F90,EOMONTH(DATE(cfg_FY,4,1),0))-MAX($E90,DATE(cfg_FY,4,1))+1))</f>
        <v>0</v>
      </c>
      <c r="AX90" s="57" t="n">
        <f aca="false">IF(OR(OR($B90="",$E90="",$F90=""),$K90&lt;&gt;"نعم",$M90="نعم"),0,MAX(0,MIN($F90,EOMONTH(DATE(cfg_FY,5,1),0))-MAX($E90,DATE(cfg_FY,5,1))+1))</f>
        <v>0</v>
      </c>
      <c r="AY90" s="57" t="n">
        <f aca="false">IF(OR(OR($B90="",$E90="",$F90=""),$K90&lt;&gt;"نعم",$M90="نعم"),0,MAX(0,MIN($F90,EOMONTH(DATE(cfg_FY,6,1),0))-MAX($E90,DATE(cfg_FY,6,1))+1))</f>
        <v>0</v>
      </c>
      <c r="AZ90" s="57" t="n">
        <f aca="false">IF(OR(OR($B90="",$E90="",$F90=""),$K90&lt;&gt;"نعم",$M90="نعم"),0,MAX(0,MIN($F90,EOMONTH(DATE(cfg_FY,7,1),0))-MAX($E90,DATE(cfg_FY,7,1))+1))</f>
        <v>0</v>
      </c>
      <c r="BA90" s="57" t="n">
        <f aca="false">IF(OR(OR($B90="",$E90="",$F90=""),$K90&lt;&gt;"نعم",$M90="نعم"),0,MAX(0,MIN($F90,EOMONTH(DATE(cfg_FY,8,1),0))-MAX($E90,DATE(cfg_FY,8,1))+1))</f>
        <v>0</v>
      </c>
      <c r="BB90" s="57" t="n">
        <f aca="false">IF(OR(OR($B90="",$E90="",$F90=""),$K90&lt;&gt;"نعم",$M90="نعم"),0,MAX(0,MIN($F90,EOMONTH(DATE(cfg_FY,9,1),0))-MAX($E90,DATE(cfg_FY,9,1))+1))</f>
        <v>0</v>
      </c>
      <c r="BC90" s="57" t="n">
        <f aca="false">IF(OR(OR($B90="",$E90="",$F90=""),$K90&lt;&gt;"نعم",$M90="نعم"),0,MAX(0,MIN($F90,EOMONTH(DATE(cfg_FY,10,1),0))-MAX($E90,DATE(cfg_FY,10,1))+1))</f>
        <v>0</v>
      </c>
      <c r="BD90" s="57" t="n">
        <f aca="false">IF(OR(OR($B90="",$E90="",$F90=""),$K90&lt;&gt;"نعم",$M90="نعم"),0,MAX(0,MIN($F90,EOMONTH(DATE(cfg_FY,11,1),0))-MAX($E90,DATE(cfg_FY,11,1))+1))</f>
        <v>0</v>
      </c>
      <c r="BE90" s="57" t="n">
        <f aca="false">IF(OR(OR($B90="",$E90="",$F90=""),$K90&lt;&gt;"نعم",$M90="نعم"),0,MAX(0,MIN($F90,EOMONTH(DATE(cfg_FY,12,1),0))-MAX($E90,DATE(cfg_FY,12,1))+1))</f>
        <v>0</v>
      </c>
    </row>
    <row r="91" customFormat="false" ht="15" hidden="false" customHeight="false" outlineLevel="0" collapsed="false">
      <c r="A91" s="100" t="str">
        <f aca="false">IF(B91="","",ROW()-5)</f>
        <v/>
      </c>
      <c r="B91" s="79"/>
      <c r="C91" s="102" t="str">
        <f aca="false">IF(B91="","",IFERROR(INDEX(الموظفون!$C$6:$C$105,MATCH(B91,الموظفون!$B$6:$B$105,0)),"✖ رقم غير موجود"))</f>
        <v/>
      </c>
      <c r="D91" s="79"/>
      <c r="E91" s="94"/>
      <c r="F91" s="94"/>
      <c r="G91" s="110" t="str">
        <f aca="false">IF(OR($B91="",$E91="",$F91=""),"",MAX(0,F91-E91+1))</f>
        <v/>
      </c>
      <c r="H91" s="111" t="str">
        <f aca="false">IF(D91="","",IFERROR(VLOOKUP(D91,cfg_LT,2,FALSE()),1))</f>
        <v/>
      </c>
      <c r="I91" s="82"/>
      <c r="J91" s="111" t="str">
        <f aca="false">IF(D91="","",IF(I91&lt;&gt;"",I91,H91))</f>
        <v/>
      </c>
      <c r="K91" s="102" t="str">
        <f aca="false">IF(D91="","",IFERROR(VLOOKUP($D91,cfg_LT,3,FALSE()),""))</f>
        <v/>
      </c>
      <c r="L91" s="102" t="str">
        <f aca="false">IF(D91="","",IFERROR(VLOOKUP($D91,cfg_LT,4,FALSE()),""))</f>
        <v/>
      </c>
      <c r="M91" s="102" t="str">
        <f aca="false">IF(D91="","",IFERROR(VLOOKUP($D91,cfg_LT,5,FALSE()),""))</f>
        <v/>
      </c>
      <c r="N91" s="101" t="n">
        <f aca="false">IF(OR(OR($B91="",$E91="",$F91=""),M91&lt;&gt;"نعم"),0,G91*J91*IFERROR(INDEX(الموظفون!$R$6:$R$105,MATCH(B91,الموظفون!$B$6:$B$105,0)),0)/cfg_DAYS_M)</f>
        <v>0</v>
      </c>
      <c r="O91" s="100" t="str">
        <f aca="false">IF(OR(OR($B91="",$E91="",$F91=""),M91&lt;&gt;"نعم"),"",IF(YEAR(E91)=cfg_FY,MONTH(E91),""))</f>
        <v/>
      </c>
      <c r="P91" s="102" t="str">
        <f aca="false">IF(B91="","",IF(OR(D91="",E91="",F91=""),"⚠ أكمل النوع والتواريخ",IF(F91&lt;E91,"✖ النهاية قبل البداية",IF(COUNTIFS($B$6:$B$505,B91,$E$6:$E$505,"&lt;="&amp;F91,$F$6:$F$505,"&gt;="&amp;E91)&gt;1,"⚠ تداخل مع سجل آخر",IF(E91&gt;cfg_VAL_DATE,"⏳ قادمة",IF(F91&lt;cfg_VAL_DATE,"✔ منتهية","✈ جارية في تاريخ التقرير"))))))</f>
        <v/>
      </c>
      <c r="Q91" s="79"/>
      <c r="R91" s="110" t="n">
        <f aca="false">IF(OR(OR($B91="",$E91="",$F91=""),L91&lt;&gt;"لا"),0,MAX(0,MIN(F91,cfg_Y_START-1)-E91+1))</f>
        <v>0</v>
      </c>
      <c r="S91" s="110" t="n">
        <f aca="false">IF(OR(OR($B91="",$E91="",$F91=""),L91&lt;&gt;"لا"),0,MAX(0,MIN(F91,cfg_VAL_DATE)-E91+1))</f>
        <v>0</v>
      </c>
      <c r="T91" s="110" t="n">
        <f aca="false">IF(OR(OR($B91="",$E91="",$F91=""),K91&lt;&gt;"نعم"),0,IF(M91="نعم",IF(AND(ISNUMBER(O91),N(O91)&lt;=cfg_VAL_M),G91,0),MAX(0,MIN(F91,cfg_VAL_DATE)-MAX(E91,cfg_Y_START)+1)))</f>
        <v>0</v>
      </c>
      <c r="V91" s="110" t="n">
        <f aca="false">IF(OR($B91="",$E91="",$F91=""),0,MAX(0,MIN($F91,EOMONTH(DATE(cfg_FY,1,1),0))-MAX($E91,DATE(cfg_FY,1,1))+1)*(1-IF($M91="نعم",0,N($J91))))</f>
        <v>0</v>
      </c>
      <c r="W91" s="110" t="n">
        <f aca="false">IF(OR($B91="",$E91="",$F91=""),0,MAX(0,MIN($F91,EOMONTH(DATE(cfg_FY,2,1),0))-MAX($E91,DATE(cfg_FY,2,1))+1)*(1-IF($M91="نعم",0,N($J91))))</f>
        <v>0</v>
      </c>
      <c r="X91" s="110" t="n">
        <f aca="false">IF(OR($B91="",$E91="",$F91=""),0,MAX(0,MIN($F91,EOMONTH(DATE(cfg_FY,3,1),0))-MAX($E91,DATE(cfg_FY,3,1))+1)*(1-IF($M91="نعم",0,N($J91))))</f>
        <v>0</v>
      </c>
      <c r="Y91" s="110" t="n">
        <f aca="false">IF(OR($B91="",$E91="",$F91=""),0,MAX(0,MIN($F91,EOMONTH(DATE(cfg_FY,4,1),0))-MAX($E91,DATE(cfg_FY,4,1))+1)*(1-IF($M91="نعم",0,N($J91))))</f>
        <v>0</v>
      </c>
      <c r="Z91" s="110" t="n">
        <f aca="false">IF(OR($B91="",$E91="",$F91=""),0,MAX(0,MIN($F91,EOMONTH(DATE(cfg_FY,5,1),0))-MAX($E91,DATE(cfg_FY,5,1))+1)*(1-IF($M91="نعم",0,N($J91))))</f>
        <v>0</v>
      </c>
      <c r="AA91" s="110" t="n">
        <f aca="false">IF(OR($B91="",$E91="",$F91=""),0,MAX(0,MIN($F91,EOMONTH(DATE(cfg_FY,6,1),0))-MAX($E91,DATE(cfg_FY,6,1))+1)*(1-IF($M91="نعم",0,N($J91))))</f>
        <v>0</v>
      </c>
      <c r="AB91" s="110" t="n">
        <f aca="false">IF(OR($B91="",$E91="",$F91=""),0,MAX(0,MIN($F91,EOMONTH(DATE(cfg_FY,7,1),0))-MAX($E91,DATE(cfg_FY,7,1))+1)*(1-IF($M91="نعم",0,N($J91))))</f>
        <v>0</v>
      </c>
      <c r="AC91" s="110" t="n">
        <f aca="false">IF(OR($B91="",$E91="",$F91=""),0,MAX(0,MIN($F91,EOMONTH(DATE(cfg_FY,8,1),0))-MAX($E91,DATE(cfg_FY,8,1))+1)*(1-IF($M91="نعم",0,N($J91))))</f>
        <v>0</v>
      </c>
      <c r="AD91" s="110" t="n">
        <f aca="false">IF(OR($B91="",$E91="",$F91=""),0,MAX(0,MIN($F91,EOMONTH(DATE(cfg_FY,9,1),0))-MAX($E91,DATE(cfg_FY,9,1))+1)*(1-IF($M91="نعم",0,N($J91))))</f>
        <v>0</v>
      </c>
      <c r="AE91" s="110" t="n">
        <f aca="false">IF(OR($B91="",$E91="",$F91=""),0,MAX(0,MIN($F91,EOMONTH(DATE(cfg_FY,10,1),0))-MAX($E91,DATE(cfg_FY,10,1))+1)*(1-IF($M91="نعم",0,N($J91))))</f>
        <v>0</v>
      </c>
      <c r="AF91" s="110" t="n">
        <f aca="false">IF(OR($B91="",$E91="",$F91=""),0,MAX(0,MIN($F91,EOMONTH(DATE(cfg_FY,11,1),0))-MAX($E91,DATE(cfg_FY,11,1))+1)*(1-IF($M91="نعم",0,N($J91))))</f>
        <v>0</v>
      </c>
      <c r="AG91" s="110" t="n">
        <f aca="false">IF(OR($B91="",$E91="",$F91=""),0,MAX(0,MIN($F91,EOMONTH(DATE(cfg_FY,12,1),0))-MAX($E91,DATE(cfg_FY,12,1))+1)*(1-IF($M91="نعم",0,N($J91))))</f>
        <v>0</v>
      </c>
      <c r="AH91" s="110" t="n">
        <f aca="false">IF(OR(OR($B91="",$E91="",$F91=""),$L91&lt;&gt;"لا"),0,MAX(0,MIN($F91,EOMONTH(DATE(cfg_FY,1,1),0))-$E91+1))</f>
        <v>0</v>
      </c>
      <c r="AI91" s="110" t="n">
        <f aca="false">IF(OR(OR($B91="",$E91="",$F91=""),$L91&lt;&gt;"لا"),0,MAX(0,MIN($F91,EOMONTH(DATE(cfg_FY,2,1),0))-$E91+1))</f>
        <v>0</v>
      </c>
      <c r="AJ91" s="110" t="n">
        <f aca="false">IF(OR(OR($B91="",$E91="",$F91=""),$L91&lt;&gt;"لا"),0,MAX(0,MIN($F91,EOMONTH(DATE(cfg_FY,3,1),0))-$E91+1))</f>
        <v>0</v>
      </c>
      <c r="AK91" s="110" t="n">
        <f aca="false">IF(OR(OR($B91="",$E91="",$F91=""),$L91&lt;&gt;"لا"),0,MAX(0,MIN($F91,EOMONTH(DATE(cfg_FY,4,1),0))-$E91+1))</f>
        <v>0</v>
      </c>
      <c r="AL91" s="110" t="n">
        <f aca="false">IF(OR(OR($B91="",$E91="",$F91=""),$L91&lt;&gt;"لا"),0,MAX(0,MIN($F91,EOMONTH(DATE(cfg_FY,5,1),0))-$E91+1))</f>
        <v>0</v>
      </c>
      <c r="AM91" s="110" t="n">
        <f aca="false">IF(OR(OR($B91="",$E91="",$F91=""),$L91&lt;&gt;"لا"),0,MAX(0,MIN($F91,EOMONTH(DATE(cfg_FY,6,1),0))-$E91+1))</f>
        <v>0</v>
      </c>
      <c r="AN91" s="110" t="n">
        <f aca="false">IF(OR(OR($B91="",$E91="",$F91=""),$L91&lt;&gt;"لا"),0,MAX(0,MIN($F91,EOMONTH(DATE(cfg_FY,7,1),0))-$E91+1))</f>
        <v>0</v>
      </c>
      <c r="AO91" s="110" t="n">
        <f aca="false">IF(OR(OR($B91="",$E91="",$F91=""),$L91&lt;&gt;"لا"),0,MAX(0,MIN($F91,EOMONTH(DATE(cfg_FY,8,1),0))-$E91+1))</f>
        <v>0</v>
      </c>
      <c r="AP91" s="110" t="n">
        <f aca="false">IF(OR(OR($B91="",$E91="",$F91=""),$L91&lt;&gt;"لا"),0,MAX(0,MIN($F91,EOMONTH(DATE(cfg_FY,9,1),0))-$E91+1))</f>
        <v>0</v>
      </c>
      <c r="AQ91" s="110" t="n">
        <f aca="false">IF(OR(OR($B91="",$E91="",$F91=""),$L91&lt;&gt;"لا"),0,MAX(0,MIN($F91,EOMONTH(DATE(cfg_FY,10,1),0))-$E91+1))</f>
        <v>0</v>
      </c>
      <c r="AR91" s="110" t="n">
        <f aca="false">IF(OR(OR($B91="",$E91="",$F91=""),$L91&lt;&gt;"لا"),0,MAX(0,MIN($F91,EOMONTH(DATE(cfg_FY,11,1),0))-$E91+1))</f>
        <v>0</v>
      </c>
      <c r="AS91" s="110" t="n">
        <f aca="false">IF(OR(OR($B91="",$E91="",$F91=""),$L91&lt;&gt;"لا"),0,MAX(0,MIN($F91,EOMONTH(DATE(cfg_FY,12,1),0))-$E91+1))</f>
        <v>0</v>
      </c>
      <c r="AT91" s="110" t="n">
        <f aca="false">IF(OR(OR($B91="",$E91="",$F91=""),$K91&lt;&gt;"نعم",$M91="نعم"),0,MAX(0,MIN($F91,EOMONTH(DATE(cfg_FY,1,1),0))-MAX($E91,DATE(cfg_FY,1,1))+1))</f>
        <v>0</v>
      </c>
      <c r="AU91" s="110" t="n">
        <f aca="false">IF(OR(OR($B91="",$E91="",$F91=""),$K91&lt;&gt;"نعم",$M91="نعم"),0,MAX(0,MIN($F91,EOMONTH(DATE(cfg_FY,2,1),0))-MAX($E91,DATE(cfg_FY,2,1))+1))</f>
        <v>0</v>
      </c>
      <c r="AV91" s="110" t="n">
        <f aca="false">IF(OR(OR($B91="",$E91="",$F91=""),$K91&lt;&gt;"نعم",$M91="نعم"),0,MAX(0,MIN($F91,EOMONTH(DATE(cfg_FY,3,1),0))-MAX($E91,DATE(cfg_FY,3,1))+1))</f>
        <v>0</v>
      </c>
      <c r="AW91" s="110" t="n">
        <f aca="false">IF(OR(OR($B91="",$E91="",$F91=""),$K91&lt;&gt;"نعم",$M91="نعم"),0,MAX(0,MIN($F91,EOMONTH(DATE(cfg_FY,4,1),0))-MAX($E91,DATE(cfg_FY,4,1))+1))</f>
        <v>0</v>
      </c>
      <c r="AX91" s="110" t="n">
        <f aca="false">IF(OR(OR($B91="",$E91="",$F91=""),$K91&lt;&gt;"نعم",$M91="نعم"),0,MAX(0,MIN($F91,EOMONTH(DATE(cfg_FY,5,1),0))-MAX($E91,DATE(cfg_FY,5,1))+1))</f>
        <v>0</v>
      </c>
      <c r="AY91" s="110" t="n">
        <f aca="false">IF(OR(OR($B91="",$E91="",$F91=""),$K91&lt;&gt;"نعم",$M91="نعم"),0,MAX(0,MIN($F91,EOMONTH(DATE(cfg_FY,6,1),0))-MAX($E91,DATE(cfg_FY,6,1))+1))</f>
        <v>0</v>
      </c>
      <c r="AZ91" s="110" t="n">
        <f aca="false">IF(OR(OR($B91="",$E91="",$F91=""),$K91&lt;&gt;"نعم",$M91="نعم"),0,MAX(0,MIN($F91,EOMONTH(DATE(cfg_FY,7,1),0))-MAX($E91,DATE(cfg_FY,7,1))+1))</f>
        <v>0</v>
      </c>
      <c r="BA91" s="110" t="n">
        <f aca="false">IF(OR(OR($B91="",$E91="",$F91=""),$K91&lt;&gt;"نعم",$M91="نعم"),0,MAX(0,MIN($F91,EOMONTH(DATE(cfg_FY,8,1),0))-MAX($E91,DATE(cfg_FY,8,1))+1))</f>
        <v>0</v>
      </c>
      <c r="BB91" s="110" t="n">
        <f aca="false">IF(OR(OR($B91="",$E91="",$F91=""),$K91&lt;&gt;"نعم",$M91="نعم"),0,MAX(0,MIN($F91,EOMONTH(DATE(cfg_FY,9,1),0))-MAX($E91,DATE(cfg_FY,9,1))+1))</f>
        <v>0</v>
      </c>
      <c r="BC91" s="110" t="n">
        <f aca="false">IF(OR(OR($B91="",$E91="",$F91=""),$K91&lt;&gt;"نعم",$M91="نعم"),0,MAX(0,MIN($F91,EOMONTH(DATE(cfg_FY,10,1),0))-MAX($E91,DATE(cfg_FY,10,1))+1))</f>
        <v>0</v>
      </c>
      <c r="BD91" s="110" t="n">
        <f aca="false">IF(OR(OR($B91="",$E91="",$F91=""),$K91&lt;&gt;"نعم",$M91="نعم"),0,MAX(0,MIN($F91,EOMONTH(DATE(cfg_FY,11,1),0))-MAX($E91,DATE(cfg_FY,11,1))+1))</f>
        <v>0</v>
      </c>
      <c r="BE91" s="110" t="n">
        <f aca="false">IF(OR(OR($B91="",$E91="",$F91=""),$K91&lt;&gt;"نعم",$M91="نعم"),0,MAX(0,MIN($F91,EOMONTH(DATE(cfg_FY,12,1),0))-MAX($E91,DATE(cfg_FY,12,1))+1))</f>
        <v>0</v>
      </c>
    </row>
    <row r="92" customFormat="false" ht="15" hidden="false" customHeight="false" outlineLevel="0" collapsed="false">
      <c r="A92" s="93" t="str">
        <f aca="false">IF(B92="","",ROW()-5)</f>
        <v/>
      </c>
      <c r="B92" s="79"/>
      <c r="C92" s="80" t="str">
        <f aca="false">IF(B92="","",IFERROR(INDEX(الموظفون!$C$6:$C$105,MATCH(B92,الموظفون!$B$6:$B$105,0)),"✖ رقم غير موجود"))</f>
        <v/>
      </c>
      <c r="D92" s="79"/>
      <c r="E92" s="94"/>
      <c r="F92" s="94"/>
      <c r="G92" s="57" t="str">
        <f aca="false">IF(OR($B92="",$E92="",$F92=""),"",MAX(0,F92-E92+1))</f>
        <v/>
      </c>
      <c r="H92" s="58" t="str">
        <f aca="false">IF(D92="","",IFERROR(VLOOKUP(D92,cfg_LT,2,FALSE()),1))</f>
        <v/>
      </c>
      <c r="I92" s="82"/>
      <c r="J92" s="58" t="str">
        <f aca="false">IF(D92="","",IF(I92&lt;&gt;"",I92,H92))</f>
        <v/>
      </c>
      <c r="K92" s="80" t="str">
        <f aca="false">IF(D92="","",IFERROR(VLOOKUP($D92,cfg_LT,3,FALSE()),""))</f>
        <v/>
      </c>
      <c r="L92" s="80" t="str">
        <f aca="false">IF(D92="","",IFERROR(VLOOKUP($D92,cfg_LT,4,FALSE()),""))</f>
        <v/>
      </c>
      <c r="M92" s="80" t="str">
        <f aca="false">IF(D92="","",IFERROR(VLOOKUP($D92,cfg_LT,5,FALSE()),""))</f>
        <v/>
      </c>
      <c r="N92" s="97" t="n">
        <f aca="false">IF(OR(OR($B92="",$E92="",$F92=""),M92&lt;&gt;"نعم"),0,G92*J92*IFERROR(INDEX(الموظفون!$R$6:$R$105,MATCH(B92,الموظفون!$B$6:$B$105,0)),0)/cfg_DAYS_M)</f>
        <v>0</v>
      </c>
      <c r="O92" s="93" t="str">
        <f aca="false">IF(OR(OR($B92="",$E92="",$F92=""),M92&lt;&gt;"نعم"),"",IF(YEAR(E92)=cfg_FY,MONTH(E92),""))</f>
        <v/>
      </c>
      <c r="P92" s="80" t="str">
        <f aca="false">IF(B92="","",IF(OR(D92="",E92="",F92=""),"⚠ أكمل النوع والتواريخ",IF(F92&lt;E92,"✖ النهاية قبل البداية",IF(COUNTIFS($B$6:$B$505,B92,$E$6:$E$505,"&lt;="&amp;F92,$F$6:$F$505,"&gt;="&amp;E92)&gt;1,"⚠ تداخل مع سجل آخر",IF(E92&gt;cfg_VAL_DATE,"⏳ قادمة",IF(F92&lt;cfg_VAL_DATE,"✔ منتهية","✈ جارية في تاريخ التقرير"))))))</f>
        <v/>
      </c>
      <c r="Q92" s="79"/>
      <c r="R92" s="57" t="n">
        <f aca="false">IF(OR(OR($B92="",$E92="",$F92=""),L92&lt;&gt;"لا"),0,MAX(0,MIN(F92,cfg_Y_START-1)-E92+1))</f>
        <v>0</v>
      </c>
      <c r="S92" s="57" t="n">
        <f aca="false">IF(OR(OR($B92="",$E92="",$F92=""),L92&lt;&gt;"لا"),0,MAX(0,MIN(F92,cfg_VAL_DATE)-E92+1))</f>
        <v>0</v>
      </c>
      <c r="T92" s="57" t="n">
        <f aca="false">IF(OR(OR($B92="",$E92="",$F92=""),K92&lt;&gt;"نعم"),0,IF(M92="نعم",IF(AND(ISNUMBER(O92),N(O92)&lt;=cfg_VAL_M),G92,0),MAX(0,MIN(F92,cfg_VAL_DATE)-MAX(E92,cfg_Y_START)+1)))</f>
        <v>0</v>
      </c>
      <c r="V92" s="57" t="n">
        <f aca="false">IF(OR($B92="",$E92="",$F92=""),0,MAX(0,MIN($F92,EOMONTH(DATE(cfg_FY,1,1),0))-MAX($E92,DATE(cfg_FY,1,1))+1)*(1-IF($M92="نعم",0,N($J92))))</f>
        <v>0</v>
      </c>
      <c r="W92" s="57" t="n">
        <f aca="false">IF(OR($B92="",$E92="",$F92=""),0,MAX(0,MIN($F92,EOMONTH(DATE(cfg_FY,2,1),0))-MAX($E92,DATE(cfg_FY,2,1))+1)*(1-IF($M92="نعم",0,N($J92))))</f>
        <v>0</v>
      </c>
      <c r="X92" s="57" t="n">
        <f aca="false">IF(OR($B92="",$E92="",$F92=""),0,MAX(0,MIN($F92,EOMONTH(DATE(cfg_FY,3,1),0))-MAX($E92,DATE(cfg_FY,3,1))+1)*(1-IF($M92="نعم",0,N($J92))))</f>
        <v>0</v>
      </c>
      <c r="Y92" s="57" t="n">
        <f aca="false">IF(OR($B92="",$E92="",$F92=""),0,MAX(0,MIN($F92,EOMONTH(DATE(cfg_FY,4,1),0))-MAX($E92,DATE(cfg_FY,4,1))+1)*(1-IF($M92="نعم",0,N($J92))))</f>
        <v>0</v>
      </c>
      <c r="Z92" s="57" t="n">
        <f aca="false">IF(OR($B92="",$E92="",$F92=""),0,MAX(0,MIN($F92,EOMONTH(DATE(cfg_FY,5,1),0))-MAX($E92,DATE(cfg_FY,5,1))+1)*(1-IF($M92="نعم",0,N($J92))))</f>
        <v>0</v>
      </c>
      <c r="AA92" s="57" t="n">
        <f aca="false">IF(OR($B92="",$E92="",$F92=""),0,MAX(0,MIN($F92,EOMONTH(DATE(cfg_FY,6,1),0))-MAX($E92,DATE(cfg_FY,6,1))+1)*(1-IF($M92="نعم",0,N($J92))))</f>
        <v>0</v>
      </c>
      <c r="AB92" s="57" t="n">
        <f aca="false">IF(OR($B92="",$E92="",$F92=""),0,MAX(0,MIN($F92,EOMONTH(DATE(cfg_FY,7,1),0))-MAX($E92,DATE(cfg_FY,7,1))+1)*(1-IF($M92="نعم",0,N($J92))))</f>
        <v>0</v>
      </c>
      <c r="AC92" s="57" t="n">
        <f aca="false">IF(OR($B92="",$E92="",$F92=""),0,MAX(0,MIN($F92,EOMONTH(DATE(cfg_FY,8,1),0))-MAX($E92,DATE(cfg_FY,8,1))+1)*(1-IF($M92="نعم",0,N($J92))))</f>
        <v>0</v>
      </c>
      <c r="AD92" s="57" t="n">
        <f aca="false">IF(OR($B92="",$E92="",$F92=""),0,MAX(0,MIN($F92,EOMONTH(DATE(cfg_FY,9,1),0))-MAX($E92,DATE(cfg_FY,9,1))+1)*(1-IF($M92="نعم",0,N($J92))))</f>
        <v>0</v>
      </c>
      <c r="AE92" s="57" t="n">
        <f aca="false">IF(OR($B92="",$E92="",$F92=""),0,MAX(0,MIN($F92,EOMONTH(DATE(cfg_FY,10,1),0))-MAX($E92,DATE(cfg_FY,10,1))+1)*(1-IF($M92="نعم",0,N($J92))))</f>
        <v>0</v>
      </c>
      <c r="AF92" s="57" t="n">
        <f aca="false">IF(OR($B92="",$E92="",$F92=""),0,MAX(0,MIN($F92,EOMONTH(DATE(cfg_FY,11,1),0))-MAX($E92,DATE(cfg_FY,11,1))+1)*(1-IF($M92="نعم",0,N($J92))))</f>
        <v>0</v>
      </c>
      <c r="AG92" s="57" t="n">
        <f aca="false">IF(OR($B92="",$E92="",$F92=""),0,MAX(0,MIN($F92,EOMONTH(DATE(cfg_FY,12,1),0))-MAX($E92,DATE(cfg_FY,12,1))+1)*(1-IF($M92="نعم",0,N($J92))))</f>
        <v>0</v>
      </c>
      <c r="AH92" s="57" t="n">
        <f aca="false">IF(OR(OR($B92="",$E92="",$F92=""),$L92&lt;&gt;"لا"),0,MAX(0,MIN($F92,EOMONTH(DATE(cfg_FY,1,1),0))-$E92+1))</f>
        <v>0</v>
      </c>
      <c r="AI92" s="57" t="n">
        <f aca="false">IF(OR(OR($B92="",$E92="",$F92=""),$L92&lt;&gt;"لا"),0,MAX(0,MIN($F92,EOMONTH(DATE(cfg_FY,2,1),0))-$E92+1))</f>
        <v>0</v>
      </c>
      <c r="AJ92" s="57" t="n">
        <f aca="false">IF(OR(OR($B92="",$E92="",$F92=""),$L92&lt;&gt;"لا"),0,MAX(0,MIN($F92,EOMONTH(DATE(cfg_FY,3,1),0))-$E92+1))</f>
        <v>0</v>
      </c>
      <c r="AK92" s="57" t="n">
        <f aca="false">IF(OR(OR($B92="",$E92="",$F92=""),$L92&lt;&gt;"لا"),0,MAX(0,MIN($F92,EOMONTH(DATE(cfg_FY,4,1),0))-$E92+1))</f>
        <v>0</v>
      </c>
      <c r="AL92" s="57" t="n">
        <f aca="false">IF(OR(OR($B92="",$E92="",$F92=""),$L92&lt;&gt;"لا"),0,MAX(0,MIN($F92,EOMONTH(DATE(cfg_FY,5,1),0))-$E92+1))</f>
        <v>0</v>
      </c>
      <c r="AM92" s="57" t="n">
        <f aca="false">IF(OR(OR($B92="",$E92="",$F92=""),$L92&lt;&gt;"لا"),0,MAX(0,MIN($F92,EOMONTH(DATE(cfg_FY,6,1),0))-$E92+1))</f>
        <v>0</v>
      </c>
      <c r="AN92" s="57" t="n">
        <f aca="false">IF(OR(OR($B92="",$E92="",$F92=""),$L92&lt;&gt;"لا"),0,MAX(0,MIN($F92,EOMONTH(DATE(cfg_FY,7,1),0))-$E92+1))</f>
        <v>0</v>
      </c>
      <c r="AO92" s="57" t="n">
        <f aca="false">IF(OR(OR($B92="",$E92="",$F92=""),$L92&lt;&gt;"لا"),0,MAX(0,MIN($F92,EOMONTH(DATE(cfg_FY,8,1),0))-$E92+1))</f>
        <v>0</v>
      </c>
      <c r="AP92" s="57" t="n">
        <f aca="false">IF(OR(OR($B92="",$E92="",$F92=""),$L92&lt;&gt;"لا"),0,MAX(0,MIN($F92,EOMONTH(DATE(cfg_FY,9,1),0))-$E92+1))</f>
        <v>0</v>
      </c>
      <c r="AQ92" s="57" t="n">
        <f aca="false">IF(OR(OR($B92="",$E92="",$F92=""),$L92&lt;&gt;"لا"),0,MAX(0,MIN($F92,EOMONTH(DATE(cfg_FY,10,1),0))-$E92+1))</f>
        <v>0</v>
      </c>
      <c r="AR92" s="57" t="n">
        <f aca="false">IF(OR(OR($B92="",$E92="",$F92=""),$L92&lt;&gt;"لا"),0,MAX(0,MIN($F92,EOMONTH(DATE(cfg_FY,11,1),0))-$E92+1))</f>
        <v>0</v>
      </c>
      <c r="AS92" s="57" t="n">
        <f aca="false">IF(OR(OR($B92="",$E92="",$F92=""),$L92&lt;&gt;"لا"),0,MAX(0,MIN($F92,EOMONTH(DATE(cfg_FY,12,1),0))-$E92+1))</f>
        <v>0</v>
      </c>
      <c r="AT92" s="57" t="n">
        <f aca="false">IF(OR(OR($B92="",$E92="",$F92=""),$K92&lt;&gt;"نعم",$M92="نعم"),0,MAX(0,MIN($F92,EOMONTH(DATE(cfg_FY,1,1),0))-MAX($E92,DATE(cfg_FY,1,1))+1))</f>
        <v>0</v>
      </c>
      <c r="AU92" s="57" t="n">
        <f aca="false">IF(OR(OR($B92="",$E92="",$F92=""),$K92&lt;&gt;"نعم",$M92="نعم"),0,MAX(0,MIN($F92,EOMONTH(DATE(cfg_FY,2,1),0))-MAX($E92,DATE(cfg_FY,2,1))+1))</f>
        <v>0</v>
      </c>
      <c r="AV92" s="57" t="n">
        <f aca="false">IF(OR(OR($B92="",$E92="",$F92=""),$K92&lt;&gt;"نعم",$M92="نعم"),0,MAX(0,MIN($F92,EOMONTH(DATE(cfg_FY,3,1),0))-MAX($E92,DATE(cfg_FY,3,1))+1))</f>
        <v>0</v>
      </c>
      <c r="AW92" s="57" t="n">
        <f aca="false">IF(OR(OR($B92="",$E92="",$F92=""),$K92&lt;&gt;"نعم",$M92="نعم"),0,MAX(0,MIN($F92,EOMONTH(DATE(cfg_FY,4,1),0))-MAX($E92,DATE(cfg_FY,4,1))+1))</f>
        <v>0</v>
      </c>
      <c r="AX92" s="57" t="n">
        <f aca="false">IF(OR(OR($B92="",$E92="",$F92=""),$K92&lt;&gt;"نعم",$M92="نعم"),0,MAX(0,MIN($F92,EOMONTH(DATE(cfg_FY,5,1),0))-MAX($E92,DATE(cfg_FY,5,1))+1))</f>
        <v>0</v>
      </c>
      <c r="AY92" s="57" t="n">
        <f aca="false">IF(OR(OR($B92="",$E92="",$F92=""),$K92&lt;&gt;"نعم",$M92="نعم"),0,MAX(0,MIN($F92,EOMONTH(DATE(cfg_FY,6,1),0))-MAX($E92,DATE(cfg_FY,6,1))+1))</f>
        <v>0</v>
      </c>
      <c r="AZ92" s="57" t="n">
        <f aca="false">IF(OR(OR($B92="",$E92="",$F92=""),$K92&lt;&gt;"نعم",$M92="نعم"),0,MAX(0,MIN($F92,EOMONTH(DATE(cfg_FY,7,1),0))-MAX($E92,DATE(cfg_FY,7,1))+1))</f>
        <v>0</v>
      </c>
      <c r="BA92" s="57" t="n">
        <f aca="false">IF(OR(OR($B92="",$E92="",$F92=""),$K92&lt;&gt;"نعم",$M92="نعم"),0,MAX(0,MIN($F92,EOMONTH(DATE(cfg_FY,8,1),0))-MAX($E92,DATE(cfg_FY,8,1))+1))</f>
        <v>0</v>
      </c>
      <c r="BB92" s="57" t="n">
        <f aca="false">IF(OR(OR($B92="",$E92="",$F92=""),$K92&lt;&gt;"نعم",$M92="نعم"),0,MAX(0,MIN($F92,EOMONTH(DATE(cfg_FY,9,1),0))-MAX($E92,DATE(cfg_FY,9,1))+1))</f>
        <v>0</v>
      </c>
      <c r="BC92" s="57" t="n">
        <f aca="false">IF(OR(OR($B92="",$E92="",$F92=""),$K92&lt;&gt;"نعم",$M92="نعم"),0,MAX(0,MIN($F92,EOMONTH(DATE(cfg_FY,10,1),0))-MAX($E92,DATE(cfg_FY,10,1))+1))</f>
        <v>0</v>
      </c>
      <c r="BD92" s="57" t="n">
        <f aca="false">IF(OR(OR($B92="",$E92="",$F92=""),$K92&lt;&gt;"نعم",$M92="نعم"),0,MAX(0,MIN($F92,EOMONTH(DATE(cfg_FY,11,1),0))-MAX($E92,DATE(cfg_FY,11,1))+1))</f>
        <v>0</v>
      </c>
      <c r="BE92" s="57" t="n">
        <f aca="false">IF(OR(OR($B92="",$E92="",$F92=""),$K92&lt;&gt;"نعم",$M92="نعم"),0,MAX(0,MIN($F92,EOMONTH(DATE(cfg_FY,12,1),0))-MAX($E92,DATE(cfg_FY,12,1))+1))</f>
        <v>0</v>
      </c>
    </row>
    <row r="93" customFormat="false" ht="15" hidden="false" customHeight="false" outlineLevel="0" collapsed="false">
      <c r="A93" s="100" t="str">
        <f aca="false">IF(B93="","",ROW()-5)</f>
        <v/>
      </c>
      <c r="B93" s="79"/>
      <c r="C93" s="102" t="str">
        <f aca="false">IF(B93="","",IFERROR(INDEX(الموظفون!$C$6:$C$105,MATCH(B93,الموظفون!$B$6:$B$105,0)),"✖ رقم غير موجود"))</f>
        <v/>
      </c>
      <c r="D93" s="79"/>
      <c r="E93" s="94"/>
      <c r="F93" s="94"/>
      <c r="G93" s="110" t="str">
        <f aca="false">IF(OR($B93="",$E93="",$F93=""),"",MAX(0,F93-E93+1))</f>
        <v/>
      </c>
      <c r="H93" s="111" t="str">
        <f aca="false">IF(D93="","",IFERROR(VLOOKUP(D93,cfg_LT,2,FALSE()),1))</f>
        <v/>
      </c>
      <c r="I93" s="82"/>
      <c r="J93" s="111" t="str">
        <f aca="false">IF(D93="","",IF(I93&lt;&gt;"",I93,H93))</f>
        <v/>
      </c>
      <c r="K93" s="102" t="str">
        <f aca="false">IF(D93="","",IFERROR(VLOOKUP($D93,cfg_LT,3,FALSE()),""))</f>
        <v/>
      </c>
      <c r="L93" s="102" t="str">
        <f aca="false">IF(D93="","",IFERROR(VLOOKUP($D93,cfg_LT,4,FALSE()),""))</f>
        <v/>
      </c>
      <c r="M93" s="102" t="str">
        <f aca="false">IF(D93="","",IFERROR(VLOOKUP($D93,cfg_LT,5,FALSE()),""))</f>
        <v/>
      </c>
      <c r="N93" s="101" t="n">
        <f aca="false">IF(OR(OR($B93="",$E93="",$F93=""),M93&lt;&gt;"نعم"),0,G93*J93*IFERROR(INDEX(الموظفون!$R$6:$R$105,MATCH(B93,الموظفون!$B$6:$B$105,0)),0)/cfg_DAYS_M)</f>
        <v>0</v>
      </c>
      <c r="O93" s="100" t="str">
        <f aca="false">IF(OR(OR($B93="",$E93="",$F93=""),M93&lt;&gt;"نعم"),"",IF(YEAR(E93)=cfg_FY,MONTH(E93),""))</f>
        <v/>
      </c>
      <c r="P93" s="102" t="str">
        <f aca="false">IF(B93="","",IF(OR(D93="",E93="",F93=""),"⚠ أكمل النوع والتواريخ",IF(F93&lt;E93,"✖ النهاية قبل البداية",IF(COUNTIFS($B$6:$B$505,B93,$E$6:$E$505,"&lt;="&amp;F93,$F$6:$F$505,"&gt;="&amp;E93)&gt;1,"⚠ تداخل مع سجل آخر",IF(E93&gt;cfg_VAL_DATE,"⏳ قادمة",IF(F93&lt;cfg_VAL_DATE,"✔ منتهية","✈ جارية في تاريخ التقرير"))))))</f>
        <v/>
      </c>
      <c r="Q93" s="79"/>
      <c r="R93" s="110" t="n">
        <f aca="false">IF(OR(OR($B93="",$E93="",$F93=""),L93&lt;&gt;"لا"),0,MAX(0,MIN(F93,cfg_Y_START-1)-E93+1))</f>
        <v>0</v>
      </c>
      <c r="S93" s="110" t="n">
        <f aca="false">IF(OR(OR($B93="",$E93="",$F93=""),L93&lt;&gt;"لا"),0,MAX(0,MIN(F93,cfg_VAL_DATE)-E93+1))</f>
        <v>0</v>
      </c>
      <c r="T93" s="110" t="n">
        <f aca="false">IF(OR(OR($B93="",$E93="",$F93=""),K93&lt;&gt;"نعم"),0,IF(M93="نعم",IF(AND(ISNUMBER(O93),N(O93)&lt;=cfg_VAL_M),G93,0),MAX(0,MIN(F93,cfg_VAL_DATE)-MAX(E93,cfg_Y_START)+1)))</f>
        <v>0</v>
      </c>
      <c r="V93" s="110" t="n">
        <f aca="false">IF(OR($B93="",$E93="",$F93=""),0,MAX(0,MIN($F93,EOMONTH(DATE(cfg_FY,1,1),0))-MAX($E93,DATE(cfg_FY,1,1))+1)*(1-IF($M93="نعم",0,N($J93))))</f>
        <v>0</v>
      </c>
      <c r="W93" s="110" t="n">
        <f aca="false">IF(OR($B93="",$E93="",$F93=""),0,MAX(0,MIN($F93,EOMONTH(DATE(cfg_FY,2,1),0))-MAX($E93,DATE(cfg_FY,2,1))+1)*(1-IF($M93="نعم",0,N($J93))))</f>
        <v>0</v>
      </c>
      <c r="X93" s="110" t="n">
        <f aca="false">IF(OR($B93="",$E93="",$F93=""),0,MAX(0,MIN($F93,EOMONTH(DATE(cfg_FY,3,1),0))-MAX($E93,DATE(cfg_FY,3,1))+1)*(1-IF($M93="نعم",0,N($J93))))</f>
        <v>0</v>
      </c>
      <c r="Y93" s="110" t="n">
        <f aca="false">IF(OR($B93="",$E93="",$F93=""),0,MAX(0,MIN($F93,EOMONTH(DATE(cfg_FY,4,1),0))-MAX($E93,DATE(cfg_FY,4,1))+1)*(1-IF($M93="نعم",0,N($J93))))</f>
        <v>0</v>
      </c>
      <c r="Z93" s="110" t="n">
        <f aca="false">IF(OR($B93="",$E93="",$F93=""),0,MAX(0,MIN($F93,EOMONTH(DATE(cfg_FY,5,1),0))-MAX($E93,DATE(cfg_FY,5,1))+1)*(1-IF($M93="نعم",0,N($J93))))</f>
        <v>0</v>
      </c>
      <c r="AA93" s="110" t="n">
        <f aca="false">IF(OR($B93="",$E93="",$F93=""),0,MAX(0,MIN($F93,EOMONTH(DATE(cfg_FY,6,1),0))-MAX($E93,DATE(cfg_FY,6,1))+1)*(1-IF($M93="نعم",0,N($J93))))</f>
        <v>0</v>
      </c>
      <c r="AB93" s="110" t="n">
        <f aca="false">IF(OR($B93="",$E93="",$F93=""),0,MAX(0,MIN($F93,EOMONTH(DATE(cfg_FY,7,1),0))-MAX($E93,DATE(cfg_FY,7,1))+1)*(1-IF($M93="نعم",0,N($J93))))</f>
        <v>0</v>
      </c>
      <c r="AC93" s="110" t="n">
        <f aca="false">IF(OR($B93="",$E93="",$F93=""),0,MAX(0,MIN($F93,EOMONTH(DATE(cfg_FY,8,1),0))-MAX($E93,DATE(cfg_FY,8,1))+1)*(1-IF($M93="نعم",0,N($J93))))</f>
        <v>0</v>
      </c>
      <c r="AD93" s="110" t="n">
        <f aca="false">IF(OR($B93="",$E93="",$F93=""),0,MAX(0,MIN($F93,EOMONTH(DATE(cfg_FY,9,1),0))-MAX($E93,DATE(cfg_FY,9,1))+1)*(1-IF($M93="نعم",0,N($J93))))</f>
        <v>0</v>
      </c>
      <c r="AE93" s="110" t="n">
        <f aca="false">IF(OR($B93="",$E93="",$F93=""),0,MAX(0,MIN($F93,EOMONTH(DATE(cfg_FY,10,1),0))-MAX($E93,DATE(cfg_FY,10,1))+1)*(1-IF($M93="نعم",0,N($J93))))</f>
        <v>0</v>
      </c>
      <c r="AF93" s="110" t="n">
        <f aca="false">IF(OR($B93="",$E93="",$F93=""),0,MAX(0,MIN($F93,EOMONTH(DATE(cfg_FY,11,1),0))-MAX($E93,DATE(cfg_FY,11,1))+1)*(1-IF($M93="نعم",0,N($J93))))</f>
        <v>0</v>
      </c>
      <c r="AG93" s="110" t="n">
        <f aca="false">IF(OR($B93="",$E93="",$F93=""),0,MAX(0,MIN($F93,EOMONTH(DATE(cfg_FY,12,1),0))-MAX($E93,DATE(cfg_FY,12,1))+1)*(1-IF($M93="نعم",0,N($J93))))</f>
        <v>0</v>
      </c>
      <c r="AH93" s="110" t="n">
        <f aca="false">IF(OR(OR($B93="",$E93="",$F93=""),$L93&lt;&gt;"لا"),0,MAX(0,MIN($F93,EOMONTH(DATE(cfg_FY,1,1),0))-$E93+1))</f>
        <v>0</v>
      </c>
      <c r="AI93" s="110" t="n">
        <f aca="false">IF(OR(OR($B93="",$E93="",$F93=""),$L93&lt;&gt;"لا"),0,MAX(0,MIN($F93,EOMONTH(DATE(cfg_FY,2,1),0))-$E93+1))</f>
        <v>0</v>
      </c>
      <c r="AJ93" s="110" t="n">
        <f aca="false">IF(OR(OR($B93="",$E93="",$F93=""),$L93&lt;&gt;"لا"),0,MAX(0,MIN($F93,EOMONTH(DATE(cfg_FY,3,1),0))-$E93+1))</f>
        <v>0</v>
      </c>
      <c r="AK93" s="110" t="n">
        <f aca="false">IF(OR(OR($B93="",$E93="",$F93=""),$L93&lt;&gt;"لا"),0,MAX(0,MIN($F93,EOMONTH(DATE(cfg_FY,4,1),0))-$E93+1))</f>
        <v>0</v>
      </c>
      <c r="AL93" s="110" t="n">
        <f aca="false">IF(OR(OR($B93="",$E93="",$F93=""),$L93&lt;&gt;"لا"),0,MAX(0,MIN($F93,EOMONTH(DATE(cfg_FY,5,1),0))-$E93+1))</f>
        <v>0</v>
      </c>
      <c r="AM93" s="110" t="n">
        <f aca="false">IF(OR(OR($B93="",$E93="",$F93=""),$L93&lt;&gt;"لا"),0,MAX(0,MIN($F93,EOMONTH(DATE(cfg_FY,6,1),0))-$E93+1))</f>
        <v>0</v>
      </c>
      <c r="AN93" s="110" t="n">
        <f aca="false">IF(OR(OR($B93="",$E93="",$F93=""),$L93&lt;&gt;"لا"),0,MAX(0,MIN($F93,EOMONTH(DATE(cfg_FY,7,1),0))-$E93+1))</f>
        <v>0</v>
      </c>
      <c r="AO93" s="110" t="n">
        <f aca="false">IF(OR(OR($B93="",$E93="",$F93=""),$L93&lt;&gt;"لا"),0,MAX(0,MIN($F93,EOMONTH(DATE(cfg_FY,8,1),0))-$E93+1))</f>
        <v>0</v>
      </c>
      <c r="AP93" s="110" t="n">
        <f aca="false">IF(OR(OR($B93="",$E93="",$F93=""),$L93&lt;&gt;"لا"),0,MAX(0,MIN($F93,EOMONTH(DATE(cfg_FY,9,1),0))-$E93+1))</f>
        <v>0</v>
      </c>
      <c r="AQ93" s="110" t="n">
        <f aca="false">IF(OR(OR($B93="",$E93="",$F93=""),$L93&lt;&gt;"لا"),0,MAX(0,MIN($F93,EOMONTH(DATE(cfg_FY,10,1),0))-$E93+1))</f>
        <v>0</v>
      </c>
      <c r="AR93" s="110" t="n">
        <f aca="false">IF(OR(OR($B93="",$E93="",$F93=""),$L93&lt;&gt;"لا"),0,MAX(0,MIN($F93,EOMONTH(DATE(cfg_FY,11,1),0))-$E93+1))</f>
        <v>0</v>
      </c>
      <c r="AS93" s="110" t="n">
        <f aca="false">IF(OR(OR($B93="",$E93="",$F93=""),$L93&lt;&gt;"لا"),0,MAX(0,MIN($F93,EOMONTH(DATE(cfg_FY,12,1),0))-$E93+1))</f>
        <v>0</v>
      </c>
      <c r="AT93" s="110" t="n">
        <f aca="false">IF(OR(OR($B93="",$E93="",$F93=""),$K93&lt;&gt;"نعم",$M93="نعم"),0,MAX(0,MIN($F93,EOMONTH(DATE(cfg_FY,1,1),0))-MAX($E93,DATE(cfg_FY,1,1))+1))</f>
        <v>0</v>
      </c>
      <c r="AU93" s="110" t="n">
        <f aca="false">IF(OR(OR($B93="",$E93="",$F93=""),$K93&lt;&gt;"نعم",$M93="نعم"),0,MAX(0,MIN($F93,EOMONTH(DATE(cfg_FY,2,1),0))-MAX($E93,DATE(cfg_FY,2,1))+1))</f>
        <v>0</v>
      </c>
      <c r="AV93" s="110" t="n">
        <f aca="false">IF(OR(OR($B93="",$E93="",$F93=""),$K93&lt;&gt;"نعم",$M93="نعم"),0,MAX(0,MIN($F93,EOMONTH(DATE(cfg_FY,3,1),0))-MAX($E93,DATE(cfg_FY,3,1))+1))</f>
        <v>0</v>
      </c>
      <c r="AW93" s="110" t="n">
        <f aca="false">IF(OR(OR($B93="",$E93="",$F93=""),$K93&lt;&gt;"نعم",$M93="نعم"),0,MAX(0,MIN($F93,EOMONTH(DATE(cfg_FY,4,1),0))-MAX($E93,DATE(cfg_FY,4,1))+1))</f>
        <v>0</v>
      </c>
      <c r="AX93" s="110" t="n">
        <f aca="false">IF(OR(OR($B93="",$E93="",$F93=""),$K93&lt;&gt;"نعم",$M93="نعم"),0,MAX(0,MIN($F93,EOMONTH(DATE(cfg_FY,5,1),0))-MAX($E93,DATE(cfg_FY,5,1))+1))</f>
        <v>0</v>
      </c>
      <c r="AY93" s="110" t="n">
        <f aca="false">IF(OR(OR($B93="",$E93="",$F93=""),$K93&lt;&gt;"نعم",$M93="نعم"),0,MAX(0,MIN($F93,EOMONTH(DATE(cfg_FY,6,1),0))-MAX($E93,DATE(cfg_FY,6,1))+1))</f>
        <v>0</v>
      </c>
      <c r="AZ93" s="110" t="n">
        <f aca="false">IF(OR(OR($B93="",$E93="",$F93=""),$K93&lt;&gt;"نعم",$M93="نعم"),0,MAX(0,MIN($F93,EOMONTH(DATE(cfg_FY,7,1),0))-MAX($E93,DATE(cfg_FY,7,1))+1))</f>
        <v>0</v>
      </c>
      <c r="BA93" s="110" t="n">
        <f aca="false">IF(OR(OR($B93="",$E93="",$F93=""),$K93&lt;&gt;"نعم",$M93="نعم"),0,MAX(0,MIN($F93,EOMONTH(DATE(cfg_FY,8,1),0))-MAX($E93,DATE(cfg_FY,8,1))+1))</f>
        <v>0</v>
      </c>
      <c r="BB93" s="110" t="n">
        <f aca="false">IF(OR(OR($B93="",$E93="",$F93=""),$K93&lt;&gt;"نعم",$M93="نعم"),0,MAX(0,MIN($F93,EOMONTH(DATE(cfg_FY,9,1),0))-MAX($E93,DATE(cfg_FY,9,1))+1))</f>
        <v>0</v>
      </c>
      <c r="BC93" s="110" t="n">
        <f aca="false">IF(OR(OR($B93="",$E93="",$F93=""),$K93&lt;&gt;"نعم",$M93="نعم"),0,MAX(0,MIN($F93,EOMONTH(DATE(cfg_FY,10,1),0))-MAX($E93,DATE(cfg_FY,10,1))+1))</f>
        <v>0</v>
      </c>
      <c r="BD93" s="110" t="n">
        <f aca="false">IF(OR(OR($B93="",$E93="",$F93=""),$K93&lt;&gt;"نعم",$M93="نعم"),0,MAX(0,MIN($F93,EOMONTH(DATE(cfg_FY,11,1),0))-MAX($E93,DATE(cfg_FY,11,1))+1))</f>
        <v>0</v>
      </c>
      <c r="BE93" s="110" t="n">
        <f aca="false">IF(OR(OR($B93="",$E93="",$F93=""),$K93&lt;&gt;"نعم",$M93="نعم"),0,MAX(0,MIN($F93,EOMONTH(DATE(cfg_FY,12,1),0))-MAX($E93,DATE(cfg_FY,12,1))+1))</f>
        <v>0</v>
      </c>
    </row>
    <row r="94" customFormat="false" ht="15" hidden="false" customHeight="false" outlineLevel="0" collapsed="false">
      <c r="A94" s="93" t="str">
        <f aca="false">IF(B94="","",ROW()-5)</f>
        <v/>
      </c>
      <c r="B94" s="79"/>
      <c r="C94" s="80" t="str">
        <f aca="false">IF(B94="","",IFERROR(INDEX(الموظفون!$C$6:$C$105,MATCH(B94,الموظفون!$B$6:$B$105,0)),"✖ رقم غير موجود"))</f>
        <v/>
      </c>
      <c r="D94" s="79"/>
      <c r="E94" s="94"/>
      <c r="F94" s="94"/>
      <c r="G94" s="57" t="str">
        <f aca="false">IF(OR($B94="",$E94="",$F94=""),"",MAX(0,F94-E94+1))</f>
        <v/>
      </c>
      <c r="H94" s="58" t="str">
        <f aca="false">IF(D94="","",IFERROR(VLOOKUP(D94,cfg_LT,2,FALSE()),1))</f>
        <v/>
      </c>
      <c r="I94" s="82"/>
      <c r="J94" s="58" t="str">
        <f aca="false">IF(D94="","",IF(I94&lt;&gt;"",I94,H94))</f>
        <v/>
      </c>
      <c r="K94" s="80" t="str">
        <f aca="false">IF(D94="","",IFERROR(VLOOKUP($D94,cfg_LT,3,FALSE()),""))</f>
        <v/>
      </c>
      <c r="L94" s="80" t="str">
        <f aca="false">IF(D94="","",IFERROR(VLOOKUP($D94,cfg_LT,4,FALSE()),""))</f>
        <v/>
      </c>
      <c r="M94" s="80" t="str">
        <f aca="false">IF(D94="","",IFERROR(VLOOKUP($D94,cfg_LT,5,FALSE()),""))</f>
        <v/>
      </c>
      <c r="N94" s="97" t="n">
        <f aca="false">IF(OR(OR($B94="",$E94="",$F94=""),M94&lt;&gt;"نعم"),0,G94*J94*IFERROR(INDEX(الموظفون!$R$6:$R$105,MATCH(B94,الموظفون!$B$6:$B$105,0)),0)/cfg_DAYS_M)</f>
        <v>0</v>
      </c>
      <c r="O94" s="93" t="str">
        <f aca="false">IF(OR(OR($B94="",$E94="",$F94=""),M94&lt;&gt;"نعم"),"",IF(YEAR(E94)=cfg_FY,MONTH(E94),""))</f>
        <v/>
      </c>
      <c r="P94" s="80" t="str">
        <f aca="false">IF(B94="","",IF(OR(D94="",E94="",F94=""),"⚠ أكمل النوع والتواريخ",IF(F94&lt;E94,"✖ النهاية قبل البداية",IF(COUNTIFS($B$6:$B$505,B94,$E$6:$E$505,"&lt;="&amp;F94,$F$6:$F$505,"&gt;="&amp;E94)&gt;1,"⚠ تداخل مع سجل آخر",IF(E94&gt;cfg_VAL_DATE,"⏳ قادمة",IF(F94&lt;cfg_VAL_DATE,"✔ منتهية","✈ جارية في تاريخ التقرير"))))))</f>
        <v/>
      </c>
      <c r="Q94" s="79"/>
      <c r="R94" s="57" t="n">
        <f aca="false">IF(OR(OR($B94="",$E94="",$F94=""),L94&lt;&gt;"لا"),0,MAX(0,MIN(F94,cfg_Y_START-1)-E94+1))</f>
        <v>0</v>
      </c>
      <c r="S94" s="57" t="n">
        <f aca="false">IF(OR(OR($B94="",$E94="",$F94=""),L94&lt;&gt;"لا"),0,MAX(0,MIN(F94,cfg_VAL_DATE)-E94+1))</f>
        <v>0</v>
      </c>
      <c r="T94" s="57" t="n">
        <f aca="false">IF(OR(OR($B94="",$E94="",$F94=""),K94&lt;&gt;"نعم"),0,IF(M94="نعم",IF(AND(ISNUMBER(O94),N(O94)&lt;=cfg_VAL_M),G94,0),MAX(0,MIN(F94,cfg_VAL_DATE)-MAX(E94,cfg_Y_START)+1)))</f>
        <v>0</v>
      </c>
      <c r="V94" s="57" t="n">
        <f aca="false">IF(OR($B94="",$E94="",$F94=""),0,MAX(0,MIN($F94,EOMONTH(DATE(cfg_FY,1,1),0))-MAX($E94,DATE(cfg_FY,1,1))+1)*(1-IF($M94="نعم",0,N($J94))))</f>
        <v>0</v>
      </c>
      <c r="W94" s="57" t="n">
        <f aca="false">IF(OR($B94="",$E94="",$F94=""),0,MAX(0,MIN($F94,EOMONTH(DATE(cfg_FY,2,1),0))-MAX($E94,DATE(cfg_FY,2,1))+1)*(1-IF($M94="نعم",0,N($J94))))</f>
        <v>0</v>
      </c>
      <c r="X94" s="57" t="n">
        <f aca="false">IF(OR($B94="",$E94="",$F94=""),0,MAX(0,MIN($F94,EOMONTH(DATE(cfg_FY,3,1),0))-MAX($E94,DATE(cfg_FY,3,1))+1)*(1-IF($M94="نعم",0,N($J94))))</f>
        <v>0</v>
      </c>
      <c r="Y94" s="57" t="n">
        <f aca="false">IF(OR($B94="",$E94="",$F94=""),0,MAX(0,MIN($F94,EOMONTH(DATE(cfg_FY,4,1),0))-MAX($E94,DATE(cfg_FY,4,1))+1)*(1-IF($M94="نعم",0,N($J94))))</f>
        <v>0</v>
      </c>
      <c r="Z94" s="57" t="n">
        <f aca="false">IF(OR($B94="",$E94="",$F94=""),0,MAX(0,MIN($F94,EOMONTH(DATE(cfg_FY,5,1),0))-MAX($E94,DATE(cfg_FY,5,1))+1)*(1-IF($M94="نعم",0,N($J94))))</f>
        <v>0</v>
      </c>
      <c r="AA94" s="57" t="n">
        <f aca="false">IF(OR($B94="",$E94="",$F94=""),0,MAX(0,MIN($F94,EOMONTH(DATE(cfg_FY,6,1),0))-MAX($E94,DATE(cfg_FY,6,1))+1)*(1-IF($M94="نعم",0,N($J94))))</f>
        <v>0</v>
      </c>
      <c r="AB94" s="57" t="n">
        <f aca="false">IF(OR($B94="",$E94="",$F94=""),0,MAX(0,MIN($F94,EOMONTH(DATE(cfg_FY,7,1),0))-MAX($E94,DATE(cfg_FY,7,1))+1)*(1-IF($M94="نعم",0,N($J94))))</f>
        <v>0</v>
      </c>
      <c r="AC94" s="57" t="n">
        <f aca="false">IF(OR($B94="",$E94="",$F94=""),0,MAX(0,MIN($F94,EOMONTH(DATE(cfg_FY,8,1),0))-MAX($E94,DATE(cfg_FY,8,1))+1)*(1-IF($M94="نعم",0,N($J94))))</f>
        <v>0</v>
      </c>
      <c r="AD94" s="57" t="n">
        <f aca="false">IF(OR($B94="",$E94="",$F94=""),0,MAX(0,MIN($F94,EOMONTH(DATE(cfg_FY,9,1),0))-MAX($E94,DATE(cfg_FY,9,1))+1)*(1-IF($M94="نعم",0,N($J94))))</f>
        <v>0</v>
      </c>
      <c r="AE94" s="57" t="n">
        <f aca="false">IF(OR($B94="",$E94="",$F94=""),0,MAX(0,MIN($F94,EOMONTH(DATE(cfg_FY,10,1),0))-MAX($E94,DATE(cfg_FY,10,1))+1)*(1-IF($M94="نعم",0,N($J94))))</f>
        <v>0</v>
      </c>
      <c r="AF94" s="57" t="n">
        <f aca="false">IF(OR($B94="",$E94="",$F94=""),0,MAX(0,MIN($F94,EOMONTH(DATE(cfg_FY,11,1),0))-MAX($E94,DATE(cfg_FY,11,1))+1)*(1-IF($M94="نعم",0,N($J94))))</f>
        <v>0</v>
      </c>
      <c r="AG94" s="57" t="n">
        <f aca="false">IF(OR($B94="",$E94="",$F94=""),0,MAX(0,MIN($F94,EOMONTH(DATE(cfg_FY,12,1),0))-MAX($E94,DATE(cfg_FY,12,1))+1)*(1-IF($M94="نعم",0,N($J94))))</f>
        <v>0</v>
      </c>
      <c r="AH94" s="57" t="n">
        <f aca="false">IF(OR(OR($B94="",$E94="",$F94=""),$L94&lt;&gt;"لا"),0,MAX(0,MIN($F94,EOMONTH(DATE(cfg_FY,1,1),0))-$E94+1))</f>
        <v>0</v>
      </c>
      <c r="AI94" s="57" t="n">
        <f aca="false">IF(OR(OR($B94="",$E94="",$F94=""),$L94&lt;&gt;"لا"),0,MAX(0,MIN($F94,EOMONTH(DATE(cfg_FY,2,1),0))-$E94+1))</f>
        <v>0</v>
      </c>
      <c r="AJ94" s="57" t="n">
        <f aca="false">IF(OR(OR($B94="",$E94="",$F94=""),$L94&lt;&gt;"لا"),0,MAX(0,MIN($F94,EOMONTH(DATE(cfg_FY,3,1),0))-$E94+1))</f>
        <v>0</v>
      </c>
      <c r="AK94" s="57" t="n">
        <f aca="false">IF(OR(OR($B94="",$E94="",$F94=""),$L94&lt;&gt;"لا"),0,MAX(0,MIN($F94,EOMONTH(DATE(cfg_FY,4,1),0))-$E94+1))</f>
        <v>0</v>
      </c>
      <c r="AL94" s="57" t="n">
        <f aca="false">IF(OR(OR($B94="",$E94="",$F94=""),$L94&lt;&gt;"لا"),0,MAX(0,MIN($F94,EOMONTH(DATE(cfg_FY,5,1),0))-$E94+1))</f>
        <v>0</v>
      </c>
      <c r="AM94" s="57" t="n">
        <f aca="false">IF(OR(OR($B94="",$E94="",$F94=""),$L94&lt;&gt;"لا"),0,MAX(0,MIN($F94,EOMONTH(DATE(cfg_FY,6,1),0))-$E94+1))</f>
        <v>0</v>
      </c>
      <c r="AN94" s="57" t="n">
        <f aca="false">IF(OR(OR($B94="",$E94="",$F94=""),$L94&lt;&gt;"لا"),0,MAX(0,MIN($F94,EOMONTH(DATE(cfg_FY,7,1),0))-$E94+1))</f>
        <v>0</v>
      </c>
      <c r="AO94" s="57" t="n">
        <f aca="false">IF(OR(OR($B94="",$E94="",$F94=""),$L94&lt;&gt;"لا"),0,MAX(0,MIN($F94,EOMONTH(DATE(cfg_FY,8,1),0))-$E94+1))</f>
        <v>0</v>
      </c>
      <c r="AP94" s="57" t="n">
        <f aca="false">IF(OR(OR($B94="",$E94="",$F94=""),$L94&lt;&gt;"لا"),0,MAX(0,MIN($F94,EOMONTH(DATE(cfg_FY,9,1),0))-$E94+1))</f>
        <v>0</v>
      </c>
      <c r="AQ94" s="57" t="n">
        <f aca="false">IF(OR(OR($B94="",$E94="",$F94=""),$L94&lt;&gt;"لا"),0,MAX(0,MIN($F94,EOMONTH(DATE(cfg_FY,10,1),0))-$E94+1))</f>
        <v>0</v>
      </c>
      <c r="AR94" s="57" t="n">
        <f aca="false">IF(OR(OR($B94="",$E94="",$F94=""),$L94&lt;&gt;"لا"),0,MAX(0,MIN($F94,EOMONTH(DATE(cfg_FY,11,1),0))-$E94+1))</f>
        <v>0</v>
      </c>
      <c r="AS94" s="57" t="n">
        <f aca="false">IF(OR(OR($B94="",$E94="",$F94=""),$L94&lt;&gt;"لا"),0,MAX(0,MIN($F94,EOMONTH(DATE(cfg_FY,12,1),0))-$E94+1))</f>
        <v>0</v>
      </c>
      <c r="AT94" s="57" t="n">
        <f aca="false">IF(OR(OR($B94="",$E94="",$F94=""),$K94&lt;&gt;"نعم",$M94="نعم"),0,MAX(0,MIN($F94,EOMONTH(DATE(cfg_FY,1,1),0))-MAX($E94,DATE(cfg_FY,1,1))+1))</f>
        <v>0</v>
      </c>
      <c r="AU94" s="57" t="n">
        <f aca="false">IF(OR(OR($B94="",$E94="",$F94=""),$K94&lt;&gt;"نعم",$M94="نعم"),0,MAX(0,MIN($F94,EOMONTH(DATE(cfg_FY,2,1),0))-MAX($E94,DATE(cfg_FY,2,1))+1))</f>
        <v>0</v>
      </c>
      <c r="AV94" s="57" t="n">
        <f aca="false">IF(OR(OR($B94="",$E94="",$F94=""),$K94&lt;&gt;"نعم",$M94="نعم"),0,MAX(0,MIN($F94,EOMONTH(DATE(cfg_FY,3,1),0))-MAX($E94,DATE(cfg_FY,3,1))+1))</f>
        <v>0</v>
      </c>
      <c r="AW94" s="57" t="n">
        <f aca="false">IF(OR(OR($B94="",$E94="",$F94=""),$K94&lt;&gt;"نعم",$M94="نعم"),0,MAX(0,MIN($F94,EOMONTH(DATE(cfg_FY,4,1),0))-MAX($E94,DATE(cfg_FY,4,1))+1))</f>
        <v>0</v>
      </c>
      <c r="AX94" s="57" t="n">
        <f aca="false">IF(OR(OR($B94="",$E94="",$F94=""),$K94&lt;&gt;"نعم",$M94="نعم"),0,MAX(0,MIN($F94,EOMONTH(DATE(cfg_FY,5,1),0))-MAX($E94,DATE(cfg_FY,5,1))+1))</f>
        <v>0</v>
      </c>
      <c r="AY94" s="57" t="n">
        <f aca="false">IF(OR(OR($B94="",$E94="",$F94=""),$K94&lt;&gt;"نعم",$M94="نعم"),0,MAX(0,MIN($F94,EOMONTH(DATE(cfg_FY,6,1),0))-MAX($E94,DATE(cfg_FY,6,1))+1))</f>
        <v>0</v>
      </c>
      <c r="AZ94" s="57" t="n">
        <f aca="false">IF(OR(OR($B94="",$E94="",$F94=""),$K94&lt;&gt;"نعم",$M94="نعم"),0,MAX(0,MIN($F94,EOMONTH(DATE(cfg_FY,7,1),0))-MAX($E94,DATE(cfg_FY,7,1))+1))</f>
        <v>0</v>
      </c>
      <c r="BA94" s="57" t="n">
        <f aca="false">IF(OR(OR($B94="",$E94="",$F94=""),$K94&lt;&gt;"نعم",$M94="نعم"),0,MAX(0,MIN($F94,EOMONTH(DATE(cfg_FY,8,1),0))-MAX($E94,DATE(cfg_FY,8,1))+1))</f>
        <v>0</v>
      </c>
      <c r="BB94" s="57" t="n">
        <f aca="false">IF(OR(OR($B94="",$E94="",$F94=""),$K94&lt;&gt;"نعم",$M94="نعم"),0,MAX(0,MIN($F94,EOMONTH(DATE(cfg_FY,9,1),0))-MAX($E94,DATE(cfg_FY,9,1))+1))</f>
        <v>0</v>
      </c>
      <c r="BC94" s="57" t="n">
        <f aca="false">IF(OR(OR($B94="",$E94="",$F94=""),$K94&lt;&gt;"نعم",$M94="نعم"),0,MAX(0,MIN($F94,EOMONTH(DATE(cfg_FY,10,1),0))-MAX($E94,DATE(cfg_FY,10,1))+1))</f>
        <v>0</v>
      </c>
      <c r="BD94" s="57" t="n">
        <f aca="false">IF(OR(OR($B94="",$E94="",$F94=""),$K94&lt;&gt;"نعم",$M94="نعم"),0,MAX(0,MIN($F94,EOMONTH(DATE(cfg_FY,11,1),0))-MAX($E94,DATE(cfg_FY,11,1))+1))</f>
        <v>0</v>
      </c>
      <c r="BE94" s="57" t="n">
        <f aca="false">IF(OR(OR($B94="",$E94="",$F94=""),$K94&lt;&gt;"نعم",$M94="نعم"),0,MAX(0,MIN($F94,EOMONTH(DATE(cfg_FY,12,1),0))-MAX($E94,DATE(cfg_FY,12,1))+1))</f>
        <v>0</v>
      </c>
    </row>
    <row r="95" customFormat="false" ht="15" hidden="false" customHeight="false" outlineLevel="0" collapsed="false">
      <c r="A95" s="100" t="str">
        <f aca="false">IF(B95="","",ROW()-5)</f>
        <v/>
      </c>
      <c r="B95" s="79"/>
      <c r="C95" s="102" t="str">
        <f aca="false">IF(B95="","",IFERROR(INDEX(الموظفون!$C$6:$C$105,MATCH(B95,الموظفون!$B$6:$B$105,0)),"✖ رقم غير موجود"))</f>
        <v/>
      </c>
      <c r="D95" s="79"/>
      <c r="E95" s="94"/>
      <c r="F95" s="94"/>
      <c r="G95" s="110" t="str">
        <f aca="false">IF(OR($B95="",$E95="",$F95=""),"",MAX(0,F95-E95+1))</f>
        <v/>
      </c>
      <c r="H95" s="111" t="str">
        <f aca="false">IF(D95="","",IFERROR(VLOOKUP(D95,cfg_LT,2,FALSE()),1))</f>
        <v/>
      </c>
      <c r="I95" s="82"/>
      <c r="J95" s="111" t="str">
        <f aca="false">IF(D95="","",IF(I95&lt;&gt;"",I95,H95))</f>
        <v/>
      </c>
      <c r="K95" s="102" t="str">
        <f aca="false">IF(D95="","",IFERROR(VLOOKUP($D95,cfg_LT,3,FALSE()),""))</f>
        <v/>
      </c>
      <c r="L95" s="102" t="str">
        <f aca="false">IF(D95="","",IFERROR(VLOOKUP($D95,cfg_LT,4,FALSE()),""))</f>
        <v/>
      </c>
      <c r="M95" s="102" t="str">
        <f aca="false">IF(D95="","",IFERROR(VLOOKUP($D95,cfg_LT,5,FALSE()),""))</f>
        <v/>
      </c>
      <c r="N95" s="101" t="n">
        <f aca="false">IF(OR(OR($B95="",$E95="",$F95=""),M95&lt;&gt;"نعم"),0,G95*J95*IFERROR(INDEX(الموظفون!$R$6:$R$105,MATCH(B95,الموظفون!$B$6:$B$105,0)),0)/cfg_DAYS_M)</f>
        <v>0</v>
      </c>
      <c r="O95" s="100" t="str">
        <f aca="false">IF(OR(OR($B95="",$E95="",$F95=""),M95&lt;&gt;"نعم"),"",IF(YEAR(E95)=cfg_FY,MONTH(E95),""))</f>
        <v/>
      </c>
      <c r="P95" s="102" t="str">
        <f aca="false">IF(B95="","",IF(OR(D95="",E95="",F95=""),"⚠ أكمل النوع والتواريخ",IF(F95&lt;E95,"✖ النهاية قبل البداية",IF(COUNTIFS($B$6:$B$505,B95,$E$6:$E$505,"&lt;="&amp;F95,$F$6:$F$505,"&gt;="&amp;E95)&gt;1,"⚠ تداخل مع سجل آخر",IF(E95&gt;cfg_VAL_DATE,"⏳ قادمة",IF(F95&lt;cfg_VAL_DATE,"✔ منتهية","✈ جارية في تاريخ التقرير"))))))</f>
        <v/>
      </c>
      <c r="Q95" s="79"/>
      <c r="R95" s="110" t="n">
        <f aca="false">IF(OR(OR($B95="",$E95="",$F95=""),L95&lt;&gt;"لا"),0,MAX(0,MIN(F95,cfg_Y_START-1)-E95+1))</f>
        <v>0</v>
      </c>
      <c r="S95" s="110" t="n">
        <f aca="false">IF(OR(OR($B95="",$E95="",$F95=""),L95&lt;&gt;"لا"),0,MAX(0,MIN(F95,cfg_VAL_DATE)-E95+1))</f>
        <v>0</v>
      </c>
      <c r="T95" s="110" t="n">
        <f aca="false">IF(OR(OR($B95="",$E95="",$F95=""),K95&lt;&gt;"نعم"),0,IF(M95="نعم",IF(AND(ISNUMBER(O95),N(O95)&lt;=cfg_VAL_M),G95,0),MAX(0,MIN(F95,cfg_VAL_DATE)-MAX(E95,cfg_Y_START)+1)))</f>
        <v>0</v>
      </c>
      <c r="V95" s="110" t="n">
        <f aca="false">IF(OR($B95="",$E95="",$F95=""),0,MAX(0,MIN($F95,EOMONTH(DATE(cfg_FY,1,1),0))-MAX($E95,DATE(cfg_FY,1,1))+1)*(1-IF($M95="نعم",0,N($J95))))</f>
        <v>0</v>
      </c>
      <c r="W95" s="110" t="n">
        <f aca="false">IF(OR($B95="",$E95="",$F95=""),0,MAX(0,MIN($F95,EOMONTH(DATE(cfg_FY,2,1),0))-MAX($E95,DATE(cfg_FY,2,1))+1)*(1-IF($M95="نعم",0,N($J95))))</f>
        <v>0</v>
      </c>
      <c r="X95" s="110" t="n">
        <f aca="false">IF(OR($B95="",$E95="",$F95=""),0,MAX(0,MIN($F95,EOMONTH(DATE(cfg_FY,3,1),0))-MAX($E95,DATE(cfg_FY,3,1))+1)*(1-IF($M95="نعم",0,N($J95))))</f>
        <v>0</v>
      </c>
      <c r="Y95" s="110" t="n">
        <f aca="false">IF(OR($B95="",$E95="",$F95=""),0,MAX(0,MIN($F95,EOMONTH(DATE(cfg_FY,4,1),0))-MAX($E95,DATE(cfg_FY,4,1))+1)*(1-IF($M95="نعم",0,N($J95))))</f>
        <v>0</v>
      </c>
      <c r="Z95" s="110" t="n">
        <f aca="false">IF(OR($B95="",$E95="",$F95=""),0,MAX(0,MIN($F95,EOMONTH(DATE(cfg_FY,5,1),0))-MAX($E95,DATE(cfg_FY,5,1))+1)*(1-IF($M95="نعم",0,N($J95))))</f>
        <v>0</v>
      </c>
      <c r="AA95" s="110" t="n">
        <f aca="false">IF(OR($B95="",$E95="",$F95=""),0,MAX(0,MIN($F95,EOMONTH(DATE(cfg_FY,6,1),0))-MAX($E95,DATE(cfg_FY,6,1))+1)*(1-IF($M95="نعم",0,N($J95))))</f>
        <v>0</v>
      </c>
      <c r="AB95" s="110" t="n">
        <f aca="false">IF(OR($B95="",$E95="",$F95=""),0,MAX(0,MIN($F95,EOMONTH(DATE(cfg_FY,7,1),0))-MAX($E95,DATE(cfg_FY,7,1))+1)*(1-IF($M95="نعم",0,N($J95))))</f>
        <v>0</v>
      </c>
      <c r="AC95" s="110" t="n">
        <f aca="false">IF(OR($B95="",$E95="",$F95=""),0,MAX(0,MIN($F95,EOMONTH(DATE(cfg_FY,8,1),0))-MAX($E95,DATE(cfg_FY,8,1))+1)*(1-IF($M95="نعم",0,N($J95))))</f>
        <v>0</v>
      </c>
      <c r="AD95" s="110" t="n">
        <f aca="false">IF(OR($B95="",$E95="",$F95=""),0,MAX(0,MIN($F95,EOMONTH(DATE(cfg_FY,9,1),0))-MAX($E95,DATE(cfg_FY,9,1))+1)*(1-IF($M95="نعم",0,N($J95))))</f>
        <v>0</v>
      </c>
      <c r="AE95" s="110" t="n">
        <f aca="false">IF(OR($B95="",$E95="",$F95=""),0,MAX(0,MIN($F95,EOMONTH(DATE(cfg_FY,10,1),0))-MAX($E95,DATE(cfg_FY,10,1))+1)*(1-IF($M95="نعم",0,N($J95))))</f>
        <v>0</v>
      </c>
      <c r="AF95" s="110" t="n">
        <f aca="false">IF(OR($B95="",$E95="",$F95=""),0,MAX(0,MIN($F95,EOMONTH(DATE(cfg_FY,11,1),0))-MAX($E95,DATE(cfg_FY,11,1))+1)*(1-IF($M95="نعم",0,N($J95))))</f>
        <v>0</v>
      </c>
      <c r="AG95" s="110" t="n">
        <f aca="false">IF(OR($B95="",$E95="",$F95=""),0,MAX(0,MIN($F95,EOMONTH(DATE(cfg_FY,12,1),0))-MAX($E95,DATE(cfg_FY,12,1))+1)*(1-IF($M95="نعم",0,N($J95))))</f>
        <v>0</v>
      </c>
      <c r="AH95" s="110" t="n">
        <f aca="false">IF(OR(OR($B95="",$E95="",$F95=""),$L95&lt;&gt;"لا"),0,MAX(0,MIN($F95,EOMONTH(DATE(cfg_FY,1,1),0))-$E95+1))</f>
        <v>0</v>
      </c>
      <c r="AI95" s="110" t="n">
        <f aca="false">IF(OR(OR($B95="",$E95="",$F95=""),$L95&lt;&gt;"لا"),0,MAX(0,MIN($F95,EOMONTH(DATE(cfg_FY,2,1),0))-$E95+1))</f>
        <v>0</v>
      </c>
      <c r="AJ95" s="110" t="n">
        <f aca="false">IF(OR(OR($B95="",$E95="",$F95=""),$L95&lt;&gt;"لا"),0,MAX(0,MIN($F95,EOMONTH(DATE(cfg_FY,3,1),0))-$E95+1))</f>
        <v>0</v>
      </c>
      <c r="AK95" s="110" t="n">
        <f aca="false">IF(OR(OR($B95="",$E95="",$F95=""),$L95&lt;&gt;"لا"),0,MAX(0,MIN($F95,EOMONTH(DATE(cfg_FY,4,1),0))-$E95+1))</f>
        <v>0</v>
      </c>
      <c r="AL95" s="110" t="n">
        <f aca="false">IF(OR(OR($B95="",$E95="",$F95=""),$L95&lt;&gt;"لا"),0,MAX(0,MIN($F95,EOMONTH(DATE(cfg_FY,5,1),0))-$E95+1))</f>
        <v>0</v>
      </c>
      <c r="AM95" s="110" t="n">
        <f aca="false">IF(OR(OR($B95="",$E95="",$F95=""),$L95&lt;&gt;"لا"),0,MAX(0,MIN($F95,EOMONTH(DATE(cfg_FY,6,1),0))-$E95+1))</f>
        <v>0</v>
      </c>
      <c r="AN95" s="110" t="n">
        <f aca="false">IF(OR(OR($B95="",$E95="",$F95=""),$L95&lt;&gt;"لا"),0,MAX(0,MIN($F95,EOMONTH(DATE(cfg_FY,7,1),0))-$E95+1))</f>
        <v>0</v>
      </c>
      <c r="AO95" s="110" t="n">
        <f aca="false">IF(OR(OR($B95="",$E95="",$F95=""),$L95&lt;&gt;"لا"),0,MAX(0,MIN($F95,EOMONTH(DATE(cfg_FY,8,1),0))-$E95+1))</f>
        <v>0</v>
      </c>
      <c r="AP95" s="110" t="n">
        <f aca="false">IF(OR(OR($B95="",$E95="",$F95=""),$L95&lt;&gt;"لا"),0,MAX(0,MIN($F95,EOMONTH(DATE(cfg_FY,9,1),0))-$E95+1))</f>
        <v>0</v>
      </c>
      <c r="AQ95" s="110" t="n">
        <f aca="false">IF(OR(OR($B95="",$E95="",$F95=""),$L95&lt;&gt;"لا"),0,MAX(0,MIN($F95,EOMONTH(DATE(cfg_FY,10,1),0))-$E95+1))</f>
        <v>0</v>
      </c>
      <c r="AR95" s="110" t="n">
        <f aca="false">IF(OR(OR($B95="",$E95="",$F95=""),$L95&lt;&gt;"لا"),0,MAX(0,MIN($F95,EOMONTH(DATE(cfg_FY,11,1),0))-$E95+1))</f>
        <v>0</v>
      </c>
      <c r="AS95" s="110" t="n">
        <f aca="false">IF(OR(OR($B95="",$E95="",$F95=""),$L95&lt;&gt;"لا"),0,MAX(0,MIN($F95,EOMONTH(DATE(cfg_FY,12,1),0))-$E95+1))</f>
        <v>0</v>
      </c>
      <c r="AT95" s="110" t="n">
        <f aca="false">IF(OR(OR($B95="",$E95="",$F95=""),$K95&lt;&gt;"نعم",$M95="نعم"),0,MAX(0,MIN($F95,EOMONTH(DATE(cfg_FY,1,1),0))-MAX($E95,DATE(cfg_FY,1,1))+1))</f>
        <v>0</v>
      </c>
      <c r="AU95" s="110" t="n">
        <f aca="false">IF(OR(OR($B95="",$E95="",$F95=""),$K95&lt;&gt;"نعم",$M95="نعم"),0,MAX(0,MIN($F95,EOMONTH(DATE(cfg_FY,2,1),0))-MAX($E95,DATE(cfg_FY,2,1))+1))</f>
        <v>0</v>
      </c>
      <c r="AV95" s="110" t="n">
        <f aca="false">IF(OR(OR($B95="",$E95="",$F95=""),$K95&lt;&gt;"نعم",$M95="نعم"),0,MAX(0,MIN($F95,EOMONTH(DATE(cfg_FY,3,1),0))-MAX($E95,DATE(cfg_FY,3,1))+1))</f>
        <v>0</v>
      </c>
      <c r="AW95" s="110" t="n">
        <f aca="false">IF(OR(OR($B95="",$E95="",$F95=""),$K95&lt;&gt;"نعم",$M95="نعم"),0,MAX(0,MIN($F95,EOMONTH(DATE(cfg_FY,4,1),0))-MAX($E95,DATE(cfg_FY,4,1))+1))</f>
        <v>0</v>
      </c>
      <c r="AX95" s="110" t="n">
        <f aca="false">IF(OR(OR($B95="",$E95="",$F95=""),$K95&lt;&gt;"نعم",$M95="نعم"),0,MAX(0,MIN($F95,EOMONTH(DATE(cfg_FY,5,1),0))-MAX($E95,DATE(cfg_FY,5,1))+1))</f>
        <v>0</v>
      </c>
      <c r="AY95" s="110" t="n">
        <f aca="false">IF(OR(OR($B95="",$E95="",$F95=""),$K95&lt;&gt;"نعم",$M95="نعم"),0,MAX(0,MIN($F95,EOMONTH(DATE(cfg_FY,6,1),0))-MAX($E95,DATE(cfg_FY,6,1))+1))</f>
        <v>0</v>
      </c>
      <c r="AZ95" s="110" t="n">
        <f aca="false">IF(OR(OR($B95="",$E95="",$F95=""),$K95&lt;&gt;"نعم",$M95="نعم"),0,MAX(0,MIN($F95,EOMONTH(DATE(cfg_FY,7,1),0))-MAX($E95,DATE(cfg_FY,7,1))+1))</f>
        <v>0</v>
      </c>
      <c r="BA95" s="110" t="n">
        <f aca="false">IF(OR(OR($B95="",$E95="",$F95=""),$K95&lt;&gt;"نعم",$M95="نعم"),0,MAX(0,MIN($F95,EOMONTH(DATE(cfg_FY,8,1),0))-MAX($E95,DATE(cfg_FY,8,1))+1))</f>
        <v>0</v>
      </c>
      <c r="BB95" s="110" t="n">
        <f aca="false">IF(OR(OR($B95="",$E95="",$F95=""),$K95&lt;&gt;"نعم",$M95="نعم"),0,MAX(0,MIN($F95,EOMONTH(DATE(cfg_FY,9,1),0))-MAX($E95,DATE(cfg_FY,9,1))+1))</f>
        <v>0</v>
      </c>
      <c r="BC95" s="110" t="n">
        <f aca="false">IF(OR(OR($B95="",$E95="",$F95=""),$K95&lt;&gt;"نعم",$M95="نعم"),0,MAX(0,MIN($F95,EOMONTH(DATE(cfg_FY,10,1),0))-MAX($E95,DATE(cfg_FY,10,1))+1))</f>
        <v>0</v>
      </c>
      <c r="BD95" s="110" t="n">
        <f aca="false">IF(OR(OR($B95="",$E95="",$F95=""),$K95&lt;&gt;"نعم",$M95="نعم"),0,MAX(0,MIN($F95,EOMONTH(DATE(cfg_FY,11,1),0))-MAX($E95,DATE(cfg_FY,11,1))+1))</f>
        <v>0</v>
      </c>
      <c r="BE95" s="110" t="n">
        <f aca="false">IF(OR(OR($B95="",$E95="",$F95=""),$K95&lt;&gt;"نعم",$M95="نعم"),0,MAX(0,MIN($F95,EOMONTH(DATE(cfg_FY,12,1),0))-MAX($E95,DATE(cfg_FY,12,1))+1))</f>
        <v>0</v>
      </c>
    </row>
    <row r="96" customFormat="false" ht="15" hidden="false" customHeight="false" outlineLevel="0" collapsed="false">
      <c r="A96" s="93" t="str">
        <f aca="false">IF(B96="","",ROW()-5)</f>
        <v/>
      </c>
      <c r="B96" s="79"/>
      <c r="C96" s="80" t="str">
        <f aca="false">IF(B96="","",IFERROR(INDEX(الموظفون!$C$6:$C$105,MATCH(B96,الموظفون!$B$6:$B$105,0)),"✖ رقم غير موجود"))</f>
        <v/>
      </c>
      <c r="D96" s="79"/>
      <c r="E96" s="94"/>
      <c r="F96" s="94"/>
      <c r="G96" s="57" t="str">
        <f aca="false">IF(OR($B96="",$E96="",$F96=""),"",MAX(0,F96-E96+1))</f>
        <v/>
      </c>
      <c r="H96" s="58" t="str">
        <f aca="false">IF(D96="","",IFERROR(VLOOKUP(D96,cfg_LT,2,FALSE()),1))</f>
        <v/>
      </c>
      <c r="I96" s="82"/>
      <c r="J96" s="58" t="str">
        <f aca="false">IF(D96="","",IF(I96&lt;&gt;"",I96,H96))</f>
        <v/>
      </c>
      <c r="K96" s="80" t="str">
        <f aca="false">IF(D96="","",IFERROR(VLOOKUP($D96,cfg_LT,3,FALSE()),""))</f>
        <v/>
      </c>
      <c r="L96" s="80" t="str">
        <f aca="false">IF(D96="","",IFERROR(VLOOKUP($D96,cfg_LT,4,FALSE()),""))</f>
        <v/>
      </c>
      <c r="M96" s="80" t="str">
        <f aca="false">IF(D96="","",IFERROR(VLOOKUP($D96,cfg_LT,5,FALSE()),""))</f>
        <v/>
      </c>
      <c r="N96" s="97" t="n">
        <f aca="false">IF(OR(OR($B96="",$E96="",$F96=""),M96&lt;&gt;"نعم"),0,G96*J96*IFERROR(INDEX(الموظفون!$R$6:$R$105,MATCH(B96,الموظفون!$B$6:$B$105,0)),0)/cfg_DAYS_M)</f>
        <v>0</v>
      </c>
      <c r="O96" s="93" t="str">
        <f aca="false">IF(OR(OR($B96="",$E96="",$F96=""),M96&lt;&gt;"نعم"),"",IF(YEAR(E96)=cfg_FY,MONTH(E96),""))</f>
        <v/>
      </c>
      <c r="P96" s="80" t="str">
        <f aca="false">IF(B96="","",IF(OR(D96="",E96="",F96=""),"⚠ أكمل النوع والتواريخ",IF(F96&lt;E96,"✖ النهاية قبل البداية",IF(COUNTIFS($B$6:$B$505,B96,$E$6:$E$505,"&lt;="&amp;F96,$F$6:$F$505,"&gt;="&amp;E96)&gt;1,"⚠ تداخل مع سجل آخر",IF(E96&gt;cfg_VAL_DATE,"⏳ قادمة",IF(F96&lt;cfg_VAL_DATE,"✔ منتهية","✈ جارية في تاريخ التقرير"))))))</f>
        <v/>
      </c>
      <c r="Q96" s="79"/>
      <c r="R96" s="57" t="n">
        <f aca="false">IF(OR(OR($B96="",$E96="",$F96=""),L96&lt;&gt;"لا"),0,MAX(0,MIN(F96,cfg_Y_START-1)-E96+1))</f>
        <v>0</v>
      </c>
      <c r="S96" s="57" t="n">
        <f aca="false">IF(OR(OR($B96="",$E96="",$F96=""),L96&lt;&gt;"لا"),0,MAX(0,MIN(F96,cfg_VAL_DATE)-E96+1))</f>
        <v>0</v>
      </c>
      <c r="T96" s="57" t="n">
        <f aca="false">IF(OR(OR($B96="",$E96="",$F96=""),K96&lt;&gt;"نعم"),0,IF(M96="نعم",IF(AND(ISNUMBER(O96),N(O96)&lt;=cfg_VAL_M),G96,0),MAX(0,MIN(F96,cfg_VAL_DATE)-MAX(E96,cfg_Y_START)+1)))</f>
        <v>0</v>
      </c>
      <c r="V96" s="57" t="n">
        <f aca="false">IF(OR($B96="",$E96="",$F96=""),0,MAX(0,MIN($F96,EOMONTH(DATE(cfg_FY,1,1),0))-MAX($E96,DATE(cfg_FY,1,1))+1)*(1-IF($M96="نعم",0,N($J96))))</f>
        <v>0</v>
      </c>
      <c r="W96" s="57" t="n">
        <f aca="false">IF(OR($B96="",$E96="",$F96=""),0,MAX(0,MIN($F96,EOMONTH(DATE(cfg_FY,2,1),0))-MAX($E96,DATE(cfg_FY,2,1))+1)*(1-IF($M96="نعم",0,N($J96))))</f>
        <v>0</v>
      </c>
      <c r="X96" s="57" t="n">
        <f aca="false">IF(OR($B96="",$E96="",$F96=""),0,MAX(0,MIN($F96,EOMONTH(DATE(cfg_FY,3,1),0))-MAX($E96,DATE(cfg_FY,3,1))+1)*(1-IF($M96="نعم",0,N($J96))))</f>
        <v>0</v>
      </c>
      <c r="Y96" s="57" t="n">
        <f aca="false">IF(OR($B96="",$E96="",$F96=""),0,MAX(0,MIN($F96,EOMONTH(DATE(cfg_FY,4,1),0))-MAX($E96,DATE(cfg_FY,4,1))+1)*(1-IF($M96="نعم",0,N($J96))))</f>
        <v>0</v>
      </c>
      <c r="Z96" s="57" t="n">
        <f aca="false">IF(OR($B96="",$E96="",$F96=""),0,MAX(0,MIN($F96,EOMONTH(DATE(cfg_FY,5,1),0))-MAX($E96,DATE(cfg_FY,5,1))+1)*(1-IF($M96="نعم",0,N($J96))))</f>
        <v>0</v>
      </c>
      <c r="AA96" s="57" t="n">
        <f aca="false">IF(OR($B96="",$E96="",$F96=""),0,MAX(0,MIN($F96,EOMONTH(DATE(cfg_FY,6,1),0))-MAX($E96,DATE(cfg_FY,6,1))+1)*(1-IF($M96="نعم",0,N($J96))))</f>
        <v>0</v>
      </c>
      <c r="AB96" s="57" t="n">
        <f aca="false">IF(OR($B96="",$E96="",$F96=""),0,MAX(0,MIN($F96,EOMONTH(DATE(cfg_FY,7,1),0))-MAX($E96,DATE(cfg_FY,7,1))+1)*(1-IF($M96="نعم",0,N($J96))))</f>
        <v>0</v>
      </c>
      <c r="AC96" s="57" t="n">
        <f aca="false">IF(OR($B96="",$E96="",$F96=""),0,MAX(0,MIN($F96,EOMONTH(DATE(cfg_FY,8,1),0))-MAX($E96,DATE(cfg_FY,8,1))+1)*(1-IF($M96="نعم",0,N($J96))))</f>
        <v>0</v>
      </c>
      <c r="AD96" s="57" t="n">
        <f aca="false">IF(OR($B96="",$E96="",$F96=""),0,MAX(0,MIN($F96,EOMONTH(DATE(cfg_FY,9,1),0))-MAX($E96,DATE(cfg_FY,9,1))+1)*(1-IF($M96="نعم",0,N($J96))))</f>
        <v>0</v>
      </c>
      <c r="AE96" s="57" t="n">
        <f aca="false">IF(OR($B96="",$E96="",$F96=""),0,MAX(0,MIN($F96,EOMONTH(DATE(cfg_FY,10,1),0))-MAX($E96,DATE(cfg_FY,10,1))+1)*(1-IF($M96="نعم",0,N($J96))))</f>
        <v>0</v>
      </c>
      <c r="AF96" s="57" t="n">
        <f aca="false">IF(OR($B96="",$E96="",$F96=""),0,MAX(0,MIN($F96,EOMONTH(DATE(cfg_FY,11,1),0))-MAX($E96,DATE(cfg_FY,11,1))+1)*(1-IF($M96="نعم",0,N($J96))))</f>
        <v>0</v>
      </c>
      <c r="AG96" s="57" t="n">
        <f aca="false">IF(OR($B96="",$E96="",$F96=""),0,MAX(0,MIN($F96,EOMONTH(DATE(cfg_FY,12,1),0))-MAX($E96,DATE(cfg_FY,12,1))+1)*(1-IF($M96="نعم",0,N($J96))))</f>
        <v>0</v>
      </c>
      <c r="AH96" s="57" t="n">
        <f aca="false">IF(OR(OR($B96="",$E96="",$F96=""),$L96&lt;&gt;"لا"),0,MAX(0,MIN($F96,EOMONTH(DATE(cfg_FY,1,1),0))-$E96+1))</f>
        <v>0</v>
      </c>
      <c r="AI96" s="57" t="n">
        <f aca="false">IF(OR(OR($B96="",$E96="",$F96=""),$L96&lt;&gt;"لا"),0,MAX(0,MIN($F96,EOMONTH(DATE(cfg_FY,2,1),0))-$E96+1))</f>
        <v>0</v>
      </c>
      <c r="AJ96" s="57" t="n">
        <f aca="false">IF(OR(OR($B96="",$E96="",$F96=""),$L96&lt;&gt;"لا"),0,MAX(0,MIN($F96,EOMONTH(DATE(cfg_FY,3,1),0))-$E96+1))</f>
        <v>0</v>
      </c>
      <c r="AK96" s="57" t="n">
        <f aca="false">IF(OR(OR($B96="",$E96="",$F96=""),$L96&lt;&gt;"لا"),0,MAX(0,MIN($F96,EOMONTH(DATE(cfg_FY,4,1),0))-$E96+1))</f>
        <v>0</v>
      </c>
      <c r="AL96" s="57" t="n">
        <f aca="false">IF(OR(OR($B96="",$E96="",$F96=""),$L96&lt;&gt;"لا"),0,MAX(0,MIN($F96,EOMONTH(DATE(cfg_FY,5,1),0))-$E96+1))</f>
        <v>0</v>
      </c>
      <c r="AM96" s="57" t="n">
        <f aca="false">IF(OR(OR($B96="",$E96="",$F96=""),$L96&lt;&gt;"لا"),0,MAX(0,MIN($F96,EOMONTH(DATE(cfg_FY,6,1),0))-$E96+1))</f>
        <v>0</v>
      </c>
      <c r="AN96" s="57" t="n">
        <f aca="false">IF(OR(OR($B96="",$E96="",$F96=""),$L96&lt;&gt;"لا"),0,MAX(0,MIN($F96,EOMONTH(DATE(cfg_FY,7,1),0))-$E96+1))</f>
        <v>0</v>
      </c>
      <c r="AO96" s="57" t="n">
        <f aca="false">IF(OR(OR($B96="",$E96="",$F96=""),$L96&lt;&gt;"لا"),0,MAX(0,MIN($F96,EOMONTH(DATE(cfg_FY,8,1),0))-$E96+1))</f>
        <v>0</v>
      </c>
      <c r="AP96" s="57" t="n">
        <f aca="false">IF(OR(OR($B96="",$E96="",$F96=""),$L96&lt;&gt;"لا"),0,MAX(0,MIN($F96,EOMONTH(DATE(cfg_FY,9,1),0))-$E96+1))</f>
        <v>0</v>
      </c>
      <c r="AQ96" s="57" t="n">
        <f aca="false">IF(OR(OR($B96="",$E96="",$F96=""),$L96&lt;&gt;"لا"),0,MAX(0,MIN($F96,EOMONTH(DATE(cfg_FY,10,1),0))-$E96+1))</f>
        <v>0</v>
      </c>
      <c r="AR96" s="57" t="n">
        <f aca="false">IF(OR(OR($B96="",$E96="",$F96=""),$L96&lt;&gt;"لا"),0,MAX(0,MIN($F96,EOMONTH(DATE(cfg_FY,11,1),0))-$E96+1))</f>
        <v>0</v>
      </c>
      <c r="AS96" s="57" t="n">
        <f aca="false">IF(OR(OR($B96="",$E96="",$F96=""),$L96&lt;&gt;"لا"),0,MAX(0,MIN($F96,EOMONTH(DATE(cfg_FY,12,1),0))-$E96+1))</f>
        <v>0</v>
      </c>
      <c r="AT96" s="57" t="n">
        <f aca="false">IF(OR(OR($B96="",$E96="",$F96=""),$K96&lt;&gt;"نعم",$M96="نعم"),0,MAX(0,MIN($F96,EOMONTH(DATE(cfg_FY,1,1),0))-MAX($E96,DATE(cfg_FY,1,1))+1))</f>
        <v>0</v>
      </c>
      <c r="AU96" s="57" t="n">
        <f aca="false">IF(OR(OR($B96="",$E96="",$F96=""),$K96&lt;&gt;"نعم",$M96="نعم"),0,MAX(0,MIN($F96,EOMONTH(DATE(cfg_FY,2,1),0))-MAX($E96,DATE(cfg_FY,2,1))+1))</f>
        <v>0</v>
      </c>
      <c r="AV96" s="57" t="n">
        <f aca="false">IF(OR(OR($B96="",$E96="",$F96=""),$K96&lt;&gt;"نعم",$M96="نعم"),0,MAX(0,MIN($F96,EOMONTH(DATE(cfg_FY,3,1),0))-MAX($E96,DATE(cfg_FY,3,1))+1))</f>
        <v>0</v>
      </c>
      <c r="AW96" s="57" t="n">
        <f aca="false">IF(OR(OR($B96="",$E96="",$F96=""),$K96&lt;&gt;"نعم",$M96="نعم"),0,MAX(0,MIN($F96,EOMONTH(DATE(cfg_FY,4,1),0))-MAX($E96,DATE(cfg_FY,4,1))+1))</f>
        <v>0</v>
      </c>
      <c r="AX96" s="57" t="n">
        <f aca="false">IF(OR(OR($B96="",$E96="",$F96=""),$K96&lt;&gt;"نعم",$M96="نعم"),0,MAX(0,MIN($F96,EOMONTH(DATE(cfg_FY,5,1),0))-MAX($E96,DATE(cfg_FY,5,1))+1))</f>
        <v>0</v>
      </c>
      <c r="AY96" s="57" t="n">
        <f aca="false">IF(OR(OR($B96="",$E96="",$F96=""),$K96&lt;&gt;"نعم",$M96="نعم"),0,MAX(0,MIN($F96,EOMONTH(DATE(cfg_FY,6,1),0))-MAX($E96,DATE(cfg_FY,6,1))+1))</f>
        <v>0</v>
      </c>
      <c r="AZ96" s="57" t="n">
        <f aca="false">IF(OR(OR($B96="",$E96="",$F96=""),$K96&lt;&gt;"نعم",$M96="نعم"),0,MAX(0,MIN($F96,EOMONTH(DATE(cfg_FY,7,1),0))-MAX($E96,DATE(cfg_FY,7,1))+1))</f>
        <v>0</v>
      </c>
      <c r="BA96" s="57" t="n">
        <f aca="false">IF(OR(OR($B96="",$E96="",$F96=""),$K96&lt;&gt;"نعم",$M96="نعم"),0,MAX(0,MIN($F96,EOMONTH(DATE(cfg_FY,8,1),0))-MAX($E96,DATE(cfg_FY,8,1))+1))</f>
        <v>0</v>
      </c>
      <c r="BB96" s="57" t="n">
        <f aca="false">IF(OR(OR($B96="",$E96="",$F96=""),$K96&lt;&gt;"نعم",$M96="نعم"),0,MAX(0,MIN($F96,EOMONTH(DATE(cfg_FY,9,1),0))-MAX($E96,DATE(cfg_FY,9,1))+1))</f>
        <v>0</v>
      </c>
      <c r="BC96" s="57" t="n">
        <f aca="false">IF(OR(OR($B96="",$E96="",$F96=""),$K96&lt;&gt;"نعم",$M96="نعم"),0,MAX(0,MIN($F96,EOMONTH(DATE(cfg_FY,10,1),0))-MAX($E96,DATE(cfg_FY,10,1))+1))</f>
        <v>0</v>
      </c>
      <c r="BD96" s="57" t="n">
        <f aca="false">IF(OR(OR($B96="",$E96="",$F96=""),$K96&lt;&gt;"نعم",$M96="نعم"),0,MAX(0,MIN($F96,EOMONTH(DATE(cfg_FY,11,1),0))-MAX($E96,DATE(cfg_FY,11,1))+1))</f>
        <v>0</v>
      </c>
      <c r="BE96" s="57" t="n">
        <f aca="false">IF(OR(OR($B96="",$E96="",$F96=""),$K96&lt;&gt;"نعم",$M96="نعم"),0,MAX(0,MIN($F96,EOMONTH(DATE(cfg_FY,12,1),0))-MAX($E96,DATE(cfg_FY,12,1))+1))</f>
        <v>0</v>
      </c>
    </row>
    <row r="97" customFormat="false" ht="15" hidden="false" customHeight="false" outlineLevel="0" collapsed="false">
      <c r="A97" s="100" t="str">
        <f aca="false">IF(B97="","",ROW()-5)</f>
        <v/>
      </c>
      <c r="B97" s="79"/>
      <c r="C97" s="102" t="str">
        <f aca="false">IF(B97="","",IFERROR(INDEX(الموظفون!$C$6:$C$105,MATCH(B97,الموظفون!$B$6:$B$105,0)),"✖ رقم غير موجود"))</f>
        <v/>
      </c>
      <c r="D97" s="79"/>
      <c r="E97" s="94"/>
      <c r="F97" s="94"/>
      <c r="G97" s="110" t="str">
        <f aca="false">IF(OR($B97="",$E97="",$F97=""),"",MAX(0,F97-E97+1))</f>
        <v/>
      </c>
      <c r="H97" s="111" t="str">
        <f aca="false">IF(D97="","",IFERROR(VLOOKUP(D97,cfg_LT,2,FALSE()),1))</f>
        <v/>
      </c>
      <c r="I97" s="82"/>
      <c r="J97" s="111" t="str">
        <f aca="false">IF(D97="","",IF(I97&lt;&gt;"",I97,H97))</f>
        <v/>
      </c>
      <c r="K97" s="102" t="str">
        <f aca="false">IF(D97="","",IFERROR(VLOOKUP($D97,cfg_LT,3,FALSE()),""))</f>
        <v/>
      </c>
      <c r="L97" s="102" t="str">
        <f aca="false">IF(D97="","",IFERROR(VLOOKUP($D97,cfg_LT,4,FALSE()),""))</f>
        <v/>
      </c>
      <c r="M97" s="102" t="str">
        <f aca="false">IF(D97="","",IFERROR(VLOOKUP($D97,cfg_LT,5,FALSE()),""))</f>
        <v/>
      </c>
      <c r="N97" s="101" t="n">
        <f aca="false">IF(OR(OR($B97="",$E97="",$F97=""),M97&lt;&gt;"نعم"),0,G97*J97*IFERROR(INDEX(الموظفون!$R$6:$R$105,MATCH(B97,الموظفون!$B$6:$B$105,0)),0)/cfg_DAYS_M)</f>
        <v>0</v>
      </c>
      <c r="O97" s="100" t="str">
        <f aca="false">IF(OR(OR($B97="",$E97="",$F97=""),M97&lt;&gt;"نعم"),"",IF(YEAR(E97)=cfg_FY,MONTH(E97),""))</f>
        <v/>
      </c>
      <c r="P97" s="102" t="str">
        <f aca="false">IF(B97="","",IF(OR(D97="",E97="",F97=""),"⚠ أكمل النوع والتواريخ",IF(F97&lt;E97,"✖ النهاية قبل البداية",IF(COUNTIFS($B$6:$B$505,B97,$E$6:$E$505,"&lt;="&amp;F97,$F$6:$F$505,"&gt;="&amp;E97)&gt;1,"⚠ تداخل مع سجل آخر",IF(E97&gt;cfg_VAL_DATE,"⏳ قادمة",IF(F97&lt;cfg_VAL_DATE,"✔ منتهية","✈ جارية في تاريخ التقرير"))))))</f>
        <v/>
      </c>
      <c r="Q97" s="79"/>
      <c r="R97" s="110" t="n">
        <f aca="false">IF(OR(OR($B97="",$E97="",$F97=""),L97&lt;&gt;"لا"),0,MAX(0,MIN(F97,cfg_Y_START-1)-E97+1))</f>
        <v>0</v>
      </c>
      <c r="S97" s="110" t="n">
        <f aca="false">IF(OR(OR($B97="",$E97="",$F97=""),L97&lt;&gt;"لا"),0,MAX(0,MIN(F97,cfg_VAL_DATE)-E97+1))</f>
        <v>0</v>
      </c>
      <c r="T97" s="110" t="n">
        <f aca="false">IF(OR(OR($B97="",$E97="",$F97=""),K97&lt;&gt;"نعم"),0,IF(M97="نعم",IF(AND(ISNUMBER(O97),N(O97)&lt;=cfg_VAL_M),G97,0),MAX(0,MIN(F97,cfg_VAL_DATE)-MAX(E97,cfg_Y_START)+1)))</f>
        <v>0</v>
      </c>
      <c r="V97" s="110" t="n">
        <f aca="false">IF(OR($B97="",$E97="",$F97=""),0,MAX(0,MIN($F97,EOMONTH(DATE(cfg_FY,1,1),0))-MAX($E97,DATE(cfg_FY,1,1))+1)*(1-IF($M97="نعم",0,N($J97))))</f>
        <v>0</v>
      </c>
      <c r="W97" s="110" t="n">
        <f aca="false">IF(OR($B97="",$E97="",$F97=""),0,MAX(0,MIN($F97,EOMONTH(DATE(cfg_FY,2,1),0))-MAX($E97,DATE(cfg_FY,2,1))+1)*(1-IF($M97="نعم",0,N($J97))))</f>
        <v>0</v>
      </c>
      <c r="X97" s="110" t="n">
        <f aca="false">IF(OR($B97="",$E97="",$F97=""),0,MAX(0,MIN($F97,EOMONTH(DATE(cfg_FY,3,1),0))-MAX($E97,DATE(cfg_FY,3,1))+1)*(1-IF($M97="نعم",0,N($J97))))</f>
        <v>0</v>
      </c>
      <c r="Y97" s="110" t="n">
        <f aca="false">IF(OR($B97="",$E97="",$F97=""),0,MAX(0,MIN($F97,EOMONTH(DATE(cfg_FY,4,1),0))-MAX($E97,DATE(cfg_FY,4,1))+1)*(1-IF($M97="نعم",0,N($J97))))</f>
        <v>0</v>
      </c>
      <c r="Z97" s="110" t="n">
        <f aca="false">IF(OR($B97="",$E97="",$F97=""),0,MAX(0,MIN($F97,EOMONTH(DATE(cfg_FY,5,1),0))-MAX($E97,DATE(cfg_FY,5,1))+1)*(1-IF($M97="نعم",0,N($J97))))</f>
        <v>0</v>
      </c>
      <c r="AA97" s="110" t="n">
        <f aca="false">IF(OR($B97="",$E97="",$F97=""),0,MAX(0,MIN($F97,EOMONTH(DATE(cfg_FY,6,1),0))-MAX($E97,DATE(cfg_FY,6,1))+1)*(1-IF($M97="نعم",0,N($J97))))</f>
        <v>0</v>
      </c>
      <c r="AB97" s="110" t="n">
        <f aca="false">IF(OR($B97="",$E97="",$F97=""),0,MAX(0,MIN($F97,EOMONTH(DATE(cfg_FY,7,1),0))-MAX($E97,DATE(cfg_FY,7,1))+1)*(1-IF($M97="نعم",0,N($J97))))</f>
        <v>0</v>
      </c>
      <c r="AC97" s="110" t="n">
        <f aca="false">IF(OR($B97="",$E97="",$F97=""),0,MAX(0,MIN($F97,EOMONTH(DATE(cfg_FY,8,1),0))-MAX($E97,DATE(cfg_FY,8,1))+1)*(1-IF($M97="نعم",0,N($J97))))</f>
        <v>0</v>
      </c>
      <c r="AD97" s="110" t="n">
        <f aca="false">IF(OR($B97="",$E97="",$F97=""),0,MAX(0,MIN($F97,EOMONTH(DATE(cfg_FY,9,1),0))-MAX($E97,DATE(cfg_FY,9,1))+1)*(1-IF($M97="نعم",0,N($J97))))</f>
        <v>0</v>
      </c>
      <c r="AE97" s="110" t="n">
        <f aca="false">IF(OR($B97="",$E97="",$F97=""),0,MAX(0,MIN($F97,EOMONTH(DATE(cfg_FY,10,1),0))-MAX($E97,DATE(cfg_FY,10,1))+1)*(1-IF($M97="نعم",0,N($J97))))</f>
        <v>0</v>
      </c>
      <c r="AF97" s="110" t="n">
        <f aca="false">IF(OR($B97="",$E97="",$F97=""),0,MAX(0,MIN($F97,EOMONTH(DATE(cfg_FY,11,1),0))-MAX($E97,DATE(cfg_FY,11,1))+1)*(1-IF($M97="نعم",0,N($J97))))</f>
        <v>0</v>
      </c>
      <c r="AG97" s="110" t="n">
        <f aca="false">IF(OR($B97="",$E97="",$F97=""),0,MAX(0,MIN($F97,EOMONTH(DATE(cfg_FY,12,1),0))-MAX($E97,DATE(cfg_FY,12,1))+1)*(1-IF($M97="نعم",0,N($J97))))</f>
        <v>0</v>
      </c>
      <c r="AH97" s="110" t="n">
        <f aca="false">IF(OR(OR($B97="",$E97="",$F97=""),$L97&lt;&gt;"لا"),0,MAX(0,MIN($F97,EOMONTH(DATE(cfg_FY,1,1),0))-$E97+1))</f>
        <v>0</v>
      </c>
      <c r="AI97" s="110" t="n">
        <f aca="false">IF(OR(OR($B97="",$E97="",$F97=""),$L97&lt;&gt;"لا"),0,MAX(0,MIN($F97,EOMONTH(DATE(cfg_FY,2,1),0))-$E97+1))</f>
        <v>0</v>
      </c>
      <c r="AJ97" s="110" t="n">
        <f aca="false">IF(OR(OR($B97="",$E97="",$F97=""),$L97&lt;&gt;"لا"),0,MAX(0,MIN($F97,EOMONTH(DATE(cfg_FY,3,1),0))-$E97+1))</f>
        <v>0</v>
      </c>
      <c r="AK97" s="110" t="n">
        <f aca="false">IF(OR(OR($B97="",$E97="",$F97=""),$L97&lt;&gt;"لا"),0,MAX(0,MIN($F97,EOMONTH(DATE(cfg_FY,4,1),0))-$E97+1))</f>
        <v>0</v>
      </c>
      <c r="AL97" s="110" t="n">
        <f aca="false">IF(OR(OR($B97="",$E97="",$F97=""),$L97&lt;&gt;"لا"),0,MAX(0,MIN($F97,EOMONTH(DATE(cfg_FY,5,1),0))-$E97+1))</f>
        <v>0</v>
      </c>
      <c r="AM97" s="110" t="n">
        <f aca="false">IF(OR(OR($B97="",$E97="",$F97=""),$L97&lt;&gt;"لا"),0,MAX(0,MIN($F97,EOMONTH(DATE(cfg_FY,6,1),0))-$E97+1))</f>
        <v>0</v>
      </c>
      <c r="AN97" s="110" t="n">
        <f aca="false">IF(OR(OR($B97="",$E97="",$F97=""),$L97&lt;&gt;"لا"),0,MAX(0,MIN($F97,EOMONTH(DATE(cfg_FY,7,1),0))-$E97+1))</f>
        <v>0</v>
      </c>
      <c r="AO97" s="110" t="n">
        <f aca="false">IF(OR(OR($B97="",$E97="",$F97=""),$L97&lt;&gt;"لا"),0,MAX(0,MIN($F97,EOMONTH(DATE(cfg_FY,8,1),0))-$E97+1))</f>
        <v>0</v>
      </c>
      <c r="AP97" s="110" t="n">
        <f aca="false">IF(OR(OR($B97="",$E97="",$F97=""),$L97&lt;&gt;"لا"),0,MAX(0,MIN($F97,EOMONTH(DATE(cfg_FY,9,1),0))-$E97+1))</f>
        <v>0</v>
      </c>
      <c r="AQ97" s="110" t="n">
        <f aca="false">IF(OR(OR($B97="",$E97="",$F97=""),$L97&lt;&gt;"لا"),0,MAX(0,MIN($F97,EOMONTH(DATE(cfg_FY,10,1),0))-$E97+1))</f>
        <v>0</v>
      </c>
      <c r="AR97" s="110" t="n">
        <f aca="false">IF(OR(OR($B97="",$E97="",$F97=""),$L97&lt;&gt;"لا"),0,MAX(0,MIN($F97,EOMONTH(DATE(cfg_FY,11,1),0))-$E97+1))</f>
        <v>0</v>
      </c>
      <c r="AS97" s="110" t="n">
        <f aca="false">IF(OR(OR($B97="",$E97="",$F97=""),$L97&lt;&gt;"لا"),0,MAX(0,MIN($F97,EOMONTH(DATE(cfg_FY,12,1),0))-$E97+1))</f>
        <v>0</v>
      </c>
      <c r="AT97" s="110" t="n">
        <f aca="false">IF(OR(OR($B97="",$E97="",$F97=""),$K97&lt;&gt;"نعم",$M97="نعم"),0,MAX(0,MIN($F97,EOMONTH(DATE(cfg_FY,1,1),0))-MAX($E97,DATE(cfg_FY,1,1))+1))</f>
        <v>0</v>
      </c>
      <c r="AU97" s="110" t="n">
        <f aca="false">IF(OR(OR($B97="",$E97="",$F97=""),$K97&lt;&gt;"نعم",$M97="نعم"),0,MAX(0,MIN($F97,EOMONTH(DATE(cfg_FY,2,1),0))-MAX($E97,DATE(cfg_FY,2,1))+1))</f>
        <v>0</v>
      </c>
      <c r="AV97" s="110" t="n">
        <f aca="false">IF(OR(OR($B97="",$E97="",$F97=""),$K97&lt;&gt;"نعم",$M97="نعم"),0,MAX(0,MIN($F97,EOMONTH(DATE(cfg_FY,3,1),0))-MAX($E97,DATE(cfg_FY,3,1))+1))</f>
        <v>0</v>
      </c>
      <c r="AW97" s="110" t="n">
        <f aca="false">IF(OR(OR($B97="",$E97="",$F97=""),$K97&lt;&gt;"نعم",$M97="نعم"),0,MAX(0,MIN($F97,EOMONTH(DATE(cfg_FY,4,1),0))-MAX($E97,DATE(cfg_FY,4,1))+1))</f>
        <v>0</v>
      </c>
      <c r="AX97" s="110" t="n">
        <f aca="false">IF(OR(OR($B97="",$E97="",$F97=""),$K97&lt;&gt;"نعم",$M97="نعم"),0,MAX(0,MIN($F97,EOMONTH(DATE(cfg_FY,5,1),0))-MAX($E97,DATE(cfg_FY,5,1))+1))</f>
        <v>0</v>
      </c>
      <c r="AY97" s="110" t="n">
        <f aca="false">IF(OR(OR($B97="",$E97="",$F97=""),$K97&lt;&gt;"نعم",$M97="نعم"),0,MAX(0,MIN($F97,EOMONTH(DATE(cfg_FY,6,1),0))-MAX($E97,DATE(cfg_FY,6,1))+1))</f>
        <v>0</v>
      </c>
      <c r="AZ97" s="110" t="n">
        <f aca="false">IF(OR(OR($B97="",$E97="",$F97=""),$K97&lt;&gt;"نعم",$M97="نعم"),0,MAX(0,MIN($F97,EOMONTH(DATE(cfg_FY,7,1),0))-MAX($E97,DATE(cfg_FY,7,1))+1))</f>
        <v>0</v>
      </c>
      <c r="BA97" s="110" t="n">
        <f aca="false">IF(OR(OR($B97="",$E97="",$F97=""),$K97&lt;&gt;"نعم",$M97="نعم"),0,MAX(0,MIN($F97,EOMONTH(DATE(cfg_FY,8,1),0))-MAX($E97,DATE(cfg_FY,8,1))+1))</f>
        <v>0</v>
      </c>
      <c r="BB97" s="110" t="n">
        <f aca="false">IF(OR(OR($B97="",$E97="",$F97=""),$K97&lt;&gt;"نعم",$M97="نعم"),0,MAX(0,MIN($F97,EOMONTH(DATE(cfg_FY,9,1),0))-MAX($E97,DATE(cfg_FY,9,1))+1))</f>
        <v>0</v>
      </c>
      <c r="BC97" s="110" t="n">
        <f aca="false">IF(OR(OR($B97="",$E97="",$F97=""),$K97&lt;&gt;"نعم",$M97="نعم"),0,MAX(0,MIN($F97,EOMONTH(DATE(cfg_FY,10,1),0))-MAX($E97,DATE(cfg_FY,10,1))+1))</f>
        <v>0</v>
      </c>
      <c r="BD97" s="110" t="n">
        <f aca="false">IF(OR(OR($B97="",$E97="",$F97=""),$K97&lt;&gt;"نعم",$M97="نعم"),0,MAX(0,MIN($F97,EOMONTH(DATE(cfg_FY,11,1),0))-MAX($E97,DATE(cfg_FY,11,1))+1))</f>
        <v>0</v>
      </c>
      <c r="BE97" s="110" t="n">
        <f aca="false">IF(OR(OR($B97="",$E97="",$F97=""),$K97&lt;&gt;"نعم",$M97="نعم"),0,MAX(0,MIN($F97,EOMONTH(DATE(cfg_FY,12,1),0))-MAX($E97,DATE(cfg_FY,12,1))+1))</f>
        <v>0</v>
      </c>
    </row>
    <row r="98" customFormat="false" ht="15" hidden="false" customHeight="false" outlineLevel="0" collapsed="false">
      <c r="A98" s="93" t="str">
        <f aca="false">IF(B98="","",ROW()-5)</f>
        <v/>
      </c>
      <c r="B98" s="79"/>
      <c r="C98" s="80" t="str">
        <f aca="false">IF(B98="","",IFERROR(INDEX(الموظفون!$C$6:$C$105,MATCH(B98,الموظفون!$B$6:$B$105,0)),"✖ رقم غير موجود"))</f>
        <v/>
      </c>
      <c r="D98" s="79"/>
      <c r="E98" s="94"/>
      <c r="F98" s="94"/>
      <c r="G98" s="57" t="str">
        <f aca="false">IF(OR($B98="",$E98="",$F98=""),"",MAX(0,F98-E98+1))</f>
        <v/>
      </c>
      <c r="H98" s="58" t="str">
        <f aca="false">IF(D98="","",IFERROR(VLOOKUP(D98,cfg_LT,2,FALSE()),1))</f>
        <v/>
      </c>
      <c r="I98" s="82"/>
      <c r="J98" s="58" t="str">
        <f aca="false">IF(D98="","",IF(I98&lt;&gt;"",I98,H98))</f>
        <v/>
      </c>
      <c r="K98" s="80" t="str">
        <f aca="false">IF(D98="","",IFERROR(VLOOKUP($D98,cfg_LT,3,FALSE()),""))</f>
        <v/>
      </c>
      <c r="L98" s="80" t="str">
        <f aca="false">IF(D98="","",IFERROR(VLOOKUP($D98,cfg_LT,4,FALSE()),""))</f>
        <v/>
      </c>
      <c r="M98" s="80" t="str">
        <f aca="false">IF(D98="","",IFERROR(VLOOKUP($D98,cfg_LT,5,FALSE()),""))</f>
        <v/>
      </c>
      <c r="N98" s="97" t="n">
        <f aca="false">IF(OR(OR($B98="",$E98="",$F98=""),M98&lt;&gt;"نعم"),0,G98*J98*IFERROR(INDEX(الموظفون!$R$6:$R$105,MATCH(B98,الموظفون!$B$6:$B$105,0)),0)/cfg_DAYS_M)</f>
        <v>0</v>
      </c>
      <c r="O98" s="93" t="str">
        <f aca="false">IF(OR(OR($B98="",$E98="",$F98=""),M98&lt;&gt;"نعم"),"",IF(YEAR(E98)=cfg_FY,MONTH(E98),""))</f>
        <v/>
      </c>
      <c r="P98" s="80" t="str">
        <f aca="false">IF(B98="","",IF(OR(D98="",E98="",F98=""),"⚠ أكمل النوع والتواريخ",IF(F98&lt;E98,"✖ النهاية قبل البداية",IF(COUNTIFS($B$6:$B$505,B98,$E$6:$E$505,"&lt;="&amp;F98,$F$6:$F$505,"&gt;="&amp;E98)&gt;1,"⚠ تداخل مع سجل آخر",IF(E98&gt;cfg_VAL_DATE,"⏳ قادمة",IF(F98&lt;cfg_VAL_DATE,"✔ منتهية","✈ جارية في تاريخ التقرير"))))))</f>
        <v/>
      </c>
      <c r="Q98" s="79"/>
      <c r="R98" s="57" t="n">
        <f aca="false">IF(OR(OR($B98="",$E98="",$F98=""),L98&lt;&gt;"لا"),0,MAX(0,MIN(F98,cfg_Y_START-1)-E98+1))</f>
        <v>0</v>
      </c>
      <c r="S98" s="57" t="n">
        <f aca="false">IF(OR(OR($B98="",$E98="",$F98=""),L98&lt;&gt;"لا"),0,MAX(0,MIN(F98,cfg_VAL_DATE)-E98+1))</f>
        <v>0</v>
      </c>
      <c r="T98" s="57" t="n">
        <f aca="false">IF(OR(OR($B98="",$E98="",$F98=""),K98&lt;&gt;"نعم"),0,IF(M98="نعم",IF(AND(ISNUMBER(O98),N(O98)&lt;=cfg_VAL_M),G98,0),MAX(0,MIN(F98,cfg_VAL_DATE)-MAX(E98,cfg_Y_START)+1)))</f>
        <v>0</v>
      </c>
      <c r="V98" s="57" t="n">
        <f aca="false">IF(OR($B98="",$E98="",$F98=""),0,MAX(0,MIN($F98,EOMONTH(DATE(cfg_FY,1,1),0))-MAX($E98,DATE(cfg_FY,1,1))+1)*(1-IF($M98="نعم",0,N($J98))))</f>
        <v>0</v>
      </c>
      <c r="W98" s="57" t="n">
        <f aca="false">IF(OR($B98="",$E98="",$F98=""),0,MAX(0,MIN($F98,EOMONTH(DATE(cfg_FY,2,1),0))-MAX($E98,DATE(cfg_FY,2,1))+1)*(1-IF($M98="نعم",0,N($J98))))</f>
        <v>0</v>
      </c>
      <c r="X98" s="57" t="n">
        <f aca="false">IF(OR($B98="",$E98="",$F98=""),0,MAX(0,MIN($F98,EOMONTH(DATE(cfg_FY,3,1),0))-MAX($E98,DATE(cfg_FY,3,1))+1)*(1-IF($M98="نعم",0,N($J98))))</f>
        <v>0</v>
      </c>
      <c r="Y98" s="57" t="n">
        <f aca="false">IF(OR($B98="",$E98="",$F98=""),0,MAX(0,MIN($F98,EOMONTH(DATE(cfg_FY,4,1),0))-MAX($E98,DATE(cfg_FY,4,1))+1)*(1-IF($M98="نعم",0,N($J98))))</f>
        <v>0</v>
      </c>
      <c r="Z98" s="57" t="n">
        <f aca="false">IF(OR($B98="",$E98="",$F98=""),0,MAX(0,MIN($F98,EOMONTH(DATE(cfg_FY,5,1),0))-MAX($E98,DATE(cfg_FY,5,1))+1)*(1-IF($M98="نعم",0,N($J98))))</f>
        <v>0</v>
      </c>
      <c r="AA98" s="57" t="n">
        <f aca="false">IF(OR($B98="",$E98="",$F98=""),0,MAX(0,MIN($F98,EOMONTH(DATE(cfg_FY,6,1),0))-MAX($E98,DATE(cfg_FY,6,1))+1)*(1-IF($M98="نعم",0,N($J98))))</f>
        <v>0</v>
      </c>
      <c r="AB98" s="57" t="n">
        <f aca="false">IF(OR($B98="",$E98="",$F98=""),0,MAX(0,MIN($F98,EOMONTH(DATE(cfg_FY,7,1),0))-MAX($E98,DATE(cfg_FY,7,1))+1)*(1-IF($M98="نعم",0,N($J98))))</f>
        <v>0</v>
      </c>
      <c r="AC98" s="57" t="n">
        <f aca="false">IF(OR($B98="",$E98="",$F98=""),0,MAX(0,MIN($F98,EOMONTH(DATE(cfg_FY,8,1),0))-MAX($E98,DATE(cfg_FY,8,1))+1)*(1-IF($M98="نعم",0,N($J98))))</f>
        <v>0</v>
      </c>
      <c r="AD98" s="57" t="n">
        <f aca="false">IF(OR($B98="",$E98="",$F98=""),0,MAX(0,MIN($F98,EOMONTH(DATE(cfg_FY,9,1),0))-MAX($E98,DATE(cfg_FY,9,1))+1)*(1-IF($M98="نعم",0,N($J98))))</f>
        <v>0</v>
      </c>
      <c r="AE98" s="57" t="n">
        <f aca="false">IF(OR($B98="",$E98="",$F98=""),0,MAX(0,MIN($F98,EOMONTH(DATE(cfg_FY,10,1),0))-MAX($E98,DATE(cfg_FY,10,1))+1)*(1-IF($M98="نعم",0,N($J98))))</f>
        <v>0</v>
      </c>
      <c r="AF98" s="57" t="n">
        <f aca="false">IF(OR($B98="",$E98="",$F98=""),0,MAX(0,MIN($F98,EOMONTH(DATE(cfg_FY,11,1),0))-MAX($E98,DATE(cfg_FY,11,1))+1)*(1-IF($M98="نعم",0,N($J98))))</f>
        <v>0</v>
      </c>
      <c r="AG98" s="57" t="n">
        <f aca="false">IF(OR($B98="",$E98="",$F98=""),0,MAX(0,MIN($F98,EOMONTH(DATE(cfg_FY,12,1),0))-MAX($E98,DATE(cfg_FY,12,1))+1)*(1-IF($M98="نعم",0,N($J98))))</f>
        <v>0</v>
      </c>
      <c r="AH98" s="57" t="n">
        <f aca="false">IF(OR(OR($B98="",$E98="",$F98=""),$L98&lt;&gt;"لا"),0,MAX(0,MIN($F98,EOMONTH(DATE(cfg_FY,1,1),0))-$E98+1))</f>
        <v>0</v>
      </c>
      <c r="AI98" s="57" t="n">
        <f aca="false">IF(OR(OR($B98="",$E98="",$F98=""),$L98&lt;&gt;"لا"),0,MAX(0,MIN($F98,EOMONTH(DATE(cfg_FY,2,1),0))-$E98+1))</f>
        <v>0</v>
      </c>
      <c r="AJ98" s="57" t="n">
        <f aca="false">IF(OR(OR($B98="",$E98="",$F98=""),$L98&lt;&gt;"لا"),0,MAX(0,MIN($F98,EOMONTH(DATE(cfg_FY,3,1),0))-$E98+1))</f>
        <v>0</v>
      </c>
      <c r="AK98" s="57" t="n">
        <f aca="false">IF(OR(OR($B98="",$E98="",$F98=""),$L98&lt;&gt;"لا"),0,MAX(0,MIN($F98,EOMONTH(DATE(cfg_FY,4,1),0))-$E98+1))</f>
        <v>0</v>
      </c>
      <c r="AL98" s="57" t="n">
        <f aca="false">IF(OR(OR($B98="",$E98="",$F98=""),$L98&lt;&gt;"لا"),0,MAX(0,MIN($F98,EOMONTH(DATE(cfg_FY,5,1),0))-$E98+1))</f>
        <v>0</v>
      </c>
      <c r="AM98" s="57" t="n">
        <f aca="false">IF(OR(OR($B98="",$E98="",$F98=""),$L98&lt;&gt;"لا"),0,MAX(0,MIN($F98,EOMONTH(DATE(cfg_FY,6,1),0))-$E98+1))</f>
        <v>0</v>
      </c>
      <c r="AN98" s="57" t="n">
        <f aca="false">IF(OR(OR($B98="",$E98="",$F98=""),$L98&lt;&gt;"لا"),0,MAX(0,MIN($F98,EOMONTH(DATE(cfg_FY,7,1),0))-$E98+1))</f>
        <v>0</v>
      </c>
      <c r="AO98" s="57" t="n">
        <f aca="false">IF(OR(OR($B98="",$E98="",$F98=""),$L98&lt;&gt;"لا"),0,MAX(0,MIN($F98,EOMONTH(DATE(cfg_FY,8,1),0))-$E98+1))</f>
        <v>0</v>
      </c>
      <c r="AP98" s="57" t="n">
        <f aca="false">IF(OR(OR($B98="",$E98="",$F98=""),$L98&lt;&gt;"لا"),0,MAX(0,MIN($F98,EOMONTH(DATE(cfg_FY,9,1),0))-$E98+1))</f>
        <v>0</v>
      </c>
      <c r="AQ98" s="57" t="n">
        <f aca="false">IF(OR(OR($B98="",$E98="",$F98=""),$L98&lt;&gt;"لا"),0,MAX(0,MIN($F98,EOMONTH(DATE(cfg_FY,10,1),0))-$E98+1))</f>
        <v>0</v>
      </c>
      <c r="AR98" s="57" t="n">
        <f aca="false">IF(OR(OR($B98="",$E98="",$F98=""),$L98&lt;&gt;"لا"),0,MAX(0,MIN($F98,EOMONTH(DATE(cfg_FY,11,1),0))-$E98+1))</f>
        <v>0</v>
      </c>
      <c r="AS98" s="57" t="n">
        <f aca="false">IF(OR(OR($B98="",$E98="",$F98=""),$L98&lt;&gt;"لا"),0,MAX(0,MIN($F98,EOMONTH(DATE(cfg_FY,12,1),0))-$E98+1))</f>
        <v>0</v>
      </c>
      <c r="AT98" s="57" t="n">
        <f aca="false">IF(OR(OR($B98="",$E98="",$F98=""),$K98&lt;&gt;"نعم",$M98="نعم"),0,MAX(0,MIN($F98,EOMONTH(DATE(cfg_FY,1,1),0))-MAX($E98,DATE(cfg_FY,1,1))+1))</f>
        <v>0</v>
      </c>
      <c r="AU98" s="57" t="n">
        <f aca="false">IF(OR(OR($B98="",$E98="",$F98=""),$K98&lt;&gt;"نعم",$M98="نعم"),0,MAX(0,MIN($F98,EOMONTH(DATE(cfg_FY,2,1),0))-MAX($E98,DATE(cfg_FY,2,1))+1))</f>
        <v>0</v>
      </c>
      <c r="AV98" s="57" t="n">
        <f aca="false">IF(OR(OR($B98="",$E98="",$F98=""),$K98&lt;&gt;"نعم",$M98="نعم"),0,MAX(0,MIN($F98,EOMONTH(DATE(cfg_FY,3,1),0))-MAX($E98,DATE(cfg_FY,3,1))+1))</f>
        <v>0</v>
      </c>
      <c r="AW98" s="57" t="n">
        <f aca="false">IF(OR(OR($B98="",$E98="",$F98=""),$K98&lt;&gt;"نعم",$M98="نعم"),0,MAX(0,MIN($F98,EOMONTH(DATE(cfg_FY,4,1),0))-MAX($E98,DATE(cfg_FY,4,1))+1))</f>
        <v>0</v>
      </c>
      <c r="AX98" s="57" t="n">
        <f aca="false">IF(OR(OR($B98="",$E98="",$F98=""),$K98&lt;&gt;"نعم",$M98="نعم"),0,MAX(0,MIN($F98,EOMONTH(DATE(cfg_FY,5,1),0))-MAX($E98,DATE(cfg_FY,5,1))+1))</f>
        <v>0</v>
      </c>
      <c r="AY98" s="57" t="n">
        <f aca="false">IF(OR(OR($B98="",$E98="",$F98=""),$K98&lt;&gt;"نعم",$M98="نعم"),0,MAX(0,MIN($F98,EOMONTH(DATE(cfg_FY,6,1),0))-MAX($E98,DATE(cfg_FY,6,1))+1))</f>
        <v>0</v>
      </c>
      <c r="AZ98" s="57" t="n">
        <f aca="false">IF(OR(OR($B98="",$E98="",$F98=""),$K98&lt;&gt;"نعم",$M98="نعم"),0,MAX(0,MIN($F98,EOMONTH(DATE(cfg_FY,7,1),0))-MAX($E98,DATE(cfg_FY,7,1))+1))</f>
        <v>0</v>
      </c>
      <c r="BA98" s="57" t="n">
        <f aca="false">IF(OR(OR($B98="",$E98="",$F98=""),$K98&lt;&gt;"نعم",$M98="نعم"),0,MAX(0,MIN($F98,EOMONTH(DATE(cfg_FY,8,1),0))-MAX($E98,DATE(cfg_FY,8,1))+1))</f>
        <v>0</v>
      </c>
      <c r="BB98" s="57" t="n">
        <f aca="false">IF(OR(OR($B98="",$E98="",$F98=""),$K98&lt;&gt;"نعم",$M98="نعم"),0,MAX(0,MIN($F98,EOMONTH(DATE(cfg_FY,9,1),0))-MAX($E98,DATE(cfg_FY,9,1))+1))</f>
        <v>0</v>
      </c>
      <c r="BC98" s="57" t="n">
        <f aca="false">IF(OR(OR($B98="",$E98="",$F98=""),$K98&lt;&gt;"نعم",$M98="نعم"),0,MAX(0,MIN($F98,EOMONTH(DATE(cfg_FY,10,1),0))-MAX($E98,DATE(cfg_FY,10,1))+1))</f>
        <v>0</v>
      </c>
      <c r="BD98" s="57" t="n">
        <f aca="false">IF(OR(OR($B98="",$E98="",$F98=""),$K98&lt;&gt;"نعم",$M98="نعم"),0,MAX(0,MIN($F98,EOMONTH(DATE(cfg_FY,11,1),0))-MAX($E98,DATE(cfg_FY,11,1))+1))</f>
        <v>0</v>
      </c>
      <c r="BE98" s="57" t="n">
        <f aca="false">IF(OR(OR($B98="",$E98="",$F98=""),$K98&lt;&gt;"نعم",$M98="نعم"),0,MAX(0,MIN($F98,EOMONTH(DATE(cfg_FY,12,1),0))-MAX($E98,DATE(cfg_FY,12,1))+1))</f>
        <v>0</v>
      </c>
    </row>
    <row r="99" customFormat="false" ht="15" hidden="false" customHeight="false" outlineLevel="0" collapsed="false">
      <c r="A99" s="100" t="str">
        <f aca="false">IF(B99="","",ROW()-5)</f>
        <v/>
      </c>
      <c r="B99" s="79"/>
      <c r="C99" s="102" t="str">
        <f aca="false">IF(B99="","",IFERROR(INDEX(الموظفون!$C$6:$C$105,MATCH(B99,الموظفون!$B$6:$B$105,0)),"✖ رقم غير موجود"))</f>
        <v/>
      </c>
      <c r="D99" s="79"/>
      <c r="E99" s="94"/>
      <c r="F99" s="94"/>
      <c r="G99" s="110" t="str">
        <f aca="false">IF(OR($B99="",$E99="",$F99=""),"",MAX(0,F99-E99+1))</f>
        <v/>
      </c>
      <c r="H99" s="111" t="str">
        <f aca="false">IF(D99="","",IFERROR(VLOOKUP(D99,cfg_LT,2,FALSE()),1))</f>
        <v/>
      </c>
      <c r="I99" s="82"/>
      <c r="J99" s="111" t="str">
        <f aca="false">IF(D99="","",IF(I99&lt;&gt;"",I99,H99))</f>
        <v/>
      </c>
      <c r="K99" s="102" t="str">
        <f aca="false">IF(D99="","",IFERROR(VLOOKUP($D99,cfg_LT,3,FALSE()),""))</f>
        <v/>
      </c>
      <c r="L99" s="102" t="str">
        <f aca="false">IF(D99="","",IFERROR(VLOOKUP($D99,cfg_LT,4,FALSE()),""))</f>
        <v/>
      </c>
      <c r="M99" s="102" t="str">
        <f aca="false">IF(D99="","",IFERROR(VLOOKUP($D99,cfg_LT,5,FALSE()),""))</f>
        <v/>
      </c>
      <c r="N99" s="101" t="n">
        <f aca="false">IF(OR(OR($B99="",$E99="",$F99=""),M99&lt;&gt;"نعم"),0,G99*J99*IFERROR(INDEX(الموظفون!$R$6:$R$105,MATCH(B99,الموظفون!$B$6:$B$105,0)),0)/cfg_DAYS_M)</f>
        <v>0</v>
      </c>
      <c r="O99" s="100" t="str">
        <f aca="false">IF(OR(OR($B99="",$E99="",$F99=""),M99&lt;&gt;"نعم"),"",IF(YEAR(E99)=cfg_FY,MONTH(E99),""))</f>
        <v/>
      </c>
      <c r="P99" s="102" t="str">
        <f aca="false">IF(B99="","",IF(OR(D99="",E99="",F99=""),"⚠ أكمل النوع والتواريخ",IF(F99&lt;E99,"✖ النهاية قبل البداية",IF(COUNTIFS($B$6:$B$505,B99,$E$6:$E$505,"&lt;="&amp;F99,$F$6:$F$505,"&gt;="&amp;E99)&gt;1,"⚠ تداخل مع سجل آخر",IF(E99&gt;cfg_VAL_DATE,"⏳ قادمة",IF(F99&lt;cfg_VAL_DATE,"✔ منتهية","✈ جارية في تاريخ التقرير"))))))</f>
        <v/>
      </c>
      <c r="Q99" s="79"/>
      <c r="R99" s="110" t="n">
        <f aca="false">IF(OR(OR($B99="",$E99="",$F99=""),L99&lt;&gt;"لا"),0,MAX(0,MIN(F99,cfg_Y_START-1)-E99+1))</f>
        <v>0</v>
      </c>
      <c r="S99" s="110" t="n">
        <f aca="false">IF(OR(OR($B99="",$E99="",$F99=""),L99&lt;&gt;"لا"),0,MAX(0,MIN(F99,cfg_VAL_DATE)-E99+1))</f>
        <v>0</v>
      </c>
      <c r="T99" s="110" t="n">
        <f aca="false">IF(OR(OR($B99="",$E99="",$F99=""),K99&lt;&gt;"نعم"),0,IF(M99="نعم",IF(AND(ISNUMBER(O99),N(O99)&lt;=cfg_VAL_M),G99,0),MAX(0,MIN(F99,cfg_VAL_DATE)-MAX(E99,cfg_Y_START)+1)))</f>
        <v>0</v>
      </c>
      <c r="V99" s="110" t="n">
        <f aca="false">IF(OR($B99="",$E99="",$F99=""),0,MAX(0,MIN($F99,EOMONTH(DATE(cfg_FY,1,1),0))-MAX($E99,DATE(cfg_FY,1,1))+1)*(1-IF($M99="نعم",0,N($J99))))</f>
        <v>0</v>
      </c>
      <c r="W99" s="110" t="n">
        <f aca="false">IF(OR($B99="",$E99="",$F99=""),0,MAX(0,MIN($F99,EOMONTH(DATE(cfg_FY,2,1),0))-MAX($E99,DATE(cfg_FY,2,1))+1)*(1-IF($M99="نعم",0,N($J99))))</f>
        <v>0</v>
      </c>
      <c r="X99" s="110" t="n">
        <f aca="false">IF(OR($B99="",$E99="",$F99=""),0,MAX(0,MIN($F99,EOMONTH(DATE(cfg_FY,3,1),0))-MAX($E99,DATE(cfg_FY,3,1))+1)*(1-IF($M99="نعم",0,N($J99))))</f>
        <v>0</v>
      </c>
      <c r="Y99" s="110" t="n">
        <f aca="false">IF(OR($B99="",$E99="",$F99=""),0,MAX(0,MIN($F99,EOMONTH(DATE(cfg_FY,4,1),0))-MAX($E99,DATE(cfg_FY,4,1))+1)*(1-IF($M99="نعم",0,N($J99))))</f>
        <v>0</v>
      </c>
      <c r="Z99" s="110" t="n">
        <f aca="false">IF(OR($B99="",$E99="",$F99=""),0,MAX(0,MIN($F99,EOMONTH(DATE(cfg_FY,5,1),0))-MAX($E99,DATE(cfg_FY,5,1))+1)*(1-IF($M99="نعم",0,N($J99))))</f>
        <v>0</v>
      </c>
      <c r="AA99" s="110" t="n">
        <f aca="false">IF(OR($B99="",$E99="",$F99=""),0,MAX(0,MIN($F99,EOMONTH(DATE(cfg_FY,6,1),0))-MAX($E99,DATE(cfg_FY,6,1))+1)*(1-IF($M99="نعم",0,N($J99))))</f>
        <v>0</v>
      </c>
      <c r="AB99" s="110" t="n">
        <f aca="false">IF(OR($B99="",$E99="",$F99=""),0,MAX(0,MIN($F99,EOMONTH(DATE(cfg_FY,7,1),0))-MAX($E99,DATE(cfg_FY,7,1))+1)*(1-IF($M99="نعم",0,N($J99))))</f>
        <v>0</v>
      </c>
      <c r="AC99" s="110" t="n">
        <f aca="false">IF(OR($B99="",$E99="",$F99=""),0,MAX(0,MIN($F99,EOMONTH(DATE(cfg_FY,8,1),0))-MAX($E99,DATE(cfg_FY,8,1))+1)*(1-IF($M99="نعم",0,N($J99))))</f>
        <v>0</v>
      </c>
      <c r="AD99" s="110" t="n">
        <f aca="false">IF(OR($B99="",$E99="",$F99=""),0,MAX(0,MIN($F99,EOMONTH(DATE(cfg_FY,9,1),0))-MAX($E99,DATE(cfg_FY,9,1))+1)*(1-IF($M99="نعم",0,N($J99))))</f>
        <v>0</v>
      </c>
      <c r="AE99" s="110" t="n">
        <f aca="false">IF(OR($B99="",$E99="",$F99=""),0,MAX(0,MIN($F99,EOMONTH(DATE(cfg_FY,10,1),0))-MAX($E99,DATE(cfg_FY,10,1))+1)*(1-IF($M99="نعم",0,N($J99))))</f>
        <v>0</v>
      </c>
      <c r="AF99" s="110" t="n">
        <f aca="false">IF(OR($B99="",$E99="",$F99=""),0,MAX(0,MIN($F99,EOMONTH(DATE(cfg_FY,11,1),0))-MAX($E99,DATE(cfg_FY,11,1))+1)*(1-IF($M99="نعم",0,N($J99))))</f>
        <v>0</v>
      </c>
      <c r="AG99" s="110" t="n">
        <f aca="false">IF(OR($B99="",$E99="",$F99=""),0,MAX(0,MIN($F99,EOMONTH(DATE(cfg_FY,12,1),0))-MAX($E99,DATE(cfg_FY,12,1))+1)*(1-IF($M99="نعم",0,N($J99))))</f>
        <v>0</v>
      </c>
      <c r="AH99" s="110" t="n">
        <f aca="false">IF(OR(OR($B99="",$E99="",$F99=""),$L99&lt;&gt;"لا"),0,MAX(0,MIN($F99,EOMONTH(DATE(cfg_FY,1,1),0))-$E99+1))</f>
        <v>0</v>
      </c>
      <c r="AI99" s="110" t="n">
        <f aca="false">IF(OR(OR($B99="",$E99="",$F99=""),$L99&lt;&gt;"لا"),0,MAX(0,MIN($F99,EOMONTH(DATE(cfg_FY,2,1),0))-$E99+1))</f>
        <v>0</v>
      </c>
      <c r="AJ99" s="110" t="n">
        <f aca="false">IF(OR(OR($B99="",$E99="",$F99=""),$L99&lt;&gt;"لا"),0,MAX(0,MIN($F99,EOMONTH(DATE(cfg_FY,3,1),0))-$E99+1))</f>
        <v>0</v>
      </c>
      <c r="AK99" s="110" t="n">
        <f aca="false">IF(OR(OR($B99="",$E99="",$F99=""),$L99&lt;&gt;"لا"),0,MAX(0,MIN($F99,EOMONTH(DATE(cfg_FY,4,1),0))-$E99+1))</f>
        <v>0</v>
      </c>
      <c r="AL99" s="110" t="n">
        <f aca="false">IF(OR(OR($B99="",$E99="",$F99=""),$L99&lt;&gt;"لا"),0,MAX(0,MIN($F99,EOMONTH(DATE(cfg_FY,5,1),0))-$E99+1))</f>
        <v>0</v>
      </c>
      <c r="AM99" s="110" t="n">
        <f aca="false">IF(OR(OR($B99="",$E99="",$F99=""),$L99&lt;&gt;"لا"),0,MAX(0,MIN($F99,EOMONTH(DATE(cfg_FY,6,1),0))-$E99+1))</f>
        <v>0</v>
      </c>
      <c r="AN99" s="110" t="n">
        <f aca="false">IF(OR(OR($B99="",$E99="",$F99=""),$L99&lt;&gt;"لا"),0,MAX(0,MIN($F99,EOMONTH(DATE(cfg_FY,7,1),0))-$E99+1))</f>
        <v>0</v>
      </c>
      <c r="AO99" s="110" t="n">
        <f aca="false">IF(OR(OR($B99="",$E99="",$F99=""),$L99&lt;&gt;"لا"),0,MAX(0,MIN($F99,EOMONTH(DATE(cfg_FY,8,1),0))-$E99+1))</f>
        <v>0</v>
      </c>
      <c r="AP99" s="110" t="n">
        <f aca="false">IF(OR(OR($B99="",$E99="",$F99=""),$L99&lt;&gt;"لا"),0,MAX(0,MIN($F99,EOMONTH(DATE(cfg_FY,9,1),0))-$E99+1))</f>
        <v>0</v>
      </c>
      <c r="AQ99" s="110" t="n">
        <f aca="false">IF(OR(OR($B99="",$E99="",$F99=""),$L99&lt;&gt;"لا"),0,MAX(0,MIN($F99,EOMONTH(DATE(cfg_FY,10,1),0))-$E99+1))</f>
        <v>0</v>
      </c>
      <c r="AR99" s="110" t="n">
        <f aca="false">IF(OR(OR($B99="",$E99="",$F99=""),$L99&lt;&gt;"لا"),0,MAX(0,MIN($F99,EOMONTH(DATE(cfg_FY,11,1),0))-$E99+1))</f>
        <v>0</v>
      </c>
      <c r="AS99" s="110" t="n">
        <f aca="false">IF(OR(OR($B99="",$E99="",$F99=""),$L99&lt;&gt;"لا"),0,MAX(0,MIN($F99,EOMONTH(DATE(cfg_FY,12,1),0))-$E99+1))</f>
        <v>0</v>
      </c>
      <c r="AT99" s="110" t="n">
        <f aca="false">IF(OR(OR($B99="",$E99="",$F99=""),$K99&lt;&gt;"نعم",$M99="نعم"),0,MAX(0,MIN($F99,EOMONTH(DATE(cfg_FY,1,1),0))-MAX($E99,DATE(cfg_FY,1,1))+1))</f>
        <v>0</v>
      </c>
      <c r="AU99" s="110" t="n">
        <f aca="false">IF(OR(OR($B99="",$E99="",$F99=""),$K99&lt;&gt;"نعم",$M99="نعم"),0,MAX(0,MIN($F99,EOMONTH(DATE(cfg_FY,2,1),0))-MAX($E99,DATE(cfg_FY,2,1))+1))</f>
        <v>0</v>
      </c>
      <c r="AV99" s="110" t="n">
        <f aca="false">IF(OR(OR($B99="",$E99="",$F99=""),$K99&lt;&gt;"نعم",$M99="نعم"),0,MAX(0,MIN($F99,EOMONTH(DATE(cfg_FY,3,1),0))-MAX($E99,DATE(cfg_FY,3,1))+1))</f>
        <v>0</v>
      </c>
      <c r="AW99" s="110" t="n">
        <f aca="false">IF(OR(OR($B99="",$E99="",$F99=""),$K99&lt;&gt;"نعم",$M99="نعم"),0,MAX(0,MIN($F99,EOMONTH(DATE(cfg_FY,4,1),0))-MAX($E99,DATE(cfg_FY,4,1))+1))</f>
        <v>0</v>
      </c>
      <c r="AX99" s="110" t="n">
        <f aca="false">IF(OR(OR($B99="",$E99="",$F99=""),$K99&lt;&gt;"نعم",$M99="نعم"),0,MAX(0,MIN($F99,EOMONTH(DATE(cfg_FY,5,1),0))-MAX($E99,DATE(cfg_FY,5,1))+1))</f>
        <v>0</v>
      </c>
      <c r="AY99" s="110" t="n">
        <f aca="false">IF(OR(OR($B99="",$E99="",$F99=""),$K99&lt;&gt;"نعم",$M99="نعم"),0,MAX(0,MIN($F99,EOMONTH(DATE(cfg_FY,6,1),0))-MAX($E99,DATE(cfg_FY,6,1))+1))</f>
        <v>0</v>
      </c>
      <c r="AZ99" s="110" t="n">
        <f aca="false">IF(OR(OR($B99="",$E99="",$F99=""),$K99&lt;&gt;"نعم",$M99="نعم"),0,MAX(0,MIN($F99,EOMONTH(DATE(cfg_FY,7,1),0))-MAX($E99,DATE(cfg_FY,7,1))+1))</f>
        <v>0</v>
      </c>
      <c r="BA99" s="110" t="n">
        <f aca="false">IF(OR(OR($B99="",$E99="",$F99=""),$K99&lt;&gt;"نعم",$M99="نعم"),0,MAX(0,MIN($F99,EOMONTH(DATE(cfg_FY,8,1),0))-MAX($E99,DATE(cfg_FY,8,1))+1))</f>
        <v>0</v>
      </c>
      <c r="BB99" s="110" t="n">
        <f aca="false">IF(OR(OR($B99="",$E99="",$F99=""),$K99&lt;&gt;"نعم",$M99="نعم"),0,MAX(0,MIN($F99,EOMONTH(DATE(cfg_FY,9,1),0))-MAX($E99,DATE(cfg_FY,9,1))+1))</f>
        <v>0</v>
      </c>
      <c r="BC99" s="110" t="n">
        <f aca="false">IF(OR(OR($B99="",$E99="",$F99=""),$K99&lt;&gt;"نعم",$M99="نعم"),0,MAX(0,MIN($F99,EOMONTH(DATE(cfg_FY,10,1),0))-MAX($E99,DATE(cfg_FY,10,1))+1))</f>
        <v>0</v>
      </c>
      <c r="BD99" s="110" t="n">
        <f aca="false">IF(OR(OR($B99="",$E99="",$F99=""),$K99&lt;&gt;"نعم",$M99="نعم"),0,MAX(0,MIN($F99,EOMONTH(DATE(cfg_FY,11,1),0))-MAX($E99,DATE(cfg_FY,11,1))+1))</f>
        <v>0</v>
      </c>
      <c r="BE99" s="110" t="n">
        <f aca="false">IF(OR(OR($B99="",$E99="",$F99=""),$K99&lt;&gt;"نعم",$M99="نعم"),0,MAX(0,MIN($F99,EOMONTH(DATE(cfg_FY,12,1),0))-MAX($E99,DATE(cfg_FY,12,1))+1))</f>
        <v>0</v>
      </c>
    </row>
    <row r="100" customFormat="false" ht="15" hidden="false" customHeight="false" outlineLevel="0" collapsed="false">
      <c r="A100" s="93" t="str">
        <f aca="false">IF(B100="","",ROW()-5)</f>
        <v/>
      </c>
      <c r="B100" s="79"/>
      <c r="C100" s="80" t="str">
        <f aca="false">IF(B100="","",IFERROR(INDEX(الموظفون!$C$6:$C$105,MATCH(B100,الموظفون!$B$6:$B$105,0)),"✖ رقم غير موجود"))</f>
        <v/>
      </c>
      <c r="D100" s="79"/>
      <c r="E100" s="94"/>
      <c r="F100" s="94"/>
      <c r="G100" s="57" t="str">
        <f aca="false">IF(OR($B100="",$E100="",$F100=""),"",MAX(0,F100-E100+1))</f>
        <v/>
      </c>
      <c r="H100" s="58" t="str">
        <f aca="false">IF(D100="","",IFERROR(VLOOKUP(D100,cfg_LT,2,FALSE()),1))</f>
        <v/>
      </c>
      <c r="I100" s="82"/>
      <c r="J100" s="58" t="str">
        <f aca="false">IF(D100="","",IF(I100&lt;&gt;"",I100,H100))</f>
        <v/>
      </c>
      <c r="K100" s="80" t="str">
        <f aca="false">IF(D100="","",IFERROR(VLOOKUP($D100,cfg_LT,3,FALSE()),""))</f>
        <v/>
      </c>
      <c r="L100" s="80" t="str">
        <f aca="false">IF(D100="","",IFERROR(VLOOKUP($D100,cfg_LT,4,FALSE()),""))</f>
        <v/>
      </c>
      <c r="M100" s="80" t="str">
        <f aca="false">IF(D100="","",IFERROR(VLOOKUP($D100,cfg_LT,5,FALSE()),""))</f>
        <v/>
      </c>
      <c r="N100" s="97" t="n">
        <f aca="false">IF(OR(OR($B100="",$E100="",$F100=""),M100&lt;&gt;"نعم"),0,G100*J100*IFERROR(INDEX(الموظفون!$R$6:$R$105,MATCH(B100,الموظفون!$B$6:$B$105,0)),0)/cfg_DAYS_M)</f>
        <v>0</v>
      </c>
      <c r="O100" s="93" t="str">
        <f aca="false">IF(OR(OR($B100="",$E100="",$F100=""),M100&lt;&gt;"نعم"),"",IF(YEAR(E100)=cfg_FY,MONTH(E100),""))</f>
        <v/>
      </c>
      <c r="P100" s="80" t="str">
        <f aca="false">IF(B100="","",IF(OR(D100="",E100="",F100=""),"⚠ أكمل النوع والتواريخ",IF(F100&lt;E100,"✖ النهاية قبل البداية",IF(COUNTIFS($B$6:$B$505,B100,$E$6:$E$505,"&lt;="&amp;F100,$F$6:$F$505,"&gt;="&amp;E100)&gt;1,"⚠ تداخل مع سجل آخر",IF(E100&gt;cfg_VAL_DATE,"⏳ قادمة",IF(F100&lt;cfg_VAL_DATE,"✔ منتهية","✈ جارية في تاريخ التقرير"))))))</f>
        <v/>
      </c>
      <c r="Q100" s="79"/>
      <c r="R100" s="57" t="n">
        <f aca="false">IF(OR(OR($B100="",$E100="",$F100=""),L100&lt;&gt;"لا"),0,MAX(0,MIN(F100,cfg_Y_START-1)-E100+1))</f>
        <v>0</v>
      </c>
      <c r="S100" s="57" t="n">
        <f aca="false">IF(OR(OR($B100="",$E100="",$F100=""),L100&lt;&gt;"لا"),0,MAX(0,MIN(F100,cfg_VAL_DATE)-E100+1))</f>
        <v>0</v>
      </c>
      <c r="T100" s="57" t="n">
        <f aca="false">IF(OR(OR($B100="",$E100="",$F100=""),K100&lt;&gt;"نعم"),0,IF(M100="نعم",IF(AND(ISNUMBER(O100),N(O100)&lt;=cfg_VAL_M),G100,0),MAX(0,MIN(F100,cfg_VAL_DATE)-MAX(E100,cfg_Y_START)+1)))</f>
        <v>0</v>
      </c>
      <c r="V100" s="57" t="n">
        <f aca="false">IF(OR($B100="",$E100="",$F100=""),0,MAX(0,MIN($F100,EOMONTH(DATE(cfg_FY,1,1),0))-MAX($E100,DATE(cfg_FY,1,1))+1)*(1-IF($M100="نعم",0,N($J100))))</f>
        <v>0</v>
      </c>
      <c r="W100" s="57" t="n">
        <f aca="false">IF(OR($B100="",$E100="",$F100=""),0,MAX(0,MIN($F100,EOMONTH(DATE(cfg_FY,2,1),0))-MAX($E100,DATE(cfg_FY,2,1))+1)*(1-IF($M100="نعم",0,N($J100))))</f>
        <v>0</v>
      </c>
      <c r="X100" s="57" t="n">
        <f aca="false">IF(OR($B100="",$E100="",$F100=""),0,MAX(0,MIN($F100,EOMONTH(DATE(cfg_FY,3,1),0))-MAX($E100,DATE(cfg_FY,3,1))+1)*(1-IF($M100="نعم",0,N($J100))))</f>
        <v>0</v>
      </c>
      <c r="Y100" s="57" t="n">
        <f aca="false">IF(OR($B100="",$E100="",$F100=""),0,MAX(0,MIN($F100,EOMONTH(DATE(cfg_FY,4,1),0))-MAX($E100,DATE(cfg_FY,4,1))+1)*(1-IF($M100="نعم",0,N($J100))))</f>
        <v>0</v>
      </c>
      <c r="Z100" s="57" t="n">
        <f aca="false">IF(OR($B100="",$E100="",$F100=""),0,MAX(0,MIN($F100,EOMONTH(DATE(cfg_FY,5,1),0))-MAX($E100,DATE(cfg_FY,5,1))+1)*(1-IF($M100="نعم",0,N($J100))))</f>
        <v>0</v>
      </c>
      <c r="AA100" s="57" t="n">
        <f aca="false">IF(OR($B100="",$E100="",$F100=""),0,MAX(0,MIN($F100,EOMONTH(DATE(cfg_FY,6,1),0))-MAX($E100,DATE(cfg_FY,6,1))+1)*(1-IF($M100="نعم",0,N($J100))))</f>
        <v>0</v>
      </c>
      <c r="AB100" s="57" t="n">
        <f aca="false">IF(OR($B100="",$E100="",$F100=""),0,MAX(0,MIN($F100,EOMONTH(DATE(cfg_FY,7,1),0))-MAX($E100,DATE(cfg_FY,7,1))+1)*(1-IF($M100="نعم",0,N($J100))))</f>
        <v>0</v>
      </c>
      <c r="AC100" s="57" t="n">
        <f aca="false">IF(OR($B100="",$E100="",$F100=""),0,MAX(0,MIN($F100,EOMONTH(DATE(cfg_FY,8,1),0))-MAX($E100,DATE(cfg_FY,8,1))+1)*(1-IF($M100="نعم",0,N($J100))))</f>
        <v>0</v>
      </c>
      <c r="AD100" s="57" t="n">
        <f aca="false">IF(OR($B100="",$E100="",$F100=""),0,MAX(0,MIN($F100,EOMONTH(DATE(cfg_FY,9,1),0))-MAX($E100,DATE(cfg_FY,9,1))+1)*(1-IF($M100="نعم",0,N($J100))))</f>
        <v>0</v>
      </c>
      <c r="AE100" s="57" t="n">
        <f aca="false">IF(OR($B100="",$E100="",$F100=""),0,MAX(0,MIN($F100,EOMONTH(DATE(cfg_FY,10,1),0))-MAX($E100,DATE(cfg_FY,10,1))+1)*(1-IF($M100="نعم",0,N($J100))))</f>
        <v>0</v>
      </c>
      <c r="AF100" s="57" t="n">
        <f aca="false">IF(OR($B100="",$E100="",$F100=""),0,MAX(0,MIN($F100,EOMONTH(DATE(cfg_FY,11,1),0))-MAX($E100,DATE(cfg_FY,11,1))+1)*(1-IF($M100="نعم",0,N($J100))))</f>
        <v>0</v>
      </c>
      <c r="AG100" s="57" t="n">
        <f aca="false">IF(OR($B100="",$E100="",$F100=""),0,MAX(0,MIN($F100,EOMONTH(DATE(cfg_FY,12,1),0))-MAX($E100,DATE(cfg_FY,12,1))+1)*(1-IF($M100="نعم",0,N($J100))))</f>
        <v>0</v>
      </c>
      <c r="AH100" s="57" t="n">
        <f aca="false">IF(OR(OR($B100="",$E100="",$F100=""),$L100&lt;&gt;"لا"),0,MAX(0,MIN($F100,EOMONTH(DATE(cfg_FY,1,1),0))-$E100+1))</f>
        <v>0</v>
      </c>
      <c r="AI100" s="57" t="n">
        <f aca="false">IF(OR(OR($B100="",$E100="",$F100=""),$L100&lt;&gt;"لا"),0,MAX(0,MIN($F100,EOMONTH(DATE(cfg_FY,2,1),0))-$E100+1))</f>
        <v>0</v>
      </c>
      <c r="AJ100" s="57" t="n">
        <f aca="false">IF(OR(OR($B100="",$E100="",$F100=""),$L100&lt;&gt;"لا"),0,MAX(0,MIN($F100,EOMONTH(DATE(cfg_FY,3,1),0))-$E100+1))</f>
        <v>0</v>
      </c>
      <c r="AK100" s="57" t="n">
        <f aca="false">IF(OR(OR($B100="",$E100="",$F100=""),$L100&lt;&gt;"لا"),0,MAX(0,MIN($F100,EOMONTH(DATE(cfg_FY,4,1),0))-$E100+1))</f>
        <v>0</v>
      </c>
      <c r="AL100" s="57" t="n">
        <f aca="false">IF(OR(OR($B100="",$E100="",$F100=""),$L100&lt;&gt;"لا"),0,MAX(0,MIN($F100,EOMONTH(DATE(cfg_FY,5,1),0))-$E100+1))</f>
        <v>0</v>
      </c>
      <c r="AM100" s="57" t="n">
        <f aca="false">IF(OR(OR($B100="",$E100="",$F100=""),$L100&lt;&gt;"لا"),0,MAX(0,MIN($F100,EOMONTH(DATE(cfg_FY,6,1),0))-$E100+1))</f>
        <v>0</v>
      </c>
      <c r="AN100" s="57" t="n">
        <f aca="false">IF(OR(OR($B100="",$E100="",$F100=""),$L100&lt;&gt;"لا"),0,MAX(0,MIN($F100,EOMONTH(DATE(cfg_FY,7,1),0))-$E100+1))</f>
        <v>0</v>
      </c>
      <c r="AO100" s="57" t="n">
        <f aca="false">IF(OR(OR($B100="",$E100="",$F100=""),$L100&lt;&gt;"لا"),0,MAX(0,MIN($F100,EOMONTH(DATE(cfg_FY,8,1),0))-$E100+1))</f>
        <v>0</v>
      </c>
      <c r="AP100" s="57" t="n">
        <f aca="false">IF(OR(OR($B100="",$E100="",$F100=""),$L100&lt;&gt;"لا"),0,MAX(0,MIN($F100,EOMONTH(DATE(cfg_FY,9,1),0))-$E100+1))</f>
        <v>0</v>
      </c>
      <c r="AQ100" s="57" t="n">
        <f aca="false">IF(OR(OR($B100="",$E100="",$F100=""),$L100&lt;&gt;"لا"),0,MAX(0,MIN($F100,EOMONTH(DATE(cfg_FY,10,1),0))-$E100+1))</f>
        <v>0</v>
      </c>
      <c r="AR100" s="57" t="n">
        <f aca="false">IF(OR(OR($B100="",$E100="",$F100=""),$L100&lt;&gt;"لا"),0,MAX(0,MIN($F100,EOMONTH(DATE(cfg_FY,11,1),0))-$E100+1))</f>
        <v>0</v>
      </c>
      <c r="AS100" s="57" t="n">
        <f aca="false">IF(OR(OR($B100="",$E100="",$F100=""),$L100&lt;&gt;"لا"),0,MAX(0,MIN($F100,EOMONTH(DATE(cfg_FY,12,1),0))-$E100+1))</f>
        <v>0</v>
      </c>
      <c r="AT100" s="57" t="n">
        <f aca="false">IF(OR(OR($B100="",$E100="",$F100=""),$K100&lt;&gt;"نعم",$M100="نعم"),0,MAX(0,MIN($F100,EOMONTH(DATE(cfg_FY,1,1),0))-MAX($E100,DATE(cfg_FY,1,1))+1))</f>
        <v>0</v>
      </c>
      <c r="AU100" s="57" t="n">
        <f aca="false">IF(OR(OR($B100="",$E100="",$F100=""),$K100&lt;&gt;"نعم",$M100="نعم"),0,MAX(0,MIN($F100,EOMONTH(DATE(cfg_FY,2,1),0))-MAX($E100,DATE(cfg_FY,2,1))+1))</f>
        <v>0</v>
      </c>
      <c r="AV100" s="57" t="n">
        <f aca="false">IF(OR(OR($B100="",$E100="",$F100=""),$K100&lt;&gt;"نعم",$M100="نعم"),0,MAX(0,MIN($F100,EOMONTH(DATE(cfg_FY,3,1),0))-MAX($E100,DATE(cfg_FY,3,1))+1))</f>
        <v>0</v>
      </c>
      <c r="AW100" s="57" t="n">
        <f aca="false">IF(OR(OR($B100="",$E100="",$F100=""),$K100&lt;&gt;"نعم",$M100="نعم"),0,MAX(0,MIN($F100,EOMONTH(DATE(cfg_FY,4,1),0))-MAX($E100,DATE(cfg_FY,4,1))+1))</f>
        <v>0</v>
      </c>
      <c r="AX100" s="57" t="n">
        <f aca="false">IF(OR(OR($B100="",$E100="",$F100=""),$K100&lt;&gt;"نعم",$M100="نعم"),0,MAX(0,MIN($F100,EOMONTH(DATE(cfg_FY,5,1),0))-MAX($E100,DATE(cfg_FY,5,1))+1))</f>
        <v>0</v>
      </c>
      <c r="AY100" s="57" t="n">
        <f aca="false">IF(OR(OR($B100="",$E100="",$F100=""),$K100&lt;&gt;"نعم",$M100="نعم"),0,MAX(0,MIN($F100,EOMONTH(DATE(cfg_FY,6,1),0))-MAX($E100,DATE(cfg_FY,6,1))+1))</f>
        <v>0</v>
      </c>
      <c r="AZ100" s="57" t="n">
        <f aca="false">IF(OR(OR($B100="",$E100="",$F100=""),$K100&lt;&gt;"نعم",$M100="نعم"),0,MAX(0,MIN($F100,EOMONTH(DATE(cfg_FY,7,1),0))-MAX($E100,DATE(cfg_FY,7,1))+1))</f>
        <v>0</v>
      </c>
      <c r="BA100" s="57" t="n">
        <f aca="false">IF(OR(OR($B100="",$E100="",$F100=""),$K100&lt;&gt;"نعم",$M100="نعم"),0,MAX(0,MIN($F100,EOMONTH(DATE(cfg_FY,8,1),0))-MAX($E100,DATE(cfg_FY,8,1))+1))</f>
        <v>0</v>
      </c>
      <c r="BB100" s="57" t="n">
        <f aca="false">IF(OR(OR($B100="",$E100="",$F100=""),$K100&lt;&gt;"نعم",$M100="نعم"),0,MAX(0,MIN($F100,EOMONTH(DATE(cfg_FY,9,1),0))-MAX($E100,DATE(cfg_FY,9,1))+1))</f>
        <v>0</v>
      </c>
      <c r="BC100" s="57" t="n">
        <f aca="false">IF(OR(OR($B100="",$E100="",$F100=""),$K100&lt;&gt;"نعم",$M100="نعم"),0,MAX(0,MIN($F100,EOMONTH(DATE(cfg_FY,10,1),0))-MAX($E100,DATE(cfg_FY,10,1))+1))</f>
        <v>0</v>
      </c>
      <c r="BD100" s="57" t="n">
        <f aca="false">IF(OR(OR($B100="",$E100="",$F100=""),$K100&lt;&gt;"نعم",$M100="نعم"),0,MAX(0,MIN($F100,EOMONTH(DATE(cfg_FY,11,1),0))-MAX($E100,DATE(cfg_FY,11,1))+1))</f>
        <v>0</v>
      </c>
      <c r="BE100" s="57" t="n">
        <f aca="false">IF(OR(OR($B100="",$E100="",$F100=""),$K100&lt;&gt;"نعم",$M100="نعم"),0,MAX(0,MIN($F100,EOMONTH(DATE(cfg_FY,12,1),0))-MAX($E100,DATE(cfg_FY,12,1))+1))</f>
        <v>0</v>
      </c>
    </row>
    <row r="101" customFormat="false" ht="15" hidden="false" customHeight="false" outlineLevel="0" collapsed="false">
      <c r="A101" s="100" t="str">
        <f aca="false">IF(B101="","",ROW()-5)</f>
        <v/>
      </c>
      <c r="B101" s="79"/>
      <c r="C101" s="102" t="str">
        <f aca="false">IF(B101="","",IFERROR(INDEX(الموظفون!$C$6:$C$105,MATCH(B101,الموظفون!$B$6:$B$105,0)),"✖ رقم غير موجود"))</f>
        <v/>
      </c>
      <c r="D101" s="79"/>
      <c r="E101" s="94"/>
      <c r="F101" s="94"/>
      <c r="G101" s="110" t="str">
        <f aca="false">IF(OR($B101="",$E101="",$F101=""),"",MAX(0,F101-E101+1))</f>
        <v/>
      </c>
      <c r="H101" s="111" t="str">
        <f aca="false">IF(D101="","",IFERROR(VLOOKUP(D101,cfg_LT,2,FALSE()),1))</f>
        <v/>
      </c>
      <c r="I101" s="82"/>
      <c r="J101" s="111" t="str">
        <f aca="false">IF(D101="","",IF(I101&lt;&gt;"",I101,H101))</f>
        <v/>
      </c>
      <c r="K101" s="102" t="str">
        <f aca="false">IF(D101="","",IFERROR(VLOOKUP($D101,cfg_LT,3,FALSE()),""))</f>
        <v/>
      </c>
      <c r="L101" s="102" t="str">
        <f aca="false">IF(D101="","",IFERROR(VLOOKUP($D101,cfg_LT,4,FALSE()),""))</f>
        <v/>
      </c>
      <c r="M101" s="102" t="str">
        <f aca="false">IF(D101="","",IFERROR(VLOOKUP($D101,cfg_LT,5,FALSE()),""))</f>
        <v/>
      </c>
      <c r="N101" s="101" t="n">
        <f aca="false">IF(OR(OR($B101="",$E101="",$F101=""),M101&lt;&gt;"نعم"),0,G101*J101*IFERROR(INDEX(الموظفون!$R$6:$R$105,MATCH(B101,الموظفون!$B$6:$B$105,0)),0)/cfg_DAYS_M)</f>
        <v>0</v>
      </c>
      <c r="O101" s="100" t="str">
        <f aca="false">IF(OR(OR($B101="",$E101="",$F101=""),M101&lt;&gt;"نعم"),"",IF(YEAR(E101)=cfg_FY,MONTH(E101),""))</f>
        <v/>
      </c>
      <c r="P101" s="102" t="str">
        <f aca="false">IF(B101="","",IF(OR(D101="",E101="",F101=""),"⚠ أكمل النوع والتواريخ",IF(F101&lt;E101,"✖ النهاية قبل البداية",IF(COUNTIFS($B$6:$B$505,B101,$E$6:$E$505,"&lt;="&amp;F101,$F$6:$F$505,"&gt;="&amp;E101)&gt;1,"⚠ تداخل مع سجل آخر",IF(E101&gt;cfg_VAL_DATE,"⏳ قادمة",IF(F101&lt;cfg_VAL_DATE,"✔ منتهية","✈ جارية في تاريخ التقرير"))))))</f>
        <v/>
      </c>
      <c r="Q101" s="79"/>
      <c r="R101" s="110" t="n">
        <f aca="false">IF(OR(OR($B101="",$E101="",$F101=""),L101&lt;&gt;"لا"),0,MAX(0,MIN(F101,cfg_Y_START-1)-E101+1))</f>
        <v>0</v>
      </c>
      <c r="S101" s="110" t="n">
        <f aca="false">IF(OR(OR($B101="",$E101="",$F101=""),L101&lt;&gt;"لا"),0,MAX(0,MIN(F101,cfg_VAL_DATE)-E101+1))</f>
        <v>0</v>
      </c>
      <c r="T101" s="110" t="n">
        <f aca="false">IF(OR(OR($B101="",$E101="",$F101=""),K101&lt;&gt;"نعم"),0,IF(M101="نعم",IF(AND(ISNUMBER(O101),N(O101)&lt;=cfg_VAL_M),G101,0),MAX(0,MIN(F101,cfg_VAL_DATE)-MAX(E101,cfg_Y_START)+1)))</f>
        <v>0</v>
      </c>
      <c r="V101" s="110" t="n">
        <f aca="false">IF(OR($B101="",$E101="",$F101=""),0,MAX(0,MIN($F101,EOMONTH(DATE(cfg_FY,1,1),0))-MAX($E101,DATE(cfg_FY,1,1))+1)*(1-IF($M101="نعم",0,N($J101))))</f>
        <v>0</v>
      </c>
      <c r="W101" s="110" t="n">
        <f aca="false">IF(OR($B101="",$E101="",$F101=""),0,MAX(0,MIN($F101,EOMONTH(DATE(cfg_FY,2,1),0))-MAX($E101,DATE(cfg_FY,2,1))+1)*(1-IF($M101="نعم",0,N($J101))))</f>
        <v>0</v>
      </c>
      <c r="X101" s="110" t="n">
        <f aca="false">IF(OR($B101="",$E101="",$F101=""),0,MAX(0,MIN($F101,EOMONTH(DATE(cfg_FY,3,1),0))-MAX($E101,DATE(cfg_FY,3,1))+1)*(1-IF($M101="نعم",0,N($J101))))</f>
        <v>0</v>
      </c>
      <c r="Y101" s="110" t="n">
        <f aca="false">IF(OR($B101="",$E101="",$F101=""),0,MAX(0,MIN($F101,EOMONTH(DATE(cfg_FY,4,1),0))-MAX($E101,DATE(cfg_FY,4,1))+1)*(1-IF($M101="نعم",0,N($J101))))</f>
        <v>0</v>
      </c>
      <c r="Z101" s="110" t="n">
        <f aca="false">IF(OR($B101="",$E101="",$F101=""),0,MAX(0,MIN($F101,EOMONTH(DATE(cfg_FY,5,1),0))-MAX($E101,DATE(cfg_FY,5,1))+1)*(1-IF($M101="نعم",0,N($J101))))</f>
        <v>0</v>
      </c>
      <c r="AA101" s="110" t="n">
        <f aca="false">IF(OR($B101="",$E101="",$F101=""),0,MAX(0,MIN($F101,EOMONTH(DATE(cfg_FY,6,1),0))-MAX($E101,DATE(cfg_FY,6,1))+1)*(1-IF($M101="نعم",0,N($J101))))</f>
        <v>0</v>
      </c>
      <c r="AB101" s="110" t="n">
        <f aca="false">IF(OR($B101="",$E101="",$F101=""),0,MAX(0,MIN($F101,EOMONTH(DATE(cfg_FY,7,1),0))-MAX($E101,DATE(cfg_FY,7,1))+1)*(1-IF($M101="نعم",0,N($J101))))</f>
        <v>0</v>
      </c>
      <c r="AC101" s="110" t="n">
        <f aca="false">IF(OR($B101="",$E101="",$F101=""),0,MAX(0,MIN($F101,EOMONTH(DATE(cfg_FY,8,1),0))-MAX($E101,DATE(cfg_FY,8,1))+1)*(1-IF($M101="نعم",0,N($J101))))</f>
        <v>0</v>
      </c>
      <c r="AD101" s="110" t="n">
        <f aca="false">IF(OR($B101="",$E101="",$F101=""),0,MAX(0,MIN($F101,EOMONTH(DATE(cfg_FY,9,1),0))-MAX($E101,DATE(cfg_FY,9,1))+1)*(1-IF($M101="نعم",0,N($J101))))</f>
        <v>0</v>
      </c>
      <c r="AE101" s="110" t="n">
        <f aca="false">IF(OR($B101="",$E101="",$F101=""),0,MAX(0,MIN($F101,EOMONTH(DATE(cfg_FY,10,1),0))-MAX($E101,DATE(cfg_FY,10,1))+1)*(1-IF($M101="نعم",0,N($J101))))</f>
        <v>0</v>
      </c>
      <c r="AF101" s="110" t="n">
        <f aca="false">IF(OR($B101="",$E101="",$F101=""),0,MAX(0,MIN($F101,EOMONTH(DATE(cfg_FY,11,1),0))-MAX($E101,DATE(cfg_FY,11,1))+1)*(1-IF($M101="نعم",0,N($J101))))</f>
        <v>0</v>
      </c>
      <c r="AG101" s="110" t="n">
        <f aca="false">IF(OR($B101="",$E101="",$F101=""),0,MAX(0,MIN($F101,EOMONTH(DATE(cfg_FY,12,1),0))-MAX($E101,DATE(cfg_FY,12,1))+1)*(1-IF($M101="نعم",0,N($J101))))</f>
        <v>0</v>
      </c>
      <c r="AH101" s="110" t="n">
        <f aca="false">IF(OR(OR($B101="",$E101="",$F101=""),$L101&lt;&gt;"لا"),0,MAX(0,MIN($F101,EOMONTH(DATE(cfg_FY,1,1),0))-$E101+1))</f>
        <v>0</v>
      </c>
      <c r="AI101" s="110" t="n">
        <f aca="false">IF(OR(OR($B101="",$E101="",$F101=""),$L101&lt;&gt;"لا"),0,MAX(0,MIN($F101,EOMONTH(DATE(cfg_FY,2,1),0))-$E101+1))</f>
        <v>0</v>
      </c>
      <c r="AJ101" s="110" t="n">
        <f aca="false">IF(OR(OR($B101="",$E101="",$F101=""),$L101&lt;&gt;"لا"),0,MAX(0,MIN($F101,EOMONTH(DATE(cfg_FY,3,1),0))-$E101+1))</f>
        <v>0</v>
      </c>
      <c r="AK101" s="110" t="n">
        <f aca="false">IF(OR(OR($B101="",$E101="",$F101=""),$L101&lt;&gt;"لا"),0,MAX(0,MIN($F101,EOMONTH(DATE(cfg_FY,4,1),0))-$E101+1))</f>
        <v>0</v>
      </c>
      <c r="AL101" s="110" t="n">
        <f aca="false">IF(OR(OR($B101="",$E101="",$F101=""),$L101&lt;&gt;"لا"),0,MAX(0,MIN($F101,EOMONTH(DATE(cfg_FY,5,1),0))-$E101+1))</f>
        <v>0</v>
      </c>
      <c r="AM101" s="110" t="n">
        <f aca="false">IF(OR(OR($B101="",$E101="",$F101=""),$L101&lt;&gt;"لا"),0,MAX(0,MIN($F101,EOMONTH(DATE(cfg_FY,6,1),0))-$E101+1))</f>
        <v>0</v>
      </c>
      <c r="AN101" s="110" t="n">
        <f aca="false">IF(OR(OR($B101="",$E101="",$F101=""),$L101&lt;&gt;"لا"),0,MAX(0,MIN($F101,EOMONTH(DATE(cfg_FY,7,1),0))-$E101+1))</f>
        <v>0</v>
      </c>
      <c r="AO101" s="110" t="n">
        <f aca="false">IF(OR(OR($B101="",$E101="",$F101=""),$L101&lt;&gt;"لا"),0,MAX(0,MIN($F101,EOMONTH(DATE(cfg_FY,8,1),0))-$E101+1))</f>
        <v>0</v>
      </c>
      <c r="AP101" s="110" t="n">
        <f aca="false">IF(OR(OR($B101="",$E101="",$F101=""),$L101&lt;&gt;"لا"),0,MAX(0,MIN($F101,EOMONTH(DATE(cfg_FY,9,1),0))-$E101+1))</f>
        <v>0</v>
      </c>
      <c r="AQ101" s="110" t="n">
        <f aca="false">IF(OR(OR($B101="",$E101="",$F101=""),$L101&lt;&gt;"لا"),0,MAX(0,MIN($F101,EOMONTH(DATE(cfg_FY,10,1),0))-$E101+1))</f>
        <v>0</v>
      </c>
      <c r="AR101" s="110" t="n">
        <f aca="false">IF(OR(OR($B101="",$E101="",$F101=""),$L101&lt;&gt;"لا"),0,MAX(0,MIN($F101,EOMONTH(DATE(cfg_FY,11,1),0))-$E101+1))</f>
        <v>0</v>
      </c>
      <c r="AS101" s="110" t="n">
        <f aca="false">IF(OR(OR($B101="",$E101="",$F101=""),$L101&lt;&gt;"لا"),0,MAX(0,MIN($F101,EOMONTH(DATE(cfg_FY,12,1),0))-$E101+1))</f>
        <v>0</v>
      </c>
      <c r="AT101" s="110" t="n">
        <f aca="false">IF(OR(OR($B101="",$E101="",$F101=""),$K101&lt;&gt;"نعم",$M101="نعم"),0,MAX(0,MIN($F101,EOMONTH(DATE(cfg_FY,1,1),0))-MAX($E101,DATE(cfg_FY,1,1))+1))</f>
        <v>0</v>
      </c>
      <c r="AU101" s="110" t="n">
        <f aca="false">IF(OR(OR($B101="",$E101="",$F101=""),$K101&lt;&gt;"نعم",$M101="نعم"),0,MAX(0,MIN($F101,EOMONTH(DATE(cfg_FY,2,1),0))-MAX($E101,DATE(cfg_FY,2,1))+1))</f>
        <v>0</v>
      </c>
      <c r="AV101" s="110" t="n">
        <f aca="false">IF(OR(OR($B101="",$E101="",$F101=""),$K101&lt;&gt;"نعم",$M101="نعم"),0,MAX(0,MIN($F101,EOMONTH(DATE(cfg_FY,3,1),0))-MAX($E101,DATE(cfg_FY,3,1))+1))</f>
        <v>0</v>
      </c>
      <c r="AW101" s="110" t="n">
        <f aca="false">IF(OR(OR($B101="",$E101="",$F101=""),$K101&lt;&gt;"نعم",$M101="نعم"),0,MAX(0,MIN($F101,EOMONTH(DATE(cfg_FY,4,1),0))-MAX($E101,DATE(cfg_FY,4,1))+1))</f>
        <v>0</v>
      </c>
      <c r="AX101" s="110" t="n">
        <f aca="false">IF(OR(OR($B101="",$E101="",$F101=""),$K101&lt;&gt;"نعم",$M101="نعم"),0,MAX(0,MIN($F101,EOMONTH(DATE(cfg_FY,5,1),0))-MAX($E101,DATE(cfg_FY,5,1))+1))</f>
        <v>0</v>
      </c>
      <c r="AY101" s="110" t="n">
        <f aca="false">IF(OR(OR($B101="",$E101="",$F101=""),$K101&lt;&gt;"نعم",$M101="نعم"),0,MAX(0,MIN($F101,EOMONTH(DATE(cfg_FY,6,1),0))-MAX($E101,DATE(cfg_FY,6,1))+1))</f>
        <v>0</v>
      </c>
      <c r="AZ101" s="110" t="n">
        <f aca="false">IF(OR(OR($B101="",$E101="",$F101=""),$K101&lt;&gt;"نعم",$M101="نعم"),0,MAX(0,MIN($F101,EOMONTH(DATE(cfg_FY,7,1),0))-MAX($E101,DATE(cfg_FY,7,1))+1))</f>
        <v>0</v>
      </c>
      <c r="BA101" s="110" t="n">
        <f aca="false">IF(OR(OR($B101="",$E101="",$F101=""),$K101&lt;&gt;"نعم",$M101="نعم"),0,MAX(0,MIN($F101,EOMONTH(DATE(cfg_FY,8,1),0))-MAX($E101,DATE(cfg_FY,8,1))+1))</f>
        <v>0</v>
      </c>
      <c r="BB101" s="110" t="n">
        <f aca="false">IF(OR(OR($B101="",$E101="",$F101=""),$K101&lt;&gt;"نعم",$M101="نعم"),0,MAX(0,MIN($F101,EOMONTH(DATE(cfg_FY,9,1),0))-MAX($E101,DATE(cfg_FY,9,1))+1))</f>
        <v>0</v>
      </c>
      <c r="BC101" s="110" t="n">
        <f aca="false">IF(OR(OR($B101="",$E101="",$F101=""),$K101&lt;&gt;"نعم",$M101="نعم"),0,MAX(0,MIN($F101,EOMONTH(DATE(cfg_FY,10,1),0))-MAX($E101,DATE(cfg_FY,10,1))+1))</f>
        <v>0</v>
      </c>
      <c r="BD101" s="110" t="n">
        <f aca="false">IF(OR(OR($B101="",$E101="",$F101=""),$K101&lt;&gt;"نعم",$M101="نعم"),0,MAX(0,MIN($F101,EOMONTH(DATE(cfg_FY,11,1),0))-MAX($E101,DATE(cfg_FY,11,1))+1))</f>
        <v>0</v>
      </c>
      <c r="BE101" s="110" t="n">
        <f aca="false">IF(OR(OR($B101="",$E101="",$F101=""),$K101&lt;&gt;"نعم",$M101="نعم"),0,MAX(0,MIN($F101,EOMONTH(DATE(cfg_FY,12,1),0))-MAX($E101,DATE(cfg_FY,12,1))+1))</f>
        <v>0</v>
      </c>
    </row>
    <row r="102" customFormat="false" ht="15" hidden="false" customHeight="false" outlineLevel="0" collapsed="false">
      <c r="A102" s="93" t="str">
        <f aca="false">IF(B102="","",ROW()-5)</f>
        <v/>
      </c>
      <c r="B102" s="79"/>
      <c r="C102" s="80" t="str">
        <f aca="false">IF(B102="","",IFERROR(INDEX(الموظفون!$C$6:$C$105,MATCH(B102,الموظفون!$B$6:$B$105,0)),"✖ رقم غير موجود"))</f>
        <v/>
      </c>
      <c r="D102" s="79"/>
      <c r="E102" s="94"/>
      <c r="F102" s="94"/>
      <c r="G102" s="57" t="str">
        <f aca="false">IF(OR($B102="",$E102="",$F102=""),"",MAX(0,F102-E102+1))</f>
        <v/>
      </c>
      <c r="H102" s="58" t="str">
        <f aca="false">IF(D102="","",IFERROR(VLOOKUP(D102,cfg_LT,2,FALSE()),1))</f>
        <v/>
      </c>
      <c r="I102" s="82"/>
      <c r="J102" s="58" t="str">
        <f aca="false">IF(D102="","",IF(I102&lt;&gt;"",I102,H102))</f>
        <v/>
      </c>
      <c r="K102" s="80" t="str">
        <f aca="false">IF(D102="","",IFERROR(VLOOKUP($D102,cfg_LT,3,FALSE()),""))</f>
        <v/>
      </c>
      <c r="L102" s="80" t="str">
        <f aca="false">IF(D102="","",IFERROR(VLOOKUP($D102,cfg_LT,4,FALSE()),""))</f>
        <v/>
      </c>
      <c r="M102" s="80" t="str">
        <f aca="false">IF(D102="","",IFERROR(VLOOKUP($D102,cfg_LT,5,FALSE()),""))</f>
        <v/>
      </c>
      <c r="N102" s="97" t="n">
        <f aca="false">IF(OR(OR($B102="",$E102="",$F102=""),M102&lt;&gt;"نعم"),0,G102*J102*IFERROR(INDEX(الموظفون!$R$6:$R$105,MATCH(B102,الموظفون!$B$6:$B$105,0)),0)/cfg_DAYS_M)</f>
        <v>0</v>
      </c>
      <c r="O102" s="93" t="str">
        <f aca="false">IF(OR(OR($B102="",$E102="",$F102=""),M102&lt;&gt;"نعم"),"",IF(YEAR(E102)=cfg_FY,MONTH(E102),""))</f>
        <v/>
      </c>
      <c r="P102" s="80" t="str">
        <f aca="false">IF(B102="","",IF(OR(D102="",E102="",F102=""),"⚠ أكمل النوع والتواريخ",IF(F102&lt;E102,"✖ النهاية قبل البداية",IF(COUNTIFS($B$6:$B$505,B102,$E$6:$E$505,"&lt;="&amp;F102,$F$6:$F$505,"&gt;="&amp;E102)&gt;1,"⚠ تداخل مع سجل آخر",IF(E102&gt;cfg_VAL_DATE,"⏳ قادمة",IF(F102&lt;cfg_VAL_DATE,"✔ منتهية","✈ جارية في تاريخ التقرير"))))))</f>
        <v/>
      </c>
      <c r="Q102" s="79"/>
      <c r="R102" s="57" t="n">
        <f aca="false">IF(OR(OR($B102="",$E102="",$F102=""),L102&lt;&gt;"لا"),0,MAX(0,MIN(F102,cfg_Y_START-1)-E102+1))</f>
        <v>0</v>
      </c>
      <c r="S102" s="57" t="n">
        <f aca="false">IF(OR(OR($B102="",$E102="",$F102=""),L102&lt;&gt;"لا"),0,MAX(0,MIN(F102,cfg_VAL_DATE)-E102+1))</f>
        <v>0</v>
      </c>
      <c r="T102" s="57" t="n">
        <f aca="false">IF(OR(OR($B102="",$E102="",$F102=""),K102&lt;&gt;"نعم"),0,IF(M102="نعم",IF(AND(ISNUMBER(O102),N(O102)&lt;=cfg_VAL_M),G102,0),MAX(0,MIN(F102,cfg_VAL_DATE)-MAX(E102,cfg_Y_START)+1)))</f>
        <v>0</v>
      </c>
      <c r="V102" s="57" t="n">
        <f aca="false">IF(OR($B102="",$E102="",$F102=""),0,MAX(0,MIN($F102,EOMONTH(DATE(cfg_FY,1,1),0))-MAX($E102,DATE(cfg_FY,1,1))+1)*(1-IF($M102="نعم",0,N($J102))))</f>
        <v>0</v>
      </c>
      <c r="W102" s="57" t="n">
        <f aca="false">IF(OR($B102="",$E102="",$F102=""),0,MAX(0,MIN($F102,EOMONTH(DATE(cfg_FY,2,1),0))-MAX($E102,DATE(cfg_FY,2,1))+1)*(1-IF($M102="نعم",0,N($J102))))</f>
        <v>0</v>
      </c>
      <c r="X102" s="57" t="n">
        <f aca="false">IF(OR($B102="",$E102="",$F102=""),0,MAX(0,MIN($F102,EOMONTH(DATE(cfg_FY,3,1),0))-MAX($E102,DATE(cfg_FY,3,1))+1)*(1-IF($M102="نعم",0,N($J102))))</f>
        <v>0</v>
      </c>
      <c r="Y102" s="57" t="n">
        <f aca="false">IF(OR($B102="",$E102="",$F102=""),0,MAX(0,MIN($F102,EOMONTH(DATE(cfg_FY,4,1),0))-MAX($E102,DATE(cfg_FY,4,1))+1)*(1-IF($M102="نعم",0,N($J102))))</f>
        <v>0</v>
      </c>
      <c r="Z102" s="57" t="n">
        <f aca="false">IF(OR($B102="",$E102="",$F102=""),0,MAX(0,MIN($F102,EOMONTH(DATE(cfg_FY,5,1),0))-MAX($E102,DATE(cfg_FY,5,1))+1)*(1-IF($M102="نعم",0,N($J102))))</f>
        <v>0</v>
      </c>
      <c r="AA102" s="57" t="n">
        <f aca="false">IF(OR($B102="",$E102="",$F102=""),0,MAX(0,MIN($F102,EOMONTH(DATE(cfg_FY,6,1),0))-MAX($E102,DATE(cfg_FY,6,1))+1)*(1-IF($M102="نعم",0,N($J102))))</f>
        <v>0</v>
      </c>
      <c r="AB102" s="57" t="n">
        <f aca="false">IF(OR($B102="",$E102="",$F102=""),0,MAX(0,MIN($F102,EOMONTH(DATE(cfg_FY,7,1),0))-MAX($E102,DATE(cfg_FY,7,1))+1)*(1-IF($M102="نعم",0,N($J102))))</f>
        <v>0</v>
      </c>
      <c r="AC102" s="57" t="n">
        <f aca="false">IF(OR($B102="",$E102="",$F102=""),0,MAX(0,MIN($F102,EOMONTH(DATE(cfg_FY,8,1),0))-MAX($E102,DATE(cfg_FY,8,1))+1)*(1-IF($M102="نعم",0,N($J102))))</f>
        <v>0</v>
      </c>
      <c r="AD102" s="57" t="n">
        <f aca="false">IF(OR($B102="",$E102="",$F102=""),0,MAX(0,MIN($F102,EOMONTH(DATE(cfg_FY,9,1),0))-MAX($E102,DATE(cfg_FY,9,1))+1)*(1-IF($M102="نعم",0,N($J102))))</f>
        <v>0</v>
      </c>
      <c r="AE102" s="57" t="n">
        <f aca="false">IF(OR($B102="",$E102="",$F102=""),0,MAX(0,MIN($F102,EOMONTH(DATE(cfg_FY,10,1),0))-MAX($E102,DATE(cfg_FY,10,1))+1)*(1-IF($M102="نعم",0,N($J102))))</f>
        <v>0</v>
      </c>
      <c r="AF102" s="57" t="n">
        <f aca="false">IF(OR($B102="",$E102="",$F102=""),0,MAX(0,MIN($F102,EOMONTH(DATE(cfg_FY,11,1),0))-MAX($E102,DATE(cfg_FY,11,1))+1)*(1-IF($M102="نعم",0,N($J102))))</f>
        <v>0</v>
      </c>
      <c r="AG102" s="57" t="n">
        <f aca="false">IF(OR($B102="",$E102="",$F102=""),0,MAX(0,MIN($F102,EOMONTH(DATE(cfg_FY,12,1),0))-MAX($E102,DATE(cfg_FY,12,1))+1)*(1-IF($M102="نعم",0,N($J102))))</f>
        <v>0</v>
      </c>
      <c r="AH102" s="57" t="n">
        <f aca="false">IF(OR(OR($B102="",$E102="",$F102=""),$L102&lt;&gt;"لا"),0,MAX(0,MIN($F102,EOMONTH(DATE(cfg_FY,1,1),0))-$E102+1))</f>
        <v>0</v>
      </c>
      <c r="AI102" s="57" t="n">
        <f aca="false">IF(OR(OR($B102="",$E102="",$F102=""),$L102&lt;&gt;"لا"),0,MAX(0,MIN($F102,EOMONTH(DATE(cfg_FY,2,1),0))-$E102+1))</f>
        <v>0</v>
      </c>
      <c r="AJ102" s="57" t="n">
        <f aca="false">IF(OR(OR($B102="",$E102="",$F102=""),$L102&lt;&gt;"لا"),0,MAX(0,MIN($F102,EOMONTH(DATE(cfg_FY,3,1),0))-$E102+1))</f>
        <v>0</v>
      </c>
      <c r="AK102" s="57" t="n">
        <f aca="false">IF(OR(OR($B102="",$E102="",$F102=""),$L102&lt;&gt;"لا"),0,MAX(0,MIN($F102,EOMONTH(DATE(cfg_FY,4,1),0))-$E102+1))</f>
        <v>0</v>
      </c>
      <c r="AL102" s="57" t="n">
        <f aca="false">IF(OR(OR($B102="",$E102="",$F102=""),$L102&lt;&gt;"لا"),0,MAX(0,MIN($F102,EOMONTH(DATE(cfg_FY,5,1),0))-$E102+1))</f>
        <v>0</v>
      </c>
      <c r="AM102" s="57" t="n">
        <f aca="false">IF(OR(OR($B102="",$E102="",$F102=""),$L102&lt;&gt;"لا"),0,MAX(0,MIN($F102,EOMONTH(DATE(cfg_FY,6,1),0))-$E102+1))</f>
        <v>0</v>
      </c>
      <c r="AN102" s="57" t="n">
        <f aca="false">IF(OR(OR($B102="",$E102="",$F102=""),$L102&lt;&gt;"لا"),0,MAX(0,MIN($F102,EOMONTH(DATE(cfg_FY,7,1),0))-$E102+1))</f>
        <v>0</v>
      </c>
      <c r="AO102" s="57" t="n">
        <f aca="false">IF(OR(OR($B102="",$E102="",$F102=""),$L102&lt;&gt;"لا"),0,MAX(0,MIN($F102,EOMONTH(DATE(cfg_FY,8,1),0))-$E102+1))</f>
        <v>0</v>
      </c>
      <c r="AP102" s="57" t="n">
        <f aca="false">IF(OR(OR($B102="",$E102="",$F102=""),$L102&lt;&gt;"لا"),0,MAX(0,MIN($F102,EOMONTH(DATE(cfg_FY,9,1),0))-$E102+1))</f>
        <v>0</v>
      </c>
      <c r="AQ102" s="57" t="n">
        <f aca="false">IF(OR(OR($B102="",$E102="",$F102=""),$L102&lt;&gt;"لا"),0,MAX(0,MIN($F102,EOMONTH(DATE(cfg_FY,10,1),0))-$E102+1))</f>
        <v>0</v>
      </c>
      <c r="AR102" s="57" t="n">
        <f aca="false">IF(OR(OR($B102="",$E102="",$F102=""),$L102&lt;&gt;"لا"),0,MAX(0,MIN($F102,EOMONTH(DATE(cfg_FY,11,1),0))-$E102+1))</f>
        <v>0</v>
      </c>
      <c r="AS102" s="57" t="n">
        <f aca="false">IF(OR(OR($B102="",$E102="",$F102=""),$L102&lt;&gt;"لا"),0,MAX(0,MIN($F102,EOMONTH(DATE(cfg_FY,12,1),0))-$E102+1))</f>
        <v>0</v>
      </c>
      <c r="AT102" s="57" t="n">
        <f aca="false">IF(OR(OR($B102="",$E102="",$F102=""),$K102&lt;&gt;"نعم",$M102="نعم"),0,MAX(0,MIN($F102,EOMONTH(DATE(cfg_FY,1,1),0))-MAX($E102,DATE(cfg_FY,1,1))+1))</f>
        <v>0</v>
      </c>
      <c r="AU102" s="57" t="n">
        <f aca="false">IF(OR(OR($B102="",$E102="",$F102=""),$K102&lt;&gt;"نعم",$M102="نعم"),0,MAX(0,MIN($F102,EOMONTH(DATE(cfg_FY,2,1),0))-MAX($E102,DATE(cfg_FY,2,1))+1))</f>
        <v>0</v>
      </c>
      <c r="AV102" s="57" t="n">
        <f aca="false">IF(OR(OR($B102="",$E102="",$F102=""),$K102&lt;&gt;"نعم",$M102="نعم"),0,MAX(0,MIN($F102,EOMONTH(DATE(cfg_FY,3,1),0))-MAX($E102,DATE(cfg_FY,3,1))+1))</f>
        <v>0</v>
      </c>
      <c r="AW102" s="57" t="n">
        <f aca="false">IF(OR(OR($B102="",$E102="",$F102=""),$K102&lt;&gt;"نعم",$M102="نعم"),0,MAX(0,MIN($F102,EOMONTH(DATE(cfg_FY,4,1),0))-MAX($E102,DATE(cfg_FY,4,1))+1))</f>
        <v>0</v>
      </c>
      <c r="AX102" s="57" t="n">
        <f aca="false">IF(OR(OR($B102="",$E102="",$F102=""),$K102&lt;&gt;"نعم",$M102="نعم"),0,MAX(0,MIN($F102,EOMONTH(DATE(cfg_FY,5,1),0))-MAX($E102,DATE(cfg_FY,5,1))+1))</f>
        <v>0</v>
      </c>
      <c r="AY102" s="57" t="n">
        <f aca="false">IF(OR(OR($B102="",$E102="",$F102=""),$K102&lt;&gt;"نعم",$M102="نعم"),0,MAX(0,MIN($F102,EOMONTH(DATE(cfg_FY,6,1),0))-MAX($E102,DATE(cfg_FY,6,1))+1))</f>
        <v>0</v>
      </c>
      <c r="AZ102" s="57" t="n">
        <f aca="false">IF(OR(OR($B102="",$E102="",$F102=""),$K102&lt;&gt;"نعم",$M102="نعم"),0,MAX(0,MIN($F102,EOMONTH(DATE(cfg_FY,7,1),0))-MAX($E102,DATE(cfg_FY,7,1))+1))</f>
        <v>0</v>
      </c>
      <c r="BA102" s="57" t="n">
        <f aca="false">IF(OR(OR($B102="",$E102="",$F102=""),$K102&lt;&gt;"نعم",$M102="نعم"),0,MAX(0,MIN($F102,EOMONTH(DATE(cfg_FY,8,1),0))-MAX($E102,DATE(cfg_FY,8,1))+1))</f>
        <v>0</v>
      </c>
      <c r="BB102" s="57" t="n">
        <f aca="false">IF(OR(OR($B102="",$E102="",$F102=""),$K102&lt;&gt;"نعم",$M102="نعم"),0,MAX(0,MIN($F102,EOMONTH(DATE(cfg_FY,9,1),0))-MAX($E102,DATE(cfg_FY,9,1))+1))</f>
        <v>0</v>
      </c>
      <c r="BC102" s="57" t="n">
        <f aca="false">IF(OR(OR($B102="",$E102="",$F102=""),$K102&lt;&gt;"نعم",$M102="نعم"),0,MAX(0,MIN($F102,EOMONTH(DATE(cfg_FY,10,1),0))-MAX($E102,DATE(cfg_FY,10,1))+1))</f>
        <v>0</v>
      </c>
      <c r="BD102" s="57" t="n">
        <f aca="false">IF(OR(OR($B102="",$E102="",$F102=""),$K102&lt;&gt;"نعم",$M102="نعم"),0,MAX(0,MIN($F102,EOMONTH(DATE(cfg_FY,11,1),0))-MAX($E102,DATE(cfg_FY,11,1))+1))</f>
        <v>0</v>
      </c>
      <c r="BE102" s="57" t="n">
        <f aca="false">IF(OR(OR($B102="",$E102="",$F102=""),$K102&lt;&gt;"نعم",$M102="نعم"),0,MAX(0,MIN($F102,EOMONTH(DATE(cfg_FY,12,1),0))-MAX($E102,DATE(cfg_FY,12,1))+1))</f>
        <v>0</v>
      </c>
    </row>
    <row r="103" customFormat="false" ht="15" hidden="false" customHeight="false" outlineLevel="0" collapsed="false">
      <c r="A103" s="100" t="str">
        <f aca="false">IF(B103="","",ROW()-5)</f>
        <v/>
      </c>
      <c r="B103" s="79"/>
      <c r="C103" s="102" t="str">
        <f aca="false">IF(B103="","",IFERROR(INDEX(الموظفون!$C$6:$C$105,MATCH(B103,الموظفون!$B$6:$B$105,0)),"✖ رقم غير موجود"))</f>
        <v/>
      </c>
      <c r="D103" s="79"/>
      <c r="E103" s="94"/>
      <c r="F103" s="94"/>
      <c r="G103" s="110" t="str">
        <f aca="false">IF(OR($B103="",$E103="",$F103=""),"",MAX(0,F103-E103+1))</f>
        <v/>
      </c>
      <c r="H103" s="111" t="str">
        <f aca="false">IF(D103="","",IFERROR(VLOOKUP(D103,cfg_LT,2,FALSE()),1))</f>
        <v/>
      </c>
      <c r="I103" s="82"/>
      <c r="J103" s="111" t="str">
        <f aca="false">IF(D103="","",IF(I103&lt;&gt;"",I103,H103))</f>
        <v/>
      </c>
      <c r="K103" s="102" t="str">
        <f aca="false">IF(D103="","",IFERROR(VLOOKUP($D103,cfg_LT,3,FALSE()),""))</f>
        <v/>
      </c>
      <c r="L103" s="102" t="str">
        <f aca="false">IF(D103="","",IFERROR(VLOOKUP($D103,cfg_LT,4,FALSE()),""))</f>
        <v/>
      </c>
      <c r="M103" s="102" t="str">
        <f aca="false">IF(D103="","",IFERROR(VLOOKUP($D103,cfg_LT,5,FALSE()),""))</f>
        <v/>
      </c>
      <c r="N103" s="101" t="n">
        <f aca="false">IF(OR(OR($B103="",$E103="",$F103=""),M103&lt;&gt;"نعم"),0,G103*J103*IFERROR(INDEX(الموظفون!$R$6:$R$105,MATCH(B103,الموظفون!$B$6:$B$105,0)),0)/cfg_DAYS_M)</f>
        <v>0</v>
      </c>
      <c r="O103" s="100" t="str">
        <f aca="false">IF(OR(OR($B103="",$E103="",$F103=""),M103&lt;&gt;"نعم"),"",IF(YEAR(E103)=cfg_FY,MONTH(E103),""))</f>
        <v/>
      </c>
      <c r="P103" s="102" t="str">
        <f aca="false">IF(B103="","",IF(OR(D103="",E103="",F103=""),"⚠ أكمل النوع والتواريخ",IF(F103&lt;E103,"✖ النهاية قبل البداية",IF(COUNTIFS($B$6:$B$505,B103,$E$6:$E$505,"&lt;="&amp;F103,$F$6:$F$505,"&gt;="&amp;E103)&gt;1,"⚠ تداخل مع سجل آخر",IF(E103&gt;cfg_VAL_DATE,"⏳ قادمة",IF(F103&lt;cfg_VAL_DATE,"✔ منتهية","✈ جارية في تاريخ التقرير"))))))</f>
        <v/>
      </c>
      <c r="Q103" s="79"/>
      <c r="R103" s="110" t="n">
        <f aca="false">IF(OR(OR($B103="",$E103="",$F103=""),L103&lt;&gt;"لا"),0,MAX(0,MIN(F103,cfg_Y_START-1)-E103+1))</f>
        <v>0</v>
      </c>
      <c r="S103" s="110" t="n">
        <f aca="false">IF(OR(OR($B103="",$E103="",$F103=""),L103&lt;&gt;"لا"),0,MAX(0,MIN(F103,cfg_VAL_DATE)-E103+1))</f>
        <v>0</v>
      </c>
      <c r="T103" s="110" t="n">
        <f aca="false">IF(OR(OR($B103="",$E103="",$F103=""),K103&lt;&gt;"نعم"),0,IF(M103="نعم",IF(AND(ISNUMBER(O103),N(O103)&lt;=cfg_VAL_M),G103,0),MAX(0,MIN(F103,cfg_VAL_DATE)-MAX(E103,cfg_Y_START)+1)))</f>
        <v>0</v>
      </c>
      <c r="V103" s="110" t="n">
        <f aca="false">IF(OR($B103="",$E103="",$F103=""),0,MAX(0,MIN($F103,EOMONTH(DATE(cfg_FY,1,1),0))-MAX($E103,DATE(cfg_FY,1,1))+1)*(1-IF($M103="نعم",0,N($J103))))</f>
        <v>0</v>
      </c>
      <c r="W103" s="110" t="n">
        <f aca="false">IF(OR($B103="",$E103="",$F103=""),0,MAX(0,MIN($F103,EOMONTH(DATE(cfg_FY,2,1),0))-MAX($E103,DATE(cfg_FY,2,1))+1)*(1-IF($M103="نعم",0,N($J103))))</f>
        <v>0</v>
      </c>
      <c r="X103" s="110" t="n">
        <f aca="false">IF(OR($B103="",$E103="",$F103=""),0,MAX(0,MIN($F103,EOMONTH(DATE(cfg_FY,3,1),0))-MAX($E103,DATE(cfg_FY,3,1))+1)*(1-IF($M103="نعم",0,N($J103))))</f>
        <v>0</v>
      </c>
      <c r="Y103" s="110" t="n">
        <f aca="false">IF(OR($B103="",$E103="",$F103=""),0,MAX(0,MIN($F103,EOMONTH(DATE(cfg_FY,4,1),0))-MAX($E103,DATE(cfg_FY,4,1))+1)*(1-IF($M103="نعم",0,N($J103))))</f>
        <v>0</v>
      </c>
      <c r="Z103" s="110" t="n">
        <f aca="false">IF(OR($B103="",$E103="",$F103=""),0,MAX(0,MIN($F103,EOMONTH(DATE(cfg_FY,5,1),0))-MAX($E103,DATE(cfg_FY,5,1))+1)*(1-IF($M103="نعم",0,N($J103))))</f>
        <v>0</v>
      </c>
      <c r="AA103" s="110" t="n">
        <f aca="false">IF(OR($B103="",$E103="",$F103=""),0,MAX(0,MIN($F103,EOMONTH(DATE(cfg_FY,6,1),0))-MAX($E103,DATE(cfg_FY,6,1))+1)*(1-IF($M103="نعم",0,N($J103))))</f>
        <v>0</v>
      </c>
      <c r="AB103" s="110" t="n">
        <f aca="false">IF(OR($B103="",$E103="",$F103=""),0,MAX(0,MIN($F103,EOMONTH(DATE(cfg_FY,7,1),0))-MAX($E103,DATE(cfg_FY,7,1))+1)*(1-IF($M103="نعم",0,N($J103))))</f>
        <v>0</v>
      </c>
      <c r="AC103" s="110" t="n">
        <f aca="false">IF(OR($B103="",$E103="",$F103=""),0,MAX(0,MIN($F103,EOMONTH(DATE(cfg_FY,8,1),0))-MAX($E103,DATE(cfg_FY,8,1))+1)*(1-IF($M103="نعم",0,N($J103))))</f>
        <v>0</v>
      </c>
      <c r="AD103" s="110" t="n">
        <f aca="false">IF(OR($B103="",$E103="",$F103=""),0,MAX(0,MIN($F103,EOMONTH(DATE(cfg_FY,9,1),0))-MAX($E103,DATE(cfg_FY,9,1))+1)*(1-IF($M103="نعم",0,N($J103))))</f>
        <v>0</v>
      </c>
      <c r="AE103" s="110" t="n">
        <f aca="false">IF(OR($B103="",$E103="",$F103=""),0,MAX(0,MIN($F103,EOMONTH(DATE(cfg_FY,10,1),0))-MAX($E103,DATE(cfg_FY,10,1))+1)*(1-IF($M103="نعم",0,N($J103))))</f>
        <v>0</v>
      </c>
      <c r="AF103" s="110" t="n">
        <f aca="false">IF(OR($B103="",$E103="",$F103=""),0,MAX(0,MIN($F103,EOMONTH(DATE(cfg_FY,11,1),0))-MAX($E103,DATE(cfg_FY,11,1))+1)*(1-IF($M103="نعم",0,N($J103))))</f>
        <v>0</v>
      </c>
      <c r="AG103" s="110" t="n">
        <f aca="false">IF(OR($B103="",$E103="",$F103=""),0,MAX(0,MIN($F103,EOMONTH(DATE(cfg_FY,12,1),0))-MAX($E103,DATE(cfg_FY,12,1))+1)*(1-IF($M103="نعم",0,N($J103))))</f>
        <v>0</v>
      </c>
      <c r="AH103" s="110" t="n">
        <f aca="false">IF(OR(OR($B103="",$E103="",$F103=""),$L103&lt;&gt;"لا"),0,MAX(0,MIN($F103,EOMONTH(DATE(cfg_FY,1,1),0))-$E103+1))</f>
        <v>0</v>
      </c>
      <c r="AI103" s="110" t="n">
        <f aca="false">IF(OR(OR($B103="",$E103="",$F103=""),$L103&lt;&gt;"لا"),0,MAX(0,MIN($F103,EOMONTH(DATE(cfg_FY,2,1),0))-$E103+1))</f>
        <v>0</v>
      </c>
      <c r="AJ103" s="110" t="n">
        <f aca="false">IF(OR(OR($B103="",$E103="",$F103=""),$L103&lt;&gt;"لا"),0,MAX(0,MIN($F103,EOMONTH(DATE(cfg_FY,3,1),0))-$E103+1))</f>
        <v>0</v>
      </c>
      <c r="AK103" s="110" t="n">
        <f aca="false">IF(OR(OR($B103="",$E103="",$F103=""),$L103&lt;&gt;"لا"),0,MAX(0,MIN($F103,EOMONTH(DATE(cfg_FY,4,1),0))-$E103+1))</f>
        <v>0</v>
      </c>
      <c r="AL103" s="110" t="n">
        <f aca="false">IF(OR(OR($B103="",$E103="",$F103=""),$L103&lt;&gt;"لا"),0,MAX(0,MIN($F103,EOMONTH(DATE(cfg_FY,5,1),0))-$E103+1))</f>
        <v>0</v>
      </c>
      <c r="AM103" s="110" t="n">
        <f aca="false">IF(OR(OR($B103="",$E103="",$F103=""),$L103&lt;&gt;"لا"),0,MAX(0,MIN($F103,EOMONTH(DATE(cfg_FY,6,1),0))-$E103+1))</f>
        <v>0</v>
      </c>
      <c r="AN103" s="110" t="n">
        <f aca="false">IF(OR(OR($B103="",$E103="",$F103=""),$L103&lt;&gt;"لا"),0,MAX(0,MIN($F103,EOMONTH(DATE(cfg_FY,7,1),0))-$E103+1))</f>
        <v>0</v>
      </c>
      <c r="AO103" s="110" t="n">
        <f aca="false">IF(OR(OR($B103="",$E103="",$F103=""),$L103&lt;&gt;"لا"),0,MAX(0,MIN($F103,EOMONTH(DATE(cfg_FY,8,1),0))-$E103+1))</f>
        <v>0</v>
      </c>
      <c r="AP103" s="110" t="n">
        <f aca="false">IF(OR(OR($B103="",$E103="",$F103=""),$L103&lt;&gt;"لا"),0,MAX(0,MIN($F103,EOMONTH(DATE(cfg_FY,9,1),0))-$E103+1))</f>
        <v>0</v>
      </c>
      <c r="AQ103" s="110" t="n">
        <f aca="false">IF(OR(OR($B103="",$E103="",$F103=""),$L103&lt;&gt;"لا"),0,MAX(0,MIN($F103,EOMONTH(DATE(cfg_FY,10,1),0))-$E103+1))</f>
        <v>0</v>
      </c>
      <c r="AR103" s="110" t="n">
        <f aca="false">IF(OR(OR($B103="",$E103="",$F103=""),$L103&lt;&gt;"لا"),0,MAX(0,MIN($F103,EOMONTH(DATE(cfg_FY,11,1),0))-$E103+1))</f>
        <v>0</v>
      </c>
      <c r="AS103" s="110" t="n">
        <f aca="false">IF(OR(OR($B103="",$E103="",$F103=""),$L103&lt;&gt;"لا"),0,MAX(0,MIN($F103,EOMONTH(DATE(cfg_FY,12,1),0))-$E103+1))</f>
        <v>0</v>
      </c>
      <c r="AT103" s="110" t="n">
        <f aca="false">IF(OR(OR($B103="",$E103="",$F103=""),$K103&lt;&gt;"نعم",$M103="نعم"),0,MAX(0,MIN($F103,EOMONTH(DATE(cfg_FY,1,1),0))-MAX($E103,DATE(cfg_FY,1,1))+1))</f>
        <v>0</v>
      </c>
      <c r="AU103" s="110" t="n">
        <f aca="false">IF(OR(OR($B103="",$E103="",$F103=""),$K103&lt;&gt;"نعم",$M103="نعم"),0,MAX(0,MIN($F103,EOMONTH(DATE(cfg_FY,2,1),0))-MAX($E103,DATE(cfg_FY,2,1))+1))</f>
        <v>0</v>
      </c>
      <c r="AV103" s="110" t="n">
        <f aca="false">IF(OR(OR($B103="",$E103="",$F103=""),$K103&lt;&gt;"نعم",$M103="نعم"),0,MAX(0,MIN($F103,EOMONTH(DATE(cfg_FY,3,1),0))-MAX($E103,DATE(cfg_FY,3,1))+1))</f>
        <v>0</v>
      </c>
      <c r="AW103" s="110" t="n">
        <f aca="false">IF(OR(OR($B103="",$E103="",$F103=""),$K103&lt;&gt;"نعم",$M103="نعم"),0,MAX(0,MIN($F103,EOMONTH(DATE(cfg_FY,4,1),0))-MAX($E103,DATE(cfg_FY,4,1))+1))</f>
        <v>0</v>
      </c>
      <c r="AX103" s="110" t="n">
        <f aca="false">IF(OR(OR($B103="",$E103="",$F103=""),$K103&lt;&gt;"نعم",$M103="نعم"),0,MAX(0,MIN($F103,EOMONTH(DATE(cfg_FY,5,1),0))-MAX($E103,DATE(cfg_FY,5,1))+1))</f>
        <v>0</v>
      </c>
      <c r="AY103" s="110" t="n">
        <f aca="false">IF(OR(OR($B103="",$E103="",$F103=""),$K103&lt;&gt;"نعم",$M103="نعم"),0,MAX(0,MIN($F103,EOMONTH(DATE(cfg_FY,6,1),0))-MAX($E103,DATE(cfg_FY,6,1))+1))</f>
        <v>0</v>
      </c>
      <c r="AZ103" s="110" t="n">
        <f aca="false">IF(OR(OR($B103="",$E103="",$F103=""),$K103&lt;&gt;"نعم",$M103="نعم"),0,MAX(0,MIN($F103,EOMONTH(DATE(cfg_FY,7,1),0))-MAX($E103,DATE(cfg_FY,7,1))+1))</f>
        <v>0</v>
      </c>
      <c r="BA103" s="110" t="n">
        <f aca="false">IF(OR(OR($B103="",$E103="",$F103=""),$K103&lt;&gt;"نعم",$M103="نعم"),0,MAX(0,MIN($F103,EOMONTH(DATE(cfg_FY,8,1),0))-MAX($E103,DATE(cfg_FY,8,1))+1))</f>
        <v>0</v>
      </c>
      <c r="BB103" s="110" t="n">
        <f aca="false">IF(OR(OR($B103="",$E103="",$F103=""),$K103&lt;&gt;"نعم",$M103="نعم"),0,MAX(0,MIN($F103,EOMONTH(DATE(cfg_FY,9,1),0))-MAX($E103,DATE(cfg_FY,9,1))+1))</f>
        <v>0</v>
      </c>
      <c r="BC103" s="110" t="n">
        <f aca="false">IF(OR(OR($B103="",$E103="",$F103=""),$K103&lt;&gt;"نعم",$M103="نعم"),0,MAX(0,MIN($F103,EOMONTH(DATE(cfg_FY,10,1),0))-MAX($E103,DATE(cfg_FY,10,1))+1))</f>
        <v>0</v>
      </c>
      <c r="BD103" s="110" t="n">
        <f aca="false">IF(OR(OR($B103="",$E103="",$F103=""),$K103&lt;&gt;"نعم",$M103="نعم"),0,MAX(0,MIN($F103,EOMONTH(DATE(cfg_FY,11,1),0))-MAX($E103,DATE(cfg_FY,11,1))+1))</f>
        <v>0</v>
      </c>
      <c r="BE103" s="110" t="n">
        <f aca="false">IF(OR(OR($B103="",$E103="",$F103=""),$K103&lt;&gt;"نعم",$M103="نعم"),0,MAX(0,MIN($F103,EOMONTH(DATE(cfg_FY,12,1),0))-MAX($E103,DATE(cfg_FY,12,1))+1))</f>
        <v>0</v>
      </c>
    </row>
    <row r="104" customFormat="false" ht="15" hidden="false" customHeight="false" outlineLevel="0" collapsed="false">
      <c r="A104" s="93" t="str">
        <f aca="false">IF(B104="","",ROW()-5)</f>
        <v/>
      </c>
      <c r="B104" s="79"/>
      <c r="C104" s="80" t="str">
        <f aca="false">IF(B104="","",IFERROR(INDEX(الموظفون!$C$6:$C$105,MATCH(B104,الموظفون!$B$6:$B$105,0)),"✖ رقم غير موجود"))</f>
        <v/>
      </c>
      <c r="D104" s="79"/>
      <c r="E104" s="94"/>
      <c r="F104" s="94"/>
      <c r="G104" s="57" t="str">
        <f aca="false">IF(OR($B104="",$E104="",$F104=""),"",MAX(0,F104-E104+1))</f>
        <v/>
      </c>
      <c r="H104" s="58" t="str">
        <f aca="false">IF(D104="","",IFERROR(VLOOKUP(D104,cfg_LT,2,FALSE()),1))</f>
        <v/>
      </c>
      <c r="I104" s="82"/>
      <c r="J104" s="58" t="str">
        <f aca="false">IF(D104="","",IF(I104&lt;&gt;"",I104,H104))</f>
        <v/>
      </c>
      <c r="K104" s="80" t="str">
        <f aca="false">IF(D104="","",IFERROR(VLOOKUP($D104,cfg_LT,3,FALSE()),""))</f>
        <v/>
      </c>
      <c r="L104" s="80" t="str">
        <f aca="false">IF(D104="","",IFERROR(VLOOKUP($D104,cfg_LT,4,FALSE()),""))</f>
        <v/>
      </c>
      <c r="M104" s="80" t="str">
        <f aca="false">IF(D104="","",IFERROR(VLOOKUP($D104,cfg_LT,5,FALSE()),""))</f>
        <v/>
      </c>
      <c r="N104" s="97" t="n">
        <f aca="false">IF(OR(OR($B104="",$E104="",$F104=""),M104&lt;&gt;"نعم"),0,G104*J104*IFERROR(INDEX(الموظفون!$R$6:$R$105,MATCH(B104,الموظفون!$B$6:$B$105,0)),0)/cfg_DAYS_M)</f>
        <v>0</v>
      </c>
      <c r="O104" s="93" t="str">
        <f aca="false">IF(OR(OR($B104="",$E104="",$F104=""),M104&lt;&gt;"نعم"),"",IF(YEAR(E104)=cfg_FY,MONTH(E104),""))</f>
        <v/>
      </c>
      <c r="P104" s="80" t="str">
        <f aca="false">IF(B104="","",IF(OR(D104="",E104="",F104=""),"⚠ أكمل النوع والتواريخ",IF(F104&lt;E104,"✖ النهاية قبل البداية",IF(COUNTIFS($B$6:$B$505,B104,$E$6:$E$505,"&lt;="&amp;F104,$F$6:$F$505,"&gt;="&amp;E104)&gt;1,"⚠ تداخل مع سجل آخر",IF(E104&gt;cfg_VAL_DATE,"⏳ قادمة",IF(F104&lt;cfg_VAL_DATE,"✔ منتهية","✈ جارية في تاريخ التقرير"))))))</f>
        <v/>
      </c>
      <c r="Q104" s="79"/>
      <c r="R104" s="57" t="n">
        <f aca="false">IF(OR(OR($B104="",$E104="",$F104=""),L104&lt;&gt;"لا"),0,MAX(0,MIN(F104,cfg_Y_START-1)-E104+1))</f>
        <v>0</v>
      </c>
      <c r="S104" s="57" t="n">
        <f aca="false">IF(OR(OR($B104="",$E104="",$F104=""),L104&lt;&gt;"لا"),0,MAX(0,MIN(F104,cfg_VAL_DATE)-E104+1))</f>
        <v>0</v>
      </c>
      <c r="T104" s="57" t="n">
        <f aca="false">IF(OR(OR($B104="",$E104="",$F104=""),K104&lt;&gt;"نعم"),0,IF(M104="نعم",IF(AND(ISNUMBER(O104),N(O104)&lt;=cfg_VAL_M),G104,0),MAX(0,MIN(F104,cfg_VAL_DATE)-MAX(E104,cfg_Y_START)+1)))</f>
        <v>0</v>
      </c>
      <c r="V104" s="57" t="n">
        <f aca="false">IF(OR($B104="",$E104="",$F104=""),0,MAX(0,MIN($F104,EOMONTH(DATE(cfg_FY,1,1),0))-MAX($E104,DATE(cfg_FY,1,1))+1)*(1-IF($M104="نعم",0,N($J104))))</f>
        <v>0</v>
      </c>
      <c r="W104" s="57" t="n">
        <f aca="false">IF(OR($B104="",$E104="",$F104=""),0,MAX(0,MIN($F104,EOMONTH(DATE(cfg_FY,2,1),0))-MAX($E104,DATE(cfg_FY,2,1))+1)*(1-IF($M104="نعم",0,N($J104))))</f>
        <v>0</v>
      </c>
      <c r="X104" s="57" t="n">
        <f aca="false">IF(OR($B104="",$E104="",$F104=""),0,MAX(0,MIN($F104,EOMONTH(DATE(cfg_FY,3,1),0))-MAX($E104,DATE(cfg_FY,3,1))+1)*(1-IF($M104="نعم",0,N($J104))))</f>
        <v>0</v>
      </c>
      <c r="Y104" s="57" t="n">
        <f aca="false">IF(OR($B104="",$E104="",$F104=""),0,MAX(0,MIN($F104,EOMONTH(DATE(cfg_FY,4,1),0))-MAX($E104,DATE(cfg_FY,4,1))+1)*(1-IF($M104="نعم",0,N($J104))))</f>
        <v>0</v>
      </c>
      <c r="Z104" s="57" t="n">
        <f aca="false">IF(OR($B104="",$E104="",$F104=""),0,MAX(0,MIN($F104,EOMONTH(DATE(cfg_FY,5,1),0))-MAX($E104,DATE(cfg_FY,5,1))+1)*(1-IF($M104="نعم",0,N($J104))))</f>
        <v>0</v>
      </c>
      <c r="AA104" s="57" t="n">
        <f aca="false">IF(OR($B104="",$E104="",$F104=""),0,MAX(0,MIN($F104,EOMONTH(DATE(cfg_FY,6,1),0))-MAX($E104,DATE(cfg_FY,6,1))+1)*(1-IF($M104="نعم",0,N($J104))))</f>
        <v>0</v>
      </c>
      <c r="AB104" s="57" t="n">
        <f aca="false">IF(OR($B104="",$E104="",$F104=""),0,MAX(0,MIN($F104,EOMONTH(DATE(cfg_FY,7,1),0))-MAX($E104,DATE(cfg_FY,7,1))+1)*(1-IF($M104="نعم",0,N($J104))))</f>
        <v>0</v>
      </c>
      <c r="AC104" s="57" t="n">
        <f aca="false">IF(OR($B104="",$E104="",$F104=""),0,MAX(0,MIN($F104,EOMONTH(DATE(cfg_FY,8,1),0))-MAX($E104,DATE(cfg_FY,8,1))+1)*(1-IF($M104="نعم",0,N($J104))))</f>
        <v>0</v>
      </c>
      <c r="AD104" s="57" t="n">
        <f aca="false">IF(OR($B104="",$E104="",$F104=""),0,MAX(0,MIN($F104,EOMONTH(DATE(cfg_FY,9,1),0))-MAX($E104,DATE(cfg_FY,9,1))+1)*(1-IF($M104="نعم",0,N($J104))))</f>
        <v>0</v>
      </c>
      <c r="AE104" s="57" t="n">
        <f aca="false">IF(OR($B104="",$E104="",$F104=""),0,MAX(0,MIN($F104,EOMONTH(DATE(cfg_FY,10,1),0))-MAX($E104,DATE(cfg_FY,10,1))+1)*(1-IF($M104="نعم",0,N($J104))))</f>
        <v>0</v>
      </c>
      <c r="AF104" s="57" t="n">
        <f aca="false">IF(OR($B104="",$E104="",$F104=""),0,MAX(0,MIN($F104,EOMONTH(DATE(cfg_FY,11,1),0))-MAX($E104,DATE(cfg_FY,11,1))+1)*(1-IF($M104="نعم",0,N($J104))))</f>
        <v>0</v>
      </c>
      <c r="AG104" s="57" t="n">
        <f aca="false">IF(OR($B104="",$E104="",$F104=""),0,MAX(0,MIN($F104,EOMONTH(DATE(cfg_FY,12,1),0))-MAX($E104,DATE(cfg_FY,12,1))+1)*(1-IF($M104="نعم",0,N($J104))))</f>
        <v>0</v>
      </c>
      <c r="AH104" s="57" t="n">
        <f aca="false">IF(OR(OR($B104="",$E104="",$F104=""),$L104&lt;&gt;"لا"),0,MAX(0,MIN($F104,EOMONTH(DATE(cfg_FY,1,1),0))-$E104+1))</f>
        <v>0</v>
      </c>
      <c r="AI104" s="57" t="n">
        <f aca="false">IF(OR(OR($B104="",$E104="",$F104=""),$L104&lt;&gt;"لا"),0,MAX(0,MIN($F104,EOMONTH(DATE(cfg_FY,2,1),0))-$E104+1))</f>
        <v>0</v>
      </c>
      <c r="AJ104" s="57" t="n">
        <f aca="false">IF(OR(OR($B104="",$E104="",$F104=""),$L104&lt;&gt;"لا"),0,MAX(0,MIN($F104,EOMONTH(DATE(cfg_FY,3,1),0))-$E104+1))</f>
        <v>0</v>
      </c>
      <c r="AK104" s="57" t="n">
        <f aca="false">IF(OR(OR($B104="",$E104="",$F104=""),$L104&lt;&gt;"لا"),0,MAX(0,MIN($F104,EOMONTH(DATE(cfg_FY,4,1),0))-$E104+1))</f>
        <v>0</v>
      </c>
      <c r="AL104" s="57" t="n">
        <f aca="false">IF(OR(OR($B104="",$E104="",$F104=""),$L104&lt;&gt;"لا"),0,MAX(0,MIN($F104,EOMONTH(DATE(cfg_FY,5,1),0))-$E104+1))</f>
        <v>0</v>
      </c>
      <c r="AM104" s="57" t="n">
        <f aca="false">IF(OR(OR($B104="",$E104="",$F104=""),$L104&lt;&gt;"لا"),0,MAX(0,MIN($F104,EOMONTH(DATE(cfg_FY,6,1),0))-$E104+1))</f>
        <v>0</v>
      </c>
      <c r="AN104" s="57" t="n">
        <f aca="false">IF(OR(OR($B104="",$E104="",$F104=""),$L104&lt;&gt;"لا"),0,MAX(0,MIN($F104,EOMONTH(DATE(cfg_FY,7,1),0))-$E104+1))</f>
        <v>0</v>
      </c>
      <c r="AO104" s="57" t="n">
        <f aca="false">IF(OR(OR($B104="",$E104="",$F104=""),$L104&lt;&gt;"لا"),0,MAX(0,MIN($F104,EOMONTH(DATE(cfg_FY,8,1),0))-$E104+1))</f>
        <v>0</v>
      </c>
      <c r="AP104" s="57" t="n">
        <f aca="false">IF(OR(OR($B104="",$E104="",$F104=""),$L104&lt;&gt;"لا"),0,MAX(0,MIN($F104,EOMONTH(DATE(cfg_FY,9,1),0))-$E104+1))</f>
        <v>0</v>
      </c>
      <c r="AQ104" s="57" t="n">
        <f aca="false">IF(OR(OR($B104="",$E104="",$F104=""),$L104&lt;&gt;"لا"),0,MAX(0,MIN($F104,EOMONTH(DATE(cfg_FY,10,1),0))-$E104+1))</f>
        <v>0</v>
      </c>
      <c r="AR104" s="57" t="n">
        <f aca="false">IF(OR(OR($B104="",$E104="",$F104=""),$L104&lt;&gt;"لا"),0,MAX(0,MIN($F104,EOMONTH(DATE(cfg_FY,11,1),0))-$E104+1))</f>
        <v>0</v>
      </c>
      <c r="AS104" s="57" t="n">
        <f aca="false">IF(OR(OR($B104="",$E104="",$F104=""),$L104&lt;&gt;"لا"),0,MAX(0,MIN($F104,EOMONTH(DATE(cfg_FY,12,1),0))-$E104+1))</f>
        <v>0</v>
      </c>
      <c r="AT104" s="57" t="n">
        <f aca="false">IF(OR(OR($B104="",$E104="",$F104=""),$K104&lt;&gt;"نعم",$M104="نعم"),0,MAX(0,MIN($F104,EOMONTH(DATE(cfg_FY,1,1),0))-MAX($E104,DATE(cfg_FY,1,1))+1))</f>
        <v>0</v>
      </c>
      <c r="AU104" s="57" t="n">
        <f aca="false">IF(OR(OR($B104="",$E104="",$F104=""),$K104&lt;&gt;"نعم",$M104="نعم"),0,MAX(0,MIN($F104,EOMONTH(DATE(cfg_FY,2,1),0))-MAX($E104,DATE(cfg_FY,2,1))+1))</f>
        <v>0</v>
      </c>
      <c r="AV104" s="57" t="n">
        <f aca="false">IF(OR(OR($B104="",$E104="",$F104=""),$K104&lt;&gt;"نعم",$M104="نعم"),0,MAX(0,MIN($F104,EOMONTH(DATE(cfg_FY,3,1),0))-MAX($E104,DATE(cfg_FY,3,1))+1))</f>
        <v>0</v>
      </c>
      <c r="AW104" s="57" t="n">
        <f aca="false">IF(OR(OR($B104="",$E104="",$F104=""),$K104&lt;&gt;"نعم",$M104="نعم"),0,MAX(0,MIN($F104,EOMONTH(DATE(cfg_FY,4,1),0))-MAX($E104,DATE(cfg_FY,4,1))+1))</f>
        <v>0</v>
      </c>
      <c r="AX104" s="57" t="n">
        <f aca="false">IF(OR(OR($B104="",$E104="",$F104=""),$K104&lt;&gt;"نعم",$M104="نعم"),0,MAX(0,MIN($F104,EOMONTH(DATE(cfg_FY,5,1),0))-MAX($E104,DATE(cfg_FY,5,1))+1))</f>
        <v>0</v>
      </c>
      <c r="AY104" s="57" t="n">
        <f aca="false">IF(OR(OR($B104="",$E104="",$F104=""),$K104&lt;&gt;"نعم",$M104="نعم"),0,MAX(0,MIN($F104,EOMONTH(DATE(cfg_FY,6,1),0))-MAX($E104,DATE(cfg_FY,6,1))+1))</f>
        <v>0</v>
      </c>
      <c r="AZ104" s="57" t="n">
        <f aca="false">IF(OR(OR($B104="",$E104="",$F104=""),$K104&lt;&gt;"نعم",$M104="نعم"),0,MAX(0,MIN($F104,EOMONTH(DATE(cfg_FY,7,1),0))-MAX($E104,DATE(cfg_FY,7,1))+1))</f>
        <v>0</v>
      </c>
      <c r="BA104" s="57" t="n">
        <f aca="false">IF(OR(OR($B104="",$E104="",$F104=""),$K104&lt;&gt;"نعم",$M104="نعم"),0,MAX(0,MIN($F104,EOMONTH(DATE(cfg_FY,8,1),0))-MAX($E104,DATE(cfg_FY,8,1))+1))</f>
        <v>0</v>
      </c>
      <c r="BB104" s="57" t="n">
        <f aca="false">IF(OR(OR($B104="",$E104="",$F104=""),$K104&lt;&gt;"نعم",$M104="نعم"),0,MAX(0,MIN($F104,EOMONTH(DATE(cfg_FY,9,1),0))-MAX($E104,DATE(cfg_FY,9,1))+1))</f>
        <v>0</v>
      </c>
      <c r="BC104" s="57" t="n">
        <f aca="false">IF(OR(OR($B104="",$E104="",$F104=""),$K104&lt;&gt;"نعم",$M104="نعم"),0,MAX(0,MIN($F104,EOMONTH(DATE(cfg_FY,10,1),0))-MAX($E104,DATE(cfg_FY,10,1))+1))</f>
        <v>0</v>
      </c>
      <c r="BD104" s="57" t="n">
        <f aca="false">IF(OR(OR($B104="",$E104="",$F104=""),$K104&lt;&gt;"نعم",$M104="نعم"),0,MAX(0,MIN($F104,EOMONTH(DATE(cfg_FY,11,1),0))-MAX($E104,DATE(cfg_FY,11,1))+1))</f>
        <v>0</v>
      </c>
      <c r="BE104" s="57" t="n">
        <f aca="false">IF(OR(OR($B104="",$E104="",$F104=""),$K104&lt;&gt;"نعم",$M104="نعم"),0,MAX(0,MIN($F104,EOMONTH(DATE(cfg_FY,12,1),0))-MAX($E104,DATE(cfg_FY,12,1))+1))</f>
        <v>0</v>
      </c>
    </row>
    <row r="105" customFormat="false" ht="15" hidden="false" customHeight="false" outlineLevel="0" collapsed="false">
      <c r="A105" s="100" t="str">
        <f aca="false">IF(B105="","",ROW()-5)</f>
        <v/>
      </c>
      <c r="B105" s="79"/>
      <c r="C105" s="102" t="str">
        <f aca="false">IF(B105="","",IFERROR(INDEX(الموظفون!$C$6:$C$105,MATCH(B105,الموظفون!$B$6:$B$105,0)),"✖ رقم غير موجود"))</f>
        <v/>
      </c>
      <c r="D105" s="79"/>
      <c r="E105" s="94"/>
      <c r="F105" s="94"/>
      <c r="G105" s="110" t="str">
        <f aca="false">IF(OR($B105="",$E105="",$F105=""),"",MAX(0,F105-E105+1))</f>
        <v/>
      </c>
      <c r="H105" s="111" t="str">
        <f aca="false">IF(D105="","",IFERROR(VLOOKUP(D105,cfg_LT,2,FALSE()),1))</f>
        <v/>
      </c>
      <c r="I105" s="82"/>
      <c r="J105" s="111" t="str">
        <f aca="false">IF(D105="","",IF(I105&lt;&gt;"",I105,H105))</f>
        <v/>
      </c>
      <c r="K105" s="102" t="str">
        <f aca="false">IF(D105="","",IFERROR(VLOOKUP($D105,cfg_LT,3,FALSE()),""))</f>
        <v/>
      </c>
      <c r="L105" s="102" t="str">
        <f aca="false">IF(D105="","",IFERROR(VLOOKUP($D105,cfg_LT,4,FALSE()),""))</f>
        <v/>
      </c>
      <c r="M105" s="102" t="str">
        <f aca="false">IF(D105="","",IFERROR(VLOOKUP($D105,cfg_LT,5,FALSE()),""))</f>
        <v/>
      </c>
      <c r="N105" s="101" t="n">
        <f aca="false">IF(OR(OR($B105="",$E105="",$F105=""),M105&lt;&gt;"نعم"),0,G105*J105*IFERROR(INDEX(الموظفون!$R$6:$R$105,MATCH(B105,الموظفون!$B$6:$B$105,0)),0)/cfg_DAYS_M)</f>
        <v>0</v>
      </c>
      <c r="O105" s="100" t="str">
        <f aca="false">IF(OR(OR($B105="",$E105="",$F105=""),M105&lt;&gt;"نعم"),"",IF(YEAR(E105)=cfg_FY,MONTH(E105),""))</f>
        <v/>
      </c>
      <c r="P105" s="102" t="str">
        <f aca="false">IF(B105="","",IF(OR(D105="",E105="",F105=""),"⚠ أكمل النوع والتواريخ",IF(F105&lt;E105,"✖ النهاية قبل البداية",IF(COUNTIFS($B$6:$B$505,B105,$E$6:$E$505,"&lt;="&amp;F105,$F$6:$F$505,"&gt;="&amp;E105)&gt;1,"⚠ تداخل مع سجل آخر",IF(E105&gt;cfg_VAL_DATE,"⏳ قادمة",IF(F105&lt;cfg_VAL_DATE,"✔ منتهية","✈ جارية في تاريخ التقرير"))))))</f>
        <v/>
      </c>
      <c r="Q105" s="79"/>
      <c r="R105" s="110" t="n">
        <f aca="false">IF(OR(OR($B105="",$E105="",$F105=""),L105&lt;&gt;"لا"),0,MAX(0,MIN(F105,cfg_Y_START-1)-E105+1))</f>
        <v>0</v>
      </c>
      <c r="S105" s="110" t="n">
        <f aca="false">IF(OR(OR($B105="",$E105="",$F105=""),L105&lt;&gt;"لا"),0,MAX(0,MIN(F105,cfg_VAL_DATE)-E105+1))</f>
        <v>0</v>
      </c>
      <c r="T105" s="110" t="n">
        <f aca="false">IF(OR(OR($B105="",$E105="",$F105=""),K105&lt;&gt;"نعم"),0,IF(M105="نعم",IF(AND(ISNUMBER(O105),N(O105)&lt;=cfg_VAL_M),G105,0),MAX(0,MIN(F105,cfg_VAL_DATE)-MAX(E105,cfg_Y_START)+1)))</f>
        <v>0</v>
      </c>
      <c r="V105" s="110" t="n">
        <f aca="false">IF(OR($B105="",$E105="",$F105=""),0,MAX(0,MIN($F105,EOMONTH(DATE(cfg_FY,1,1),0))-MAX($E105,DATE(cfg_FY,1,1))+1)*(1-IF($M105="نعم",0,N($J105))))</f>
        <v>0</v>
      </c>
      <c r="W105" s="110" t="n">
        <f aca="false">IF(OR($B105="",$E105="",$F105=""),0,MAX(0,MIN($F105,EOMONTH(DATE(cfg_FY,2,1),0))-MAX($E105,DATE(cfg_FY,2,1))+1)*(1-IF($M105="نعم",0,N($J105))))</f>
        <v>0</v>
      </c>
      <c r="X105" s="110" t="n">
        <f aca="false">IF(OR($B105="",$E105="",$F105=""),0,MAX(0,MIN($F105,EOMONTH(DATE(cfg_FY,3,1),0))-MAX($E105,DATE(cfg_FY,3,1))+1)*(1-IF($M105="نعم",0,N($J105))))</f>
        <v>0</v>
      </c>
      <c r="Y105" s="110" t="n">
        <f aca="false">IF(OR($B105="",$E105="",$F105=""),0,MAX(0,MIN($F105,EOMONTH(DATE(cfg_FY,4,1),0))-MAX($E105,DATE(cfg_FY,4,1))+1)*(1-IF($M105="نعم",0,N($J105))))</f>
        <v>0</v>
      </c>
      <c r="Z105" s="110" t="n">
        <f aca="false">IF(OR($B105="",$E105="",$F105=""),0,MAX(0,MIN($F105,EOMONTH(DATE(cfg_FY,5,1),0))-MAX($E105,DATE(cfg_FY,5,1))+1)*(1-IF($M105="نعم",0,N($J105))))</f>
        <v>0</v>
      </c>
      <c r="AA105" s="110" t="n">
        <f aca="false">IF(OR($B105="",$E105="",$F105=""),0,MAX(0,MIN($F105,EOMONTH(DATE(cfg_FY,6,1),0))-MAX($E105,DATE(cfg_FY,6,1))+1)*(1-IF($M105="نعم",0,N($J105))))</f>
        <v>0</v>
      </c>
      <c r="AB105" s="110" t="n">
        <f aca="false">IF(OR($B105="",$E105="",$F105=""),0,MAX(0,MIN($F105,EOMONTH(DATE(cfg_FY,7,1),0))-MAX($E105,DATE(cfg_FY,7,1))+1)*(1-IF($M105="نعم",0,N($J105))))</f>
        <v>0</v>
      </c>
      <c r="AC105" s="110" t="n">
        <f aca="false">IF(OR($B105="",$E105="",$F105=""),0,MAX(0,MIN($F105,EOMONTH(DATE(cfg_FY,8,1),0))-MAX($E105,DATE(cfg_FY,8,1))+1)*(1-IF($M105="نعم",0,N($J105))))</f>
        <v>0</v>
      </c>
      <c r="AD105" s="110" t="n">
        <f aca="false">IF(OR($B105="",$E105="",$F105=""),0,MAX(0,MIN($F105,EOMONTH(DATE(cfg_FY,9,1),0))-MAX($E105,DATE(cfg_FY,9,1))+1)*(1-IF($M105="نعم",0,N($J105))))</f>
        <v>0</v>
      </c>
      <c r="AE105" s="110" t="n">
        <f aca="false">IF(OR($B105="",$E105="",$F105=""),0,MAX(0,MIN($F105,EOMONTH(DATE(cfg_FY,10,1),0))-MAX($E105,DATE(cfg_FY,10,1))+1)*(1-IF($M105="نعم",0,N($J105))))</f>
        <v>0</v>
      </c>
      <c r="AF105" s="110" t="n">
        <f aca="false">IF(OR($B105="",$E105="",$F105=""),0,MAX(0,MIN($F105,EOMONTH(DATE(cfg_FY,11,1),0))-MAX($E105,DATE(cfg_FY,11,1))+1)*(1-IF($M105="نعم",0,N($J105))))</f>
        <v>0</v>
      </c>
      <c r="AG105" s="110" t="n">
        <f aca="false">IF(OR($B105="",$E105="",$F105=""),0,MAX(0,MIN($F105,EOMONTH(DATE(cfg_FY,12,1),0))-MAX($E105,DATE(cfg_FY,12,1))+1)*(1-IF($M105="نعم",0,N($J105))))</f>
        <v>0</v>
      </c>
      <c r="AH105" s="110" t="n">
        <f aca="false">IF(OR(OR($B105="",$E105="",$F105=""),$L105&lt;&gt;"لا"),0,MAX(0,MIN($F105,EOMONTH(DATE(cfg_FY,1,1),0))-$E105+1))</f>
        <v>0</v>
      </c>
      <c r="AI105" s="110" t="n">
        <f aca="false">IF(OR(OR($B105="",$E105="",$F105=""),$L105&lt;&gt;"لا"),0,MAX(0,MIN($F105,EOMONTH(DATE(cfg_FY,2,1),0))-$E105+1))</f>
        <v>0</v>
      </c>
      <c r="AJ105" s="110" t="n">
        <f aca="false">IF(OR(OR($B105="",$E105="",$F105=""),$L105&lt;&gt;"لا"),0,MAX(0,MIN($F105,EOMONTH(DATE(cfg_FY,3,1),0))-$E105+1))</f>
        <v>0</v>
      </c>
      <c r="AK105" s="110" t="n">
        <f aca="false">IF(OR(OR($B105="",$E105="",$F105=""),$L105&lt;&gt;"لا"),0,MAX(0,MIN($F105,EOMONTH(DATE(cfg_FY,4,1),0))-$E105+1))</f>
        <v>0</v>
      </c>
      <c r="AL105" s="110" t="n">
        <f aca="false">IF(OR(OR($B105="",$E105="",$F105=""),$L105&lt;&gt;"لا"),0,MAX(0,MIN($F105,EOMONTH(DATE(cfg_FY,5,1),0))-$E105+1))</f>
        <v>0</v>
      </c>
      <c r="AM105" s="110" t="n">
        <f aca="false">IF(OR(OR($B105="",$E105="",$F105=""),$L105&lt;&gt;"لا"),0,MAX(0,MIN($F105,EOMONTH(DATE(cfg_FY,6,1),0))-$E105+1))</f>
        <v>0</v>
      </c>
      <c r="AN105" s="110" t="n">
        <f aca="false">IF(OR(OR($B105="",$E105="",$F105=""),$L105&lt;&gt;"لا"),0,MAX(0,MIN($F105,EOMONTH(DATE(cfg_FY,7,1),0))-$E105+1))</f>
        <v>0</v>
      </c>
      <c r="AO105" s="110" t="n">
        <f aca="false">IF(OR(OR($B105="",$E105="",$F105=""),$L105&lt;&gt;"لا"),0,MAX(0,MIN($F105,EOMONTH(DATE(cfg_FY,8,1),0))-$E105+1))</f>
        <v>0</v>
      </c>
      <c r="AP105" s="110" t="n">
        <f aca="false">IF(OR(OR($B105="",$E105="",$F105=""),$L105&lt;&gt;"لا"),0,MAX(0,MIN($F105,EOMONTH(DATE(cfg_FY,9,1),0))-$E105+1))</f>
        <v>0</v>
      </c>
      <c r="AQ105" s="110" t="n">
        <f aca="false">IF(OR(OR($B105="",$E105="",$F105=""),$L105&lt;&gt;"لا"),0,MAX(0,MIN($F105,EOMONTH(DATE(cfg_FY,10,1),0))-$E105+1))</f>
        <v>0</v>
      </c>
      <c r="AR105" s="110" t="n">
        <f aca="false">IF(OR(OR($B105="",$E105="",$F105=""),$L105&lt;&gt;"لا"),0,MAX(0,MIN($F105,EOMONTH(DATE(cfg_FY,11,1),0))-$E105+1))</f>
        <v>0</v>
      </c>
      <c r="AS105" s="110" t="n">
        <f aca="false">IF(OR(OR($B105="",$E105="",$F105=""),$L105&lt;&gt;"لا"),0,MAX(0,MIN($F105,EOMONTH(DATE(cfg_FY,12,1),0))-$E105+1))</f>
        <v>0</v>
      </c>
      <c r="AT105" s="110" t="n">
        <f aca="false">IF(OR(OR($B105="",$E105="",$F105=""),$K105&lt;&gt;"نعم",$M105="نعم"),0,MAX(0,MIN($F105,EOMONTH(DATE(cfg_FY,1,1),0))-MAX($E105,DATE(cfg_FY,1,1))+1))</f>
        <v>0</v>
      </c>
      <c r="AU105" s="110" t="n">
        <f aca="false">IF(OR(OR($B105="",$E105="",$F105=""),$K105&lt;&gt;"نعم",$M105="نعم"),0,MAX(0,MIN($F105,EOMONTH(DATE(cfg_FY,2,1),0))-MAX($E105,DATE(cfg_FY,2,1))+1))</f>
        <v>0</v>
      </c>
      <c r="AV105" s="110" t="n">
        <f aca="false">IF(OR(OR($B105="",$E105="",$F105=""),$K105&lt;&gt;"نعم",$M105="نعم"),0,MAX(0,MIN($F105,EOMONTH(DATE(cfg_FY,3,1),0))-MAX($E105,DATE(cfg_FY,3,1))+1))</f>
        <v>0</v>
      </c>
      <c r="AW105" s="110" t="n">
        <f aca="false">IF(OR(OR($B105="",$E105="",$F105=""),$K105&lt;&gt;"نعم",$M105="نعم"),0,MAX(0,MIN($F105,EOMONTH(DATE(cfg_FY,4,1),0))-MAX($E105,DATE(cfg_FY,4,1))+1))</f>
        <v>0</v>
      </c>
      <c r="AX105" s="110" t="n">
        <f aca="false">IF(OR(OR($B105="",$E105="",$F105=""),$K105&lt;&gt;"نعم",$M105="نعم"),0,MAX(0,MIN($F105,EOMONTH(DATE(cfg_FY,5,1),0))-MAX($E105,DATE(cfg_FY,5,1))+1))</f>
        <v>0</v>
      </c>
      <c r="AY105" s="110" t="n">
        <f aca="false">IF(OR(OR($B105="",$E105="",$F105=""),$K105&lt;&gt;"نعم",$M105="نعم"),0,MAX(0,MIN($F105,EOMONTH(DATE(cfg_FY,6,1),0))-MAX($E105,DATE(cfg_FY,6,1))+1))</f>
        <v>0</v>
      </c>
      <c r="AZ105" s="110" t="n">
        <f aca="false">IF(OR(OR($B105="",$E105="",$F105=""),$K105&lt;&gt;"نعم",$M105="نعم"),0,MAX(0,MIN($F105,EOMONTH(DATE(cfg_FY,7,1),0))-MAX($E105,DATE(cfg_FY,7,1))+1))</f>
        <v>0</v>
      </c>
      <c r="BA105" s="110" t="n">
        <f aca="false">IF(OR(OR($B105="",$E105="",$F105=""),$K105&lt;&gt;"نعم",$M105="نعم"),0,MAX(0,MIN($F105,EOMONTH(DATE(cfg_FY,8,1),0))-MAX($E105,DATE(cfg_FY,8,1))+1))</f>
        <v>0</v>
      </c>
      <c r="BB105" s="110" t="n">
        <f aca="false">IF(OR(OR($B105="",$E105="",$F105=""),$K105&lt;&gt;"نعم",$M105="نعم"),0,MAX(0,MIN($F105,EOMONTH(DATE(cfg_FY,9,1),0))-MAX($E105,DATE(cfg_FY,9,1))+1))</f>
        <v>0</v>
      </c>
      <c r="BC105" s="110" t="n">
        <f aca="false">IF(OR(OR($B105="",$E105="",$F105=""),$K105&lt;&gt;"نعم",$M105="نعم"),0,MAX(0,MIN($F105,EOMONTH(DATE(cfg_FY,10,1),0))-MAX($E105,DATE(cfg_FY,10,1))+1))</f>
        <v>0</v>
      </c>
      <c r="BD105" s="110" t="n">
        <f aca="false">IF(OR(OR($B105="",$E105="",$F105=""),$K105&lt;&gt;"نعم",$M105="نعم"),0,MAX(0,MIN($F105,EOMONTH(DATE(cfg_FY,11,1),0))-MAX($E105,DATE(cfg_FY,11,1))+1))</f>
        <v>0</v>
      </c>
      <c r="BE105" s="110" t="n">
        <f aca="false">IF(OR(OR($B105="",$E105="",$F105=""),$K105&lt;&gt;"نعم",$M105="نعم"),0,MAX(0,MIN($F105,EOMONTH(DATE(cfg_FY,12,1),0))-MAX($E105,DATE(cfg_FY,12,1))+1))</f>
        <v>0</v>
      </c>
    </row>
    <row r="106" customFormat="false" ht="15" hidden="false" customHeight="false" outlineLevel="0" collapsed="false">
      <c r="A106" s="93" t="str">
        <f aca="false">IF(B106="","",ROW()-5)</f>
        <v/>
      </c>
      <c r="B106" s="79"/>
      <c r="C106" s="80" t="str">
        <f aca="false">IF(B106="","",IFERROR(INDEX(الموظفون!$C$6:$C$105,MATCH(B106,الموظفون!$B$6:$B$105,0)),"✖ رقم غير موجود"))</f>
        <v/>
      </c>
      <c r="D106" s="79"/>
      <c r="E106" s="94"/>
      <c r="F106" s="94"/>
      <c r="G106" s="57" t="str">
        <f aca="false">IF(OR($B106="",$E106="",$F106=""),"",MAX(0,F106-E106+1))</f>
        <v/>
      </c>
      <c r="H106" s="58" t="str">
        <f aca="false">IF(D106="","",IFERROR(VLOOKUP(D106,cfg_LT,2,FALSE()),1))</f>
        <v/>
      </c>
      <c r="I106" s="82"/>
      <c r="J106" s="58" t="str">
        <f aca="false">IF(D106="","",IF(I106&lt;&gt;"",I106,H106))</f>
        <v/>
      </c>
      <c r="K106" s="80" t="str">
        <f aca="false">IF(D106="","",IFERROR(VLOOKUP($D106,cfg_LT,3,FALSE()),""))</f>
        <v/>
      </c>
      <c r="L106" s="80" t="str">
        <f aca="false">IF(D106="","",IFERROR(VLOOKUP($D106,cfg_LT,4,FALSE()),""))</f>
        <v/>
      </c>
      <c r="M106" s="80" t="str">
        <f aca="false">IF(D106="","",IFERROR(VLOOKUP($D106,cfg_LT,5,FALSE()),""))</f>
        <v/>
      </c>
      <c r="N106" s="97" t="n">
        <f aca="false">IF(OR(OR($B106="",$E106="",$F106=""),M106&lt;&gt;"نعم"),0,G106*J106*IFERROR(INDEX(الموظفون!$R$6:$R$105,MATCH(B106,الموظفون!$B$6:$B$105,0)),0)/cfg_DAYS_M)</f>
        <v>0</v>
      </c>
      <c r="O106" s="93" t="str">
        <f aca="false">IF(OR(OR($B106="",$E106="",$F106=""),M106&lt;&gt;"نعم"),"",IF(YEAR(E106)=cfg_FY,MONTH(E106),""))</f>
        <v/>
      </c>
      <c r="P106" s="80" t="str">
        <f aca="false">IF(B106="","",IF(OR(D106="",E106="",F106=""),"⚠ أكمل النوع والتواريخ",IF(F106&lt;E106,"✖ النهاية قبل البداية",IF(COUNTIFS($B$6:$B$505,B106,$E$6:$E$505,"&lt;="&amp;F106,$F$6:$F$505,"&gt;="&amp;E106)&gt;1,"⚠ تداخل مع سجل آخر",IF(E106&gt;cfg_VAL_DATE,"⏳ قادمة",IF(F106&lt;cfg_VAL_DATE,"✔ منتهية","✈ جارية في تاريخ التقرير"))))))</f>
        <v/>
      </c>
      <c r="Q106" s="79"/>
      <c r="R106" s="57" t="n">
        <f aca="false">IF(OR(OR($B106="",$E106="",$F106=""),L106&lt;&gt;"لا"),0,MAX(0,MIN(F106,cfg_Y_START-1)-E106+1))</f>
        <v>0</v>
      </c>
      <c r="S106" s="57" t="n">
        <f aca="false">IF(OR(OR($B106="",$E106="",$F106=""),L106&lt;&gt;"لا"),0,MAX(0,MIN(F106,cfg_VAL_DATE)-E106+1))</f>
        <v>0</v>
      </c>
      <c r="T106" s="57" t="n">
        <f aca="false">IF(OR(OR($B106="",$E106="",$F106=""),K106&lt;&gt;"نعم"),0,IF(M106="نعم",IF(AND(ISNUMBER(O106),N(O106)&lt;=cfg_VAL_M),G106,0),MAX(0,MIN(F106,cfg_VAL_DATE)-MAX(E106,cfg_Y_START)+1)))</f>
        <v>0</v>
      </c>
      <c r="V106" s="57" t="n">
        <f aca="false">IF(OR($B106="",$E106="",$F106=""),0,MAX(0,MIN($F106,EOMONTH(DATE(cfg_FY,1,1),0))-MAX($E106,DATE(cfg_FY,1,1))+1)*(1-IF($M106="نعم",0,N($J106))))</f>
        <v>0</v>
      </c>
      <c r="W106" s="57" t="n">
        <f aca="false">IF(OR($B106="",$E106="",$F106=""),0,MAX(0,MIN($F106,EOMONTH(DATE(cfg_FY,2,1),0))-MAX($E106,DATE(cfg_FY,2,1))+1)*(1-IF($M106="نعم",0,N($J106))))</f>
        <v>0</v>
      </c>
      <c r="X106" s="57" t="n">
        <f aca="false">IF(OR($B106="",$E106="",$F106=""),0,MAX(0,MIN($F106,EOMONTH(DATE(cfg_FY,3,1),0))-MAX($E106,DATE(cfg_FY,3,1))+1)*(1-IF($M106="نعم",0,N($J106))))</f>
        <v>0</v>
      </c>
      <c r="Y106" s="57" t="n">
        <f aca="false">IF(OR($B106="",$E106="",$F106=""),0,MAX(0,MIN($F106,EOMONTH(DATE(cfg_FY,4,1),0))-MAX($E106,DATE(cfg_FY,4,1))+1)*(1-IF($M106="نعم",0,N($J106))))</f>
        <v>0</v>
      </c>
      <c r="Z106" s="57" t="n">
        <f aca="false">IF(OR($B106="",$E106="",$F106=""),0,MAX(0,MIN($F106,EOMONTH(DATE(cfg_FY,5,1),0))-MAX($E106,DATE(cfg_FY,5,1))+1)*(1-IF($M106="نعم",0,N($J106))))</f>
        <v>0</v>
      </c>
      <c r="AA106" s="57" t="n">
        <f aca="false">IF(OR($B106="",$E106="",$F106=""),0,MAX(0,MIN($F106,EOMONTH(DATE(cfg_FY,6,1),0))-MAX($E106,DATE(cfg_FY,6,1))+1)*(1-IF($M106="نعم",0,N($J106))))</f>
        <v>0</v>
      </c>
      <c r="AB106" s="57" t="n">
        <f aca="false">IF(OR($B106="",$E106="",$F106=""),0,MAX(0,MIN($F106,EOMONTH(DATE(cfg_FY,7,1),0))-MAX($E106,DATE(cfg_FY,7,1))+1)*(1-IF($M106="نعم",0,N($J106))))</f>
        <v>0</v>
      </c>
      <c r="AC106" s="57" t="n">
        <f aca="false">IF(OR($B106="",$E106="",$F106=""),0,MAX(0,MIN($F106,EOMONTH(DATE(cfg_FY,8,1),0))-MAX($E106,DATE(cfg_FY,8,1))+1)*(1-IF($M106="نعم",0,N($J106))))</f>
        <v>0</v>
      </c>
      <c r="AD106" s="57" t="n">
        <f aca="false">IF(OR($B106="",$E106="",$F106=""),0,MAX(0,MIN($F106,EOMONTH(DATE(cfg_FY,9,1),0))-MAX($E106,DATE(cfg_FY,9,1))+1)*(1-IF($M106="نعم",0,N($J106))))</f>
        <v>0</v>
      </c>
      <c r="AE106" s="57" t="n">
        <f aca="false">IF(OR($B106="",$E106="",$F106=""),0,MAX(0,MIN($F106,EOMONTH(DATE(cfg_FY,10,1),0))-MAX($E106,DATE(cfg_FY,10,1))+1)*(1-IF($M106="نعم",0,N($J106))))</f>
        <v>0</v>
      </c>
      <c r="AF106" s="57" t="n">
        <f aca="false">IF(OR($B106="",$E106="",$F106=""),0,MAX(0,MIN($F106,EOMONTH(DATE(cfg_FY,11,1),0))-MAX($E106,DATE(cfg_FY,11,1))+1)*(1-IF($M106="نعم",0,N($J106))))</f>
        <v>0</v>
      </c>
      <c r="AG106" s="57" t="n">
        <f aca="false">IF(OR($B106="",$E106="",$F106=""),0,MAX(0,MIN($F106,EOMONTH(DATE(cfg_FY,12,1),0))-MAX($E106,DATE(cfg_FY,12,1))+1)*(1-IF($M106="نعم",0,N($J106))))</f>
        <v>0</v>
      </c>
      <c r="AH106" s="57" t="n">
        <f aca="false">IF(OR(OR($B106="",$E106="",$F106=""),$L106&lt;&gt;"لا"),0,MAX(0,MIN($F106,EOMONTH(DATE(cfg_FY,1,1),0))-$E106+1))</f>
        <v>0</v>
      </c>
      <c r="AI106" s="57" t="n">
        <f aca="false">IF(OR(OR($B106="",$E106="",$F106=""),$L106&lt;&gt;"لا"),0,MAX(0,MIN($F106,EOMONTH(DATE(cfg_FY,2,1),0))-$E106+1))</f>
        <v>0</v>
      </c>
      <c r="AJ106" s="57" t="n">
        <f aca="false">IF(OR(OR($B106="",$E106="",$F106=""),$L106&lt;&gt;"لا"),0,MAX(0,MIN($F106,EOMONTH(DATE(cfg_FY,3,1),0))-$E106+1))</f>
        <v>0</v>
      </c>
      <c r="AK106" s="57" t="n">
        <f aca="false">IF(OR(OR($B106="",$E106="",$F106=""),$L106&lt;&gt;"لا"),0,MAX(0,MIN($F106,EOMONTH(DATE(cfg_FY,4,1),0))-$E106+1))</f>
        <v>0</v>
      </c>
      <c r="AL106" s="57" t="n">
        <f aca="false">IF(OR(OR($B106="",$E106="",$F106=""),$L106&lt;&gt;"لا"),0,MAX(0,MIN($F106,EOMONTH(DATE(cfg_FY,5,1),0))-$E106+1))</f>
        <v>0</v>
      </c>
      <c r="AM106" s="57" t="n">
        <f aca="false">IF(OR(OR($B106="",$E106="",$F106=""),$L106&lt;&gt;"لا"),0,MAX(0,MIN($F106,EOMONTH(DATE(cfg_FY,6,1),0))-$E106+1))</f>
        <v>0</v>
      </c>
      <c r="AN106" s="57" t="n">
        <f aca="false">IF(OR(OR($B106="",$E106="",$F106=""),$L106&lt;&gt;"لا"),0,MAX(0,MIN($F106,EOMONTH(DATE(cfg_FY,7,1),0))-$E106+1))</f>
        <v>0</v>
      </c>
      <c r="AO106" s="57" t="n">
        <f aca="false">IF(OR(OR($B106="",$E106="",$F106=""),$L106&lt;&gt;"لا"),0,MAX(0,MIN($F106,EOMONTH(DATE(cfg_FY,8,1),0))-$E106+1))</f>
        <v>0</v>
      </c>
      <c r="AP106" s="57" t="n">
        <f aca="false">IF(OR(OR($B106="",$E106="",$F106=""),$L106&lt;&gt;"لا"),0,MAX(0,MIN($F106,EOMONTH(DATE(cfg_FY,9,1),0))-$E106+1))</f>
        <v>0</v>
      </c>
      <c r="AQ106" s="57" t="n">
        <f aca="false">IF(OR(OR($B106="",$E106="",$F106=""),$L106&lt;&gt;"لا"),0,MAX(0,MIN($F106,EOMONTH(DATE(cfg_FY,10,1),0))-$E106+1))</f>
        <v>0</v>
      </c>
      <c r="AR106" s="57" t="n">
        <f aca="false">IF(OR(OR($B106="",$E106="",$F106=""),$L106&lt;&gt;"لا"),0,MAX(0,MIN($F106,EOMONTH(DATE(cfg_FY,11,1),0))-$E106+1))</f>
        <v>0</v>
      </c>
      <c r="AS106" s="57" t="n">
        <f aca="false">IF(OR(OR($B106="",$E106="",$F106=""),$L106&lt;&gt;"لا"),0,MAX(0,MIN($F106,EOMONTH(DATE(cfg_FY,12,1),0))-$E106+1))</f>
        <v>0</v>
      </c>
      <c r="AT106" s="57" t="n">
        <f aca="false">IF(OR(OR($B106="",$E106="",$F106=""),$K106&lt;&gt;"نعم",$M106="نعم"),0,MAX(0,MIN($F106,EOMONTH(DATE(cfg_FY,1,1),0))-MAX($E106,DATE(cfg_FY,1,1))+1))</f>
        <v>0</v>
      </c>
      <c r="AU106" s="57" t="n">
        <f aca="false">IF(OR(OR($B106="",$E106="",$F106=""),$K106&lt;&gt;"نعم",$M106="نعم"),0,MAX(0,MIN($F106,EOMONTH(DATE(cfg_FY,2,1),0))-MAX($E106,DATE(cfg_FY,2,1))+1))</f>
        <v>0</v>
      </c>
      <c r="AV106" s="57" t="n">
        <f aca="false">IF(OR(OR($B106="",$E106="",$F106=""),$K106&lt;&gt;"نعم",$M106="نعم"),0,MAX(0,MIN($F106,EOMONTH(DATE(cfg_FY,3,1),0))-MAX($E106,DATE(cfg_FY,3,1))+1))</f>
        <v>0</v>
      </c>
      <c r="AW106" s="57" t="n">
        <f aca="false">IF(OR(OR($B106="",$E106="",$F106=""),$K106&lt;&gt;"نعم",$M106="نعم"),0,MAX(0,MIN($F106,EOMONTH(DATE(cfg_FY,4,1),0))-MAX($E106,DATE(cfg_FY,4,1))+1))</f>
        <v>0</v>
      </c>
      <c r="AX106" s="57" t="n">
        <f aca="false">IF(OR(OR($B106="",$E106="",$F106=""),$K106&lt;&gt;"نعم",$M106="نعم"),0,MAX(0,MIN($F106,EOMONTH(DATE(cfg_FY,5,1),0))-MAX($E106,DATE(cfg_FY,5,1))+1))</f>
        <v>0</v>
      </c>
      <c r="AY106" s="57" t="n">
        <f aca="false">IF(OR(OR($B106="",$E106="",$F106=""),$K106&lt;&gt;"نعم",$M106="نعم"),0,MAX(0,MIN($F106,EOMONTH(DATE(cfg_FY,6,1),0))-MAX($E106,DATE(cfg_FY,6,1))+1))</f>
        <v>0</v>
      </c>
      <c r="AZ106" s="57" t="n">
        <f aca="false">IF(OR(OR($B106="",$E106="",$F106=""),$K106&lt;&gt;"نعم",$M106="نعم"),0,MAX(0,MIN($F106,EOMONTH(DATE(cfg_FY,7,1),0))-MAX($E106,DATE(cfg_FY,7,1))+1))</f>
        <v>0</v>
      </c>
      <c r="BA106" s="57" t="n">
        <f aca="false">IF(OR(OR($B106="",$E106="",$F106=""),$K106&lt;&gt;"نعم",$M106="نعم"),0,MAX(0,MIN($F106,EOMONTH(DATE(cfg_FY,8,1),0))-MAX($E106,DATE(cfg_FY,8,1))+1))</f>
        <v>0</v>
      </c>
      <c r="BB106" s="57" t="n">
        <f aca="false">IF(OR(OR($B106="",$E106="",$F106=""),$K106&lt;&gt;"نعم",$M106="نعم"),0,MAX(0,MIN($F106,EOMONTH(DATE(cfg_FY,9,1),0))-MAX($E106,DATE(cfg_FY,9,1))+1))</f>
        <v>0</v>
      </c>
      <c r="BC106" s="57" t="n">
        <f aca="false">IF(OR(OR($B106="",$E106="",$F106=""),$K106&lt;&gt;"نعم",$M106="نعم"),0,MAX(0,MIN($F106,EOMONTH(DATE(cfg_FY,10,1),0))-MAX($E106,DATE(cfg_FY,10,1))+1))</f>
        <v>0</v>
      </c>
      <c r="BD106" s="57" t="n">
        <f aca="false">IF(OR(OR($B106="",$E106="",$F106=""),$K106&lt;&gt;"نعم",$M106="نعم"),0,MAX(0,MIN($F106,EOMONTH(DATE(cfg_FY,11,1),0))-MAX($E106,DATE(cfg_FY,11,1))+1))</f>
        <v>0</v>
      </c>
      <c r="BE106" s="57" t="n">
        <f aca="false">IF(OR(OR($B106="",$E106="",$F106=""),$K106&lt;&gt;"نعم",$M106="نعم"),0,MAX(0,MIN($F106,EOMONTH(DATE(cfg_FY,12,1),0))-MAX($E106,DATE(cfg_FY,12,1))+1))</f>
        <v>0</v>
      </c>
    </row>
    <row r="107" customFormat="false" ht="15" hidden="false" customHeight="false" outlineLevel="0" collapsed="false">
      <c r="A107" s="100" t="str">
        <f aca="false">IF(B107="","",ROW()-5)</f>
        <v/>
      </c>
      <c r="B107" s="79"/>
      <c r="C107" s="102" t="str">
        <f aca="false">IF(B107="","",IFERROR(INDEX(الموظفون!$C$6:$C$105,MATCH(B107,الموظفون!$B$6:$B$105,0)),"✖ رقم غير موجود"))</f>
        <v/>
      </c>
      <c r="D107" s="79"/>
      <c r="E107" s="94"/>
      <c r="F107" s="94"/>
      <c r="G107" s="110" t="str">
        <f aca="false">IF(OR($B107="",$E107="",$F107=""),"",MAX(0,F107-E107+1))</f>
        <v/>
      </c>
      <c r="H107" s="111" t="str">
        <f aca="false">IF(D107="","",IFERROR(VLOOKUP(D107,cfg_LT,2,FALSE()),1))</f>
        <v/>
      </c>
      <c r="I107" s="82"/>
      <c r="J107" s="111" t="str">
        <f aca="false">IF(D107="","",IF(I107&lt;&gt;"",I107,H107))</f>
        <v/>
      </c>
      <c r="K107" s="102" t="str">
        <f aca="false">IF(D107="","",IFERROR(VLOOKUP($D107,cfg_LT,3,FALSE()),""))</f>
        <v/>
      </c>
      <c r="L107" s="102" t="str">
        <f aca="false">IF(D107="","",IFERROR(VLOOKUP($D107,cfg_LT,4,FALSE()),""))</f>
        <v/>
      </c>
      <c r="M107" s="102" t="str">
        <f aca="false">IF(D107="","",IFERROR(VLOOKUP($D107,cfg_LT,5,FALSE()),""))</f>
        <v/>
      </c>
      <c r="N107" s="101" t="n">
        <f aca="false">IF(OR(OR($B107="",$E107="",$F107=""),M107&lt;&gt;"نعم"),0,G107*J107*IFERROR(INDEX(الموظفون!$R$6:$R$105,MATCH(B107,الموظفون!$B$6:$B$105,0)),0)/cfg_DAYS_M)</f>
        <v>0</v>
      </c>
      <c r="O107" s="100" t="str">
        <f aca="false">IF(OR(OR($B107="",$E107="",$F107=""),M107&lt;&gt;"نعم"),"",IF(YEAR(E107)=cfg_FY,MONTH(E107),""))</f>
        <v/>
      </c>
      <c r="P107" s="102" t="str">
        <f aca="false">IF(B107="","",IF(OR(D107="",E107="",F107=""),"⚠ أكمل النوع والتواريخ",IF(F107&lt;E107,"✖ النهاية قبل البداية",IF(COUNTIFS($B$6:$B$505,B107,$E$6:$E$505,"&lt;="&amp;F107,$F$6:$F$505,"&gt;="&amp;E107)&gt;1,"⚠ تداخل مع سجل آخر",IF(E107&gt;cfg_VAL_DATE,"⏳ قادمة",IF(F107&lt;cfg_VAL_DATE,"✔ منتهية","✈ جارية في تاريخ التقرير"))))))</f>
        <v/>
      </c>
      <c r="Q107" s="79"/>
      <c r="R107" s="110" t="n">
        <f aca="false">IF(OR(OR($B107="",$E107="",$F107=""),L107&lt;&gt;"لا"),0,MAX(0,MIN(F107,cfg_Y_START-1)-E107+1))</f>
        <v>0</v>
      </c>
      <c r="S107" s="110" t="n">
        <f aca="false">IF(OR(OR($B107="",$E107="",$F107=""),L107&lt;&gt;"لا"),0,MAX(0,MIN(F107,cfg_VAL_DATE)-E107+1))</f>
        <v>0</v>
      </c>
      <c r="T107" s="110" t="n">
        <f aca="false">IF(OR(OR($B107="",$E107="",$F107=""),K107&lt;&gt;"نعم"),0,IF(M107="نعم",IF(AND(ISNUMBER(O107),N(O107)&lt;=cfg_VAL_M),G107,0),MAX(0,MIN(F107,cfg_VAL_DATE)-MAX(E107,cfg_Y_START)+1)))</f>
        <v>0</v>
      </c>
      <c r="V107" s="110" t="n">
        <f aca="false">IF(OR($B107="",$E107="",$F107=""),0,MAX(0,MIN($F107,EOMONTH(DATE(cfg_FY,1,1),0))-MAX($E107,DATE(cfg_FY,1,1))+1)*(1-IF($M107="نعم",0,N($J107))))</f>
        <v>0</v>
      </c>
      <c r="W107" s="110" t="n">
        <f aca="false">IF(OR($B107="",$E107="",$F107=""),0,MAX(0,MIN($F107,EOMONTH(DATE(cfg_FY,2,1),0))-MAX($E107,DATE(cfg_FY,2,1))+1)*(1-IF($M107="نعم",0,N($J107))))</f>
        <v>0</v>
      </c>
      <c r="X107" s="110" t="n">
        <f aca="false">IF(OR($B107="",$E107="",$F107=""),0,MAX(0,MIN($F107,EOMONTH(DATE(cfg_FY,3,1),0))-MAX($E107,DATE(cfg_FY,3,1))+1)*(1-IF($M107="نعم",0,N($J107))))</f>
        <v>0</v>
      </c>
      <c r="Y107" s="110" t="n">
        <f aca="false">IF(OR($B107="",$E107="",$F107=""),0,MAX(0,MIN($F107,EOMONTH(DATE(cfg_FY,4,1),0))-MAX($E107,DATE(cfg_FY,4,1))+1)*(1-IF($M107="نعم",0,N($J107))))</f>
        <v>0</v>
      </c>
      <c r="Z107" s="110" t="n">
        <f aca="false">IF(OR($B107="",$E107="",$F107=""),0,MAX(0,MIN($F107,EOMONTH(DATE(cfg_FY,5,1),0))-MAX($E107,DATE(cfg_FY,5,1))+1)*(1-IF($M107="نعم",0,N($J107))))</f>
        <v>0</v>
      </c>
      <c r="AA107" s="110" t="n">
        <f aca="false">IF(OR($B107="",$E107="",$F107=""),0,MAX(0,MIN($F107,EOMONTH(DATE(cfg_FY,6,1),0))-MAX($E107,DATE(cfg_FY,6,1))+1)*(1-IF($M107="نعم",0,N($J107))))</f>
        <v>0</v>
      </c>
      <c r="AB107" s="110" t="n">
        <f aca="false">IF(OR($B107="",$E107="",$F107=""),0,MAX(0,MIN($F107,EOMONTH(DATE(cfg_FY,7,1),0))-MAX($E107,DATE(cfg_FY,7,1))+1)*(1-IF($M107="نعم",0,N($J107))))</f>
        <v>0</v>
      </c>
      <c r="AC107" s="110" t="n">
        <f aca="false">IF(OR($B107="",$E107="",$F107=""),0,MAX(0,MIN($F107,EOMONTH(DATE(cfg_FY,8,1),0))-MAX($E107,DATE(cfg_FY,8,1))+1)*(1-IF($M107="نعم",0,N($J107))))</f>
        <v>0</v>
      </c>
      <c r="AD107" s="110" t="n">
        <f aca="false">IF(OR($B107="",$E107="",$F107=""),0,MAX(0,MIN($F107,EOMONTH(DATE(cfg_FY,9,1),0))-MAX($E107,DATE(cfg_FY,9,1))+1)*(1-IF($M107="نعم",0,N($J107))))</f>
        <v>0</v>
      </c>
      <c r="AE107" s="110" t="n">
        <f aca="false">IF(OR($B107="",$E107="",$F107=""),0,MAX(0,MIN($F107,EOMONTH(DATE(cfg_FY,10,1),0))-MAX($E107,DATE(cfg_FY,10,1))+1)*(1-IF($M107="نعم",0,N($J107))))</f>
        <v>0</v>
      </c>
      <c r="AF107" s="110" t="n">
        <f aca="false">IF(OR($B107="",$E107="",$F107=""),0,MAX(0,MIN($F107,EOMONTH(DATE(cfg_FY,11,1),0))-MAX($E107,DATE(cfg_FY,11,1))+1)*(1-IF($M107="نعم",0,N($J107))))</f>
        <v>0</v>
      </c>
      <c r="AG107" s="110" t="n">
        <f aca="false">IF(OR($B107="",$E107="",$F107=""),0,MAX(0,MIN($F107,EOMONTH(DATE(cfg_FY,12,1),0))-MAX($E107,DATE(cfg_FY,12,1))+1)*(1-IF($M107="نعم",0,N($J107))))</f>
        <v>0</v>
      </c>
      <c r="AH107" s="110" t="n">
        <f aca="false">IF(OR(OR($B107="",$E107="",$F107=""),$L107&lt;&gt;"لا"),0,MAX(0,MIN($F107,EOMONTH(DATE(cfg_FY,1,1),0))-$E107+1))</f>
        <v>0</v>
      </c>
      <c r="AI107" s="110" t="n">
        <f aca="false">IF(OR(OR($B107="",$E107="",$F107=""),$L107&lt;&gt;"لا"),0,MAX(0,MIN($F107,EOMONTH(DATE(cfg_FY,2,1),0))-$E107+1))</f>
        <v>0</v>
      </c>
      <c r="AJ107" s="110" t="n">
        <f aca="false">IF(OR(OR($B107="",$E107="",$F107=""),$L107&lt;&gt;"لا"),0,MAX(0,MIN($F107,EOMONTH(DATE(cfg_FY,3,1),0))-$E107+1))</f>
        <v>0</v>
      </c>
      <c r="AK107" s="110" t="n">
        <f aca="false">IF(OR(OR($B107="",$E107="",$F107=""),$L107&lt;&gt;"لا"),0,MAX(0,MIN($F107,EOMONTH(DATE(cfg_FY,4,1),0))-$E107+1))</f>
        <v>0</v>
      </c>
      <c r="AL107" s="110" t="n">
        <f aca="false">IF(OR(OR($B107="",$E107="",$F107=""),$L107&lt;&gt;"لا"),0,MAX(0,MIN($F107,EOMONTH(DATE(cfg_FY,5,1),0))-$E107+1))</f>
        <v>0</v>
      </c>
      <c r="AM107" s="110" t="n">
        <f aca="false">IF(OR(OR($B107="",$E107="",$F107=""),$L107&lt;&gt;"لا"),0,MAX(0,MIN($F107,EOMONTH(DATE(cfg_FY,6,1),0))-$E107+1))</f>
        <v>0</v>
      </c>
      <c r="AN107" s="110" t="n">
        <f aca="false">IF(OR(OR($B107="",$E107="",$F107=""),$L107&lt;&gt;"لا"),0,MAX(0,MIN($F107,EOMONTH(DATE(cfg_FY,7,1),0))-$E107+1))</f>
        <v>0</v>
      </c>
      <c r="AO107" s="110" t="n">
        <f aca="false">IF(OR(OR($B107="",$E107="",$F107=""),$L107&lt;&gt;"لا"),0,MAX(0,MIN($F107,EOMONTH(DATE(cfg_FY,8,1),0))-$E107+1))</f>
        <v>0</v>
      </c>
      <c r="AP107" s="110" t="n">
        <f aca="false">IF(OR(OR($B107="",$E107="",$F107=""),$L107&lt;&gt;"لا"),0,MAX(0,MIN($F107,EOMONTH(DATE(cfg_FY,9,1),0))-$E107+1))</f>
        <v>0</v>
      </c>
      <c r="AQ107" s="110" t="n">
        <f aca="false">IF(OR(OR($B107="",$E107="",$F107=""),$L107&lt;&gt;"لا"),0,MAX(0,MIN($F107,EOMONTH(DATE(cfg_FY,10,1),0))-$E107+1))</f>
        <v>0</v>
      </c>
      <c r="AR107" s="110" t="n">
        <f aca="false">IF(OR(OR($B107="",$E107="",$F107=""),$L107&lt;&gt;"لا"),0,MAX(0,MIN($F107,EOMONTH(DATE(cfg_FY,11,1),0))-$E107+1))</f>
        <v>0</v>
      </c>
      <c r="AS107" s="110" t="n">
        <f aca="false">IF(OR(OR($B107="",$E107="",$F107=""),$L107&lt;&gt;"لا"),0,MAX(0,MIN($F107,EOMONTH(DATE(cfg_FY,12,1),0))-$E107+1))</f>
        <v>0</v>
      </c>
      <c r="AT107" s="110" t="n">
        <f aca="false">IF(OR(OR($B107="",$E107="",$F107=""),$K107&lt;&gt;"نعم",$M107="نعم"),0,MAX(0,MIN($F107,EOMONTH(DATE(cfg_FY,1,1),0))-MAX($E107,DATE(cfg_FY,1,1))+1))</f>
        <v>0</v>
      </c>
      <c r="AU107" s="110" t="n">
        <f aca="false">IF(OR(OR($B107="",$E107="",$F107=""),$K107&lt;&gt;"نعم",$M107="نعم"),0,MAX(0,MIN($F107,EOMONTH(DATE(cfg_FY,2,1),0))-MAX($E107,DATE(cfg_FY,2,1))+1))</f>
        <v>0</v>
      </c>
      <c r="AV107" s="110" t="n">
        <f aca="false">IF(OR(OR($B107="",$E107="",$F107=""),$K107&lt;&gt;"نعم",$M107="نعم"),0,MAX(0,MIN($F107,EOMONTH(DATE(cfg_FY,3,1),0))-MAX($E107,DATE(cfg_FY,3,1))+1))</f>
        <v>0</v>
      </c>
      <c r="AW107" s="110" t="n">
        <f aca="false">IF(OR(OR($B107="",$E107="",$F107=""),$K107&lt;&gt;"نعم",$M107="نعم"),0,MAX(0,MIN($F107,EOMONTH(DATE(cfg_FY,4,1),0))-MAX($E107,DATE(cfg_FY,4,1))+1))</f>
        <v>0</v>
      </c>
      <c r="AX107" s="110" t="n">
        <f aca="false">IF(OR(OR($B107="",$E107="",$F107=""),$K107&lt;&gt;"نعم",$M107="نعم"),0,MAX(0,MIN($F107,EOMONTH(DATE(cfg_FY,5,1),0))-MAX($E107,DATE(cfg_FY,5,1))+1))</f>
        <v>0</v>
      </c>
      <c r="AY107" s="110" t="n">
        <f aca="false">IF(OR(OR($B107="",$E107="",$F107=""),$K107&lt;&gt;"نعم",$M107="نعم"),0,MAX(0,MIN($F107,EOMONTH(DATE(cfg_FY,6,1),0))-MAX($E107,DATE(cfg_FY,6,1))+1))</f>
        <v>0</v>
      </c>
      <c r="AZ107" s="110" t="n">
        <f aca="false">IF(OR(OR($B107="",$E107="",$F107=""),$K107&lt;&gt;"نعم",$M107="نعم"),0,MAX(0,MIN($F107,EOMONTH(DATE(cfg_FY,7,1),0))-MAX($E107,DATE(cfg_FY,7,1))+1))</f>
        <v>0</v>
      </c>
      <c r="BA107" s="110" t="n">
        <f aca="false">IF(OR(OR($B107="",$E107="",$F107=""),$K107&lt;&gt;"نعم",$M107="نعم"),0,MAX(0,MIN($F107,EOMONTH(DATE(cfg_FY,8,1),0))-MAX($E107,DATE(cfg_FY,8,1))+1))</f>
        <v>0</v>
      </c>
      <c r="BB107" s="110" t="n">
        <f aca="false">IF(OR(OR($B107="",$E107="",$F107=""),$K107&lt;&gt;"نعم",$M107="نعم"),0,MAX(0,MIN($F107,EOMONTH(DATE(cfg_FY,9,1),0))-MAX($E107,DATE(cfg_FY,9,1))+1))</f>
        <v>0</v>
      </c>
      <c r="BC107" s="110" t="n">
        <f aca="false">IF(OR(OR($B107="",$E107="",$F107=""),$K107&lt;&gt;"نعم",$M107="نعم"),0,MAX(0,MIN($F107,EOMONTH(DATE(cfg_FY,10,1),0))-MAX($E107,DATE(cfg_FY,10,1))+1))</f>
        <v>0</v>
      </c>
      <c r="BD107" s="110" t="n">
        <f aca="false">IF(OR(OR($B107="",$E107="",$F107=""),$K107&lt;&gt;"نعم",$M107="نعم"),0,MAX(0,MIN($F107,EOMONTH(DATE(cfg_FY,11,1),0))-MAX($E107,DATE(cfg_FY,11,1))+1))</f>
        <v>0</v>
      </c>
      <c r="BE107" s="110" t="n">
        <f aca="false">IF(OR(OR($B107="",$E107="",$F107=""),$K107&lt;&gt;"نعم",$M107="نعم"),0,MAX(0,MIN($F107,EOMONTH(DATE(cfg_FY,12,1),0))-MAX($E107,DATE(cfg_FY,12,1))+1))</f>
        <v>0</v>
      </c>
    </row>
    <row r="108" customFormat="false" ht="15" hidden="false" customHeight="false" outlineLevel="0" collapsed="false">
      <c r="A108" s="93" t="str">
        <f aca="false">IF(B108="","",ROW()-5)</f>
        <v/>
      </c>
      <c r="B108" s="79"/>
      <c r="C108" s="80" t="str">
        <f aca="false">IF(B108="","",IFERROR(INDEX(الموظفون!$C$6:$C$105,MATCH(B108,الموظفون!$B$6:$B$105,0)),"✖ رقم غير موجود"))</f>
        <v/>
      </c>
      <c r="D108" s="79"/>
      <c r="E108" s="94"/>
      <c r="F108" s="94"/>
      <c r="G108" s="57" t="str">
        <f aca="false">IF(OR($B108="",$E108="",$F108=""),"",MAX(0,F108-E108+1))</f>
        <v/>
      </c>
      <c r="H108" s="58" t="str">
        <f aca="false">IF(D108="","",IFERROR(VLOOKUP(D108,cfg_LT,2,FALSE()),1))</f>
        <v/>
      </c>
      <c r="I108" s="82"/>
      <c r="J108" s="58" t="str">
        <f aca="false">IF(D108="","",IF(I108&lt;&gt;"",I108,H108))</f>
        <v/>
      </c>
      <c r="K108" s="80" t="str">
        <f aca="false">IF(D108="","",IFERROR(VLOOKUP($D108,cfg_LT,3,FALSE()),""))</f>
        <v/>
      </c>
      <c r="L108" s="80" t="str">
        <f aca="false">IF(D108="","",IFERROR(VLOOKUP($D108,cfg_LT,4,FALSE()),""))</f>
        <v/>
      </c>
      <c r="M108" s="80" t="str">
        <f aca="false">IF(D108="","",IFERROR(VLOOKUP($D108,cfg_LT,5,FALSE()),""))</f>
        <v/>
      </c>
      <c r="N108" s="97" t="n">
        <f aca="false">IF(OR(OR($B108="",$E108="",$F108=""),M108&lt;&gt;"نعم"),0,G108*J108*IFERROR(INDEX(الموظفون!$R$6:$R$105,MATCH(B108,الموظفون!$B$6:$B$105,0)),0)/cfg_DAYS_M)</f>
        <v>0</v>
      </c>
      <c r="O108" s="93" t="str">
        <f aca="false">IF(OR(OR($B108="",$E108="",$F108=""),M108&lt;&gt;"نعم"),"",IF(YEAR(E108)=cfg_FY,MONTH(E108),""))</f>
        <v/>
      </c>
      <c r="P108" s="80" t="str">
        <f aca="false">IF(B108="","",IF(OR(D108="",E108="",F108=""),"⚠ أكمل النوع والتواريخ",IF(F108&lt;E108,"✖ النهاية قبل البداية",IF(COUNTIFS($B$6:$B$505,B108,$E$6:$E$505,"&lt;="&amp;F108,$F$6:$F$505,"&gt;="&amp;E108)&gt;1,"⚠ تداخل مع سجل آخر",IF(E108&gt;cfg_VAL_DATE,"⏳ قادمة",IF(F108&lt;cfg_VAL_DATE,"✔ منتهية","✈ جارية في تاريخ التقرير"))))))</f>
        <v/>
      </c>
      <c r="Q108" s="79"/>
      <c r="R108" s="57" t="n">
        <f aca="false">IF(OR(OR($B108="",$E108="",$F108=""),L108&lt;&gt;"لا"),0,MAX(0,MIN(F108,cfg_Y_START-1)-E108+1))</f>
        <v>0</v>
      </c>
      <c r="S108" s="57" t="n">
        <f aca="false">IF(OR(OR($B108="",$E108="",$F108=""),L108&lt;&gt;"لا"),0,MAX(0,MIN(F108,cfg_VAL_DATE)-E108+1))</f>
        <v>0</v>
      </c>
      <c r="T108" s="57" t="n">
        <f aca="false">IF(OR(OR($B108="",$E108="",$F108=""),K108&lt;&gt;"نعم"),0,IF(M108="نعم",IF(AND(ISNUMBER(O108),N(O108)&lt;=cfg_VAL_M),G108,0),MAX(0,MIN(F108,cfg_VAL_DATE)-MAX(E108,cfg_Y_START)+1)))</f>
        <v>0</v>
      </c>
      <c r="V108" s="57" t="n">
        <f aca="false">IF(OR($B108="",$E108="",$F108=""),0,MAX(0,MIN($F108,EOMONTH(DATE(cfg_FY,1,1),0))-MAX($E108,DATE(cfg_FY,1,1))+1)*(1-IF($M108="نعم",0,N($J108))))</f>
        <v>0</v>
      </c>
      <c r="W108" s="57" t="n">
        <f aca="false">IF(OR($B108="",$E108="",$F108=""),0,MAX(0,MIN($F108,EOMONTH(DATE(cfg_FY,2,1),0))-MAX($E108,DATE(cfg_FY,2,1))+1)*(1-IF($M108="نعم",0,N($J108))))</f>
        <v>0</v>
      </c>
      <c r="X108" s="57" t="n">
        <f aca="false">IF(OR($B108="",$E108="",$F108=""),0,MAX(0,MIN($F108,EOMONTH(DATE(cfg_FY,3,1),0))-MAX($E108,DATE(cfg_FY,3,1))+1)*(1-IF($M108="نعم",0,N($J108))))</f>
        <v>0</v>
      </c>
      <c r="Y108" s="57" t="n">
        <f aca="false">IF(OR($B108="",$E108="",$F108=""),0,MAX(0,MIN($F108,EOMONTH(DATE(cfg_FY,4,1),0))-MAX($E108,DATE(cfg_FY,4,1))+1)*(1-IF($M108="نعم",0,N($J108))))</f>
        <v>0</v>
      </c>
      <c r="Z108" s="57" t="n">
        <f aca="false">IF(OR($B108="",$E108="",$F108=""),0,MAX(0,MIN($F108,EOMONTH(DATE(cfg_FY,5,1),0))-MAX($E108,DATE(cfg_FY,5,1))+1)*(1-IF($M108="نعم",0,N($J108))))</f>
        <v>0</v>
      </c>
      <c r="AA108" s="57" t="n">
        <f aca="false">IF(OR($B108="",$E108="",$F108=""),0,MAX(0,MIN($F108,EOMONTH(DATE(cfg_FY,6,1),0))-MAX($E108,DATE(cfg_FY,6,1))+1)*(1-IF($M108="نعم",0,N($J108))))</f>
        <v>0</v>
      </c>
      <c r="AB108" s="57" t="n">
        <f aca="false">IF(OR($B108="",$E108="",$F108=""),0,MAX(0,MIN($F108,EOMONTH(DATE(cfg_FY,7,1),0))-MAX($E108,DATE(cfg_FY,7,1))+1)*(1-IF($M108="نعم",0,N($J108))))</f>
        <v>0</v>
      </c>
      <c r="AC108" s="57" t="n">
        <f aca="false">IF(OR($B108="",$E108="",$F108=""),0,MAX(0,MIN($F108,EOMONTH(DATE(cfg_FY,8,1),0))-MAX($E108,DATE(cfg_FY,8,1))+1)*(1-IF($M108="نعم",0,N($J108))))</f>
        <v>0</v>
      </c>
      <c r="AD108" s="57" t="n">
        <f aca="false">IF(OR($B108="",$E108="",$F108=""),0,MAX(0,MIN($F108,EOMONTH(DATE(cfg_FY,9,1),0))-MAX($E108,DATE(cfg_FY,9,1))+1)*(1-IF($M108="نعم",0,N($J108))))</f>
        <v>0</v>
      </c>
      <c r="AE108" s="57" t="n">
        <f aca="false">IF(OR($B108="",$E108="",$F108=""),0,MAX(0,MIN($F108,EOMONTH(DATE(cfg_FY,10,1),0))-MAX($E108,DATE(cfg_FY,10,1))+1)*(1-IF($M108="نعم",0,N($J108))))</f>
        <v>0</v>
      </c>
      <c r="AF108" s="57" t="n">
        <f aca="false">IF(OR($B108="",$E108="",$F108=""),0,MAX(0,MIN($F108,EOMONTH(DATE(cfg_FY,11,1),0))-MAX($E108,DATE(cfg_FY,11,1))+1)*(1-IF($M108="نعم",0,N($J108))))</f>
        <v>0</v>
      </c>
      <c r="AG108" s="57" t="n">
        <f aca="false">IF(OR($B108="",$E108="",$F108=""),0,MAX(0,MIN($F108,EOMONTH(DATE(cfg_FY,12,1),0))-MAX($E108,DATE(cfg_FY,12,1))+1)*(1-IF($M108="نعم",0,N($J108))))</f>
        <v>0</v>
      </c>
      <c r="AH108" s="57" t="n">
        <f aca="false">IF(OR(OR($B108="",$E108="",$F108=""),$L108&lt;&gt;"لا"),0,MAX(0,MIN($F108,EOMONTH(DATE(cfg_FY,1,1),0))-$E108+1))</f>
        <v>0</v>
      </c>
      <c r="AI108" s="57" t="n">
        <f aca="false">IF(OR(OR($B108="",$E108="",$F108=""),$L108&lt;&gt;"لا"),0,MAX(0,MIN($F108,EOMONTH(DATE(cfg_FY,2,1),0))-$E108+1))</f>
        <v>0</v>
      </c>
      <c r="AJ108" s="57" t="n">
        <f aca="false">IF(OR(OR($B108="",$E108="",$F108=""),$L108&lt;&gt;"لا"),0,MAX(0,MIN($F108,EOMONTH(DATE(cfg_FY,3,1),0))-$E108+1))</f>
        <v>0</v>
      </c>
      <c r="AK108" s="57" t="n">
        <f aca="false">IF(OR(OR($B108="",$E108="",$F108=""),$L108&lt;&gt;"لا"),0,MAX(0,MIN($F108,EOMONTH(DATE(cfg_FY,4,1),0))-$E108+1))</f>
        <v>0</v>
      </c>
      <c r="AL108" s="57" t="n">
        <f aca="false">IF(OR(OR($B108="",$E108="",$F108=""),$L108&lt;&gt;"لا"),0,MAX(0,MIN($F108,EOMONTH(DATE(cfg_FY,5,1),0))-$E108+1))</f>
        <v>0</v>
      </c>
      <c r="AM108" s="57" t="n">
        <f aca="false">IF(OR(OR($B108="",$E108="",$F108=""),$L108&lt;&gt;"لا"),0,MAX(0,MIN($F108,EOMONTH(DATE(cfg_FY,6,1),0))-$E108+1))</f>
        <v>0</v>
      </c>
      <c r="AN108" s="57" t="n">
        <f aca="false">IF(OR(OR($B108="",$E108="",$F108=""),$L108&lt;&gt;"لا"),0,MAX(0,MIN($F108,EOMONTH(DATE(cfg_FY,7,1),0))-$E108+1))</f>
        <v>0</v>
      </c>
      <c r="AO108" s="57" t="n">
        <f aca="false">IF(OR(OR($B108="",$E108="",$F108=""),$L108&lt;&gt;"لا"),0,MAX(0,MIN($F108,EOMONTH(DATE(cfg_FY,8,1),0))-$E108+1))</f>
        <v>0</v>
      </c>
      <c r="AP108" s="57" t="n">
        <f aca="false">IF(OR(OR($B108="",$E108="",$F108=""),$L108&lt;&gt;"لا"),0,MAX(0,MIN($F108,EOMONTH(DATE(cfg_FY,9,1),0))-$E108+1))</f>
        <v>0</v>
      </c>
      <c r="AQ108" s="57" t="n">
        <f aca="false">IF(OR(OR($B108="",$E108="",$F108=""),$L108&lt;&gt;"لا"),0,MAX(0,MIN($F108,EOMONTH(DATE(cfg_FY,10,1),0))-$E108+1))</f>
        <v>0</v>
      </c>
      <c r="AR108" s="57" t="n">
        <f aca="false">IF(OR(OR($B108="",$E108="",$F108=""),$L108&lt;&gt;"لا"),0,MAX(0,MIN($F108,EOMONTH(DATE(cfg_FY,11,1),0))-$E108+1))</f>
        <v>0</v>
      </c>
      <c r="AS108" s="57" t="n">
        <f aca="false">IF(OR(OR($B108="",$E108="",$F108=""),$L108&lt;&gt;"لا"),0,MAX(0,MIN($F108,EOMONTH(DATE(cfg_FY,12,1),0))-$E108+1))</f>
        <v>0</v>
      </c>
      <c r="AT108" s="57" t="n">
        <f aca="false">IF(OR(OR($B108="",$E108="",$F108=""),$K108&lt;&gt;"نعم",$M108="نعم"),0,MAX(0,MIN($F108,EOMONTH(DATE(cfg_FY,1,1),0))-MAX($E108,DATE(cfg_FY,1,1))+1))</f>
        <v>0</v>
      </c>
      <c r="AU108" s="57" t="n">
        <f aca="false">IF(OR(OR($B108="",$E108="",$F108=""),$K108&lt;&gt;"نعم",$M108="نعم"),0,MAX(0,MIN($F108,EOMONTH(DATE(cfg_FY,2,1),0))-MAX($E108,DATE(cfg_FY,2,1))+1))</f>
        <v>0</v>
      </c>
      <c r="AV108" s="57" t="n">
        <f aca="false">IF(OR(OR($B108="",$E108="",$F108=""),$K108&lt;&gt;"نعم",$M108="نعم"),0,MAX(0,MIN($F108,EOMONTH(DATE(cfg_FY,3,1),0))-MAX($E108,DATE(cfg_FY,3,1))+1))</f>
        <v>0</v>
      </c>
      <c r="AW108" s="57" t="n">
        <f aca="false">IF(OR(OR($B108="",$E108="",$F108=""),$K108&lt;&gt;"نعم",$M108="نعم"),0,MAX(0,MIN($F108,EOMONTH(DATE(cfg_FY,4,1),0))-MAX($E108,DATE(cfg_FY,4,1))+1))</f>
        <v>0</v>
      </c>
      <c r="AX108" s="57" t="n">
        <f aca="false">IF(OR(OR($B108="",$E108="",$F108=""),$K108&lt;&gt;"نعم",$M108="نعم"),0,MAX(0,MIN($F108,EOMONTH(DATE(cfg_FY,5,1),0))-MAX($E108,DATE(cfg_FY,5,1))+1))</f>
        <v>0</v>
      </c>
      <c r="AY108" s="57" t="n">
        <f aca="false">IF(OR(OR($B108="",$E108="",$F108=""),$K108&lt;&gt;"نعم",$M108="نعم"),0,MAX(0,MIN($F108,EOMONTH(DATE(cfg_FY,6,1),0))-MAX($E108,DATE(cfg_FY,6,1))+1))</f>
        <v>0</v>
      </c>
      <c r="AZ108" s="57" t="n">
        <f aca="false">IF(OR(OR($B108="",$E108="",$F108=""),$K108&lt;&gt;"نعم",$M108="نعم"),0,MAX(0,MIN($F108,EOMONTH(DATE(cfg_FY,7,1),0))-MAX($E108,DATE(cfg_FY,7,1))+1))</f>
        <v>0</v>
      </c>
      <c r="BA108" s="57" t="n">
        <f aca="false">IF(OR(OR($B108="",$E108="",$F108=""),$K108&lt;&gt;"نعم",$M108="نعم"),0,MAX(0,MIN($F108,EOMONTH(DATE(cfg_FY,8,1),0))-MAX($E108,DATE(cfg_FY,8,1))+1))</f>
        <v>0</v>
      </c>
      <c r="BB108" s="57" t="n">
        <f aca="false">IF(OR(OR($B108="",$E108="",$F108=""),$K108&lt;&gt;"نعم",$M108="نعم"),0,MAX(0,MIN($F108,EOMONTH(DATE(cfg_FY,9,1),0))-MAX($E108,DATE(cfg_FY,9,1))+1))</f>
        <v>0</v>
      </c>
      <c r="BC108" s="57" t="n">
        <f aca="false">IF(OR(OR($B108="",$E108="",$F108=""),$K108&lt;&gt;"نعم",$M108="نعم"),0,MAX(0,MIN($F108,EOMONTH(DATE(cfg_FY,10,1),0))-MAX($E108,DATE(cfg_FY,10,1))+1))</f>
        <v>0</v>
      </c>
      <c r="BD108" s="57" t="n">
        <f aca="false">IF(OR(OR($B108="",$E108="",$F108=""),$K108&lt;&gt;"نعم",$M108="نعم"),0,MAX(0,MIN($F108,EOMONTH(DATE(cfg_FY,11,1),0))-MAX($E108,DATE(cfg_FY,11,1))+1))</f>
        <v>0</v>
      </c>
      <c r="BE108" s="57" t="n">
        <f aca="false">IF(OR(OR($B108="",$E108="",$F108=""),$K108&lt;&gt;"نعم",$M108="نعم"),0,MAX(0,MIN($F108,EOMONTH(DATE(cfg_FY,12,1),0))-MAX($E108,DATE(cfg_FY,12,1))+1))</f>
        <v>0</v>
      </c>
    </row>
    <row r="109" customFormat="false" ht="15" hidden="false" customHeight="false" outlineLevel="0" collapsed="false">
      <c r="A109" s="100" t="str">
        <f aca="false">IF(B109="","",ROW()-5)</f>
        <v/>
      </c>
      <c r="B109" s="79"/>
      <c r="C109" s="102" t="str">
        <f aca="false">IF(B109="","",IFERROR(INDEX(الموظفون!$C$6:$C$105,MATCH(B109,الموظفون!$B$6:$B$105,0)),"✖ رقم غير موجود"))</f>
        <v/>
      </c>
      <c r="D109" s="79"/>
      <c r="E109" s="94"/>
      <c r="F109" s="94"/>
      <c r="G109" s="110" t="str">
        <f aca="false">IF(OR($B109="",$E109="",$F109=""),"",MAX(0,F109-E109+1))</f>
        <v/>
      </c>
      <c r="H109" s="111" t="str">
        <f aca="false">IF(D109="","",IFERROR(VLOOKUP(D109,cfg_LT,2,FALSE()),1))</f>
        <v/>
      </c>
      <c r="I109" s="82"/>
      <c r="J109" s="111" t="str">
        <f aca="false">IF(D109="","",IF(I109&lt;&gt;"",I109,H109))</f>
        <v/>
      </c>
      <c r="K109" s="102" t="str">
        <f aca="false">IF(D109="","",IFERROR(VLOOKUP($D109,cfg_LT,3,FALSE()),""))</f>
        <v/>
      </c>
      <c r="L109" s="102" t="str">
        <f aca="false">IF(D109="","",IFERROR(VLOOKUP($D109,cfg_LT,4,FALSE()),""))</f>
        <v/>
      </c>
      <c r="M109" s="102" t="str">
        <f aca="false">IF(D109="","",IFERROR(VLOOKUP($D109,cfg_LT,5,FALSE()),""))</f>
        <v/>
      </c>
      <c r="N109" s="101" t="n">
        <f aca="false">IF(OR(OR($B109="",$E109="",$F109=""),M109&lt;&gt;"نعم"),0,G109*J109*IFERROR(INDEX(الموظفون!$R$6:$R$105,MATCH(B109,الموظفون!$B$6:$B$105,0)),0)/cfg_DAYS_M)</f>
        <v>0</v>
      </c>
      <c r="O109" s="100" t="str">
        <f aca="false">IF(OR(OR($B109="",$E109="",$F109=""),M109&lt;&gt;"نعم"),"",IF(YEAR(E109)=cfg_FY,MONTH(E109),""))</f>
        <v/>
      </c>
      <c r="P109" s="102" t="str">
        <f aca="false">IF(B109="","",IF(OR(D109="",E109="",F109=""),"⚠ أكمل النوع والتواريخ",IF(F109&lt;E109,"✖ النهاية قبل البداية",IF(COUNTIFS($B$6:$B$505,B109,$E$6:$E$505,"&lt;="&amp;F109,$F$6:$F$505,"&gt;="&amp;E109)&gt;1,"⚠ تداخل مع سجل آخر",IF(E109&gt;cfg_VAL_DATE,"⏳ قادمة",IF(F109&lt;cfg_VAL_DATE,"✔ منتهية","✈ جارية في تاريخ التقرير"))))))</f>
        <v/>
      </c>
      <c r="Q109" s="79"/>
      <c r="R109" s="110" t="n">
        <f aca="false">IF(OR(OR($B109="",$E109="",$F109=""),L109&lt;&gt;"لا"),0,MAX(0,MIN(F109,cfg_Y_START-1)-E109+1))</f>
        <v>0</v>
      </c>
      <c r="S109" s="110" t="n">
        <f aca="false">IF(OR(OR($B109="",$E109="",$F109=""),L109&lt;&gt;"لا"),0,MAX(0,MIN(F109,cfg_VAL_DATE)-E109+1))</f>
        <v>0</v>
      </c>
      <c r="T109" s="110" t="n">
        <f aca="false">IF(OR(OR($B109="",$E109="",$F109=""),K109&lt;&gt;"نعم"),0,IF(M109="نعم",IF(AND(ISNUMBER(O109),N(O109)&lt;=cfg_VAL_M),G109,0),MAX(0,MIN(F109,cfg_VAL_DATE)-MAX(E109,cfg_Y_START)+1)))</f>
        <v>0</v>
      </c>
      <c r="V109" s="110" t="n">
        <f aca="false">IF(OR($B109="",$E109="",$F109=""),0,MAX(0,MIN($F109,EOMONTH(DATE(cfg_FY,1,1),0))-MAX($E109,DATE(cfg_FY,1,1))+1)*(1-IF($M109="نعم",0,N($J109))))</f>
        <v>0</v>
      </c>
      <c r="W109" s="110" t="n">
        <f aca="false">IF(OR($B109="",$E109="",$F109=""),0,MAX(0,MIN($F109,EOMONTH(DATE(cfg_FY,2,1),0))-MAX($E109,DATE(cfg_FY,2,1))+1)*(1-IF($M109="نعم",0,N($J109))))</f>
        <v>0</v>
      </c>
      <c r="X109" s="110" t="n">
        <f aca="false">IF(OR($B109="",$E109="",$F109=""),0,MAX(0,MIN($F109,EOMONTH(DATE(cfg_FY,3,1),0))-MAX($E109,DATE(cfg_FY,3,1))+1)*(1-IF($M109="نعم",0,N($J109))))</f>
        <v>0</v>
      </c>
      <c r="Y109" s="110" t="n">
        <f aca="false">IF(OR($B109="",$E109="",$F109=""),0,MAX(0,MIN($F109,EOMONTH(DATE(cfg_FY,4,1),0))-MAX($E109,DATE(cfg_FY,4,1))+1)*(1-IF($M109="نعم",0,N($J109))))</f>
        <v>0</v>
      </c>
      <c r="Z109" s="110" t="n">
        <f aca="false">IF(OR($B109="",$E109="",$F109=""),0,MAX(0,MIN($F109,EOMONTH(DATE(cfg_FY,5,1),0))-MAX($E109,DATE(cfg_FY,5,1))+1)*(1-IF($M109="نعم",0,N($J109))))</f>
        <v>0</v>
      </c>
      <c r="AA109" s="110" t="n">
        <f aca="false">IF(OR($B109="",$E109="",$F109=""),0,MAX(0,MIN($F109,EOMONTH(DATE(cfg_FY,6,1),0))-MAX($E109,DATE(cfg_FY,6,1))+1)*(1-IF($M109="نعم",0,N($J109))))</f>
        <v>0</v>
      </c>
      <c r="AB109" s="110" t="n">
        <f aca="false">IF(OR($B109="",$E109="",$F109=""),0,MAX(0,MIN($F109,EOMONTH(DATE(cfg_FY,7,1),0))-MAX($E109,DATE(cfg_FY,7,1))+1)*(1-IF($M109="نعم",0,N($J109))))</f>
        <v>0</v>
      </c>
      <c r="AC109" s="110" t="n">
        <f aca="false">IF(OR($B109="",$E109="",$F109=""),0,MAX(0,MIN($F109,EOMONTH(DATE(cfg_FY,8,1),0))-MAX($E109,DATE(cfg_FY,8,1))+1)*(1-IF($M109="نعم",0,N($J109))))</f>
        <v>0</v>
      </c>
      <c r="AD109" s="110" t="n">
        <f aca="false">IF(OR($B109="",$E109="",$F109=""),0,MAX(0,MIN($F109,EOMONTH(DATE(cfg_FY,9,1),0))-MAX($E109,DATE(cfg_FY,9,1))+1)*(1-IF($M109="نعم",0,N($J109))))</f>
        <v>0</v>
      </c>
      <c r="AE109" s="110" t="n">
        <f aca="false">IF(OR($B109="",$E109="",$F109=""),0,MAX(0,MIN($F109,EOMONTH(DATE(cfg_FY,10,1),0))-MAX($E109,DATE(cfg_FY,10,1))+1)*(1-IF($M109="نعم",0,N($J109))))</f>
        <v>0</v>
      </c>
      <c r="AF109" s="110" t="n">
        <f aca="false">IF(OR($B109="",$E109="",$F109=""),0,MAX(0,MIN($F109,EOMONTH(DATE(cfg_FY,11,1),0))-MAX($E109,DATE(cfg_FY,11,1))+1)*(1-IF($M109="نعم",0,N($J109))))</f>
        <v>0</v>
      </c>
      <c r="AG109" s="110" t="n">
        <f aca="false">IF(OR($B109="",$E109="",$F109=""),0,MAX(0,MIN($F109,EOMONTH(DATE(cfg_FY,12,1),0))-MAX($E109,DATE(cfg_FY,12,1))+1)*(1-IF($M109="نعم",0,N($J109))))</f>
        <v>0</v>
      </c>
      <c r="AH109" s="110" t="n">
        <f aca="false">IF(OR(OR($B109="",$E109="",$F109=""),$L109&lt;&gt;"لا"),0,MAX(0,MIN($F109,EOMONTH(DATE(cfg_FY,1,1),0))-$E109+1))</f>
        <v>0</v>
      </c>
      <c r="AI109" s="110" t="n">
        <f aca="false">IF(OR(OR($B109="",$E109="",$F109=""),$L109&lt;&gt;"لا"),0,MAX(0,MIN($F109,EOMONTH(DATE(cfg_FY,2,1),0))-$E109+1))</f>
        <v>0</v>
      </c>
      <c r="AJ109" s="110" t="n">
        <f aca="false">IF(OR(OR($B109="",$E109="",$F109=""),$L109&lt;&gt;"لا"),0,MAX(0,MIN($F109,EOMONTH(DATE(cfg_FY,3,1),0))-$E109+1))</f>
        <v>0</v>
      </c>
      <c r="AK109" s="110" t="n">
        <f aca="false">IF(OR(OR($B109="",$E109="",$F109=""),$L109&lt;&gt;"لا"),0,MAX(0,MIN($F109,EOMONTH(DATE(cfg_FY,4,1),0))-$E109+1))</f>
        <v>0</v>
      </c>
      <c r="AL109" s="110" t="n">
        <f aca="false">IF(OR(OR($B109="",$E109="",$F109=""),$L109&lt;&gt;"لا"),0,MAX(0,MIN($F109,EOMONTH(DATE(cfg_FY,5,1),0))-$E109+1))</f>
        <v>0</v>
      </c>
      <c r="AM109" s="110" t="n">
        <f aca="false">IF(OR(OR($B109="",$E109="",$F109=""),$L109&lt;&gt;"لا"),0,MAX(0,MIN($F109,EOMONTH(DATE(cfg_FY,6,1),0))-$E109+1))</f>
        <v>0</v>
      </c>
      <c r="AN109" s="110" t="n">
        <f aca="false">IF(OR(OR($B109="",$E109="",$F109=""),$L109&lt;&gt;"لا"),0,MAX(0,MIN($F109,EOMONTH(DATE(cfg_FY,7,1),0))-$E109+1))</f>
        <v>0</v>
      </c>
      <c r="AO109" s="110" t="n">
        <f aca="false">IF(OR(OR($B109="",$E109="",$F109=""),$L109&lt;&gt;"لا"),0,MAX(0,MIN($F109,EOMONTH(DATE(cfg_FY,8,1),0))-$E109+1))</f>
        <v>0</v>
      </c>
      <c r="AP109" s="110" t="n">
        <f aca="false">IF(OR(OR($B109="",$E109="",$F109=""),$L109&lt;&gt;"لا"),0,MAX(0,MIN($F109,EOMONTH(DATE(cfg_FY,9,1),0))-$E109+1))</f>
        <v>0</v>
      </c>
      <c r="AQ109" s="110" t="n">
        <f aca="false">IF(OR(OR($B109="",$E109="",$F109=""),$L109&lt;&gt;"لا"),0,MAX(0,MIN($F109,EOMONTH(DATE(cfg_FY,10,1),0))-$E109+1))</f>
        <v>0</v>
      </c>
      <c r="AR109" s="110" t="n">
        <f aca="false">IF(OR(OR($B109="",$E109="",$F109=""),$L109&lt;&gt;"لا"),0,MAX(0,MIN($F109,EOMONTH(DATE(cfg_FY,11,1),0))-$E109+1))</f>
        <v>0</v>
      </c>
      <c r="AS109" s="110" t="n">
        <f aca="false">IF(OR(OR($B109="",$E109="",$F109=""),$L109&lt;&gt;"لا"),0,MAX(0,MIN($F109,EOMONTH(DATE(cfg_FY,12,1),0))-$E109+1))</f>
        <v>0</v>
      </c>
      <c r="AT109" s="110" t="n">
        <f aca="false">IF(OR(OR($B109="",$E109="",$F109=""),$K109&lt;&gt;"نعم",$M109="نعم"),0,MAX(0,MIN($F109,EOMONTH(DATE(cfg_FY,1,1),0))-MAX($E109,DATE(cfg_FY,1,1))+1))</f>
        <v>0</v>
      </c>
      <c r="AU109" s="110" t="n">
        <f aca="false">IF(OR(OR($B109="",$E109="",$F109=""),$K109&lt;&gt;"نعم",$M109="نعم"),0,MAX(0,MIN($F109,EOMONTH(DATE(cfg_FY,2,1),0))-MAX($E109,DATE(cfg_FY,2,1))+1))</f>
        <v>0</v>
      </c>
      <c r="AV109" s="110" t="n">
        <f aca="false">IF(OR(OR($B109="",$E109="",$F109=""),$K109&lt;&gt;"نعم",$M109="نعم"),0,MAX(0,MIN($F109,EOMONTH(DATE(cfg_FY,3,1),0))-MAX($E109,DATE(cfg_FY,3,1))+1))</f>
        <v>0</v>
      </c>
      <c r="AW109" s="110" t="n">
        <f aca="false">IF(OR(OR($B109="",$E109="",$F109=""),$K109&lt;&gt;"نعم",$M109="نعم"),0,MAX(0,MIN($F109,EOMONTH(DATE(cfg_FY,4,1),0))-MAX($E109,DATE(cfg_FY,4,1))+1))</f>
        <v>0</v>
      </c>
      <c r="AX109" s="110" t="n">
        <f aca="false">IF(OR(OR($B109="",$E109="",$F109=""),$K109&lt;&gt;"نعم",$M109="نعم"),0,MAX(0,MIN($F109,EOMONTH(DATE(cfg_FY,5,1),0))-MAX($E109,DATE(cfg_FY,5,1))+1))</f>
        <v>0</v>
      </c>
      <c r="AY109" s="110" t="n">
        <f aca="false">IF(OR(OR($B109="",$E109="",$F109=""),$K109&lt;&gt;"نعم",$M109="نعم"),0,MAX(0,MIN($F109,EOMONTH(DATE(cfg_FY,6,1),0))-MAX($E109,DATE(cfg_FY,6,1))+1))</f>
        <v>0</v>
      </c>
      <c r="AZ109" s="110" t="n">
        <f aca="false">IF(OR(OR($B109="",$E109="",$F109=""),$K109&lt;&gt;"نعم",$M109="نعم"),0,MAX(0,MIN($F109,EOMONTH(DATE(cfg_FY,7,1),0))-MAX($E109,DATE(cfg_FY,7,1))+1))</f>
        <v>0</v>
      </c>
      <c r="BA109" s="110" t="n">
        <f aca="false">IF(OR(OR($B109="",$E109="",$F109=""),$K109&lt;&gt;"نعم",$M109="نعم"),0,MAX(0,MIN($F109,EOMONTH(DATE(cfg_FY,8,1),0))-MAX($E109,DATE(cfg_FY,8,1))+1))</f>
        <v>0</v>
      </c>
      <c r="BB109" s="110" t="n">
        <f aca="false">IF(OR(OR($B109="",$E109="",$F109=""),$K109&lt;&gt;"نعم",$M109="نعم"),0,MAX(0,MIN($F109,EOMONTH(DATE(cfg_FY,9,1),0))-MAX($E109,DATE(cfg_FY,9,1))+1))</f>
        <v>0</v>
      </c>
      <c r="BC109" s="110" t="n">
        <f aca="false">IF(OR(OR($B109="",$E109="",$F109=""),$K109&lt;&gt;"نعم",$M109="نعم"),0,MAX(0,MIN($F109,EOMONTH(DATE(cfg_FY,10,1),0))-MAX($E109,DATE(cfg_FY,10,1))+1))</f>
        <v>0</v>
      </c>
      <c r="BD109" s="110" t="n">
        <f aca="false">IF(OR(OR($B109="",$E109="",$F109=""),$K109&lt;&gt;"نعم",$M109="نعم"),0,MAX(0,MIN($F109,EOMONTH(DATE(cfg_FY,11,1),0))-MAX($E109,DATE(cfg_FY,11,1))+1))</f>
        <v>0</v>
      </c>
      <c r="BE109" s="110" t="n">
        <f aca="false">IF(OR(OR($B109="",$E109="",$F109=""),$K109&lt;&gt;"نعم",$M109="نعم"),0,MAX(0,MIN($F109,EOMONTH(DATE(cfg_FY,12,1),0))-MAX($E109,DATE(cfg_FY,12,1))+1))</f>
        <v>0</v>
      </c>
    </row>
    <row r="110" customFormat="false" ht="15" hidden="false" customHeight="false" outlineLevel="0" collapsed="false">
      <c r="A110" s="93" t="str">
        <f aca="false">IF(B110="","",ROW()-5)</f>
        <v/>
      </c>
      <c r="B110" s="79"/>
      <c r="C110" s="80" t="str">
        <f aca="false">IF(B110="","",IFERROR(INDEX(الموظفون!$C$6:$C$105,MATCH(B110,الموظفون!$B$6:$B$105,0)),"✖ رقم غير موجود"))</f>
        <v/>
      </c>
      <c r="D110" s="79"/>
      <c r="E110" s="94"/>
      <c r="F110" s="94"/>
      <c r="G110" s="57" t="str">
        <f aca="false">IF(OR($B110="",$E110="",$F110=""),"",MAX(0,F110-E110+1))</f>
        <v/>
      </c>
      <c r="H110" s="58" t="str">
        <f aca="false">IF(D110="","",IFERROR(VLOOKUP(D110,cfg_LT,2,FALSE()),1))</f>
        <v/>
      </c>
      <c r="I110" s="82"/>
      <c r="J110" s="58" t="str">
        <f aca="false">IF(D110="","",IF(I110&lt;&gt;"",I110,H110))</f>
        <v/>
      </c>
      <c r="K110" s="80" t="str">
        <f aca="false">IF(D110="","",IFERROR(VLOOKUP($D110,cfg_LT,3,FALSE()),""))</f>
        <v/>
      </c>
      <c r="L110" s="80" t="str">
        <f aca="false">IF(D110="","",IFERROR(VLOOKUP($D110,cfg_LT,4,FALSE()),""))</f>
        <v/>
      </c>
      <c r="M110" s="80" t="str">
        <f aca="false">IF(D110="","",IFERROR(VLOOKUP($D110,cfg_LT,5,FALSE()),""))</f>
        <v/>
      </c>
      <c r="N110" s="97" t="n">
        <f aca="false">IF(OR(OR($B110="",$E110="",$F110=""),M110&lt;&gt;"نعم"),0,G110*J110*IFERROR(INDEX(الموظفون!$R$6:$R$105,MATCH(B110,الموظفون!$B$6:$B$105,0)),0)/cfg_DAYS_M)</f>
        <v>0</v>
      </c>
      <c r="O110" s="93" t="str">
        <f aca="false">IF(OR(OR($B110="",$E110="",$F110=""),M110&lt;&gt;"نعم"),"",IF(YEAR(E110)=cfg_FY,MONTH(E110),""))</f>
        <v/>
      </c>
      <c r="P110" s="80" t="str">
        <f aca="false">IF(B110="","",IF(OR(D110="",E110="",F110=""),"⚠ أكمل النوع والتواريخ",IF(F110&lt;E110,"✖ النهاية قبل البداية",IF(COUNTIFS($B$6:$B$505,B110,$E$6:$E$505,"&lt;="&amp;F110,$F$6:$F$505,"&gt;="&amp;E110)&gt;1,"⚠ تداخل مع سجل آخر",IF(E110&gt;cfg_VAL_DATE,"⏳ قادمة",IF(F110&lt;cfg_VAL_DATE,"✔ منتهية","✈ جارية في تاريخ التقرير"))))))</f>
        <v/>
      </c>
      <c r="Q110" s="79"/>
      <c r="R110" s="57" t="n">
        <f aca="false">IF(OR(OR($B110="",$E110="",$F110=""),L110&lt;&gt;"لا"),0,MAX(0,MIN(F110,cfg_Y_START-1)-E110+1))</f>
        <v>0</v>
      </c>
      <c r="S110" s="57" t="n">
        <f aca="false">IF(OR(OR($B110="",$E110="",$F110=""),L110&lt;&gt;"لا"),0,MAX(0,MIN(F110,cfg_VAL_DATE)-E110+1))</f>
        <v>0</v>
      </c>
      <c r="T110" s="57" t="n">
        <f aca="false">IF(OR(OR($B110="",$E110="",$F110=""),K110&lt;&gt;"نعم"),0,IF(M110="نعم",IF(AND(ISNUMBER(O110),N(O110)&lt;=cfg_VAL_M),G110,0),MAX(0,MIN(F110,cfg_VAL_DATE)-MAX(E110,cfg_Y_START)+1)))</f>
        <v>0</v>
      </c>
      <c r="V110" s="57" t="n">
        <f aca="false">IF(OR($B110="",$E110="",$F110=""),0,MAX(0,MIN($F110,EOMONTH(DATE(cfg_FY,1,1),0))-MAX($E110,DATE(cfg_FY,1,1))+1)*(1-IF($M110="نعم",0,N($J110))))</f>
        <v>0</v>
      </c>
      <c r="W110" s="57" t="n">
        <f aca="false">IF(OR($B110="",$E110="",$F110=""),0,MAX(0,MIN($F110,EOMONTH(DATE(cfg_FY,2,1),0))-MAX($E110,DATE(cfg_FY,2,1))+1)*(1-IF($M110="نعم",0,N($J110))))</f>
        <v>0</v>
      </c>
      <c r="X110" s="57" t="n">
        <f aca="false">IF(OR($B110="",$E110="",$F110=""),0,MAX(0,MIN($F110,EOMONTH(DATE(cfg_FY,3,1),0))-MAX($E110,DATE(cfg_FY,3,1))+1)*(1-IF($M110="نعم",0,N($J110))))</f>
        <v>0</v>
      </c>
      <c r="Y110" s="57" t="n">
        <f aca="false">IF(OR($B110="",$E110="",$F110=""),0,MAX(0,MIN($F110,EOMONTH(DATE(cfg_FY,4,1),0))-MAX($E110,DATE(cfg_FY,4,1))+1)*(1-IF($M110="نعم",0,N($J110))))</f>
        <v>0</v>
      </c>
      <c r="Z110" s="57" t="n">
        <f aca="false">IF(OR($B110="",$E110="",$F110=""),0,MAX(0,MIN($F110,EOMONTH(DATE(cfg_FY,5,1),0))-MAX($E110,DATE(cfg_FY,5,1))+1)*(1-IF($M110="نعم",0,N($J110))))</f>
        <v>0</v>
      </c>
      <c r="AA110" s="57" t="n">
        <f aca="false">IF(OR($B110="",$E110="",$F110=""),0,MAX(0,MIN($F110,EOMONTH(DATE(cfg_FY,6,1),0))-MAX($E110,DATE(cfg_FY,6,1))+1)*(1-IF($M110="نعم",0,N($J110))))</f>
        <v>0</v>
      </c>
      <c r="AB110" s="57" t="n">
        <f aca="false">IF(OR($B110="",$E110="",$F110=""),0,MAX(0,MIN($F110,EOMONTH(DATE(cfg_FY,7,1),0))-MAX($E110,DATE(cfg_FY,7,1))+1)*(1-IF($M110="نعم",0,N($J110))))</f>
        <v>0</v>
      </c>
      <c r="AC110" s="57" t="n">
        <f aca="false">IF(OR($B110="",$E110="",$F110=""),0,MAX(0,MIN($F110,EOMONTH(DATE(cfg_FY,8,1),0))-MAX($E110,DATE(cfg_FY,8,1))+1)*(1-IF($M110="نعم",0,N($J110))))</f>
        <v>0</v>
      </c>
      <c r="AD110" s="57" t="n">
        <f aca="false">IF(OR($B110="",$E110="",$F110=""),0,MAX(0,MIN($F110,EOMONTH(DATE(cfg_FY,9,1),0))-MAX($E110,DATE(cfg_FY,9,1))+1)*(1-IF($M110="نعم",0,N($J110))))</f>
        <v>0</v>
      </c>
      <c r="AE110" s="57" t="n">
        <f aca="false">IF(OR($B110="",$E110="",$F110=""),0,MAX(0,MIN($F110,EOMONTH(DATE(cfg_FY,10,1),0))-MAX($E110,DATE(cfg_FY,10,1))+1)*(1-IF($M110="نعم",0,N($J110))))</f>
        <v>0</v>
      </c>
      <c r="AF110" s="57" t="n">
        <f aca="false">IF(OR($B110="",$E110="",$F110=""),0,MAX(0,MIN($F110,EOMONTH(DATE(cfg_FY,11,1),0))-MAX($E110,DATE(cfg_FY,11,1))+1)*(1-IF($M110="نعم",0,N($J110))))</f>
        <v>0</v>
      </c>
      <c r="AG110" s="57" t="n">
        <f aca="false">IF(OR($B110="",$E110="",$F110=""),0,MAX(0,MIN($F110,EOMONTH(DATE(cfg_FY,12,1),0))-MAX($E110,DATE(cfg_FY,12,1))+1)*(1-IF($M110="نعم",0,N($J110))))</f>
        <v>0</v>
      </c>
      <c r="AH110" s="57" t="n">
        <f aca="false">IF(OR(OR($B110="",$E110="",$F110=""),$L110&lt;&gt;"لا"),0,MAX(0,MIN($F110,EOMONTH(DATE(cfg_FY,1,1),0))-$E110+1))</f>
        <v>0</v>
      </c>
      <c r="AI110" s="57" t="n">
        <f aca="false">IF(OR(OR($B110="",$E110="",$F110=""),$L110&lt;&gt;"لا"),0,MAX(0,MIN($F110,EOMONTH(DATE(cfg_FY,2,1),0))-$E110+1))</f>
        <v>0</v>
      </c>
      <c r="AJ110" s="57" t="n">
        <f aca="false">IF(OR(OR($B110="",$E110="",$F110=""),$L110&lt;&gt;"لا"),0,MAX(0,MIN($F110,EOMONTH(DATE(cfg_FY,3,1),0))-$E110+1))</f>
        <v>0</v>
      </c>
      <c r="AK110" s="57" t="n">
        <f aca="false">IF(OR(OR($B110="",$E110="",$F110=""),$L110&lt;&gt;"لا"),0,MAX(0,MIN($F110,EOMONTH(DATE(cfg_FY,4,1),0))-$E110+1))</f>
        <v>0</v>
      </c>
      <c r="AL110" s="57" t="n">
        <f aca="false">IF(OR(OR($B110="",$E110="",$F110=""),$L110&lt;&gt;"لا"),0,MAX(0,MIN($F110,EOMONTH(DATE(cfg_FY,5,1),0))-$E110+1))</f>
        <v>0</v>
      </c>
      <c r="AM110" s="57" t="n">
        <f aca="false">IF(OR(OR($B110="",$E110="",$F110=""),$L110&lt;&gt;"لا"),0,MAX(0,MIN($F110,EOMONTH(DATE(cfg_FY,6,1),0))-$E110+1))</f>
        <v>0</v>
      </c>
      <c r="AN110" s="57" t="n">
        <f aca="false">IF(OR(OR($B110="",$E110="",$F110=""),$L110&lt;&gt;"لا"),0,MAX(0,MIN($F110,EOMONTH(DATE(cfg_FY,7,1),0))-$E110+1))</f>
        <v>0</v>
      </c>
      <c r="AO110" s="57" t="n">
        <f aca="false">IF(OR(OR($B110="",$E110="",$F110=""),$L110&lt;&gt;"لا"),0,MAX(0,MIN($F110,EOMONTH(DATE(cfg_FY,8,1),0))-$E110+1))</f>
        <v>0</v>
      </c>
      <c r="AP110" s="57" t="n">
        <f aca="false">IF(OR(OR($B110="",$E110="",$F110=""),$L110&lt;&gt;"لا"),0,MAX(0,MIN($F110,EOMONTH(DATE(cfg_FY,9,1),0))-$E110+1))</f>
        <v>0</v>
      </c>
      <c r="AQ110" s="57" t="n">
        <f aca="false">IF(OR(OR($B110="",$E110="",$F110=""),$L110&lt;&gt;"لا"),0,MAX(0,MIN($F110,EOMONTH(DATE(cfg_FY,10,1),0))-$E110+1))</f>
        <v>0</v>
      </c>
      <c r="AR110" s="57" t="n">
        <f aca="false">IF(OR(OR($B110="",$E110="",$F110=""),$L110&lt;&gt;"لا"),0,MAX(0,MIN($F110,EOMONTH(DATE(cfg_FY,11,1),0))-$E110+1))</f>
        <v>0</v>
      </c>
      <c r="AS110" s="57" t="n">
        <f aca="false">IF(OR(OR($B110="",$E110="",$F110=""),$L110&lt;&gt;"لا"),0,MAX(0,MIN($F110,EOMONTH(DATE(cfg_FY,12,1),0))-$E110+1))</f>
        <v>0</v>
      </c>
      <c r="AT110" s="57" t="n">
        <f aca="false">IF(OR(OR($B110="",$E110="",$F110=""),$K110&lt;&gt;"نعم",$M110="نعم"),0,MAX(0,MIN($F110,EOMONTH(DATE(cfg_FY,1,1),0))-MAX($E110,DATE(cfg_FY,1,1))+1))</f>
        <v>0</v>
      </c>
      <c r="AU110" s="57" t="n">
        <f aca="false">IF(OR(OR($B110="",$E110="",$F110=""),$K110&lt;&gt;"نعم",$M110="نعم"),0,MAX(0,MIN($F110,EOMONTH(DATE(cfg_FY,2,1),0))-MAX($E110,DATE(cfg_FY,2,1))+1))</f>
        <v>0</v>
      </c>
      <c r="AV110" s="57" t="n">
        <f aca="false">IF(OR(OR($B110="",$E110="",$F110=""),$K110&lt;&gt;"نعم",$M110="نعم"),0,MAX(0,MIN($F110,EOMONTH(DATE(cfg_FY,3,1),0))-MAX($E110,DATE(cfg_FY,3,1))+1))</f>
        <v>0</v>
      </c>
      <c r="AW110" s="57" t="n">
        <f aca="false">IF(OR(OR($B110="",$E110="",$F110=""),$K110&lt;&gt;"نعم",$M110="نعم"),0,MAX(0,MIN($F110,EOMONTH(DATE(cfg_FY,4,1),0))-MAX($E110,DATE(cfg_FY,4,1))+1))</f>
        <v>0</v>
      </c>
      <c r="AX110" s="57" t="n">
        <f aca="false">IF(OR(OR($B110="",$E110="",$F110=""),$K110&lt;&gt;"نعم",$M110="نعم"),0,MAX(0,MIN($F110,EOMONTH(DATE(cfg_FY,5,1),0))-MAX($E110,DATE(cfg_FY,5,1))+1))</f>
        <v>0</v>
      </c>
      <c r="AY110" s="57" t="n">
        <f aca="false">IF(OR(OR($B110="",$E110="",$F110=""),$K110&lt;&gt;"نعم",$M110="نعم"),0,MAX(0,MIN($F110,EOMONTH(DATE(cfg_FY,6,1),0))-MAX($E110,DATE(cfg_FY,6,1))+1))</f>
        <v>0</v>
      </c>
      <c r="AZ110" s="57" t="n">
        <f aca="false">IF(OR(OR($B110="",$E110="",$F110=""),$K110&lt;&gt;"نعم",$M110="نعم"),0,MAX(0,MIN($F110,EOMONTH(DATE(cfg_FY,7,1),0))-MAX($E110,DATE(cfg_FY,7,1))+1))</f>
        <v>0</v>
      </c>
      <c r="BA110" s="57" t="n">
        <f aca="false">IF(OR(OR($B110="",$E110="",$F110=""),$K110&lt;&gt;"نعم",$M110="نعم"),0,MAX(0,MIN($F110,EOMONTH(DATE(cfg_FY,8,1),0))-MAX($E110,DATE(cfg_FY,8,1))+1))</f>
        <v>0</v>
      </c>
      <c r="BB110" s="57" t="n">
        <f aca="false">IF(OR(OR($B110="",$E110="",$F110=""),$K110&lt;&gt;"نعم",$M110="نعم"),0,MAX(0,MIN($F110,EOMONTH(DATE(cfg_FY,9,1),0))-MAX($E110,DATE(cfg_FY,9,1))+1))</f>
        <v>0</v>
      </c>
      <c r="BC110" s="57" t="n">
        <f aca="false">IF(OR(OR($B110="",$E110="",$F110=""),$K110&lt;&gt;"نعم",$M110="نعم"),0,MAX(0,MIN($F110,EOMONTH(DATE(cfg_FY,10,1),0))-MAX($E110,DATE(cfg_FY,10,1))+1))</f>
        <v>0</v>
      </c>
      <c r="BD110" s="57" t="n">
        <f aca="false">IF(OR(OR($B110="",$E110="",$F110=""),$K110&lt;&gt;"نعم",$M110="نعم"),0,MAX(0,MIN($F110,EOMONTH(DATE(cfg_FY,11,1),0))-MAX($E110,DATE(cfg_FY,11,1))+1))</f>
        <v>0</v>
      </c>
      <c r="BE110" s="57" t="n">
        <f aca="false">IF(OR(OR($B110="",$E110="",$F110=""),$K110&lt;&gt;"نعم",$M110="نعم"),0,MAX(0,MIN($F110,EOMONTH(DATE(cfg_FY,12,1),0))-MAX($E110,DATE(cfg_FY,12,1))+1))</f>
        <v>0</v>
      </c>
    </row>
    <row r="111" customFormat="false" ht="15" hidden="false" customHeight="false" outlineLevel="0" collapsed="false">
      <c r="A111" s="100" t="str">
        <f aca="false">IF(B111="","",ROW()-5)</f>
        <v/>
      </c>
      <c r="B111" s="79"/>
      <c r="C111" s="102" t="str">
        <f aca="false">IF(B111="","",IFERROR(INDEX(الموظفون!$C$6:$C$105,MATCH(B111,الموظفون!$B$6:$B$105,0)),"✖ رقم غير موجود"))</f>
        <v/>
      </c>
      <c r="D111" s="79"/>
      <c r="E111" s="94"/>
      <c r="F111" s="94"/>
      <c r="G111" s="110" t="str">
        <f aca="false">IF(OR($B111="",$E111="",$F111=""),"",MAX(0,F111-E111+1))</f>
        <v/>
      </c>
      <c r="H111" s="111" t="str">
        <f aca="false">IF(D111="","",IFERROR(VLOOKUP(D111,cfg_LT,2,FALSE()),1))</f>
        <v/>
      </c>
      <c r="I111" s="82"/>
      <c r="J111" s="111" t="str">
        <f aca="false">IF(D111="","",IF(I111&lt;&gt;"",I111,H111))</f>
        <v/>
      </c>
      <c r="K111" s="102" t="str">
        <f aca="false">IF(D111="","",IFERROR(VLOOKUP($D111,cfg_LT,3,FALSE()),""))</f>
        <v/>
      </c>
      <c r="L111" s="102" t="str">
        <f aca="false">IF(D111="","",IFERROR(VLOOKUP($D111,cfg_LT,4,FALSE()),""))</f>
        <v/>
      </c>
      <c r="M111" s="102" t="str">
        <f aca="false">IF(D111="","",IFERROR(VLOOKUP($D111,cfg_LT,5,FALSE()),""))</f>
        <v/>
      </c>
      <c r="N111" s="101" t="n">
        <f aca="false">IF(OR(OR($B111="",$E111="",$F111=""),M111&lt;&gt;"نعم"),0,G111*J111*IFERROR(INDEX(الموظفون!$R$6:$R$105,MATCH(B111,الموظفون!$B$6:$B$105,0)),0)/cfg_DAYS_M)</f>
        <v>0</v>
      </c>
      <c r="O111" s="100" t="str">
        <f aca="false">IF(OR(OR($B111="",$E111="",$F111=""),M111&lt;&gt;"نعم"),"",IF(YEAR(E111)=cfg_FY,MONTH(E111),""))</f>
        <v/>
      </c>
      <c r="P111" s="102" t="str">
        <f aca="false">IF(B111="","",IF(OR(D111="",E111="",F111=""),"⚠ أكمل النوع والتواريخ",IF(F111&lt;E111,"✖ النهاية قبل البداية",IF(COUNTIFS($B$6:$B$505,B111,$E$6:$E$505,"&lt;="&amp;F111,$F$6:$F$505,"&gt;="&amp;E111)&gt;1,"⚠ تداخل مع سجل آخر",IF(E111&gt;cfg_VAL_DATE,"⏳ قادمة",IF(F111&lt;cfg_VAL_DATE,"✔ منتهية","✈ جارية في تاريخ التقرير"))))))</f>
        <v/>
      </c>
      <c r="Q111" s="79"/>
      <c r="R111" s="110" t="n">
        <f aca="false">IF(OR(OR($B111="",$E111="",$F111=""),L111&lt;&gt;"لا"),0,MAX(0,MIN(F111,cfg_Y_START-1)-E111+1))</f>
        <v>0</v>
      </c>
      <c r="S111" s="110" t="n">
        <f aca="false">IF(OR(OR($B111="",$E111="",$F111=""),L111&lt;&gt;"لا"),0,MAX(0,MIN(F111,cfg_VAL_DATE)-E111+1))</f>
        <v>0</v>
      </c>
      <c r="T111" s="110" t="n">
        <f aca="false">IF(OR(OR($B111="",$E111="",$F111=""),K111&lt;&gt;"نعم"),0,IF(M111="نعم",IF(AND(ISNUMBER(O111),N(O111)&lt;=cfg_VAL_M),G111,0),MAX(0,MIN(F111,cfg_VAL_DATE)-MAX(E111,cfg_Y_START)+1)))</f>
        <v>0</v>
      </c>
      <c r="V111" s="110" t="n">
        <f aca="false">IF(OR($B111="",$E111="",$F111=""),0,MAX(0,MIN($F111,EOMONTH(DATE(cfg_FY,1,1),0))-MAX($E111,DATE(cfg_FY,1,1))+1)*(1-IF($M111="نعم",0,N($J111))))</f>
        <v>0</v>
      </c>
      <c r="W111" s="110" t="n">
        <f aca="false">IF(OR($B111="",$E111="",$F111=""),0,MAX(0,MIN($F111,EOMONTH(DATE(cfg_FY,2,1),0))-MAX($E111,DATE(cfg_FY,2,1))+1)*(1-IF($M111="نعم",0,N($J111))))</f>
        <v>0</v>
      </c>
      <c r="X111" s="110" t="n">
        <f aca="false">IF(OR($B111="",$E111="",$F111=""),0,MAX(0,MIN($F111,EOMONTH(DATE(cfg_FY,3,1),0))-MAX($E111,DATE(cfg_FY,3,1))+1)*(1-IF($M111="نعم",0,N($J111))))</f>
        <v>0</v>
      </c>
      <c r="Y111" s="110" t="n">
        <f aca="false">IF(OR($B111="",$E111="",$F111=""),0,MAX(0,MIN($F111,EOMONTH(DATE(cfg_FY,4,1),0))-MAX($E111,DATE(cfg_FY,4,1))+1)*(1-IF($M111="نعم",0,N($J111))))</f>
        <v>0</v>
      </c>
      <c r="Z111" s="110" t="n">
        <f aca="false">IF(OR($B111="",$E111="",$F111=""),0,MAX(0,MIN($F111,EOMONTH(DATE(cfg_FY,5,1),0))-MAX($E111,DATE(cfg_FY,5,1))+1)*(1-IF($M111="نعم",0,N($J111))))</f>
        <v>0</v>
      </c>
      <c r="AA111" s="110" t="n">
        <f aca="false">IF(OR($B111="",$E111="",$F111=""),0,MAX(0,MIN($F111,EOMONTH(DATE(cfg_FY,6,1),0))-MAX($E111,DATE(cfg_FY,6,1))+1)*(1-IF($M111="نعم",0,N($J111))))</f>
        <v>0</v>
      </c>
      <c r="AB111" s="110" t="n">
        <f aca="false">IF(OR($B111="",$E111="",$F111=""),0,MAX(0,MIN($F111,EOMONTH(DATE(cfg_FY,7,1),0))-MAX($E111,DATE(cfg_FY,7,1))+1)*(1-IF($M111="نعم",0,N($J111))))</f>
        <v>0</v>
      </c>
      <c r="AC111" s="110" t="n">
        <f aca="false">IF(OR($B111="",$E111="",$F111=""),0,MAX(0,MIN($F111,EOMONTH(DATE(cfg_FY,8,1),0))-MAX($E111,DATE(cfg_FY,8,1))+1)*(1-IF($M111="نعم",0,N($J111))))</f>
        <v>0</v>
      </c>
      <c r="AD111" s="110" t="n">
        <f aca="false">IF(OR($B111="",$E111="",$F111=""),0,MAX(0,MIN($F111,EOMONTH(DATE(cfg_FY,9,1),0))-MAX($E111,DATE(cfg_FY,9,1))+1)*(1-IF($M111="نعم",0,N($J111))))</f>
        <v>0</v>
      </c>
      <c r="AE111" s="110" t="n">
        <f aca="false">IF(OR($B111="",$E111="",$F111=""),0,MAX(0,MIN($F111,EOMONTH(DATE(cfg_FY,10,1),0))-MAX($E111,DATE(cfg_FY,10,1))+1)*(1-IF($M111="نعم",0,N($J111))))</f>
        <v>0</v>
      </c>
      <c r="AF111" s="110" t="n">
        <f aca="false">IF(OR($B111="",$E111="",$F111=""),0,MAX(0,MIN($F111,EOMONTH(DATE(cfg_FY,11,1),0))-MAX($E111,DATE(cfg_FY,11,1))+1)*(1-IF($M111="نعم",0,N($J111))))</f>
        <v>0</v>
      </c>
      <c r="AG111" s="110" t="n">
        <f aca="false">IF(OR($B111="",$E111="",$F111=""),0,MAX(0,MIN($F111,EOMONTH(DATE(cfg_FY,12,1),0))-MAX($E111,DATE(cfg_FY,12,1))+1)*(1-IF($M111="نعم",0,N($J111))))</f>
        <v>0</v>
      </c>
      <c r="AH111" s="110" t="n">
        <f aca="false">IF(OR(OR($B111="",$E111="",$F111=""),$L111&lt;&gt;"لا"),0,MAX(0,MIN($F111,EOMONTH(DATE(cfg_FY,1,1),0))-$E111+1))</f>
        <v>0</v>
      </c>
      <c r="AI111" s="110" t="n">
        <f aca="false">IF(OR(OR($B111="",$E111="",$F111=""),$L111&lt;&gt;"لا"),0,MAX(0,MIN($F111,EOMONTH(DATE(cfg_FY,2,1),0))-$E111+1))</f>
        <v>0</v>
      </c>
      <c r="AJ111" s="110" t="n">
        <f aca="false">IF(OR(OR($B111="",$E111="",$F111=""),$L111&lt;&gt;"لا"),0,MAX(0,MIN($F111,EOMONTH(DATE(cfg_FY,3,1),0))-$E111+1))</f>
        <v>0</v>
      </c>
      <c r="AK111" s="110" t="n">
        <f aca="false">IF(OR(OR($B111="",$E111="",$F111=""),$L111&lt;&gt;"لا"),0,MAX(0,MIN($F111,EOMONTH(DATE(cfg_FY,4,1),0))-$E111+1))</f>
        <v>0</v>
      </c>
      <c r="AL111" s="110" t="n">
        <f aca="false">IF(OR(OR($B111="",$E111="",$F111=""),$L111&lt;&gt;"لا"),0,MAX(0,MIN($F111,EOMONTH(DATE(cfg_FY,5,1),0))-$E111+1))</f>
        <v>0</v>
      </c>
      <c r="AM111" s="110" t="n">
        <f aca="false">IF(OR(OR($B111="",$E111="",$F111=""),$L111&lt;&gt;"لا"),0,MAX(0,MIN($F111,EOMONTH(DATE(cfg_FY,6,1),0))-$E111+1))</f>
        <v>0</v>
      </c>
      <c r="AN111" s="110" t="n">
        <f aca="false">IF(OR(OR($B111="",$E111="",$F111=""),$L111&lt;&gt;"لا"),0,MAX(0,MIN($F111,EOMONTH(DATE(cfg_FY,7,1),0))-$E111+1))</f>
        <v>0</v>
      </c>
      <c r="AO111" s="110" t="n">
        <f aca="false">IF(OR(OR($B111="",$E111="",$F111=""),$L111&lt;&gt;"لا"),0,MAX(0,MIN($F111,EOMONTH(DATE(cfg_FY,8,1),0))-$E111+1))</f>
        <v>0</v>
      </c>
      <c r="AP111" s="110" t="n">
        <f aca="false">IF(OR(OR($B111="",$E111="",$F111=""),$L111&lt;&gt;"لا"),0,MAX(0,MIN($F111,EOMONTH(DATE(cfg_FY,9,1),0))-$E111+1))</f>
        <v>0</v>
      </c>
      <c r="AQ111" s="110" t="n">
        <f aca="false">IF(OR(OR($B111="",$E111="",$F111=""),$L111&lt;&gt;"لا"),0,MAX(0,MIN($F111,EOMONTH(DATE(cfg_FY,10,1),0))-$E111+1))</f>
        <v>0</v>
      </c>
      <c r="AR111" s="110" t="n">
        <f aca="false">IF(OR(OR($B111="",$E111="",$F111=""),$L111&lt;&gt;"لا"),0,MAX(0,MIN($F111,EOMONTH(DATE(cfg_FY,11,1),0))-$E111+1))</f>
        <v>0</v>
      </c>
      <c r="AS111" s="110" t="n">
        <f aca="false">IF(OR(OR($B111="",$E111="",$F111=""),$L111&lt;&gt;"لا"),0,MAX(0,MIN($F111,EOMONTH(DATE(cfg_FY,12,1),0))-$E111+1))</f>
        <v>0</v>
      </c>
      <c r="AT111" s="110" t="n">
        <f aca="false">IF(OR(OR($B111="",$E111="",$F111=""),$K111&lt;&gt;"نعم",$M111="نعم"),0,MAX(0,MIN($F111,EOMONTH(DATE(cfg_FY,1,1),0))-MAX($E111,DATE(cfg_FY,1,1))+1))</f>
        <v>0</v>
      </c>
      <c r="AU111" s="110" t="n">
        <f aca="false">IF(OR(OR($B111="",$E111="",$F111=""),$K111&lt;&gt;"نعم",$M111="نعم"),0,MAX(0,MIN($F111,EOMONTH(DATE(cfg_FY,2,1),0))-MAX($E111,DATE(cfg_FY,2,1))+1))</f>
        <v>0</v>
      </c>
      <c r="AV111" s="110" t="n">
        <f aca="false">IF(OR(OR($B111="",$E111="",$F111=""),$K111&lt;&gt;"نعم",$M111="نعم"),0,MAX(0,MIN($F111,EOMONTH(DATE(cfg_FY,3,1),0))-MAX($E111,DATE(cfg_FY,3,1))+1))</f>
        <v>0</v>
      </c>
      <c r="AW111" s="110" t="n">
        <f aca="false">IF(OR(OR($B111="",$E111="",$F111=""),$K111&lt;&gt;"نعم",$M111="نعم"),0,MAX(0,MIN($F111,EOMONTH(DATE(cfg_FY,4,1),0))-MAX($E111,DATE(cfg_FY,4,1))+1))</f>
        <v>0</v>
      </c>
      <c r="AX111" s="110" t="n">
        <f aca="false">IF(OR(OR($B111="",$E111="",$F111=""),$K111&lt;&gt;"نعم",$M111="نعم"),0,MAX(0,MIN($F111,EOMONTH(DATE(cfg_FY,5,1),0))-MAX($E111,DATE(cfg_FY,5,1))+1))</f>
        <v>0</v>
      </c>
      <c r="AY111" s="110" t="n">
        <f aca="false">IF(OR(OR($B111="",$E111="",$F111=""),$K111&lt;&gt;"نعم",$M111="نعم"),0,MAX(0,MIN($F111,EOMONTH(DATE(cfg_FY,6,1),0))-MAX($E111,DATE(cfg_FY,6,1))+1))</f>
        <v>0</v>
      </c>
      <c r="AZ111" s="110" t="n">
        <f aca="false">IF(OR(OR($B111="",$E111="",$F111=""),$K111&lt;&gt;"نعم",$M111="نعم"),0,MAX(0,MIN($F111,EOMONTH(DATE(cfg_FY,7,1),0))-MAX($E111,DATE(cfg_FY,7,1))+1))</f>
        <v>0</v>
      </c>
      <c r="BA111" s="110" t="n">
        <f aca="false">IF(OR(OR($B111="",$E111="",$F111=""),$K111&lt;&gt;"نعم",$M111="نعم"),0,MAX(0,MIN($F111,EOMONTH(DATE(cfg_FY,8,1),0))-MAX($E111,DATE(cfg_FY,8,1))+1))</f>
        <v>0</v>
      </c>
      <c r="BB111" s="110" t="n">
        <f aca="false">IF(OR(OR($B111="",$E111="",$F111=""),$K111&lt;&gt;"نعم",$M111="نعم"),0,MAX(0,MIN($F111,EOMONTH(DATE(cfg_FY,9,1),0))-MAX($E111,DATE(cfg_FY,9,1))+1))</f>
        <v>0</v>
      </c>
      <c r="BC111" s="110" t="n">
        <f aca="false">IF(OR(OR($B111="",$E111="",$F111=""),$K111&lt;&gt;"نعم",$M111="نعم"),0,MAX(0,MIN($F111,EOMONTH(DATE(cfg_FY,10,1),0))-MAX($E111,DATE(cfg_FY,10,1))+1))</f>
        <v>0</v>
      </c>
      <c r="BD111" s="110" t="n">
        <f aca="false">IF(OR(OR($B111="",$E111="",$F111=""),$K111&lt;&gt;"نعم",$M111="نعم"),0,MAX(0,MIN($F111,EOMONTH(DATE(cfg_FY,11,1),0))-MAX($E111,DATE(cfg_FY,11,1))+1))</f>
        <v>0</v>
      </c>
      <c r="BE111" s="110" t="n">
        <f aca="false">IF(OR(OR($B111="",$E111="",$F111=""),$K111&lt;&gt;"نعم",$M111="نعم"),0,MAX(0,MIN($F111,EOMONTH(DATE(cfg_FY,12,1),0))-MAX($E111,DATE(cfg_FY,12,1))+1))</f>
        <v>0</v>
      </c>
    </row>
    <row r="112" customFormat="false" ht="15" hidden="false" customHeight="false" outlineLevel="0" collapsed="false">
      <c r="A112" s="93" t="str">
        <f aca="false">IF(B112="","",ROW()-5)</f>
        <v/>
      </c>
      <c r="B112" s="79"/>
      <c r="C112" s="80" t="str">
        <f aca="false">IF(B112="","",IFERROR(INDEX(الموظفون!$C$6:$C$105,MATCH(B112,الموظفون!$B$6:$B$105,0)),"✖ رقم غير موجود"))</f>
        <v/>
      </c>
      <c r="D112" s="79"/>
      <c r="E112" s="94"/>
      <c r="F112" s="94"/>
      <c r="G112" s="57" t="str">
        <f aca="false">IF(OR($B112="",$E112="",$F112=""),"",MAX(0,F112-E112+1))</f>
        <v/>
      </c>
      <c r="H112" s="58" t="str">
        <f aca="false">IF(D112="","",IFERROR(VLOOKUP(D112,cfg_LT,2,FALSE()),1))</f>
        <v/>
      </c>
      <c r="I112" s="82"/>
      <c r="J112" s="58" t="str">
        <f aca="false">IF(D112="","",IF(I112&lt;&gt;"",I112,H112))</f>
        <v/>
      </c>
      <c r="K112" s="80" t="str">
        <f aca="false">IF(D112="","",IFERROR(VLOOKUP($D112,cfg_LT,3,FALSE()),""))</f>
        <v/>
      </c>
      <c r="L112" s="80" t="str">
        <f aca="false">IF(D112="","",IFERROR(VLOOKUP($D112,cfg_LT,4,FALSE()),""))</f>
        <v/>
      </c>
      <c r="M112" s="80" t="str">
        <f aca="false">IF(D112="","",IFERROR(VLOOKUP($D112,cfg_LT,5,FALSE()),""))</f>
        <v/>
      </c>
      <c r="N112" s="97" t="n">
        <f aca="false">IF(OR(OR($B112="",$E112="",$F112=""),M112&lt;&gt;"نعم"),0,G112*J112*IFERROR(INDEX(الموظفون!$R$6:$R$105,MATCH(B112,الموظفون!$B$6:$B$105,0)),0)/cfg_DAYS_M)</f>
        <v>0</v>
      </c>
      <c r="O112" s="93" t="str">
        <f aca="false">IF(OR(OR($B112="",$E112="",$F112=""),M112&lt;&gt;"نعم"),"",IF(YEAR(E112)=cfg_FY,MONTH(E112),""))</f>
        <v/>
      </c>
      <c r="P112" s="80" t="str">
        <f aca="false">IF(B112="","",IF(OR(D112="",E112="",F112=""),"⚠ أكمل النوع والتواريخ",IF(F112&lt;E112,"✖ النهاية قبل البداية",IF(COUNTIFS($B$6:$B$505,B112,$E$6:$E$505,"&lt;="&amp;F112,$F$6:$F$505,"&gt;="&amp;E112)&gt;1,"⚠ تداخل مع سجل آخر",IF(E112&gt;cfg_VAL_DATE,"⏳ قادمة",IF(F112&lt;cfg_VAL_DATE,"✔ منتهية","✈ جارية في تاريخ التقرير"))))))</f>
        <v/>
      </c>
      <c r="Q112" s="79"/>
      <c r="R112" s="57" t="n">
        <f aca="false">IF(OR(OR($B112="",$E112="",$F112=""),L112&lt;&gt;"لا"),0,MAX(0,MIN(F112,cfg_Y_START-1)-E112+1))</f>
        <v>0</v>
      </c>
      <c r="S112" s="57" t="n">
        <f aca="false">IF(OR(OR($B112="",$E112="",$F112=""),L112&lt;&gt;"لا"),0,MAX(0,MIN(F112,cfg_VAL_DATE)-E112+1))</f>
        <v>0</v>
      </c>
      <c r="T112" s="57" t="n">
        <f aca="false">IF(OR(OR($B112="",$E112="",$F112=""),K112&lt;&gt;"نعم"),0,IF(M112="نعم",IF(AND(ISNUMBER(O112),N(O112)&lt;=cfg_VAL_M),G112,0),MAX(0,MIN(F112,cfg_VAL_DATE)-MAX(E112,cfg_Y_START)+1)))</f>
        <v>0</v>
      </c>
      <c r="V112" s="57" t="n">
        <f aca="false">IF(OR($B112="",$E112="",$F112=""),0,MAX(0,MIN($F112,EOMONTH(DATE(cfg_FY,1,1),0))-MAX($E112,DATE(cfg_FY,1,1))+1)*(1-IF($M112="نعم",0,N($J112))))</f>
        <v>0</v>
      </c>
      <c r="W112" s="57" t="n">
        <f aca="false">IF(OR($B112="",$E112="",$F112=""),0,MAX(0,MIN($F112,EOMONTH(DATE(cfg_FY,2,1),0))-MAX($E112,DATE(cfg_FY,2,1))+1)*(1-IF($M112="نعم",0,N($J112))))</f>
        <v>0</v>
      </c>
      <c r="X112" s="57" t="n">
        <f aca="false">IF(OR($B112="",$E112="",$F112=""),0,MAX(0,MIN($F112,EOMONTH(DATE(cfg_FY,3,1),0))-MAX($E112,DATE(cfg_FY,3,1))+1)*(1-IF($M112="نعم",0,N($J112))))</f>
        <v>0</v>
      </c>
      <c r="Y112" s="57" t="n">
        <f aca="false">IF(OR($B112="",$E112="",$F112=""),0,MAX(0,MIN($F112,EOMONTH(DATE(cfg_FY,4,1),0))-MAX($E112,DATE(cfg_FY,4,1))+1)*(1-IF($M112="نعم",0,N($J112))))</f>
        <v>0</v>
      </c>
      <c r="Z112" s="57" t="n">
        <f aca="false">IF(OR($B112="",$E112="",$F112=""),0,MAX(0,MIN($F112,EOMONTH(DATE(cfg_FY,5,1),0))-MAX($E112,DATE(cfg_FY,5,1))+1)*(1-IF($M112="نعم",0,N($J112))))</f>
        <v>0</v>
      </c>
      <c r="AA112" s="57" t="n">
        <f aca="false">IF(OR($B112="",$E112="",$F112=""),0,MAX(0,MIN($F112,EOMONTH(DATE(cfg_FY,6,1),0))-MAX($E112,DATE(cfg_FY,6,1))+1)*(1-IF($M112="نعم",0,N($J112))))</f>
        <v>0</v>
      </c>
      <c r="AB112" s="57" t="n">
        <f aca="false">IF(OR($B112="",$E112="",$F112=""),0,MAX(0,MIN($F112,EOMONTH(DATE(cfg_FY,7,1),0))-MAX($E112,DATE(cfg_FY,7,1))+1)*(1-IF($M112="نعم",0,N($J112))))</f>
        <v>0</v>
      </c>
      <c r="AC112" s="57" t="n">
        <f aca="false">IF(OR($B112="",$E112="",$F112=""),0,MAX(0,MIN($F112,EOMONTH(DATE(cfg_FY,8,1),0))-MAX($E112,DATE(cfg_FY,8,1))+1)*(1-IF($M112="نعم",0,N($J112))))</f>
        <v>0</v>
      </c>
      <c r="AD112" s="57" t="n">
        <f aca="false">IF(OR($B112="",$E112="",$F112=""),0,MAX(0,MIN($F112,EOMONTH(DATE(cfg_FY,9,1),0))-MAX($E112,DATE(cfg_FY,9,1))+1)*(1-IF($M112="نعم",0,N($J112))))</f>
        <v>0</v>
      </c>
      <c r="AE112" s="57" t="n">
        <f aca="false">IF(OR($B112="",$E112="",$F112=""),0,MAX(0,MIN($F112,EOMONTH(DATE(cfg_FY,10,1),0))-MAX($E112,DATE(cfg_FY,10,1))+1)*(1-IF($M112="نعم",0,N($J112))))</f>
        <v>0</v>
      </c>
      <c r="AF112" s="57" t="n">
        <f aca="false">IF(OR($B112="",$E112="",$F112=""),0,MAX(0,MIN($F112,EOMONTH(DATE(cfg_FY,11,1),0))-MAX($E112,DATE(cfg_FY,11,1))+1)*(1-IF($M112="نعم",0,N($J112))))</f>
        <v>0</v>
      </c>
      <c r="AG112" s="57" t="n">
        <f aca="false">IF(OR($B112="",$E112="",$F112=""),0,MAX(0,MIN($F112,EOMONTH(DATE(cfg_FY,12,1),0))-MAX($E112,DATE(cfg_FY,12,1))+1)*(1-IF($M112="نعم",0,N($J112))))</f>
        <v>0</v>
      </c>
      <c r="AH112" s="57" t="n">
        <f aca="false">IF(OR(OR($B112="",$E112="",$F112=""),$L112&lt;&gt;"لا"),0,MAX(0,MIN($F112,EOMONTH(DATE(cfg_FY,1,1),0))-$E112+1))</f>
        <v>0</v>
      </c>
      <c r="AI112" s="57" t="n">
        <f aca="false">IF(OR(OR($B112="",$E112="",$F112=""),$L112&lt;&gt;"لا"),0,MAX(0,MIN($F112,EOMONTH(DATE(cfg_FY,2,1),0))-$E112+1))</f>
        <v>0</v>
      </c>
      <c r="AJ112" s="57" t="n">
        <f aca="false">IF(OR(OR($B112="",$E112="",$F112=""),$L112&lt;&gt;"لا"),0,MAX(0,MIN($F112,EOMONTH(DATE(cfg_FY,3,1),0))-$E112+1))</f>
        <v>0</v>
      </c>
      <c r="AK112" s="57" t="n">
        <f aca="false">IF(OR(OR($B112="",$E112="",$F112=""),$L112&lt;&gt;"لا"),0,MAX(0,MIN($F112,EOMONTH(DATE(cfg_FY,4,1),0))-$E112+1))</f>
        <v>0</v>
      </c>
      <c r="AL112" s="57" t="n">
        <f aca="false">IF(OR(OR($B112="",$E112="",$F112=""),$L112&lt;&gt;"لا"),0,MAX(0,MIN($F112,EOMONTH(DATE(cfg_FY,5,1),0))-$E112+1))</f>
        <v>0</v>
      </c>
      <c r="AM112" s="57" t="n">
        <f aca="false">IF(OR(OR($B112="",$E112="",$F112=""),$L112&lt;&gt;"لا"),0,MAX(0,MIN($F112,EOMONTH(DATE(cfg_FY,6,1),0))-$E112+1))</f>
        <v>0</v>
      </c>
      <c r="AN112" s="57" t="n">
        <f aca="false">IF(OR(OR($B112="",$E112="",$F112=""),$L112&lt;&gt;"لا"),0,MAX(0,MIN($F112,EOMONTH(DATE(cfg_FY,7,1),0))-$E112+1))</f>
        <v>0</v>
      </c>
      <c r="AO112" s="57" t="n">
        <f aca="false">IF(OR(OR($B112="",$E112="",$F112=""),$L112&lt;&gt;"لا"),0,MAX(0,MIN($F112,EOMONTH(DATE(cfg_FY,8,1),0))-$E112+1))</f>
        <v>0</v>
      </c>
      <c r="AP112" s="57" t="n">
        <f aca="false">IF(OR(OR($B112="",$E112="",$F112=""),$L112&lt;&gt;"لا"),0,MAX(0,MIN($F112,EOMONTH(DATE(cfg_FY,9,1),0))-$E112+1))</f>
        <v>0</v>
      </c>
      <c r="AQ112" s="57" t="n">
        <f aca="false">IF(OR(OR($B112="",$E112="",$F112=""),$L112&lt;&gt;"لا"),0,MAX(0,MIN($F112,EOMONTH(DATE(cfg_FY,10,1),0))-$E112+1))</f>
        <v>0</v>
      </c>
      <c r="AR112" s="57" t="n">
        <f aca="false">IF(OR(OR($B112="",$E112="",$F112=""),$L112&lt;&gt;"لا"),0,MAX(0,MIN($F112,EOMONTH(DATE(cfg_FY,11,1),0))-$E112+1))</f>
        <v>0</v>
      </c>
      <c r="AS112" s="57" t="n">
        <f aca="false">IF(OR(OR($B112="",$E112="",$F112=""),$L112&lt;&gt;"لا"),0,MAX(0,MIN($F112,EOMONTH(DATE(cfg_FY,12,1),0))-$E112+1))</f>
        <v>0</v>
      </c>
      <c r="AT112" s="57" t="n">
        <f aca="false">IF(OR(OR($B112="",$E112="",$F112=""),$K112&lt;&gt;"نعم",$M112="نعم"),0,MAX(0,MIN($F112,EOMONTH(DATE(cfg_FY,1,1),0))-MAX($E112,DATE(cfg_FY,1,1))+1))</f>
        <v>0</v>
      </c>
      <c r="AU112" s="57" t="n">
        <f aca="false">IF(OR(OR($B112="",$E112="",$F112=""),$K112&lt;&gt;"نعم",$M112="نعم"),0,MAX(0,MIN($F112,EOMONTH(DATE(cfg_FY,2,1),0))-MAX($E112,DATE(cfg_FY,2,1))+1))</f>
        <v>0</v>
      </c>
      <c r="AV112" s="57" t="n">
        <f aca="false">IF(OR(OR($B112="",$E112="",$F112=""),$K112&lt;&gt;"نعم",$M112="نعم"),0,MAX(0,MIN($F112,EOMONTH(DATE(cfg_FY,3,1),0))-MAX($E112,DATE(cfg_FY,3,1))+1))</f>
        <v>0</v>
      </c>
      <c r="AW112" s="57" t="n">
        <f aca="false">IF(OR(OR($B112="",$E112="",$F112=""),$K112&lt;&gt;"نعم",$M112="نعم"),0,MAX(0,MIN($F112,EOMONTH(DATE(cfg_FY,4,1),0))-MAX($E112,DATE(cfg_FY,4,1))+1))</f>
        <v>0</v>
      </c>
      <c r="AX112" s="57" t="n">
        <f aca="false">IF(OR(OR($B112="",$E112="",$F112=""),$K112&lt;&gt;"نعم",$M112="نعم"),0,MAX(0,MIN($F112,EOMONTH(DATE(cfg_FY,5,1),0))-MAX($E112,DATE(cfg_FY,5,1))+1))</f>
        <v>0</v>
      </c>
      <c r="AY112" s="57" t="n">
        <f aca="false">IF(OR(OR($B112="",$E112="",$F112=""),$K112&lt;&gt;"نعم",$M112="نعم"),0,MAX(0,MIN($F112,EOMONTH(DATE(cfg_FY,6,1),0))-MAX($E112,DATE(cfg_FY,6,1))+1))</f>
        <v>0</v>
      </c>
      <c r="AZ112" s="57" t="n">
        <f aca="false">IF(OR(OR($B112="",$E112="",$F112=""),$K112&lt;&gt;"نعم",$M112="نعم"),0,MAX(0,MIN($F112,EOMONTH(DATE(cfg_FY,7,1),0))-MAX($E112,DATE(cfg_FY,7,1))+1))</f>
        <v>0</v>
      </c>
      <c r="BA112" s="57" t="n">
        <f aca="false">IF(OR(OR($B112="",$E112="",$F112=""),$K112&lt;&gt;"نعم",$M112="نعم"),0,MAX(0,MIN($F112,EOMONTH(DATE(cfg_FY,8,1),0))-MAX($E112,DATE(cfg_FY,8,1))+1))</f>
        <v>0</v>
      </c>
      <c r="BB112" s="57" t="n">
        <f aca="false">IF(OR(OR($B112="",$E112="",$F112=""),$K112&lt;&gt;"نعم",$M112="نعم"),0,MAX(0,MIN($F112,EOMONTH(DATE(cfg_FY,9,1),0))-MAX($E112,DATE(cfg_FY,9,1))+1))</f>
        <v>0</v>
      </c>
      <c r="BC112" s="57" t="n">
        <f aca="false">IF(OR(OR($B112="",$E112="",$F112=""),$K112&lt;&gt;"نعم",$M112="نعم"),0,MAX(0,MIN($F112,EOMONTH(DATE(cfg_FY,10,1),0))-MAX($E112,DATE(cfg_FY,10,1))+1))</f>
        <v>0</v>
      </c>
      <c r="BD112" s="57" t="n">
        <f aca="false">IF(OR(OR($B112="",$E112="",$F112=""),$K112&lt;&gt;"نعم",$M112="نعم"),0,MAX(0,MIN($F112,EOMONTH(DATE(cfg_FY,11,1),0))-MAX($E112,DATE(cfg_FY,11,1))+1))</f>
        <v>0</v>
      </c>
      <c r="BE112" s="57" t="n">
        <f aca="false">IF(OR(OR($B112="",$E112="",$F112=""),$K112&lt;&gt;"نعم",$M112="نعم"),0,MAX(0,MIN($F112,EOMONTH(DATE(cfg_FY,12,1),0))-MAX($E112,DATE(cfg_FY,12,1))+1))</f>
        <v>0</v>
      </c>
    </row>
    <row r="113" customFormat="false" ht="15" hidden="false" customHeight="false" outlineLevel="0" collapsed="false">
      <c r="A113" s="100" t="str">
        <f aca="false">IF(B113="","",ROW()-5)</f>
        <v/>
      </c>
      <c r="B113" s="79"/>
      <c r="C113" s="102" t="str">
        <f aca="false">IF(B113="","",IFERROR(INDEX(الموظفون!$C$6:$C$105,MATCH(B113,الموظفون!$B$6:$B$105,0)),"✖ رقم غير موجود"))</f>
        <v/>
      </c>
      <c r="D113" s="79"/>
      <c r="E113" s="94"/>
      <c r="F113" s="94"/>
      <c r="G113" s="110" t="str">
        <f aca="false">IF(OR($B113="",$E113="",$F113=""),"",MAX(0,F113-E113+1))</f>
        <v/>
      </c>
      <c r="H113" s="111" t="str">
        <f aca="false">IF(D113="","",IFERROR(VLOOKUP(D113,cfg_LT,2,FALSE()),1))</f>
        <v/>
      </c>
      <c r="I113" s="82"/>
      <c r="J113" s="111" t="str">
        <f aca="false">IF(D113="","",IF(I113&lt;&gt;"",I113,H113))</f>
        <v/>
      </c>
      <c r="K113" s="102" t="str">
        <f aca="false">IF(D113="","",IFERROR(VLOOKUP($D113,cfg_LT,3,FALSE()),""))</f>
        <v/>
      </c>
      <c r="L113" s="102" t="str">
        <f aca="false">IF(D113="","",IFERROR(VLOOKUP($D113,cfg_LT,4,FALSE()),""))</f>
        <v/>
      </c>
      <c r="M113" s="102" t="str">
        <f aca="false">IF(D113="","",IFERROR(VLOOKUP($D113,cfg_LT,5,FALSE()),""))</f>
        <v/>
      </c>
      <c r="N113" s="101" t="n">
        <f aca="false">IF(OR(OR($B113="",$E113="",$F113=""),M113&lt;&gt;"نعم"),0,G113*J113*IFERROR(INDEX(الموظفون!$R$6:$R$105,MATCH(B113,الموظفون!$B$6:$B$105,0)),0)/cfg_DAYS_M)</f>
        <v>0</v>
      </c>
      <c r="O113" s="100" t="str">
        <f aca="false">IF(OR(OR($B113="",$E113="",$F113=""),M113&lt;&gt;"نعم"),"",IF(YEAR(E113)=cfg_FY,MONTH(E113),""))</f>
        <v/>
      </c>
      <c r="P113" s="102" t="str">
        <f aca="false">IF(B113="","",IF(OR(D113="",E113="",F113=""),"⚠ أكمل النوع والتواريخ",IF(F113&lt;E113,"✖ النهاية قبل البداية",IF(COUNTIFS($B$6:$B$505,B113,$E$6:$E$505,"&lt;="&amp;F113,$F$6:$F$505,"&gt;="&amp;E113)&gt;1,"⚠ تداخل مع سجل آخر",IF(E113&gt;cfg_VAL_DATE,"⏳ قادمة",IF(F113&lt;cfg_VAL_DATE,"✔ منتهية","✈ جارية في تاريخ التقرير"))))))</f>
        <v/>
      </c>
      <c r="Q113" s="79"/>
      <c r="R113" s="110" t="n">
        <f aca="false">IF(OR(OR($B113="",$E113="",$F113=""),L113&lt;&gt;"لا"),0,MAX(0,MIN(F113,cfg_Y_START-1)-E113+1))</f>
        <v>0</v>
      </c>
      <c r="S113" s="110" t="n">
        <f aca="false">IF(OR(OR($B113="",$E113="",$F113=""),L113&lt;&gt;"لا"),0,MAX(0,MIN(F113,cfg_VAL_DATE)-E113+1))</f>
        <v>0</v>
      </c>
      <c r="T113" s="110" t="n">
        <f aca="false">IF(OR(OR($B113="",$E113="",$F113=""),K113&lt;&gt;"نعم"),0,IF(M113="نعم",IF(AND(ISNUMBER(O113),N(O113)&lt;=cfg_VAL_M),G113,0),MAX(0,MIN(F113,cfg_VAL_DATE)-MAX(E113,cfg_Y_START)+1)))</f>
        <v>0</v>
      </c>
      <c r="V113" s="110" t="n">
        <f aca="false">IF(OR($B113="",$E113="",$F113=""),0,MAX(0,MIN($F113,EOMONTH(DATE(cfg_FY,1,1),0))-MAX($E113,DATE(cfg_FY,1,1))+1)*(1-IF($M113="نعم",0,N($J113))))</f>
        <v>0</v>
      </c>
      <c r="W113" s="110" t="n">
        <f aca="false">IF(OR($B113="",$E113="",$F113=""),0,MAX(0,MIN($F113,EOMONTH(DATE(cfg_FY,2,1),0))-MAX($E113,DATE(cfg_FY,2,1))+1)*(1-IF($M113="نعم",0,N($J113))))</f>
        <v>0</v>
      </c>
      <c r="X113" s="110" t="n">
        <f aca="false">IF(OR($B113="",$E113="",$F113=""),0,MAX(0,MIN($F113,EOMONTH(DATE(cfg_FY,3,1),0))-MAX($E113,DATE(cfg_FY,3,1))+1)*(1-IF($M113="نعم",0,N($J113))))</f>
        <v>0</v>
      </c>
      <c r="Y113" s="110" t="n">
        <f aca="false">IF(OR($B113="",$E113="",$F113=""),0,MAX(0,MIN($F113,EOMONTH(DATE(cfg_FY,4,1),0))-MAX($E113,DATE(cfg_FY,4,1))+1)*(1-IF($M113="نعم",0,N($J113))))</f>
        <v>0</v>
      </c>
      <c r="Z113" s="110" t="n">
        <f aca="false">IF(OR($B113="",$E113="",$F113=""),0,MAX(0,MIN($F113,EOMONTH(DATE(cfg_FY,5,1),0))-MAX($E113,DATE(cfg_FY,5,1))+1)*(1-IF($M113="نعم",0,N($J113))))</f>
        <v>0</v>
      </c>
      <c r="AA113" s="110" t="n">
        <f aca="false">IF(OR($B113="",$E113="",$F113=""),0,MAX(0,MIN($F113,EOMONTH(DATE(cfg_FY,6,1),0))-MAX($E113,DATE(cfg_FY,6,1))+1)*(1-IF($M113="نعم",0,N($J113))))</f>
        <v>0</v>
      </c>
      <c r="AB113" s="110" t="n">
        <f aca="false">IF(OR($B113="",$E113="",$F113=""),0,MAX(0,MIN($F113,EOMONTH(DATE(cfg_FY,7,1),0))-MAX($E113,DATE(cfg_FY,7,1))+1)*(1-IF($M113="نعم",0,N($J113))))</f>
        <v>0</v>
      </c>
      <c r="AC113" s="110" t="n">
        <f aca="false">IF(OR($B113="",$E113="",$F113=""),0,MAX(0,MIN($F113,EOMONTH(DATE(cfg_FY,8,1),0))-MAX($E113,DATE(cfg_FY,8,1))+1)*(1-IF($M113="نعم",0,N($J113))))</f>
        <v>0</v>
      </c>
      <c r="AD113" s="110" t="n">
        <f aca="false">IF(OR($B113="",$E113="",$F113=""),0,MAX(0,MIN($F113,EOMONTH(DATE(cfg_FY,9,1),0))-MAX($E113,DATE(cfg_FY,9,1))+1)*(1-IF($M113="نعم",0,N($J113))))</f>
        <v>0</v>
      </c>
      <c r="AE113" s="110" t="n">
        <f aca="false">IF(OR($B113="",$E113="",$F113=""),0,MAX(0,MIN($F113,EOMONTH(DATE(cfg_FY,10,1),0))-MAX($E113,DATE(cfg_FY,10,1))+1)*(1-IF($M113="نعم",0,N($J113))))</f>
        <v>0</v>
      </c>
      <c r="AF113" s="110" t="n">
        <f aca="false">IF(OR($B113="",$E113="",$F113=""),0,MAX(0,MIN($F113,EOMONTH(DATE(cfg_FY,11,1),0))-MAX($E113,DATE(cfg_FY,11,1))+1)*(1-IF($M113="نعم",0,N($J113))))</f>
        <v>0</v>
      </c>
      <c r="AG113" s="110" t="n">
        <f aca="false">IF(OR($B113="",$E113="",$F113=""),0,MAX(0,MIN($F113,EOMONTH(DATE(cfg_FY,12,1),0))-MAX($E113,DATE(cfg_FY,12,1))+1)*(1-IF($M113="نعم",0,N($J113))))</f>
        <v>0</v>
      </c>
      <c r="AH113" s="110" t="n">
        <f aca="false">IF(OR(OR($B113="",$E113="",$F113=""),$L113&lt;&gt;"لا"),0,MAX(0,MIN($F113,EOMONTH(DATE(cfg_FY,1,1),0))-$E113+1))</f>
        <v>0</v>
      </c>
      <c r="AI113" s="110" t="n">
        <f aca="false">IF(OR(OR($B113="",$E113="",$F113=""),$L113&lt;&gt;"لا"),0,MAX(0,MIN($F113,EOMONTH(DATE(cfg_FY,2,1),0))-$E113+1))</f>
        <v>0</v>
      </c>
      <c r="AJ113" s="110" t="n">
        <f aca="false">IF(OR(OR($B113="",$E113="",$F113=""),$L113&lt;&gt;"لا"),0,MAX(0,MIN($F113,EOMONTH(DATE(cfg_FY,3,1),0))-$E113+1))</f>
        <v>0</v>
      </c>
      <c r="AK113" s="110" t="n">
        <f aca="false">IF(OR(OR($B113="",$E113="",$F113=""),$L113&lt;&gt;"لا"),0,MAX(0,MIN($F113,EOMONTH(DATE(cfg_FY,4,1),0))-$E113+1))</f>
        <v>0</v>
      </c>
      <c r="AL113" s="110" t="n">
        <f aca="false">IF(OR(OR($B113="",$E113="",$F113=""),$L113&lt;&gt;"لا"),0,MAX(0,MIN($F113,EOMONTH(DATE(cfg_FY,5,1),0))-$E113+1))</f>
        <v>0</v>
      </c>
      <c r="AM113" s="110" t="n">
        <f aca="false">IF(OR(OR($B113="",$E113="",$F113=""),$L113&lt;&gt;"لا"),0,MAX(0,MIN($F113,EOMONTH(DATE(cfg_FY,6,1),0))-$E113+1))</f>
        <v>0</v>
      </c>
      <c r="AN113" s="110" t="n">
        <f aca="false">IF(OR(OR($B113="",$E113="",$F113=""),$L113&lt;&gt;"لا"),0,MAX(0,MIN($F113,EOMONTH(DATE(cfg_FY,7,1),0))-$E113+1))</f>
        <v>0</v>
      </c>
      <c r="AO113" s="110" t="n">
        <f aca="false">IF(OR(OR($B113="",$E113="",$F113=""),$L113&lt;&gt;"لا"),0,MAX(0,MIN($F113,EOMONTH(DATE(cfg_FY,8,1),0))-$E113+1))</f>
        <v>0</v>
      </c>
      <c r="AP113" s="110" t="n">
        <f aca="false">IF(OR(OR($B113="",$E113="",$F113=""),$L113&lt;&gt;"لا"),0,MAX(0,MIN($F113,EOMONTH(DATE(cfg_FY,9,1),0))-$E113+1))</f>
        <v>0</v>
      </c>
      <c r="AQ113" s="110" t="n">
        <f aca="false">IF(OR(OR($B113="",$E113="",$F113=""),$L113&lt;&gt;"لا"),0,MAX(0,MIN($F113,EOMONTH(DATE(cfg_FY,10,1),0))-$E113+1))</f>
        <v>0</v>
      </c>
      <c r="AR113" s="110" t="n">
        <f aca="false">IF(OR(OR($B113="",$E113="",$F113=""),$L113&lt;&gt;"لا"),0,MAX(0,MIN($F113,EOMONTH(DATE(cfg_FY,11,1),0))-$E113+1))</f>
        <v>0</v>
      </c>
      <c r="AS113" s="110" t="n">
        <f aca="false">IF(OR(OR($B113="",$E113="",$F113=""),$L113&lt;&gt;"لا"),0,MAX(0,MIN($F113,EOMONTH(DATE(cfg_FY,12,1),0))-$E113+1))</f>
        <v>0</v>
      </c>
      <c r="AT113" s="110" t="n">
        <f aca="false">IF(OR(OR($B113="",$E113="",$F113=""),$K113&lt;&gt;"نعم",$M113="نعم"),0,MAX(0,MIN($F113,EOMONTH(DATE(cfg_FY,1,1),0))-MAX($E113,DATE(cfg_FY,1,1))+1))</f>
        <v>0</v>
      </c>
      <c r="AU113" s="110" t="n">
        <f aca="false">IF(OR(OR($B113="",$E113="",$F113=""),$K113&lt;&gt;"نعم",$M113="نعم"),0,MAX(0,MIN($F113,EOMONTH(DATE(cfg_FY,2,1),0))-MAX($E113,DATE(cfg_FY,2,1))+1))</f>
        <v>0</v>
      </c>
      <c r="AV113" s="110" t="n">
        <f aca="false">IF(OR(OR($B113="",$E113="",$F113=""),$K113&lt;&gt;"نعم",$M113="نعم"),0,MAX(0,MIN($F113,EOMONTH(DATE(cfg_FY,3,1),0))-MAX($E113,DATE(cfg_FY,3,1))+1))</f>
        <v>0</v>
      </c>
      <c r="AW113" s="110" t="n">
        <f aca="false">IF(OR(OR($B113="",$E113="",$F113=""),$K113&lt;&gt;"نعم",$M113="نعم"),0,MAX(0,MIN($F113,EOMONTH(DATE(cfg_FY,4,1),0))-MAX($E113,DATE(cfg_FY,4,1))+1))</f>
        <v>0</v>
      </c>
      <c r="AX113" s="110" t="n">
        <f aca="false">IF(OR(OR($B113="",$E113="",$F113=""),$K113&lt;&gt;"نعم",$M113="نعم"),0,MAX(0,MIN($F113,EOMONTH(DATE(cfg_FY,5,1),0))-MAX($E113,DATE(cfg_FY,5,1))+1))</f>
        <v>0</v>
      </c>
      <c r="AY113" s="110" t="n">
        <f aca="false">IF(OR(OR($B113="",$E113="",$F113=""),$K113&lt;&gt;"نعم",$M113="نعم"),0,MAX(0,MIN($F113,EOMONTH(DATE(cfg_FY,6,1),0))-MAX($E113,DATE(cfg_FY,6,1))+1))</f>
        <v>0</v>
      </c>
      <c r="AZ113" s="110" t="n">
        <f aca="false">IF(OR(OR($B113="",$E113="",$F113=""),$K113&lt;&gt;"نعم",$M113="نعم"),0,MAX(0,MIN($F113,EOMONTH(DATE(cfg_FY,7,1),0))-MAX($E113,DATE(cfg_FY,7,1))+1))</f>
        <v>0</v>
      </c>
      <c r="BA113" s="110" t="n">
        <f aca="false">IF(OR(OR($B113="",$E113="",$F113=""),$K113&lt;&gt;"نعم",$M113="نعم"),0,MAX(0,MIN($F113,EOMONTH(DATE(cfg_FY,8,1),0))-MAX($E113,DATE(cfg_FY,8,1))+1))</f>
        <v>0</v>
      </c>
      <c r="BB113" s="110" t="n">
        <f aca="false">IF(OR(OR($B113="",$E113="",$F113=""),$K113&lt;&gt;"نعم",$M113="نعم"),0,MAX(0,MIN($F113,EOMONTH(DATE(cfg_FY,9,1),0))-MAX($E113,DATE(cfg_FY,9,1))+1))</f>
        <v>0</v>
      </c>
      <c r="BC113" s="110" t="n">
        <f aca="false">IF(OR(OR($B113="",$E113="",$F113=""),$K113&lt;&gt;"نعم",$M113="نعم"),0,MAX(0,MIN($F113,EOMONTH(DATE(cfg_FY,10,1),0))-MAX($E113,DATE(cfg_FY,10,1))+1))</f>
        <v>0</v>
      </c>
      <c r="BD113" s="110" t="n">
        <f aca="false">IF(OR(OR($B113="",$E113="",$F113=""),$K113&lt;&gt;"نعم",$M113="نعم"),0,MAX(0,MIN($F113,EOMONTH(DATE(cfg_FY,11,1),0))-MAX($E113,DATE(cfg_FY,11,1))+1))</f>
        <v>0</v>
      </c>
      <c r="BE113" s="110" t="n">
        <f aca="false">IF(OR(OR($B113="",$E113="",$F113=""),$K113&lt;&gt;"نعم",$M113="نعم"),0,MAX(0,MIN($F113,EOMONTH(DATE(cfg_FY,12,1),0))-MAX($E113,DATE(cfg_FY,12,1))+1))</f>
        <v>0</v>
      </c>
    </row>
    <row r="114" customFormat="false" ht="15" hidden="false" customHeight="false" outlineLevel="0" collapsed="false">
      <c r="A114" s="93" t="str">
        <f aca="false">IF(B114="","",ROW()-5)</f>
        <v/>
      </c>
      <c r="B114" s="79"/>
      <c r="C114" s="80" t="str">
        <f aca="false">IF(B114="","",IFERROR(INDEX(الموظفون!$C$6:$C$105,MATCH(B114,الموظفون!$B$6:$B$105,0)),"✖ رقم غير موجود"))</f>
        <v/>
      </c>
      <c r="D114" s="79"/>
      <c r="E114" s="94"/>
      <c r="F114" s="94"/>
      <c r="G114" s="57" t="str">
        <f aca="false">IF(OR($B114="",$E114="",$F114=""),"",MAX(0,F114-E114+1))</f>
        <v/>
      </c>
      <c r="H114" s="58" t="str">
        <f aca="false">IF(D114="","",IFERROR(VLOOKUP(D114,cfg_LT,2,FALSE()),1))</f>
        <v/>
      </c>
      <c r="I114" s="82"/>
      <c r="J114" s="58" t="str">
        <f aca="false">IF(D114="","",IF(I114&lt;&gt;"",I114,H114))</f>
        <v/>
      </c>
      <c r="K114" s="80" t="str">
        <f aca="false">IF(D114="","",IFERROR(VLOOKUP($D114,cfg_LT,3,FALSE()),""))</f>
        <v/>
      </c>
      <c r="L114" s="80" t="str">
        <f aca="false">IF(D114="","",IFERROR(VLOOKUP($D114,cfg_LT,4,FALSE()),""))</f>
        <v/>
      </c>
      <c r="M114" s="80" t="str">
        <f aca="false">IF(D114="","",IFERROR(VLOOKUP($D114,cfg_LT,5,FALSE()),""))</f>
        <v/>
      </c>
      <c r="N114" s="97" t="n">
        <f aca="false">IF(OR(OR($B114="",$E114="",$F114=""),M114&lt;&gt;"نعم"),0,G114*J114*IFERROR(INDEX(الموظفون!$R$6:$R$105,MATCH(B114,الموظفون!$B$6:$B$105,0)),0)/cfg_DAYS_M)</f>
        <v>0</v>
      </c>
      <c r="O114" s="93" t="str">
        <f aca="false">IF(OR(OR($B114="",$E114="",$F114=""),M114&lt;&gt;"نعم"),"",IF(YEAR(E114)=cfg_FY,MONTH(E114),""))</f>
        <v/>
      </c>
      <c r="P114" s="80" t="str">
        <f aca="false">IF(B114="","",IF(OR(D114="",E114="",F114=""),"⚠ أكمل النوع والتواريخ",IF(F114&lt;E114,"✖ النهاية قبل البداية",IF(COUNTIFS($B$6:$B$505,B114,$E$6:$E$505,"&lt;="&amp;F114,$F$6:$F$505,"&gt;="&amp;E114)&gt;1,"⚠ تداخل مع سجل آخر",IF(E114&gt;cfg_VAL_DATE,"⏳ قادمة",IF(F114&lt;cfg_VAL_DATE,"✔ منتهية","✈ جارية في تاريخ التقرير"))))))</f>
        <v/>
      </c>
      <c r="Q114" s="79"/>
      <c r="R114" s="57" t="n">
        <f aca="false">IF(OR(OR($B114="",$E114="",$F114=""),L114&lt;&gt;"لا"),0,MAX(0,MIN(F114,cfg_Y_START-1)-E114+1))</f>
        <v>0</v>
      </c>
      <c r="S114" s="57" t="n">
        <f aca="false">IF(OR(OR($B114="",$E114="",$F114=""),L114&lt;&gt;"لا"),0,MAX(0,MIN(F114,cfg_VAL_DATE)-E114+1))</f>
        <v>0</v>
      </c>
      <c r="T114" s="57" t="n">
        <f aca="false">IF(OR(OR($B114="",$E114="",$F114=""),K114&lt;&gt;"نعم"),0,IF(M114="نعم",IF(AND(ISNUMBER(O114),N(O114)&lt;=cfg_VAL_M),G114,0),MAX(0,MIN(F114,cfg_VAL_DATE)-MAX(E114,cfg_Y_START)+1)))</f>
        <v>0</v>
      </c>
      <c r="V114" s="57" t="n">
        <f aca="false">IF(OR($B114="",$E114="",$F114=""),0,MAX(0,MIN($F114,EOMONTH(DATE(cfg_FY,1,1),0))-MAX($E114,DATE(cfg_FY,1,1))+1)*(1-IF($M114="نعم",0,N($J114))))</f>
        <v>0</v>
      </c>
      <c r="W114" s="57" t="n">
        <f aca="false">IF(OR($B114="",$E114="",$F114=""),0,MAX(0,MIN($F114,EOMONTH(DATE(cfg_FY,2,1),0))-MAX($E114,DATE(cfg_FY,2,1))+1)*(1-IF($M114="نعم",0,N($J114))))</f>
        <v>0</v>
      </c>
      <c r="X114" s="57" t="n">
        <f aca="false">IF(OR($B114="",$E114="",$F114=""),0,MAX(0,MIN($F114,EOMONTH(DATE(cfg_FY,3,1),0))-MAX($E114,DATE(cfg_FY,3,1))+1)*(1-IF($M114="نعم",0,N($J114))))</f>
        <v>0</v>
      </c>
      <c r="Y114" s="57" t="n">
        <f aca="false">IF(OR($B114="",$E114="",$F114=""),0,MAX(0,MIN($F114,EOMONTH(DATE(cfg_FY,4,1),0))-MAX($E114,DATE(cfg_FY,4,1))+1)*(1-IF($M114="نعم",0,N($J114))))</f>
        <v>0</v>
      </c>
      <c r="Z114" s="57" t="n">
        <f aca="false">IF(OR($B114="",$E114="",$F114=""),0,MAX(0,MIN($F114,EOMONTH(DATE(cfg_FY,5,1),0))-MAX($E114,DATE(cfg_FY,5,1))+1)*(1-IF($M114="نعم",0,N($J114))))</f>
        <v>0</v>
      </c>
      <c r="AA114" s="57" t="n">
        <f aca="false">IF(OR($B114="",$E114="",$F114=""),0,MAX(0,MIN($F114,EOMONTH(DATE(cfg_FY,6,1),0))-MAX($E114,DATE(cfg_FY,6,1))+1)*(1-IF($M114="نعم",0,N($J114))))</f>
        <v>0</v>
      </c>
      <c r="AB114" s="57" t="n">
        <f aca="false">IF(OR($B114="",$E114="",$F114=""),0,MAX(0,MIN($F114,EOMONTH(DATE(cfg_FY,7,1),0))-MAX($E114,DATE(cfg_FY,7,1))+1)*(1-IF($M114="نعم",0,N($J114))))</f>
        <v>0</v>
      </c>
      <c r="AC114" s="57" t="n">
        <f aca="false">IF(OR($B114="",$E114="",$F114=""),0,MAX(0,MIN($F114,EOMONTH(DATE(cfg_FY,8,1),0))-MAX($E114,DATE(cfg_FY,8,1))+1)*(1-IF($M114="نعم",0,N($J114))))</f>
        <v>0</v>
      </c>
      <c r="AD114" s="57" t="n">
        <f aca="false">IF(OR($B114="",$E114="",$F114=""),0,MAX(0,MIN($F114,EOMONTH(DATE(cfg_FY,9,1),0))-MAX($E114,DATE(cfg_FY,9,1))+1)*(1-IF($M114="نعم",0,N($J114))))</f>
        <v>0</v>
      </c>
      <c r="AE114" s="57" t="n">
        <f aca="false">IF(OR($B114="",$E114="",$F114=""),0,MAX(0,MIN($F114,EOMONTH(DATE(cfg_FY,10,1),0))-MAX($E114,DATE(cfg_FY,10,1))+1)*(1-IF($M114="نعم",0,N($J114))))</f>
        <v>0</v>
      </c>
      <c r="AF114" s="57" t="n">
        <f aca="false">IF(OR($B114="",$E114="",$F114=""),0,MAX(0,MIN($F114,EOMONTH(DATE(cfg_FY,11,1),0))-MAX($E114,DATE(cfg_FY,11,1))+1)*(1-IF($M114="نعم",0,N($J114))))</f>
        <v>0</v>
      </c>
      <c r="AG114" s="57" t="n">
        <f aca="false">IF(OR($B114="",$E114="",$F114=""),0,MAX(0,MIN($F114,EOMONTH(DATE(cfg_FY,12,1),0))-MAX($E114,DATE(cfg_FY,12,1))+1)*(1-IF($M114="نعم",0,N($J114))))</f>
        <v>0</v>
      </c>
      <c r="AH114" s="57" t="n">
        <f aca="false">IF(OR(OR($B114="",$E114="",$F114=""),$L114&lt;&gt;"لا"),0,MAX(0,MIN($F114,EOMONTH(DATE(cfg_FY,1,1),0))-$E114+1))</f>
        <v>0</v>
      </c>
      <c r="AI114" s="57" t="n">
        <f aca="false">IF(OR(OR($B114="",$E114="",$F114=""),$L114&lt;&gt;"لا"),0,MAX(0,MIN($F114,EOMONTH(DATE(cfg_FY,2,1),0))-$E114+1))</f>
        <v>0</v>
      </c>
      <c r="AJ114" s="57" t="n">
        <f aca="false">IF(OR(OR($B114="",$E114="",$F114=""),$L114&lt;&gt;"لا"),0,MAX(0,MIN($F114,EOMONTH(DATE(cfg_FY,3,1),0))-$E114+1))</f>
        <v>0</v>
      </c>
      <c r="AK114" s="57" t="n">
        <f aca="false">IF(OR(OR($B114="",$E114="",$F114=""),$L114&lt;&gt;"لا"),0,MAX(0,MIN($F114,EOMONTH(DATE(cfg_FY,4,1),0))-$E114+1))</f>
        <v>0</v>
      </c>
      <c r="AL114" s="57" t="n">
        <f aca="false">IF(OR(OR($B114="",$E114="",$F114=""),$L114&lt;&gt;"لا"),0,MAX(0,MIN($F114,EOMONTH(DATE(cfg_FY,5,1),0))-$E114+1))</f>
        <v>0</v>
      </c>
      <c r="AM114" s="57" t="n">
        <f aca="false">IF(OR(OR($B114="",$E114="",$F114=""),$L114&lt;&gt;"لا"),0,MAX(0,MIN($F114,EOMONTH(DATE(cfg_FY,6,1),0))-$E114+1))</f>
        <v>0</v>
      </c>
      <c r="AN114" s="57" t="n">
        <f aca="false">IF(OR(OR($B114="",$E114="",$F114=""),$L114&lt;&gt;"لا"),0,MAX(0,MIN($F114,EOMONTH(DATE(cfg_FY,7,1),0))-$E114+1))</f>
        <v>0</v>
      </c>
      <c r="AO114" s="57" t="n">
        <f aca="false">IF(OR(OR($B114="",$E114="",$F114=""),$L114&lt;&gt;"لا"),0,MAX(0,MIN($F114,EOMONTH(DATE(cfg_FY,8,1),0))-$E114+1))</f>
        <v>0</v>
      </c>
      <c r="AP114" s="57" t="n">
        <f aca="false">IF(OR(OR($B114="",$E114="",$F114=""),$L114&lt;&gt;"لا"),0,MAX(0,MIN($F114,EOMONTH(DATE(cfg_FY,9,1),0))-$E114+1))</f>
        <v>0</v>
      </c>
      <c r="AQ114" s="57" t="n">
        <f aca="false">IF(OR(OR($B114="",$E114="",$F114=""),$L114&lt;&gt;"لا"),0,MAX(0,MIN($F114,EOMONTH(DATE(cfg_FY,10,1),0))-$E114+1))</f>
        <v>0</v>
      </c>
      <c r="AR114" s="57" t="n">
        <f aca="false">IF(OR(OR($B114="",$E114="",$F114=""),$L114&lt;&gt;"لا"),0,MAX(0,MIN($F114,EOMONTH(DATE(cfg_FY,11,1),0))-$E114+1))</f>
        <v>0</v>
      </c>
      <c r="AS114" s="57" t="n">
        <f aca="false">IF(OR(OR($B114="",$E114="",$F114=""),$L114&lt;&gt;"لا"),0,MAX(0,MIN($F114,EOMONTH(DATE(cfg_FY,12,1),0))-$E114+1))</f>
        <v>0</v>
      </c>
      <c r="AT114" s="57" t="n">
        <f aca="false">IF(OR(OR($B114="",$E114="",$F114=""),$K114&lt;&gt;"نعم",$M114="نعم"),0,MAX(0,MIN($F114,EOMONTH(DATE(cfg_FY,1,1),0))-MAX($E114,DATE(cfg_FY,1,1))+1))</f>
        <v>0</v>
      </c>
      <c r="AU114" s="57" t="n">
        <f aca="false">IF(OR(OR($B114="",$E114="",$F114=""),$K114&lt;&gt;"نعم",$M114="نعم"),0,MAX(0,MIN($F114,EOMONTH(DATE(cfg_FY,2,1),0))-MAX($E114,DATE(cfg_FY,2,1))+1))</f>
        <v>0</v>
      </c>
      <c r="AV114" s="57" t="n">
        <f aca="false">IF(OR(OR($B114="",$E114="",$F114=""),$K114&lt;&gt;"نعم",$M114="نعم"),0,MAX(0,MIN($F114,EOMONTH(DATE(cfg_FY,3,1),0))-MAX($E114,DATE(cfg_FY,3,1))+1))</f>
        <v>0</v>
      </c>
      <c r="AW114" s="57" t="n">
        <f aca="false">IF(OR(OR($B114="",$E114="",$F114=""),$K114&lt;&gt;"نعم",$M114="نعم"),0,MAX(0,MIN($F114,EOMONTH(DATE(cfg_FY,4,1),0))-MAX($E114,DATE(cfg_FY,4,1))+1))</f>
        <v>0</v>
      </c>
      <c r="AX114" s="57" t="n">
        <f aca="false">IF(OR(OR($B114="",$E114="",$F114=""),$K114&lt;&gt;"نعم",$M114="نعم"),0,MAX(0,MIN($F114,EOMONTH(DATE(cfg_FY,5,1),0))-MAX($E114,DATE(cfg_FY,5,1))+1))</f>
        <v>0</v>
      </c>
      <c r="AY114" s="57" t="n">
        <f aca="false">IF(OR(OR($B114="",$E114="",$F114=""),$K114&lt;&gt;"نعم",$M114="نعم"),0,MAX(0,MIN($F114,EOMONTH(DATE(cfg_FY,6,1),0))-MAX($E114,DATE(cfg_FY,6,1))+1))</f>
        <v>0</v>
      </c>
      <c r="AZ114" s="57" t="n">
        <f aca="false">IF(OR(OR($B114="",$E114="",$F114=""),$K114&lt;&gt;"نعم",$M114="نعم"),0,MAX(0,MIN($F114,EOMONTH(DATE(cfg_FY,7,1),0))-MAX($E114,DATE(cfg_FY,7,1))+1))</f>
        <v>0</v>
      </c>
      <c r="BA114" s="57" t="n">
        <f aca="false">IF(OR(OR($B114="",$E114="",$F114=""),$K114&lt;&gt;"نعم",$M114="نعم"),0,MAX(0,MIN($F114,EOMONTH(DATE(cfg_FY,8,1),0))-MAX($E114,DATE(cfg_FY,8,1))+1))</f>
        <v>0</v>
      </c>
      <c r="BB114" s="57" t="n">
        <f aca="false">IF(OR(OR($B114="",$E114="",$F114=""),$K114&lt;&gt;"نعم",$M114="نعم"),0,MAX(0,MIN($F114,EOMONTH(DATE(cfg_FY,9,1),0))-MAX($E114,DATE(cfg_FY,9,1))+1))</f>
        <v>0</v>
      </c>
      <c r="BC114" s="57" t="n">
        <f aca="false">IF(OR(OR($B114="",$E114="",$F114=""),$K114&lt;&gt;"نعم",$M114="نعم"),0,MAX(0,MIN($F114,EOMONTH(DATE(cfg_FY,10,1),0))-MAX($E114,DATE(cfg_FY,10,1))+1))</f>
        <v>0</v>
      </c>
      <c r="BD114" s="57" t="n">
        <f aca="false">IF(OR(OR($B114="",$E114="",$F114=""),$K114&lt;&gt;"نعم",$M114="نعم"),0,MAX(0,MIN($F114,EOMONTH(DATE(cfg_FY,11,1),0))-MAX($E114,DATE(cfg_FY,11,1))+1))</f>
        <v>0</v>
      </c>
      <c r="BE114" s="57" t="n">
        <f aca="false">IF(OR(OR($B114="",$E114="",$F114=""),$K114&lt;&gt;"نعم",$M114="نعم"),0,MAX(0,MIN($F114,EOMONTH(DATE(cfg_FY,12,1),0))-MAX($E114,DATE(cfg_FY,12,1))+1))</f>
        <v>0</v>
      </c>
    </row>
    <row r="115" customFormat="false" ht="15" hidden="false" customHeight="false" outlineLevel="0" collapsed="false">
      <c r="A115" s="100" t="str">
        <f aca="false">IF(B115="","",ROW()-5)</f>
        <v/>
      </c>
      <c r="B115" s="79"/>
      <c r="C115" s="102" t="str">
        <f aca="false">IF(B115="","",IFERROR(INDEX(الموظفون!$C$6:$C$105,MATCH(B115,الموظفون!$B$6:$B$105,0)),"✖ رقم غير موجود"))</f>
        <v/>
      </c>
      <c r="D115" s="79"/>
      <c r="E115" s="94"/>
      <c r="F115" s="94"/>
      <c r="G115" s="110" t="str">
        <f aca="false">IF(OR($B115="",$E115="",$F115=""),"",MAX(0,F115-E115+1))</f>
        <v/>
      </c>
      <c r="H115" s="111" t="str">
        <f aca="false">IF(D115="","",IFERROR(VLOOKUP(D115,cfg_LT,2,FALSE()),1))</f>
        <v/>
      </c>
      <c r="I115" s="82"/>
      <c r="J115" s="111" t="str">
        <f aca="false">IF(D115="","",IF(I115&lt;&gt;"",I115,H115))</f>
        <v/>
      </c>
      <c r="K115" s="102" t="str">
        <f aca="false">IF(D115="","",IFERROR(VLOOKUP($D115,cfg_LT,3,FALSE()),""))</f>
        <v/>
      </c>
      <c r="L115" s="102" t="str">
        <f aca="false">IF(D115="","",IFERROR(VLOOKUP($D115,cfg_LT,4,FALSE()),""))</f>
        <v/>
      </c>
      <c r="M115" s="102" t="str">
        <f aca="false">IF(D115="","",IFERROR(VLOOKUP($D115,cfg_LT,5,FALSE()),""))</f>
        <v/>
      </c>
      <c r="N115" s="101" t="n">
        <f aca="false">IF(OR(OR($B115="",$E115="",$F115=""),M115&lt;&gt;"نعم"),0,G115*J115*IFERROR(INDEX(الموظفون!$R$6:$R$105,MATCH(B115,الموظفون!$B$6:$B$105,0)),0)/cfg_DAYS_M)</f>
        <v>0</v>
      </c>
      <c r="O115" s="100" t="str">
        <f aca="false">IF(OR(OR($B115="",$E115="",$F115=""),M115&lt;&gt;"نعم"),"",IF(YEAR(E115)=cfg_FY,MONTH(E115),""))</f>
        <v/>
      </c>
      <c r="P115" s="102" t="str">
        <f aca="false">IF(B115="","",IF(OR(D115="",E115="",F115=""),"⚠ أكمل النوع والتواريخ",IF(F115&lt;E115,"✖ النهاية قبل البداية",IF(COUNTIFS($B$6:$B$505,B115,$E$6:$E$505,"&lt;="&amp;F115,$F$6:$F$505,"&gt;="&amp;E115)&gt;1,"⚠ تداخل مع سجل آخر",IF(E115&gt;cfg_VAL_DATE,"⏳ قادمة",IF(F115&lt;cfg_VAL_DATE,"✔ منتهية","✈ جارية في تاريخ التقرير"))))))</f>
        <v/>
      </c>
      <c r="Q115" s="79"/>
      <c r="R115" s="110" t="n">
        <f aca="false">IF(OR(OR($B115="",$E115="",$F115=""),L115&lt;&gt;"لا"),0,MAX(0,MIN(F115,cfg_Y_START-1)-E115+1))</f>
        <v>0</v>
      </c>
      <c r="S115" s="110" t="n">
        <f aca="false">IF(OR(OR($B115="",$E115="",$F115=""),L115&lt;&gt;"لا"),0,MAX(0,MIN(F115,cfg_VAL_DATE)-E115+1))</f>
        <v>0</v>
      </c>
      <c r="T115" s="110" t="n">
        <f aca="false">IF(OR(OR($B115="",$E115="",$F115=""),K115&lt;&gt;"نعم"),0,IF(M115="نعم",IF(AND(ISNUMBER(O115),N(O115)&lt;=cfg_VAL_M),G115,0),MAX(0,MIN(F115,cfg_VAL_DATE)-MAX(E115,cfg_Y_START)+1)))</f>
        <v>0</v>
      </c>
      <c r="V115" s="110" t="n">
        <f aca="false">IF(OR($B115="",$E115="",$F115=""),0,MAX(0,MIN($F115,EOMONTH(DATE(cfg_FY,1,1),0))-MAX($E115,DATE(cfg_FY,1,1))+1)*(1-IF($M115="نعم",0,N($J115))))</f>
        <v>0</v>
      </c>
      <c r="W115" s="110" t="n">
        <f aca="false">IF(OR($B115="",$E115="",$F115=""),0,MAX(0,MIN($F115,EOMONTH(DATE(cfg_FY,2,1),0))-MAX($E115,DATE(cfg_FY,2,1))+1)*(1-IF($M115="نعم",0,N($J115))))</f>
        <v>0</v>
      </c>
      <c r="X115" s="110" t="n">
        <f aca="false">IF(OR($B115="",$E115="",$F115=""),0,MAX(0,MIN($F115,EOMONTH(DATE(cfg_FY,3,1),0))-MAX($E115,DATE(cfg_FY,3,1))+1)*(1-IF($M115="نعم",0,N($J115))))</f>
        <v>0</v>
      </c>
      <c r="Y115" s="110" t="n">
        <f aca="false">IF(OR($B115="",$E115="",$F115=""),0,MAX(0,MIN($F115,EOMONTH(DATE(cfg_FY,4,1),0))-MAX($E115,DATE(cfg_FY,4,1))+1)*(1-IF($M115="نعم",0,N($J115))))</f>
        <v>0</v>
      </c>
      <c r="Z115" s="110" t="n">
        <f aca="false">IF(OR($B115="",$E115="",$F115=""),0,MAX(0,MIN($F115,EOMONTH(DATE(cfg_FY,5,1),0))-MAX($E115,DATE(cfg_FY,5,1))+1)*(1-IF($M115="نعم",0,N($J115))))</f>
        <v>0</v>
      </c>
      <c r="AA115" s="110" t="n">
        <f aca="false">IF(OR($B115="",$E115="",$F115=""),0,MAX(0,MIN($F115,EOMONTH(DATE(cfg_FY,6,1),0))-MAX($E115,DATE(cfg_FY,6,1))+1)*(1-IF($M115="نعم",0,N($J115))))</f>
        <v>0</v>
      </c>
      <c r="AB115" s="110" t="n">
        <f aca="false">IF(OR($B115="",$E115="",$F115=""),0,MAX(0,MIN($F115,EOMONTH(DATE(cfg_FY,7,1),0))-MAX($E115,DATE(cfg_FY,7,1))+1)*(1-IF($M115="نعم",0,N($J115))))</f>
        <v>0</v>
      </c>
      <c r="AC115" s="110" t="n">
        <f aca="false">IF(OR($B115="",$E115="",$F115=""),0,MAX(0,MIN($F115,EOMONTH(DATE(cfg_FY,8,1),0))-MAX($E115,DATE(cfg_FY,8,1))+1)*(1-IF($M115="نعم",0,N($J115))))</f>
        <v>0</v>
      </c>
      <c r="AD115" s="110" t="n">
        <f aca="false">IF(OR($B115="",$E115="",$F115=""),0,MAX(0,MIN($F115,EOMONTH(DATE(cfg_FY,9,1),0))-MAX($E115,DATE(cfg_FY,9,1))+1)*(1-IF($M115="نعم",0,N($J115))))</f>
        <v>0</v>
      </c>
      <c r="AE115" s="110" t="n">
        <f aca="false">IF(OR($B115="",$E115="",$F115=""),0,MAX(0,MIN($F115,EOMONTH(DATE(cfg_FY,10,1),0))-MAX($E115,DATE(cfg_FY,10,1))+1)*(1-IF($M115="نعم",0,N($J115))))</f>
        <v>0</v>
      </c>
      <c r="AF115" s="110" t="n">
        <f aca="false">IF(OR($B115="",$E115="",$F115=""),0,MAX(0,MIN($F115,EOMONTH(DATE(cfg_FY,11,1),0))-MAX($E115,DATE(cfg_FY,11,1))+1)*(1-IF($M115="نعم",0,N($J115))))</f>
        <v>0</v>
      </c>
      <c r="AG115" s="110" t="n">
        <f aca="false">IF(OR($B115="",$E115="",$F115=""),0,MAX(0,MIN($F115,EOMONTH(DATE(cfg_FY,12,1),0))-MAX($E115,DATE(cfg_FY,12,1))+1)*(1-IF($M115="نعم",0,N($J115))))</f>
        <v>0</v>
      </c>
      <c r="AH115" s="110" t="n">
        <f aca="false">IF(OR(OR($B115="",$E115="",$F115=""),$L115&lt;&gt;"لا"),0,MAX(0,MIN($F115,EOMONTH(DATE(cfg_FY,1,1),0))-$E115+1))</f>
        <v>0</v>
      </c>
      <c r="AI115" s="110" t="n">
        <f aca="false">IF(OR(OR($B115="",$E115="",$F115=""),$L115&lt;&gt;"لا"),0,MAX(0,MIN($F115,EOMONTH(DATE(cfg_FY,2,1),0))-$E115+1))</f>
        <v>0</v>
      </c>
      <c r="AJ115" s="110" t="n">
        <f aca="false">IF(OR(OR($B115="",$E115="",$F115=""),$L115&lt;&gt;"لا"),0,MAX(0,MIN($F115,EOMONTH(DATE(cfg_FY,3,1),0))-$E115+1))</f>
        <v>0</v>
      </c>
      <c r="AK115" s="110" t="n">
        <f aca="false">IF(OR(OR($B115="",$E115="",$F115=""),$L115&lt;&gt;"لا"),0,MAX(0,MIN($F115,EOMONTH(DATE(cfg_FY,4,1),0))-$E115+1))</f>
        <v>0</v>
      </c>
      <c r="AL115" s="110" t="n">
        <f aca="false">IF(OR(OR($B115="",$E115="",$F115=""),$L115&lt;&gt;"لا"),0,MAX(0,MIN($F115,EOMONTH(DATE(cfg_FY,5,1),0))-$E115+1))</f>
        <v>0</v>
      </c>
      <c r="AM115" s="110" t="n">
        <f aca="false">IF(OR(OR($B115="",$E115="",$F115=""),$L115&lt;&gt;"لا"),0,MAX(0,MIN($F115,EOMONTH(DATE(cfg_FY,6,1),0))-$E115+1))</f>
        <v>0</v>
      </c>
      <c r="AN115" s="110" t="n">
        <f aca="false">IF(OR(OR($B115="",$E115="",$F115=""),$L115&lt;&gt;"لا"),0,MAX(0,MIN($F115,EOMONTH(DATE(cfg_FY,7,1),0))-$E115+1))</f>
        <v>0</v>
      </c>
      <c r="AO115" s="110" t="n">
        <f aca="false">IF(OR(OR($B115="",$E115="",$F115=""),$L115&lt;&gt;"لا"),0,MAX(0,MIN($F115,EOMONTH(DATE(cfg_FY,8,1),0))-$E115+1))</f>
        <v>0</v>
      </c>
      <c r="AP115" s="110" t="n">
        <f aca="false">IF(OR(OR($B115="",$E115="",$F115=""),$L115&lt;&gt;"لا"),0,MAX(0,MIN($F115,EOMONTH(DATE(cfg_FY,9,1),0))-$E115+1))</f>
        <v>0</v>
      </c>
      <c r="AQ115" s="110" t="n">
        <f aca="false">IF(OR(OR($B115="",$E115="",$F115=""),$L115&lt;&gt;"لا"),0,MAX(0,MIN($F115,EOMONTH(DATE(cfg_FY,10,1),0))-$E115+1))</f>
        <v>0</v>
      </c>
      <c r="AR115" s="110" t="n">
        <f aca="false">IF(OR(OR($B115="",$E115="",$F115=""),$L115&lt;&gt;"لا"),0,MAX(0,MIN($F115,EOMONTH(DATE(cfg_FY,11,1),0))-$E115+1))</f>
        <v>0</v>
      </c>
      <c r="AS115" s="110" t="n">
        <f aca="false">IF(OR(OR($B115="",$E115="",$F115=""),$L115&lt;&gt;"لا"),0,MAX(0,MIN($F115,EOMONTH(DATE(cfg_FY,12,1),0))-$E115+1))</f>
        <v>0</v>
      </c>
      <c r="AT115" s="110" t="n">
        <f aca="false">IF(OR(OR($B115="",$E115="",$F115=""),$K115&lt;&gt;"نعم",$M115="نعم"),0,MAX(0,MIN($F115,EOMONTH(DATE(cfg_FY,1,1),0))-MAX($E115,DATE(cfg_FY,1,1))+1))</f>
        <v>0</v>
      </c>
      <c r="AU115" s="110" t="n">
        <f aca="false">IF(OR(OR($B115="",$E115="",$F115=""),$K115&lt;&gt;"نعم",$M115="نعم"),0,MAX(0,MIN($F115,EOMONTH(DATE(cfg_FY,2,1),0))-MAX($E115,DATE(cfg_FY,2,1))+1))</f>
        <v>0</v>
      </c>
      <c r="AV115" s="110" t="n">
        <f aca="false">IF(OR(OR($B115="",$E115="",$F115=""),$K115&lt;&gt;"نعم",$M115="نعم"),0,MAX(0,MIN($F115,EOMONTH(DATE(cfg_FY,3,1),0))-MAX($E115,DATE(cfg_FY,3,1))+1))</f>
        <v>0</v>
      </c>
      <c r="AW115" s="110" t="n">
        <f aca="false">IF(OR(OR($B115="",$E115="",$F115=""),$K115&lt;&gt;"نعم",$M115="نعم"),0,MAX(0,MIN($F115,EOMONTH(DATE(cfg_FY,4,1),0))-MAX($E115,DATE(cfg_FY,4,1))+1))</f>
        <v>0</v>
      </c>
      <c r="AX115" s="110" t="n">
        <f aca="false">IF(OR(OR($B115="",$E115="",$F115=""),$K115&lt;&gt;"نعم",$M115="نعم"),0,MAX(0,MIN($F115,EOMONTH(DATE(cfg_FY,5,1),0))-MAX($E115,DATE(cfg_FY,5,1))+1))</f>
        <v>0</v>
      </c>
      <c r="AY115" s="110" t="n">
        <f aca="false">IF(OR(OR($B115="",$E115="",$F115=""),$K115&lt;&gt;"نعم",$M115="نعم"),0,MAX(0,MIN($F115,EOMONTH(DATE(cfg_FY,6,1),0))-MAX($E115,DATE(cfg_FY,6,1))+1))</f>
        <v>0</v>
      </c>
      <c r="AZ115" s="110" t="n">
        <f aca="false">IF(OR(OR($B115="",$E115="",$F115=""),$K115&lt;&gt;"نعم",$M115="نعم"),0,MAX(0,MIN($F115,EOMONTH(DATE(cfg_FY,7,1),0))-MAX($E115,DATE(cfg_FY,7,1))+1))</f>
        <v>0</v>
      </c>
      <c r="BA115" s="110" t="n">
        <f aca="false">IF(OR(OR($B115="",$E115="",$F115=""),$K115&lt;&gt;"نعم",$M115="نعم"),0,MAX(0,MIN($F115,EOMONTH(DATE(cfg_FY,8,1),0))-MAX($E115,DATE(cfg_FY,8,1))+1))</f>
        <v>0</v>
      </c>
      <c r="BB115" s="110" t="n">
        <f aca="false">IF(OR(OR($B115="",$E115="",$F115=""),$K115&lt;&gt;"نعم",$M115="نعم"),0,MAX(0,MIN($F115,EOMONTH(DATE(cfg_FY,9,1),0))-MAX($E115,DATE(cfg_FY,9,1))+1))</f>
        <v>0</v>
      </c>
      <c r="BC115" s="110" t="n">
        <f aca="false">IF(OR(OR($B115="",$E115="",$F115=""),$K115&lt;&gt;"نعم",$M115="نعم"),0,MAX(0,MIN($F115,EOMONTH(DATE(cfg_FY,10,1),0))-MAX($E115,DATE(cfg_FY,10,1))+1))</f>
        <v>0</v>
      </c>
      <c r="BD115" s="110" t="n">
        <f aca="false">IF(OR(OR($B115="",$E115="",$F115=""),$K115&lt;&gt;"نعم",$M115="نعم"),0,MAX(0,MIN($F115,EOMONTH(DATE(cfg_FY,11,1),0))-MAX($E115,DATE(cfg_FY,11,1))+1))</f>
        <v>0</v>
      </c>
      <c r="BE115" s="110" t="n">
        <f aca="false">IF(OR(OR($B115="",$E115="",$F115=""),$K115&lt;&gt;"نعم",$M115="نعم"),0,MAX(0,MIN($F115,EOMONTH(DATE(cfg_FY,12,1),0))-MAX($E115,DATE(cfg_FY,12,1))+1))</f>
        <v>0</v>
      </c>
    </row>
    <row r="116" customFormat="false" ht="15" hidden="false" customHeight="false" outlineLevel="0" collapsed="false">
      <c r="A116" s="93" t="str">
        <f aca="false">IF(B116="","",ROW()-5)</f>
        <v/>
      </c>
      <c r="B116" s="79"/>
      <c r="C116" s="80" t="str">
        <f aca="false">IF(B116="","",IFERROR(INDEX(الموظفون!$C$6:$C$105,MATCH(B116,الموظفون!$B$6:$B$105,0)),"✖ رقم غير موجود"))</f>
        <v/>
      </c>
      <c r="D116" s="79"/>
      <c r="E116" s="94"/>
      <c r="F116" s="94"/>
      <c r="G116" s="57" t="str">
        <f aca="false">IF(OR($B116="",$E116="",$F116=""),"",MAX(0,F116-E116+1))</f>
        <v/>
      </c>
      <c r="H116" s="58" t="str">
        <f aca="false">IF(D116="","",IFERROR(VLOOKUP(D116,cfg_LT,2,FALSE()),1))</f>
        <v/>
      </c>
      <c r="I116" s="82"/>
      <c r="J116" s="58" t="str">
        <f aca="false">IF(D116="","",IF(I116&lt;&gt;"",I116,H116))</f>
        <v/>
      </c>
      <c r="K116" s="80" t="str">
        <f aca="false">IF(D116="","",IFERROR(VLOOKUP($D116,cfg_LT,3,FALSE()),""))</f>
        <v/>
      </c>
      <c r="L116" s="80" t="str">
        <f aca="false">IF(D116="","",IFERROR(VLOOKUP($D116,cfg_LT,4,FALSE()),""))</f>
        <v/>
      </c>
      <c r="M116" s="80" t="str">
        <f aca="false">IF(D116="","",IFERROR(VLOOKUP($D116,cfg_LT,5,FALSE()),""))</f>
        <v/>
      </c>
      <c r="N116" s="97" t="n">
        <f aca="false">IF(OR(OR($B116="",$E116="",$F116=""),M116&lt;&gt;"نعم"),0,G116*J116*IFERROR(INDEX(الموظفون!$R$6:$R$105,MATCH(B116,الموظفون!$B$6:$B$105,0)),0)/cfg_DAYS_M)</f>
        <v>0</v>
      </c>
      <c r="O116" s="93" t="str">
        <f aca="false">IF(OR(OR($B116="",$E116="",$F116=""),M116&lt;&gt;"نعم"),"",IF(YEAR(E116)=cfg_FY,MONTH(E116),""))</f>
        <v/>
      </c>
      <c r="P116" s="80" t="str">
        <f aca="false">IF(B116="","",IF(OR(D116="",E116="",F116=""),"⚠ أكمل النوع والتواريخ",IF(F116&lt;E116,"✖ النهاية قبل البداية",IF(COUNTIFS($B$6:$B$505,B116,$E$6:$E$505,"&lt;="&amp;F116,$F$6:$F$505,"&gt;="&amp;E116)&gt;1,"⚠ تداخل مع سجل آخر",IF(E116&gt;cfg_VAL_DATE,"⏳ قادمة",IF(F116&lt;cfg_VAL_DATE,"✔ منتهية","✈ جارية في تاريخ التقرير"))))))</f>
        <v/>
      </c>
      <c r="Q116" s="79"/>
      <c r="R116" s="57" t="n">
        <f aca="false">IF(OR(OR($B116="",$E116="",$F116=""),L116&lt;&gt;"لا"),0,MAX(0,MIN(F116,cfg_Y_START-1)-E116+1))</f>
        <v>0</v>
      </c>
      <c r="S116" s="57" t="n">
        <f aca="false">IF(OR(OR($B116="",$E116="",$F116=""),L116&lt;&gt;"لا"),0,MAX(0,MIN(F116,cfg_VAL_DATE)-E116+1))</f>
        <v>0</v>
      </c>
      <c r="T116" s="57" t="n">
        <f aca="false">IF(OR(OR($B116="",$E116="",$F116=""),K116&lt;&gt;"نعم"),0,IF(M116="نعم",IF(AND(ISNUMBER(O116),N(O116)&lt;=cfg_VAL_M),G116,0),MAX(0,MIN(F116,cfg_VAL_DATE)-MAX(E116,cfg_Y_START)+1)))</f>
        <v>0</v>
      </c>
      <c r="V116" s="57" t="n">
        <f aca="false">IF(OR($B116="",$E116="",$F116=""),0,MAX(0,MIN($F116,EOMONTH(DATE(cfg_FY,1,1),0))-MAX($E116,DATE(cfg_FY,1,1))+1)*(1-IF($M116="نعم",0,N($J116))))</f>
        <v>0</v>
      </c>
      <c r="W116" s="57" t="n">
        <f aca="false">IF(OR($B116="",$E116="",$F116=""),0,MAX(0,MIN($F116,EOMONTH(DATE(cfg_FY,2,1),0))-MAX($E116,DATE(cfg_FY,2,1))+1)*(1-IF($M116="نعم",0,N($J116))))</f>
        <v>0</v>
      </c>
      <c r="X116" s="57" t="n">
        <f aca="false">IF(OR($B116="",$E116="",$F116=""),0,MAX(0,MIN($F116,EOMONTH(DATE(cfg_FY,3,1),0))-MAX($E116,DATE(cfg_FY,3,1))+1)*(1-IF($M116="نعم",0,N($J116))))</f>
        <v>0</v>
      </c>
      <c r="Y116" s="57" t="n">
        <f aca="false">IF(OR($B116="",$E116="",$F116=""),0,MAX(0,MIN($F116,EOMONTH(DATE(cfg_FY,4,1),0))-MAX($E116,DATE(cfg_FY,4,1))+1)*(1-IF($M116="نعم",0,N($J116))))</f>
        <v>0</v>
      </c>
      <c r="Z116" s="57" t="n">
        <f aca="false">IF(OR($B116="",$E116="",$F116=""),0,MAX(0,MIN($F116,EOMONTH(DATE(cfg_FY,5,1),0))-MAX($E116,DATE(cfg_FY,5,1))+1)*(1-IF($M116="نعم",0,N($J116))))</f>
        <v>0</v>
      </c>
      <c r="AA116" s="57" t="n">
        <f aca="false">IF(OR($B116="",$E116="",$F116=""),0,MAX(0,MIN($F116,EOMONTH(DATE(cfg_FY,6,1),0))-MAX($E116,DATE(cfg_FY,6,1))+1)*(1-IF($M116="نعم",0,N($J116))))</f>
        <v>0</v>
      </c>
      <c r="AB116" s="57" t="n">
        <f aca="false">IF(OR($B116="",$E116="",$F116=""),0,MAX(0,MIN($F116,EOMONTH(DATE(cfg_FY,7,1),0))-MAX($E116,DATE(cfg_FY,7,1))+1)*(1-IF($M116="نعم",0,N($J116))))</f>
        <v>0</v>
      </c>
      <c r="AC116" s="57" t="n">
        <f aca="false">IF(OR($B116="",$E116="",$F116=""),0,MAX(0,MIN($F116,EOMONTH(DATE(cfg_FY,8,1),0))-MAX($E116,DATE(cfg_FY,8,1))+1)*(1-IF($M116="نعم",0,N($J116))))</f>
        <v>0</v>
      </c>
      <c r="AD116" s="57" t="n">
        <f aca="false">IF(OR($B116="",$E116="",$F116=""),0,MAX(0,MIN($F116,EOMONTH(DATE(cfg_FY,9,1),0))-MAX($E116,DATE(cfg_FY,9,1))+1)*(1-IF($M116="نعم",0,N($J116))))</f>
        <v>0</v>
      </c>
      <c r="AE116" s="57" t="n">
        <f aca="false">IF(OR($B116="",$E116="",$F116=""),0,MAX(0,MIN($F116,EOMONTH(DATE(cfg_FY,10,1),0))-MAX($E116,DATE(cfg_FY,10,1))+1)*(1-IF($M116="نعم",0,N($J116))))</f>
        <v>0</v>
      </c>
      <c r="AF116" s="57" t="n">
        <f aca="false">IF(OR($B116="",$E116="",$F116=""),0,MAX(0,MIN($F116,EOMONTH(DATE(cfg_FY,11,1),0))-MAX($E116,DATE(cfg_FY,11,1))+1)*(1-IF($M116="نعم",0,N($J116))))</f>
        <v>0</v>
      </c>
      <c r="AG116" s="57" t="n">
        <f aca="false">IF(OR($B116="",$E116="",$F116=""),0,MAX(0,MIN($F116,EOMONTH(DATE(cfg_FY,12,1),0))-MAX($E116,DATE(cfg_FY,12,1))+1)*(1-IF($M116="نعم",0,N($J116))))</f>
        <v>0</v>
      </c>
      <c r="AH116" s="57" t="n">
        <f aca="false">IF(OR(OR($B116="",$E116="",$F116=""),$L116&lt;&gt;"لا"),0,MAX(0,MIN($F116,EOMONTH(DATE(cfg_FY,1,1),0))-$E116+1))</f>
        <v>0</v>
      </c>
      <c r="AI116" s="57" t="n">
        <f aca="false">IF(OR(OR($B116="",$E116="",$F116=""),$L116&lt;&gt;"لا"),0,MAX(0,MIN($F116,EOMONTH(DATE(cfg_FY,2,1),0))-$E116+1))</f>
        <v>0</v>
      </c>
      <c r="AJ116" s="57" t="n">
        <f aca="false">IF(OR(OR($B116="",$E116="",$F116=""),$L116&lt;&gt;"لا"),0,MAX(0,MIN($F116,EOMONTH(DATE(cfg_FY,3,1),0))-$E116+1))</f>
        <v>0</v>
      </c>
      <c r="AK116" s="57" t="n">
        <f aca="false">IF(OR(OR($B116="",$E116="",$F116=""),$L116&lt;&gt;"لا"),0,MAX(0,MIN($F116,EOMONTH(DATE(cfg_FY,4,1),0))-$E116+1))</f>
        <v>0</v>
      </c>
      <c r="AL116" s="57" t="n">
        <f aca="false">IF(OR(OR($B116="",$E116="",$F116=""),$L116&lt;&gt;"لا"),0,MAX(0,MIN($F116,EOMONTH(DATE(cfg_FY,5,1),0))-$E116+1))</f>
        <v>0</v>
      </c>
      <c r="AM116" s="57" t="n">
        <f aca="false">IF(OR(OR($B116="",$E116="",$F116=""),$L116&lt;&gt;"لا"),0,MAX(0,MIN($F116,EOMONTH(DATE(cfg_FY,6,1),0))-$E116+1))</f>
        <v>0</v>
      </c>
      <c r="AN116" s="57" t="n">
        <f aca="false">IF(OR(OR($B116="",$E116="",$F116=""),$L116&lt;&gt;"لا"),0,MAX(0,MIN($F116,EOMONTH(DATE(cfg_FY,7,1),0))-$E116+1))</f>
        <v>0</v>
      </c>
      <c r="AO116" s="57" t="n">
        <f aca="false">IF(OR(OR($B116="",$E116="",$F116=""),$L116&lt;&gt;"لا"),0,MAX(0,MIN($F116,EOMONTH(DATE(cfg_FY,8,1),0))-$E116+1))</f>
        <v>0</v>
      </c>
      <c r="AP116" s="57" t="n">
        <f aca="false">IF(OR(OR($B116="",$E116="",$F116=""),$L116&lt;&gt;"لا"),0,MAX(0,MIN($F116,EOMONTH(DATE(cfg_FY,9,1),0))-$E116+1))</f>
        <v>0</v>
      </c>
      <c r="AQ116" s="57" t="n">
        <f aca="false">IF(OR(OR($B116="",$E116="",$F116=""),$L116&lt;&gt;"لا"),0,MAX(0,MIN($F116,EOMONTH(DATE(cfg_FY,10,1),0))-$E116+1))</f>
        <v>0</v>
      </c>
      <c r="AR116" s="57" t="n">
        <f aca="false">IF(OR(OR($B116="",$E116="",$F116=""),$L116&lt;&gt;"لا"),0,MAX(0,MIN($F116,EOMONTH(DATE(cfg_FY,11,1),0))-$E116+1))</f>
        <v>0</v>
      </c>
      <c r="AS116" s="57" t="n">
        <f aca="false">IF(OR(OR($B116="",$E116="",$F116=""),$L116&lt;&gt;"لا"),0,MAX(0,MIN($F116,EOMONTH(DATE(cfg_FY,12,1),0))-$E116+1))</f>
        <v>0</v>
      </c>
      <c r="AT116" s="57" t="n">
        <f aca="false">IF(OR(OR($B116="",$E116="",$F116=""),$K116&lt;&gt;"نعم",$M116="نعم"),0,MAX(0,MIN($F116,EOMONTH(DATE(cfg_FY,1,1),0))-MAX($E116,DATE(cfg_FY,1,1))+1))</f>
        <v>0</v>
      </c>
      <c r="AU116" s="57" t="n">
        <f aca="false">IF(OR(OR($B116="",$E116="",$F116=""),$K116&lt;&gt;"نعم",$M116="نعم"),0,MAX(0,MIN($F116,EOMONTH(DATE(cfg_FY,2,1),0))-MAX($E116,DATE(cfg_FY,2,1))+1))</f>
        <v>0</v>
      </c>
      <c r="AV116" s="57" t="n">
        <f aca="false">IF(OR(OR($B116="",$E116="",$F116=""),$K116&lt;&gt;"نعم",$M116="نعم"),0,MAX(0,MIN($F116,EOMONTH(DATE(cfg_FY,3,1),0))-MAX($E116,DATE(cfg_FY,3,1))+1))</f>
        <v>0</v>
      </c>
      <c r="AW116" s="57" t="n">
        <f aca="false">IF(OR(OR($B116="",$E116="",$F116=""),$K116&lt;&gt;"نعم",$M116="نعم"),0,MAX(0,MIN($F116,EOMONTH(DATE(cfg_FY,4,1),0))-MAX($E116,DATE(cfg_FY,4,1))+1))</f>
        <v>0</v>
      </c>
      <c r="AX116" s="57" t="n">
        <f aca="false">IF(OR(OR($B116="",$E116="",$F116=""),$K116&lt;&gt;"نعم",$M116="نعم"),0,MAX(0,MIN($F116,EOMONTH(DATE(cfg_FY,5,1),0))-MAX($E116,DATE(cfg_FY,5,1))+1))</f>
        <v>0</v>
      </c>
      <c r="AY116" s="57" t="n">
        <f aca="false">IF(OR(OR($B116="",$E116="",$F116=""),$K116&lt;&gt;"نعم",$M116="نعم"),0,MAX(0,MIN($F116,EOMONTH(DATE(cfg_FY,6,1),0))-MAX($E116,DATE(cfg_FY,6,1))+1))</f>
        <v>0</v>
      </c>
      <c r="AZ116" s="57" t="n">
        <f aca="false">IF(OR(OR($B116="",$E116="",$F116=""),$K116&lt;&gt;"نعم",$M116="نعم"),0,MAX(0,MIN($F116,EOMONTH(DATE(cfg_FY,7,1),0))-MAX($E116,DATE(cfg_FY,7,1))+1))</f>
        <v>0</v>
      </c>
      <c r="BA116" s="57" t="n">
        <f aca="false">IF(OR(OR($B116="",$E116="",$F116=""),$K116&lt;&gt;"نعم",$M116="نعم"),0,MAX(0,MIN($F116,EOMONTH(DATE(cfg_FY,8,1),0))-MAX($E116,DATE(cfg_FY,8,1))+1))</f>
        <v>0</v>
      </c>
      <c r="BB116" s="57" t="n">
        <f aca="false">IF(OR(OR($B116="",$E116="",$F116=""),$K116&lt;&gt;"نعم",$M116="نعم"),0,MAX(0,MIN($F116,EOMONTH(DATE(cfg_FY,9,1),0))-MAX($E116,DATE(cfg_FY,9,1))+1))</f>
        <v>0</v>
      </c>
      <c r="BC116" s="57" t="n">
        <f aca="false">IF(OR(OR($B116="",$E116="",$F116=""),$K116&lt;&gt;"نعم",$M116="نعم"),0,MAX(0,MIN($F116,EOMONTH(DATE(cfg_FY,10,1),0))-MAX($E116,DATE(cfg_FY,10,1))+1))</f>
        <v>0</v>
      </c>
      <c r="BD116" s="57" t="n">
        <f aca="false">IF(OR(OR($B116="",$E116="",$F116=""),$K116&lt;&gt;"نعم",$M116="نعم"),0,MAX(0,MIN($F116,EOMONTH(DATE(cfg_FY,11,1),0))-MAX($E116,DATE(cfg_FY,11,1))+1))</f>
        <v>0</v>
      </c>
      <c r="BE116" s="57" t="n">
        <f aca="false">IF(OR(OR($B116="",$E116="",$F116=""),$K116&lt;&gt;"نعم",$M116="نعم"),0,MAX(0,MIN($F116,EOMONTH(DATE(cfg_FY,12,1),0))-MAX($E116,DATE(cfg_FY,12,1))+1))</f>
        <v>0</v>
      </c>
    </row>
    <row r="117" customFormat="false" ht="15" hidden="false" customHeight="false" outlineLevel="0" collapsed="false">
      <c r="A117" s="100" t="str">
        <f aca="false">IF(B117="","",ROW()-5)</f>
        <v/>
      </c>
      <c r="B117" s="79"/>
      <c r="C117" s="102" t="str">
        <f aca="false">IF(B117="","",IFERROR(INDEX(الموظفون!$C$6:$C$105,MATCH(B117,الموظفون!$B$6:$B$105,0)),"✖ رقم غير موجود"))</f>
        <v/>
      </c>
      <c r="D117" s="79"/>
      <c r="E117" s="94"/>
      <c r="F117" s="94"/>
      <c r="G117" s="110" t="str">
        <f aca="false">IF(OR($B117="",$E117="",$F117=""),"",MAX(0,F117-E117+1))</f>
        <v/>
      </c>
      <c r="H117" s="111" t="str">
        <f aca="false">IF(D117="","",IFERROR(VLOOKUP(D117,cfg_LT,2,FALSE()),1))</f>
        <v/>
      </c>
      <c r="I117" s="82"/>
      <c r="J117" s="111" t="str">
        <f aca="false">IF(D117="","",IF(I117&lt;&gt;"",I117,H117))</f>
        <v/>
      </c>
      <c r="K117" s="102" t="str">
        <f aca="false">IF(D117="","",IFERROR(VLOOKUP($D117,cfg_LT,3,FALSE()),""))</f>
        <v/>
      </c>
      <c r="L117" s="102" t="str">
        <f aca="false">IF(D117="","",IFERROR(VLOOKUP($D117,cfg_LT,4,FALSE()),""))</f>
        <v/>
      </c>
      <c r="M117" s="102" t="str">
        <f aca="false">IF(D117="","",IFERROR(VLOOKUP($D117,cfg_LT,5,FALSE()),""))</f>
        <v/>
      </c>
      <c r="N117" s="101" t="n">
        <f aca="false">IF(OR(OR($B117="",$E117="",$F117=""),M117&lt;&gt;"نعم"),0,G117*J117*IFERROR(INDEX(الموظفون!$R$6:$R$105,MATCH(B117,الموظفون!$B$6:$B$105,0)),0)/cfg_DAYS_M)</f>
        <v>0</v>
      </c>
      <c r="O117" s="100" t="str">
        <f aca="false">IF(OR(OR($B117="",$E117="",$F117=""),M117&lt;&gt;"نعم"),"",IF(YEAR(E117)=cfg_FY,MONTH(E117),""))</f>
        <v/>
      </c>
      <c r="P117" s="102" t="str">
        <f aca="false">IF(B117="","",IF(OR(D117="",E117="",F117=""),"⚠ أكمل النوع والتواريخ",IF(F117&lt;E117,"✖ النهاية قبل البداية",IF(COUNTIFS($B$6:$B$505,B117,$E$6:$E$505,"&lt;="&amp;F117,$F$6:$F$505,"&gt;="&amp;E117)&gt;1,"⚠ تداخل مع سجل آخر",IF(E117&gt;cfg_VAL_DATE,"⏳ قادمة",IF(F117&lt;cfg_VAL_DATE,"✔ منتهية","✈ جارية في تاريخ التقرير"))))))</f>
        <v/>
      </c>
      <c r="Q117" s="79"/>
      <c r="R117" s="110" t="n">
        <f aca="false">IF(OR(OR($B117="",$E117="",$F117=""),L117&lt;&gt;"لا"),0,MAX(0,MIN(F117,cfg_Y_START-1)-E117+1))</f>
        <v>0</v>
      </c>
      <c r="S117" s="110" t="n">
        <f aca="false">IF(OR(OR($B117="",$E117="",$F117=""),L117&lt;&gt;"لا"),0,MAX(0,MIN(F117,cfg_VAL_DATE)-E117+1))</f>
        <v>0</v>
      </c>
      <c r="T117" s="110" t="n">
        <f aca="false">IF(OR(OR($B117="",$E117="",$F117=""),K117&lt;&gt;"نعم"),0,IF(M117="نعم",IF(AND(ISNUMBER(O117),N(O117)&lt;=cfg_VAL_M),G117,0),MAX(0,MIN(F117,cfg_VAL_DATE)-MAX(E117,cfg_Y_START)+1)))</f>
        <v>0</v>
      </c>
      <c r="V117" s="110" t="n">
        <f aca="false">IF(OR($B117="",$E117="",$F117=""),0,MAX(0,MIN($F117,EOMONTH(DATE(cfg_FY,1,1),0))-MAX($E117,DATE(cfg_FY,1,1))+1)*(1-IF($M117="نعم",0,N($J117))))</f>
        <v>0</v>
      </c>
      <c r="W117" s="110" t="n">
        <f aca="false">IF(OR($B117="",$E117="",$F117=""),0,MAX(0,MIN($F117,EOMONTH(DATE(cfg_FY,2,1),0))-MAX($E117,DATE(cfg_FY,2,1))+1)*(1-IF($M117="نعم",0,N($J117))))</f>
        <v>0</v>
      </c>
      <c r="X117" s="110" t="n">
        <f aca="false">IF(OR($B117="",$E117="",$F117=""),0,MAX(0,MIN($F117,EOMONTH(DATE(cfg_FY,3,1),0))-MAX($E117,DATE(cfg_FY,3,1))+1)*(1-IF($M117="نعم",0,N($J117))))</f>
        <v>0</v>
      </c>
      <c r="Y117" s="110" t="n">
        <f aca="false">IF(OR($B117="",$E117="",$F117=""),0,MAX(0,MIN($F117,EOMONTH(DATE(cfg_FY,4,1),0))-MAX($E117,DATE(cfg_FY,4,1))+1)*(1-IF($M117="نعم",0,N($J117))))</f>
        <v>0</v>
      </c>
      <c r="Z117" s="110" t="n">
        <f aca="false">IF(OR($B117="",$E117="",$F117=""),0,MAX(0,MIN($F117,EOMONTH(DATE(cfg_FY,5,1),0))-MAX($E117,DATE(cfg_FY,5,1))+1)*(1-IF($M117="نعم",0,N($J117))))</f>
        <v>0</v>
      </c>
      <c r="AA117" s="110" t="n">
        <f aca="false">IF(OR($B117="",$E117="",$F117=""),0,MAX(0,MIN($F117,EOMONTH(DATE(cfg_FY,6,1),0))-MAX($E117,DATE(cfg_FY,6,1))+1)*(1-IF($M117="نعم",0,N($J117))))</f>
        <v>0</v>
      </c>
      <c r="AB117" s="110" t="n">
        <f aca="false">IF(OR($B117="",$E117="",$F117=""),0,MAX(0,MIN($F117,EOMONTH(DATE(cfg_FY,7,1),0))-MAX($E117,DATE(cfg_FY,7,1))+1)*(1-IF($M117="نعم",0,N($J117))))</f>
        <v>0</v>
      </c>
      <c r="AC117" s="110" t="n">
        <f aca="false">IF(OR($B117="",$E117="",$F117=""),0,MAX(0,MIN($F117,EOMONTH(DATE(cfg_FY,8,1),0))-MAX($E117,DATE(cfg_FY,8,1))+1)*(1-IF($M117="نعم",0,N($J117))))</f>
        <v>0</v>
      </c>
      <c r="AD117" s="110" t="n">
        <f aca="false">IF(OR($B117="",$E117="",$F117=""),0,MAX(0,MIN($F117,EOMONTH(DATE(cfg_FY,9,1),0))-MAX($E117,DATE(cfg_FY,9,1))+1)*(1-IF($M117="نعم",0,N($J117))))</f>
        <v>0</v>
      </c>
      <c r="AE117" s="110" t="n">
        <f aca="false">IF(OR($B117="",$E117="",$F117=""),0,MAX(0,MIN($F117,EOMONTH(DATE(cfg_FY,10,1),0))-MAX($E117,DATE(cfg_FY,10,1))+1)*(1-IF($M117="نعم",0,N($J117))))</f>
        <v>0</v>
      </c>
      <c r="AF117" s="110" t="n">
        <f aca="false">IF(OR($B117="",$E117="",$F117=""),0,MAX(0,MIN($F117,EOMONTH(DATE(cfg_FY,11,1),0))-MAX($E117,DATE(cfg_FY,11,1))+1)*(1-IF($M117="نعم",0,N($J117))))</f>
        <v>0</v>
      </c>
      <c r="AG117" s="110" t="n">
        <f aca="false">IF(OR($B117="",$E117="",$F117=""),0,MAX(0,MIN($F117,EOMONTH(DATE(cfg_FY,12,1),0))-MAX($E117,DATE(cfg_FY,12,1))+1)*(1-IF($M117="نعم",0,N($J117))))</f>
        <v>0</v>
      </c>
      <c r="AH117" s="110" t="n">
        <f aca="false">IF(OR(OR($B117="",$E117="",$F117=""),$L117&lt;&gt;"لا"),0,MAX(0,MIN($F117,EOMONTH(DATE(cfg_FY,1,1),0))-$E117+1))</f>
        <v>0</v>
      </c>
      <c r="AI117" s="110" t="n">
        <f aca="false">IF(OR(OR($B117="",$E117="",$F117=""),$L117&lt;&gt;"لا"),0,MAX(0,MIN($F117,EOMONTH(DATE(cfg_FY,2,1),0))-$E117+1))</f>
        <v>0</v>
      </c>
      <c r="AJ117" s="110" t="n">
        <f aca="false">IF(OR(OR($B117="",$E117="",$F117=""),$L117&lt;&gt;"لا"),0,MAX(0,MIN($F117,EOMONTH(DATE(cfg_FY,3,1),0))-$E117+1))</f>
        <v>0</v>
      </c>
      <c r="AK117" s="110" t="n">
        <f aca="false">IF(OR(OR($B117="",$E117="",$F117=""),$L117&lt;&gt;"لا"),0,MAX(0,MIN($F117,EOMONTH(DATE(cfg_FY,4,1),0))-$E117+1))</f>
        <v>0</v>
      </c>
      <c r="AL117" s="110" t="n">
        <f aca="false">IF(OR(OR($B117="",$E117="",$F117=""),$L117&lt;&gt;"لا"),0,MAX(0,MIN($F117,EOMONTH(DATE(cfg_FY,5,1),0))-$E117+1))</f>
        <v>0</v>
      </c>
      <c r="AM117" s="110" t="n">
        <f aca="false">IF(OR(OR($B117="",$E117="",$F117=""),$L117&lt;&gt;"لا"),0,MAX(0,MIN($F117,EOMONTH(DATE(cfg_FY,6,1),0))-$E117+1))</f>
        <v>0</v>
      </c>
      <c r="AN117" s="110" t="n">
        <f aca="false">IF(OR(OR($B117="",$E117="",$F117=""),$L117&lt;&gt;"لا"),0,MAX(0,MIN($F117,EOMONTH(DATE(cfg_FY,7,1),0))-$E117+1))</f>
        <v>0</v>
      </c>
      <c r="AO117" s="110" t="n">
        <f aca="false">IF(OR(OR($B117="",$E117="",$F117=""),$L117&lt;&gt;"لا"),0,MAX(0,MIN($F117,EOMONTH(DATE(cfg_FY,8,1),0))-$E117+1))</f>
        <v>0</v>
      </c>
      <c r="AP117" s="110" t="n">
        <f aca="false">IF(OR(OR($B117="",$E117="",$F117=""),$L117&lt;&gt;"لا"),0,MAX(0,MIN($F117,EOMONTH(DATE(cfg_FY,9,1),0))-$E117+1))</f>
        <v>0</v>
      </c>
      <c r="AQ117" s="110" t="n">
        <f aca="false">IF(OR(OR($B117="",$E117="",$F117=""),$L117&lt;&gt;"لا"),0,MAX(0,MIN($F117,EOMONTH(DATE(cfg_FY,10,1),0))-$E117+1))</f>
        <v>0</v>
      </c>
      <c r="AR117" s="110" t="n">
        <f aca="false">IF(OR(OR($B117="",$E117="",$F117=""),$L117&lt;&gt;"لا"),0,MAX(0,MIN($F117,EOMONTH(DATE(cfg_FY,11,1),0))-$E117+1))</f>
        <v>0</v>
      </c>
      <c r="AS117" s="110" t="n">
        <f aca="false">IF(OR(OR($B117="",$E117="",$F117=""),$L117&lt;&gt;"لا"),0,MAX(0,MIN($F117,EOMONTH(DATE(cfg_FY,12,1),0))-$E117+1))</f>
        <v>0</v>
      </c>
      <c r="AT117" s="110" t="n">
        <f aca="false">IF(OR(OR($B117="",$E117="",$F117=""),$K117&lt;&gt;"نعم",$M117="نعم"),0,MAX(0,MIN($F117,EOMONTH(DATE(cfg_FY,1,1),0))-MAX($E117,DATE(cfg_FY,1,1))+1))</f>
        <v>0</v>
      </c>
      <c r="AU117" s="110" t="n">
        <f aca="false">IF(OR(OR($B117="",$E117="",$F117=""),$K117&lt;&gt;"نعم",$M117="نعم"),0,MAX(0,MIN($F117,EOMONTH(DATE(cfg_FY,2,1),0))-MAX($E117,DATE(cfg_FY,2,1))+1))</f>
        <v>0</v>
      </c>
      <c r="AV117" s="110" t="n">
        <f aca="false">IF(OR(OR($B117="",$E117="",$F117=""),$K117&lt;&gt;"نعم",$M117="نعم"),0,MAX(0,MIN($F117,EOMONTH(DATE(cfg_FY,3,1),0))-MAX($E117,DATE(cfg_FY,3,1))+1))</f>
        <v>0</v>
      </c>
      <c r="AW117" s="110" t="n">
        <f aca="false">IF(OR(OR($B117="",$E117="",$F117=""),$K117&lt;&gt;"نعم",$M117="نعم"),0,MAX(0,MIN($F117,EOMONTH(DATE(cfg_FY,4,1),0))-MAX($E117,DATE(cfg_FY,4,1))+1))</f>
        <v>0</v>
      </c>
      <c r="AX117" s="110" t="n">
        <f aca="false">IF(OR(OR($B117="",$E117="",$F117=""),$K117&lt;&gt;"نعم",$M117="نعم"),0,MAX(0,MIN($F117,EOMONTH(DATE(cfg_FY,5,1),0))-MAX($E117,DATE(cfg_FY,5,1))+1))</f>
        <v>0</v>
      </c>
      <c r="AY117" s="110" t="n">
        <f aca="false">IF(OR(OR($B117="",$E117="",$F117=""),$K117&lt;&gt;"نعم",$M117="نعم"),0,MAX(0,MIN($F117,EOMONTH(DATE(cfg_FY,6,1),0))-MAX($E117,DATE(cfg_FY,6,1))+1))</f>
        <v>0</v>
      </c>
      <c r="AZ117" s="110" t="n">
        <f aca="false">IF(OR(OR($B117="",$E117="",$F117=""),$K117&lt;&gt;"نعم",$M117="نعم"),0,MAX(0,MIN($F117,EOMONTH(DATE(cfg_FY,7,1),0))-MAX($E117,DATE(cfg_FY,7,1))+1))</f>
        <v>0</v>
      </c>
      <c r="BA117" s="110" t="n">
        <f aca="false">IF(OR(OR($B117="",$E117="",$F117=""),$K117&lt;&gt;"نعم",$M117="نعم"),0,MAX(0,MIN($F117,EOMONTH(DATE(cfg_FY,8,1),0))-MAX($E117,DATE(cfg_FY,8,1))+1))</f>
        <v>0</v>
      </c>
      <c r="BB117" s="110" t="n">
        <f aca="false">IF(OR(OR($B117="",$E117="",$F117=""),$K117&lt;&gt;"نعم",$M117="نعم"),0,MAX(0,MIN($F117,EOMONTH(DATE(cfg_FY,9,1),0))-MAX($E117,DATE(cfg_FY,9,1))+1))</f>
        <v>0</v>
      </c>
      <c r="BC117" s="110" t="n">
        <f aca="false">IF(OR(OR($B117="",$E117="",$F117=""),$K117&lt;&gt;"نعم",$M117="نعم"),0,MAX(0,MIN($F117,EOMONTH(DATE(cfg_FY,10,1),0))-MAX($E117,DATE(cfg_FY,10,1))+1))</f>
        <v>0</v>
      </c>
      <c r="BD117" s="110" t="n">
        <f aca="false">IF(OR(OR($B117="",$E117="",$F117=""),$K117&lt;&gt;"نعم",$M117="نعم"),0,MAX(0,MIN($F117,EOMONTH(DATE(cfg_FY,11,1),0))-MAX($E117,DATE(cfg_FY,11,1))+1))</f>
        <v>0</v>
      </c>
      <c r="BE117" s="110" t="n">
        <f aca="false">IF(OR(OR($B117="",$E117="",$F117=""),$K117&lt;&gt;"نعم",$M117="نعم"),0,MAX(0,MIN($F117,EOMONTH(DATE(cfg_FY,12,1),0))-MAX($E117,DATE(cfg_FY,12,1))+1))</f>
        <v>0</v>
      </c>
    </row>
    <row r="118" customFormat="false" ht="15" hidden="false" customHeight="false" outlineLevel="0" collapsed="false">
      <c r="A118" s="93" t="str">
        <f aca="false">IF(B118="","",ROW()-5)</f>
        <v/>
      </c>
      <c r="B118" s="79"/>
      <c r="C118" s="80" t="str">
        <f aca="false">IF(B118="","",IFERROR(INDEX(الموظفون!$C$6:$C$105,MATCH(B118,الموظفون!$B$6:$B$105,0)),"✖ رقم غير موجود"))</f>
        <v/>
      </c>
      <c r="D118" s="79"/>
      <c r="E118" s="94"/>
      <c r="F118" s="94"/>
      <c r="G118" s="57" t="str">
        <f aca="false">IF(OR($B118="",$E118="",$F118=""),"",MAX(0,F118-E118+1))</f>
        <v/>
      </c>
      <c r="H118" s="58" t="str">
        <f aca="false">IF(D118="","",IFERROR(VLOOKUP(D118,cfg_LT,2,FALSE()),1))</f>
        <v/>
      </c>
      <c r="I118" s="82"/>
      <c r="J118" s="58" t="str">
        <f aca="false">IF(D118="","",IF(I118&lt;&gt;"",I118,H118))</f>
        <v/>
      </c>
      <c r="K118" s="80" t="str">
        <f aca="false">IF(D118="","",IFERROR(VLOOKUP($D118,cfg_LT,3,FALSE()),""))</f>
        <v/>
      </c>
      <c r="L118" s="80" t="str">
        <f aca="false">IF(D118="","",IFERROR(VLOOKUP($D118,cfg_LT,4,FALSE()),""))</f>
        <v/>
      </c>
      <c r="M118" s="80" t="str">
        <f aca="false">IF(D118="","",IFERROR(VLOOKUP($D118,cfg_LT,5,FALSE()),""))</f>
        <v/>
      </c>
      <c r="N118" s="97" t="n">
        <f aca="false">IF(OR(OR($B118="",$E118="",$F118=""),M118&lt;&gt;"نعم"),0,G118*J118*IFERROR(INDEX(الموظفون!$R$6:$R$105,MATCH(B118,الموظفون!$B$6:$B$105,0)),0)/cfg_DAYS_M)</f>
        <v>0</v>
      </c>
      <c r="O118" s="93" t="str">
        <f aca="false">IF(OR(OR($B118="",$E118="",$F118=""),M118&lt;&gt;"نعم"),"",IF(YEAR(E118)=cfg_FY,MONTH(E118),""))</f>
        <v/>
      </c>
      <c r="P118" s="80" t="str">
        <f aca="false">IF(B118="","",IF(OR(D118="",E118="",F118=""),"⚠ أكمل النوع والتواريخ",IF(F118&lt;E118,"✖ النهاية قبل البداية",IF(COUNTIFS($B$6:$B$505,B118,$E$6:$E$505,"&lt;="&amp;F118,$F$6:$F$505,"&gt;="&amp;E118)&gt;1,"⚠ تداخل مع سجل آخر",IF(E118&gt;cfg_VAL_DATE,"⏳ قادمة",IF(F118&lt;cfg_VAL_DATE,"✔ منتهية","✈ جارية في تاريخ التقرير"))))))</f>
        <v/>
      </c>
      <c r="Q118" s="79"/>
      <c r="R118" s="57" t="n">
        <f aca="false">IF(OR(OR($B118="",$E118="",$F118=""),L118&lt;&gt;"لا"),0,MAX(0,MIN(F118,cfg_Y_START-1)-E118+1))</f>
        <v>0</v>
      </c>
      <c r="S118" s="57" t="n">
        <f aca="false">IF(OR(OR($B118="",$E118="",$F118=""),L118&lt;&gt;"لا"),0,MAX(0,MIN(F118,cfg_VAL_DATE)-E118+1))</f>
        <v>0</v>
      </c>
      <c r="T118" s="57" t="n">
        <f aca="false">IF(OR(OR($B118="",$E118="",$F118=""),K118&lt;&gt;"نعم"),0,IF(M118="نعم",IF(AND(ISNUMBER(O118),N(O118)&lt;=cfg_VAL_M),G118,0),MAX(0,MIN(F118,cfg_VAL_DATE)-MAX(E118,cfg_Y_START)+1)))</f>
        <v>0</v>
      </c>
      <c r="V118" s="57" t="n">
        <f aca="false">IF(OR($B118="",$E118="",$F118=""),0,MAX(0,MIN($F118,EOMONTH(DATE(cfg_FY,1,1),0))-MAX($E118,DATE(cfg_FY,1,1))+1)*(1-IF($M118="نعم",0,N($J118))))</f>
        <v>0</v>
      </c>
      <c r="W118" s="57" t="n">
        <f aca="false">IF(OR($B118="",$E118="",$F118=""),0,MAX(0,MIN($F118,EOMONTH(DATE(cfg_FY,2,1),0))-MAX($E118,DATE(cfg_FY,2,1))+1)*(1-IF($M118="نعم",0,N($J118))))</f>
        <v>0</v>
      </c>
      <c r="X118" s="57" t="n">
        <f aca="false">IF(OR($B118="",$E118="",$F118=""),0,MAX(0,MIN($F118,EOMONTH(DATE(cfg_FY,3,1),0))-MAX($E118,DATE(cfg_FY,3,1))+1)*(1-IF($M118="نعم",0,N($J118))))</f>
        <v>0</v>
      </c>
      <c r="Y118" s="57" t="n">
        <f aca="false">IF(OR($B118="",$E118="",$F118=""),0,MAX(0,MIN($F118,EOMONTH(DATE(cfg_FY,4,1),0))-MAX($E118,DATE(cfg_FY,4,1))+1)*(1-IF($M118="نعم",0,N($J118))))</f>
        <v>0</v>
      </c>
      <c r="Z118" s="57" t="n">
        <f aca="false">IF(OR($B118="",$E118="",$F118=""),0,MAX(0,MIN($F118,EOMONTH(DATE(cfg_FY,5,1),0))-MAX($E118,DATE(cfg_FY,5,1))+1)*(1-IF($M118="نعم",0,N($J118))))</f>
        <v>0</v>
      </c>
      <c r="AA118" s="57" t="n">
        <f aca="false">IF(OR($B118="",$E118="",$F118=""),0,MAX(0,MIN($F118,EOMONTH(DATE(cfg_FY,6,1),0))-MAX($E118,DATE(cfg_FY,6,1))+1)*(1-IF($M118="نعم",0,N($J118))))</f>
        <v>0</v>
      </c>
      <c r="AB118" s="57" t="n">
        <f aca="false">IF(OR($B118="",$E118="",$F118=""),0,MAX(0,MIN($F118,EOMONTH(DATE(cfg_FY,7,1),0))-MAX($E118,DATE(cfg_FY,7,1))+1)*(1-IF($M118="نعم",0,N($J118))))</f>
        <v>0</v>
      </c>
      <c r="AC118" s="57" t="n">
        <f aca="false">IF(OR($B118="",$E118="",$F118=""),0,MAX(0,MIN($F118,EOMONTH(DATE(cfg_FY,8,1),0))-MAX($E118,DATE(cfg_FY,8,1))+1)*(1-IF($M118="نعم",0,N($J118))))</f>
        <v>0</v>
      </c>
      <c r="AD118" s="57" t="n">
        <f aca="false">IF(OR($B118="",$E118="",$F118=""),0,MAX(0,MIN($F118,EOMONTH(DATE(cfg_FY,9,1),0))-MAX($E118,DATE(cfg_FY,9,1))+1)*(1-IF($M118="نعم",0,N($J118))))</f>
        <v>0</v>
      </c>
      <c r="AE118" s="57" t="n">
        <f aca="false">IF(OR($B118="",$E118="",$F118=""),0,MAX(0,MIN($F118,EOMONTH(DATE(cfg_FY,10,1),0))-MAX($E118,DATE(cfg_FY,10,1))+1)*(1-IF($M118="نعم",0,N($J118))))</f>
        <v>0</v>
      </c>
      <c r="AF118" s="57" t="n">
        <f aca="false">IF(OR($B118="",$E118="",$F118=""),0,MAX(0,MIN($F118,EOMONTH(DATE(cfg_FY,11,1),0))-MAX($E118,DATE(cfg_FY,11,1))+1)*(1-IF($M118="نعم",0,N($J118))))</f>
        <v>0</v>
      </c>
      <c r="AG118" s="57" t="n">
        <f aca="false">IF(OR($B118="",$E118="",$F118=""),0,MAX(0,MIN($F118,EOMONTH(DATE(cfg_FY,12,1),0))-MAX($E118,DATE(cfg_FY,12,1))+1)*(1-IF($M118="نعم",0,N($J118))))</f>
        <v>0</v>
      </c>
      <c r="AH118" s="57" t="n">
        <f aca="false">IF(OR(OR($B118="",$E118="",$F118=""),$L118&lt;&gt;"لا"),0,MAX(0,MIN($F118,EOMONTH(DATE(cfg_FY,1,1),0))-$E118+1))</f>
        <v>0</v>
      </c>
      <c r="AI118" s="57" t="n">
        <f aca="false">IF(OR(OR($B118="",$E118="",$F118=""),$L118&lt;&gt;"لا"),0,MAX(0,MIN($F118,EOMONTH(DATE(cfg_FY,2,1),0))-$E118+1))</f>
        <v>0</v>
      </c>
      <c r="AJ118" s="57" t="n">
        <f aca="false">IF(OR(OR($B118="",$E118="",$F118=""),$L118&lt;&gt;"لا"),0,MAX(0,MIN($F118,EOMONTH(DATE(cfg_FY,3,1),0))-$E118+1))</f>
        <v>0</v>
      </c>
      <c r="AK118" s="57" t="n">
        <f aca="false">IF(OR(OR($B118="",$E118="",$F118=""),$L118&lt;&gt;"لا"),0,MAX(0,MIN($F118,EOMONTH(DATE(cfg_FY,4,1),0))-$E118+1))</f>
        <v>0</v>
      </c>
      <c r="AL118" s="57" t="n">
        <f aca="false">IF(OR(OR($B118="",$E118="",$F118=""),$L118&lt;&gt;"لا"),0,MAX(0,MIN($F118,EOMONTH(DATE(cfg_FY,5,1),0))-$E118+1))</f>
        <v>0</v>
      </c>
      <c r="AM118" s="57" t="n">
        <f aca="false">IF(OR(OR($B118="",$E118="",$F118=""),$L118&lt;&gt;"لا"),0,MAX(0,MIN($F118,EOMONTH(DATE(cfg_FY,6,1),0))-$E118+1))</f>
        <v>0</v>
      </c>
      <c r="AN118" s="57" t="n">
        <f aca="false">IF(OR(OR($B118="",$E118="",$F118=""),$L118&lt;&gt;"لا"),0,MAX(0,MIN($F118,EOMONTH(DATE(cfg_FY,7,1),0))-$E118+1))</f>
        <v>0</v>
      </c>
      <c r="AO118" s="57" t="n">
        <f aca="false">IF(OR(OR($B118="",$E118="",$F118=""),$L118&lt;&gt;"لا"),0,MAX(0,MIN($F118,EOMONTH(DATE(cfg_FY,8,1),0))-$E118+1))</f>
        <v>0</v>
      </c>
      <c r="AP118" s="57" t="n">
        <f aca="false">IF(OR(OR($B118="",$E118="",$F118=""),$L118&lt;&gt;"لا"),0,MAX(0,MIN($F118,EOMONTH(DATE(cfg_FY,9,1),0))-$E118+1))</f>
        <v>0</v>
      </c>
      <c r="AQ118" s="57" t="n">
        <f aca="false">IF(OR(OR($B118="",$E118="",$F118=""),$L118&lt;&gt;"لا"),0,MAX(0,MIN($F118,EOMONTH(DATE(cfg_FY,10,1),0))-$E118+1))</f>
        <v>0</v>
      </c>
      <c r="AR118" s="57" t="n">
        <f aca="false">IF(OR(OR($B118="",$E118="",$F118=""),$L118&lt;&gt;"لا"),0,MAX(0,MIN($F118,EOMONTH(DATE(cfg_FY,11,1),0))-$E118+1))</f>
        <v>0</v>
      </c>
      <c r="AS118" s="57" t="n">
        <f aca="false">IF(OR(OR($B118="",$E118="",$F118=""),$L118&lt;&gt;"لا"),0,MAX(0,MIN($F118,EOMONTH(DATE(cfg_FY,12,1),0))-$E118+1))</f>
        <v>0</v>
      </c>
      <c r="AT118" s="57" t="n">
        <f aca="false">IF(OR(OR($B118="",$E118="",$F118=""),$K118&lt;&gt;"نعم",$M118="نعم"),0,MAX(0,MIN($F118,EOMONTH(DATE(cfg_FY,1,1),0))-MAX($E118,DATE(cfg_FY,1,1))+1))</f>
        <v>0</v>
      </c>
      <c r="AU118" s="57" t="n">
        <f aca="false">IF(OR(OR($B118="",$E118="",$F118=""),$K118&lt;&gt;"نعم",$M118="نعم"),0,MAX(0,MIN($F118,EOMONTH(DATE(cfg_FY,2,1),0))-MAX($E118,DATE(cfg_FY,2,1))+1))</f>
        <v>0</v>
      </c>
      <c r="AV118" s="57" t="n">
        <f aca="false">IF(OR(OR($B118="",$E118="",$F118=""),$K118&lt;&gt;"نعم",$M118="نعم"),0,MAX(0,MIN($F118,EOMONTH(DATE(cfg_FY,3,1),0))-MAX($E118,DATE(cfg_FY,3,1))+1))</f>
        <v>0</v>
      </c>
      <c r="AW118" s="57" t="n">
        <f aca="false">IF(OR(OR($B118="",$E118="",$F118=""),$K118&lt;&gt;"نعم",$M118="نعم"),0,MAX(0,MIN($F118,EOMONTH(DATE(cfg_FY,4,1),0))-MAX($E118,DATE(cfg_FY,4,1))+1))</f>
        <v>0</v>
      </c>
      <c r="AX118" s="57" t="n">
        <f aca="false">IF(OR(OR($B118="",$E118="",$F118=""),$K118&lt;&gt;"نعم",$M118="نعم"),0,MAX(0,MIN($F118,EOMONTH(DATE(cfg_FY,5,1),0))-MAX($E118,DATE(cfg_FY,5,1))+1))</f>
        <v>0</v>
      </c>
      <c r="AY118" s="57" t="n">
        <f aca="false">IF(OR(OR($B118="",$E118="",$F118=""),$K118&lt;&gt;"نعم",$M118="نعم"),0,MAX(0,MIN($F118,EOMONTH(DATE(cfg_FY,6,1),0))-MAX($E118,DATE(cfg_FY,6,1))+1))</f>
        <v>0</v>
      </c>
      <c r="AZ118" s="57" t="n">
        <f aca="false">IF(OR(OR($B118="",$E118="",$F118=""),$K118&lt;&gt;"نعم",$M118="نعم"),0,MAX(0,MIN($F118,EOMONTH(DATE(cfg_FY,7,1),0))-MAX($E118,DATE(cfg_FY,7,1))+1))</f>
        <v>0</v>
      </c>
      <c r="BA118" s="57" t="n">
        <f aca="false">IF(OR(OR($B118="",$E118="",$F118=""),$K118&lt;&gt;"نعم",$M118="نعم"),0,MAX(0,MIN($F118,EOMONTH(DATE(cfg_FY,8,1),0))-MAX($E118,DATE(cfg_FY,8,1))+1))</f>
        <v>0</v>
      </c>
      <c r="BB118" s="57" t="n">
        <f aca="false">IF(OR(OR($B118="",$E118="",$F118=""),$K118&lt;&gt;"نعم",$M118="نعم"),0,MAX(0,MIN($F118,EOMONTH(DATE(cfg_FY,9,1),0))-MAX($E118,DATE(cfg_FY,9,1))+1))</f>
        <v>0</v>
      </c>
      <c r="BC118" s="57" t="n">
        <f aca="false">IF(OR(OR($B118="",$E118="",$F118=""),$K118&lt;&gt;"نعم",$M118="نعم"),0,MAX(0,MIN($F118,EOMONTH(DATE(cfg_FY,10,1),0))-MAX($E118,DATE(cfg_FY,10,1))+1))</f>
        <v>0</v>
      </c>
      <c r="BD118" s="57" t="n">
        <f aca="false">IF(OR(OR($B118="",$E118="",$F118=""),$K118&lt;&gt;"نعم",$M118="نعم"),0,MAX(0,MIN($F118,EOMONTH(DATE(cfg_FY,11,1),0))-MAX($E118,DATE(cfg_FY,11,1))+1))</f>
        <v>0</v>
      </c>
      <c r="BE118" s="57" t="n">
        <f aca="false">IF(OR(OR($B118="",$E118="",$F118=""),$K118&lt;&gt;"نعم",$M118="نعم"),0,MAX(0,MIN($F118,EOMONTH(DATE(cfg_FY,12,1),0))-MAX($E118,DATE(cfg_FY,12,1))+1))</f>
        <v>0</v>
      </c>
    </row>
    <row r="119" customFormat="false" ht="15" hidden="false" customHeight="false" outlineLevel="0" collapsed="false">
      <c r="A119" s="100" t="str">
        <f aca="false">IF(B119="","",ROW()-5)</f>
        <v/>
      </c>
      <c r="B119" s="79"/>
      <c r="C119" s="102" t="str">
        <f aca="false">IF(B119="","",IFERROR(INDEX(الموظفون!$C$6:$C$105,MATCH(B119,الموظفون!$B$6:$B$105,0)),"✖ رقم غير موجود"))</f>
        <v/>
      </c>
      <c r="D119" s="79"/>
      <c r="E119" s="94"/>
      <c r="F119" s="94"/>
      <c r="G119" s="110" t="str">
        <f aca="false">IF(OR($B119="",$E119="",$F119=""),"",MAX(0,F119-E119+1))</f>
        <v/>
      </c>
      <c r="H119" s="111" t="str">
        <f aca="false">IF(D119="","",IFERROR(VLOOKUP(D119,cfg_LT,2,FALSE()),1))</f>
        <v/>
      </c>
      <c r="I119" s="82"/>
      <c r="J119" s="111" t="str">
        <f aca="false">IF(D119="","",IF(I119&lt;&gt;"",I119,H119))</f>
        <v/>
      </c>
      <c r="K119" s="102" t="str">
        <f aca="false">IF(D119="","",IFERROR(VLOOKUP($D119,cfg_LT,3,FALSE()),""))</f>
        <v/>
      </c>
      <c r="L119" s="102" t="str">
        <f aca="false">IF(D119="","",IFERROR(VLOOKUP($D119,cfg_LT,4,FALSE()),""))</f>
        <v/>
      </c>
      <c r="M119" s="102" t="str">
        <f aca="false">IF(D119="","",IFERROR(VLOOKUP($D119,cfg_LT,5,FALSE()),""))</f>
        <v/>
      </c>
      <c r="N119" s="101" t="n">
        <f aca="false">IF(OR(OR($B119="",$E119="",$F119=""),M119&lt;&gt;"نعم"),0,G119*J119*IFERROR(INDEX(الموظفون!$R$6:$R$105,MATCH(B119,الموظفون!$B$6:$B$105,0)),0)/cfg_DAYS_M)</f>
        <v>0</v>
      </c>
      <c r="O119" s="100" t="str">
        <f aca="false">IF(OR(OR($B119="",$E119="",$F119=""),M119&lt;&gt;"نعم"),"",IF(YEAR(E119)=cfg_FY,MONTH(E119),""))</f>
        <v/>
      </c>
      <c r="P119" s="102" t="str">
        <f aca="false">IF(B119="","",IF(OR(D119="",E119="",F119=""),"⚠ أكمل النوع والتواريخ",IF(F119&lt;E119,"✖ النهاية قبل البداية",IF(COUNTIFS($B$6:$B$505,B119,$E$6:$E$505,"&lt;="&amp;F119,$F$6:$F$505,"&gt;="&amp;E119)&gt;1,"⚠ تداخل مع سجل آخر",IF(E119&gt;cfg_VAL_DATE,"⏳ قادمة",IF(F119&lt;cfg_VAL_DATE,"✔ منتهية","✈ جارية في تاريخ التقرير"))))))</f>
        <v/>
      </c>
      <c r="Q119" s="79"/>
      <c r="R119" s="110" t="n">
        <f aca="false">IF(OR(OR($B119="",$E119="",$F119=""),L119&lt;&gt;"لا"),0,MAX(0,MIN(F119,cfg_Y_START-1)-E119+1))</f>
        <v>0</v>
      </c>
      <c r="S119" s="110" t="n">
        <f aca="false">IF(OR(OR($B119="",$E119="",$F119=""),L119&lt;&gt;"لا"),0,MAX(0,MIN(F119,cfg_VAL_DATE)-E119+1))</f>
        <v>0</v>
      </c>
      <c r="T119" s="110" t="n">
        <f aca="false">IF(OR(OR($B119="",$E119="",$F119=""),K119&lt;&gt;"نعم"),0,IF(M119="نعم",IF(AND(ISNUMBER(O119),N(O119)&lt;=cfg_VAL_M),G119,0),MAX(0,MIN(F119,cfg_VAL_DATE)-MAX(E119,cfg_Y_START)+1)))</f>
        <v>0</v>
      </c>
      <c r="V119" s="110" t="n">
        <f aca="false">IF(OR($B119="",$E119="",$F119=""),0,MAX(0,MIN($F119,EOMONTH(DATE(cfg_FY,1,1),0))-MAX($E119,DATE(cfg_FY,1,1))+1)*(1-IF($M119="نعم",0,N($J119))))</f>
        <v>0</v>
      </c>
      <c r="W119" s="110" t="n">
        <f aca="false">IF(OR($B119="",$E119="",$F119=""),0,MAX(0,MIN($F119,EOMONTH(DATE(cfg_FY,2,1),0))-MAX($E119,DATE(cfg_FY,2,1))+1)*(1-IF($M119="نعم",0,N($J119))))</f>
        <v>0</v>
      </c>
      <c r="X119" s="110" t="n">
        <f aca="false">IF(OR($B119="",$E119="",$F119=""),0,MAX(0,MIN($F119,EOMONTH(DATE(cfg_FY,3,1),0))-MAX($E119,DATE(cfg_FY,3,1))+1)*(1-IF($M119="نعم",0,N($J119))))</f>
        <v>0</v>
      </c>
      <c r="Y119" s="110" t="n">
        <f aca="false">IF(OR($B119="",$E119="",$F119=""),0,MAX(0,MIN($F119,EOMONTH(DATE(cfg_FY,4,1),0))-MAX($E119,DATE(cfg_FY,4,1))+1)*(1-IF($M119="نعم",0,N($J119))))</f>
        <v>0</v>
      </c>
      <c r="Z119" s="110" t="n">
        <f aca="false">IF(OR($B119="",$E119="",$F119=""),0,MAX(0,MIN($F119,EOMONTH(DATE(cfg_FY,5,1),0))-MAX($E119,DATE(cfg_FY,5,1))+1)*(1-IF($M119="نعم",0,N($J119))))</f>
        <v>0</v>
      </c>
      <c r="AA119" s="110" t="n">
        <f aca="false">IF(OR($B119="",$E119="",$F119=""),0,MAX(0,MIN($F119,EOMONTH(DATE(cfg_FY,6,1),0))-MAX($E119,DATE(cfg_FY,6,1))+1)*(1-IF($M119="نعم",0,N($J119))))</f>
        <v>0</v>
      </c>
      <c r="AB119" s="110" t="n">
        <f aca="false">IF(OR($B119="",$E119="",$F119=""),0,MAX(0,MIN($F119,EOMONTH(DATE(cfg_FY,7,1),0))-MAX($E119,DATE(cfg_FY,7,1))+1)*(1-IF($M119="نعم",0,N($J119))))</f>
        <v>0</v>
      </c>
      <c r="AC119" s="110" t="n">
        <f aca="false">IF(OR($B119="",$E119="",$F119=""),0,MAX(0,MIN($F119,EOMONTH(DATE(cfg_FY,8,1),0))-MAX($E119,DATE(cfg_FY,8,1))+1)*(1-IF($M119="نعم",0,N($J119))))</f>
        <v>0</v>
      </c>
      <c r="AD119" s="110" t="n">
        <f aca="false">IF(OR($B119="",$E119="",$F119=""),0,MAX(0,MIN($F119,EOMONTH(DATE(cfg_FY,9,1),0))-MAX($E119,DATE(cfg_FY,9,1))+1)*(1-IF($M119="نعم",0,N($J119))))</f>
        <v>0</v>
      </c>
      <c r="AE119" s="110" t="n">
        <f aca="false">IF(OR($B119="",$E119="",$F119=""),0,MAX(0,MIN($F119,EOMONTH(DATE(cfg_FY,10,1),0))-MAX($E119,DATE(cfg_FY,10,1))+1)*(1-IF($M119="نعم",0,N($J119))))</f>
        <v>0</v>
      </c>
      <c r="AF119" s="110" t="n">
        <f aca="false">IF(OR($B119="",$E119="",$F119=""),0,MAX(0,MIN($F119,EOMONTH(DATE(cfg_FY,11,1),0))-MAX($E119,DATE(cfg_FY,11,1))+1)*(1-IF($M119="نعم",0,N($J119))))</f>
        <v>0</v>
      </c>
      <c r="AG119" s="110" t="n">
        <f aca="false">IF(OR($B119="",$E119="",$F119=""),0,MAX(0,MIN($F119,EOMONTH(DATE(cfg_FY,12,1),0))-MAX($E119,DATE(cfg_FY,12,1))+1)*(1-IF($M119="نعم",0,N($J119))))</f>
        <v>0</v>
      </c>
      <c r="AH119" s="110" t="n">
        <f aca="false">IF(OR(OR($B119="",$E119="",$F119=""),$L119&lt;&gt;"لا"),0,MAX(0,MIN($F119,EOMONTH(DATE(cfg_FY,1,1),0))-$E119+1))</f>
        <v>0</v>
      </c>
      <c r="AI119" s="110" t="n">
        <f aca="false">IF(OR(OR($B119="",$E119="",$F119=""),$L119&lt;&gt;"لا"),0,MAX(0,MIN($F119,EOMONTH(DATE(cfg_FY,2,1),0))-$E119+1))</f>
        <v>0</v>
      </c>
      <c r="AJ119" s="110" t="n">
        <f aca="false">IF(OR(OR($B119="",$E119="",$F119=""),$L119&lt;&gt;"لا"),0,MAX(0,MIN($F119,EOMONTH(DATE(cfg_FY,3,1),0))-$E119+1))</f>
        <v>0</v>
      </c>
      <c r="AK119" s="110" t="n">
        <f aca="false">IF(OR(OR($B119="",$E119="",$F119=""),$L119&lt;&gt;"لا"),0,MAX(0,MIN($F119,EOMONTH(DATE(cfg_FY,4,1),0))-$E119+1))</f>
        <v>0</v>
      </c>
      <c r="AL119" s="110" t="n">
        <f aca="false">IF(OR(OR($B119="",$E119="",$F119=""),$L119&lt;&gt;"لا"),0,MAX(0,MIN($F119,EOMONTH(DATE(cfg_FY,5,1),0))-$E119+1))</f>
        <v>0</v>
      </c>
      <c r="AM119" s="110" t="n">
        <f aca="false">IF(OR(OR($B119="",$E119="",$F119=""),$L119&lt;&gt;"لا"),0,MAX(0,MIN($F119,EOMONTH(DATE(cfg_FY,6,1),0))-$E119+1))</f>
        <v>0</v>
      </c>
      <c r="AN119" s="110" t="n">
        <f aca="false">IF(OR(OR($B119="",$E119="",$F119=""),$L119&lt;&gt;"لا"),0,MAX(0,MIN($F119,EOMONTH(DATE(cfg_FY,7,1),0))-$E119+1))</f>
        <v>0</v>
      </c>
      <c r="AO119" s="110" t="n">
        <f aca="false">IF(OR(OR($B119="",$E119="",$F119=""),$L119&lt;&gt;"لا"),0,MAX(0,MIN($F119,EOMONTH(DATE(cfg_FY,8,1),0))-$E119+1))</f>
        <v>0</v>
      </c>
      <c r="AP119" s="110" t="n">
        <f aca="false">IF(OR(OR($B119="",$E119="",$F119=""),$L119&lt;&gt;"لا"),0,MAX(0,MIN($F119,EOMONTH(DATE(cfg_FY,9,1),0))-$E119+1))</f>
        <v>0</v>
      </c>
      <c r="AQ119" s="110" t="n">
        <f aca="false">IF(OR(OR($B119="",$E119="",$F119=""),$L119&lt;&gt;"لا"),0,MAX(0,MIN($F119,EOMONTH(DATE(cfg_FY,10,1),0))-$E119+1))</f>
        <v>0</v>
      </c>
      <c r="AR119" s="110" t="n">
        <f aca="false">IF(OR(OR($B119="",$E119="",$F119=""),$L119&lt;&gt;"لا"),0,MAX(0,MIN($F119,EOMONTH(DATE(cfg_FY,11,1),0))-$E119+1))</f>
        <v>0</v>
      </c>
      <c r="AS119" s="110" t="n">
        <f aca="false">IF(OR(OR($B119="",$E119="",$F119=""),$L119&lt;&gt;"لا"),0,MAX(0,MIN($F119,EOMONTH(DATE(cfg_FY,12,1),0))-$E119+1))</f>
        <v>0</v>
      </c>
      <c r="AT119" s="110" t="n">
        <f aca="false">IF(OR(OR($B119="",$E119="",$F119=""),$K119&lt;&gt;"نعم",$M119="نعم"),0,MAX(0,MIN($F119,EOMONTH(DATE(cfg_FY,1,1),0))-MAX($E119,DATE(cfg_FY,1,1))+1))</f>
        <v>0</v>
      </c>
      <c r="AU119" s="110" t="n">
        <f aca="false">IF(OR(OR($B119="",$E119="",$F119=""),$K119&lt;&gt;"نعم",$M119="نعم"),0,MAX(0,MIN($F119,EOMONTH(DATE(cfg_FY,2,1),0))-MAX($E119,DATE(cfg_FY,2,1))+1))</f>
        <v>0</v>
      </c>
      <c r="AV119" s="110" t="n">
        <f aca="false">IF(OR(OR($B119="",$E119="",$F119=""),$K119&lt;&gt;"نعم",$M119="نعم"),0,MAX(0,MIN($F119,EOMONTH(DATE(cfg_FY,3,1),0))-MAX($E119,DATE(cfg_FY,3,1))+1))</f>
        <v>0</v>
      </c>
      <c r="AW119" s="110" t="n">
        <f aca="false">IF(OR(OR($B119="",$E119="",$F119=""),$K119&lt;&gt;"نعم",$M119="نعم"),0,MAX(0,MIN($F119,EOMONTH(DATE(cfg_FY,4,1),0))-MAX($E119,DATE(cfg_FY,4,1))+1))</f>
        <v>0</v>
      </c>
      <c r="AX119" s="110" t="n">
        <f aca="false">IF(OR(OR($B119="",$E119="",$F119=""),$K119&lt;&gt;"نعم",$M119="نعم"),0,MAX(0,MIN($F119,EOMONTH(DATE(cfg_FY,5,1),0))-MAX($E119,DATE(cfg_FY,5,1))+1))</f>
        <v>0</v>
      </c>
      <c r="AY119" s="110" t="n">
        <f aca="false">IF(OR(OR($B119="",$E119="",$F119=""),$K119&lt;&gt;"نعم",$M119="نعم"),0,MAX(0,MIN($F119,EOMONTH(DATE(cfg_FY,6,1),0))-MAX($E119,DATE(cfg_FY,6,1))+1))</f>
        <v>0</v>
      </c>
      <c r="AZ119" s="110" t="n">
        <f aca="false">IF(OR(OR($B119="",$E119="",$F119=""),$K119&lt;&gt;"نعم",$M119="نعم"),0,MAX(0,MIN($F119,EOMONTH(DATE(cfg_FY,7,1),0))-MAX($E119,DATE(cfg_FY,7,1))+1))</f>
        <v>0</v>
      </c>
      <c r="BA119" s="110" t="n">
        <f aca="false">IF(OR(OR($B119="",$E119="",$F119=""),$K119&lt;&gt;"نعم",$M119="نعم"),0,MAX(0,MIN($F119,EOMONTH(DATE(cfg_FY,8,1),0))-MAX($E119,DATE(cfg_FY,8,1))+1))</f>
        <v>0</v>
      </c>
      <c r="BB119" s="110" t="n">
        <f aca="false">IF(OR(OR($B119="",$E119="",$F119=""),$K119&lt;&gt;"نعم",$M119="نعم"),0,MAX(0,MIN($F119,EOMONTH(DATE(cfg_FY,9,1),0))-MAX($E119,DATE(cfg_FY,9,1))+1))</f>
        <v>0</v>
      </c>
      <c r="BC119" s="110" t="n">
        <f aca="false">IF(OR(OR($B119="",$E119="",$F119=""),$K119&lt;&gt;"نعم",$M119="نعم"),0,MAX(0,MIN($F119,EOMONTH(DATE(cfg_FY,10,1),0))-MAX($E119,DATE(cfg_FY,10,1))+1))</f>
        <v>0</v>
      </c>
      <c r="BD119" s="110" t="n">
        <f aca="false">IF(OR(OR($B119="",$E119="",$F119=""),$K119&lt;&gt;"نعم",$M119="نعم"),0,MAX(0,MIN($F119,EOMONTH(DATE(cfg_FY,11,1),0))-MAX($E119,DATE(cfg_FY,11,1))+1))</f>
        <v>0</v>
      </c>
      <c r="BE119" s="110" t="n">
        <f aca="false">IF(OR(OR($B119="",$E119="",$F119=""),$K119&lt;&gt;"نعم",$M119="نعم"),0,MAX(0,MIN($F119,EOMONTH(DATE(cfg_FY,12,1),0))-MAX($E119,DATE(cfg_FY,12,1))+1))</f>
        <v>0</v>
      </c>
    </row>
    <row r="120" customFormat="false" ht="15" hidden="false" customHeight="false" outlineLevel="0" collapsed="false">
      <c r="A120" s="93" t="str">
        <f aca="false">IF(B120="","",ROW()-5)</f>
        <v/>
      </c>
      <c r="B120" s="79"/>
      <c r="C120" s="80" t="str">
        <f aca="false">IF(B120="","",IFERROR(INDEX(الموظفون!$C$6:$C$105,MATCH(B120,الموظفون!$B$6:$B$105,0)),"✖ رقم غير موجود"))</f>
        <v/>
      </c>
      <c r="D120" s="79"/>
      <c r="E120" s="94"/>
      <c r="F120" s="94"/>
      <c r="G120" s="57" t="str">
        <f aca="false">IF(OR($B120="",$E120="",$F120=""),"",MAX(0,F120-E120+1))</f>
        <v/>
      </c>
      <c r="H120" s="58" t="str">
        <f aca="false">IF(D120="","",IFERROR(VLOOKUP(D120,cfg_LT,2,FALSE()),1))</f>
        <v/>
      </c>
      <c r="I120" s="82"/>
      <c r="J120" s="58" t="str">
        <f aca="false">IF(D120="","",IF(I120&lt;&gt;"",I120,H120))</f>
        <v/>
      </c>
      <c r="K120" s="80" t="str">
        <f aca="false">IF(D120="","",IFERROR(VLOOKUP($D120,cfg_LT,3,FALSE()),""))</f>
        <v/>
      </c>
      <c r="L120" s="80" t="str">
        <f aca="false">IF(D120="","",IFERROR(VLOOKUP($D120,cfg_LT,4,FALSE()),""))</f>
        <v/>
      </c>
      <c r="M120" s="80" t="str">
        <f aca="false">IF(D120="","",IFERROR(VLOOKUP($D120,cfg_LT,5,FALSE()),""))</f>
        <v/>
      </c>
      <c r="N120" s="97" t="n">
        <f aca="false">IF(OR(OR($B120="",$E120="",$F120=""),M120&lt;&gt;"نعم"),0,G120*J120*IFERROR(INDEX(الموظفون!$R$6:$R$105,MATCH(B120,الموظفون!$B$6:$B$105,0)),0)/cfg_DAYS_M)</f>
        <v>0</v>
      </c>
      <c r="O120" s="93" t="str">
        <f aca="false">IF(OR(OR($B120="",$E120="",$F120=""),M120&lt;&gt;"نعم"),"",IF(YEAR(E120)=cfg_FY,MONTH(E120),""))</f>
        <v/>
      </c>
      <c r="P120" s="80" t="str">
        <f aca="false">IF(B120="","",IF(OR(D120="",E120="",F120=""),"⚠ أكمل النوع والتواريخ",IF(F120&lt;E120,"✖ النهاية قبل البداية",IF(COUNTIFS($B$6:$B$505,B120,$E$6:$E$505,"&lt;="&amp;F120,$F$6:$F$505,"&gt;="&amp;E120)&gt;1,"⚠ تداخل مع سجل آخر",IF(E120&gt;cfg_VAL_DATE,"⏳ قادمة",IF(F120&lt;cfg_VAL_DATE,"✔ منتهية","✈ جارية في تاريخ التقرير"))))))</f>
        <v/>
      </c>
      <c r="Q120" s="79"/>
      <c r="R120" s="57" t="n">
        <f aca="false">IF(OR(OR($B120="",$E120="",$F120=""),L120&lt;&gt;"لا"),0,MAX(0,MIN(F120,cfg_Y_START-1)-E120+1))</f>
        <v>0</v>
      </c>
      <c r="S120" s="57" t="n">
        <f aca="false">IF(OR(OR($B120="",$E120="",$F120=""),L120&lt;&gt;"لا"),0,MAX(0,MIN(F120,cfg_VAL_DATE)-E120+1))</f>
        <v>0</v>
      </c>
      <c r="T120" s="57" t="n">
        <f aca="false">IF(OR(OR($B120="",$E120="",$F120=""),K120&lt;&gt;"نعم"),0,IF(M120="نعم",IF(AND(ISNUMBER(O120),N(O120)&lt;=cfg_VAL_M),G120,0),MAX(0,MIN(F120,cfg_VAL_DATE)-MAX(E120,cfg_Y_START)+1)))</f>
        <v>0</v>
      </c>
      <c r="V120" s="57" t="n">
        <f aca="false">IF(OR($B120="",$E120="",$F120=""),0,MAX(0,MIN($F120,EOMONTH(DATE(cfg_FY,1,1),0))-MAX($E120,DATE(cfg_FY,1,1))+1)*(1-IF($M120="نعم",0,N($J120))))</f>
        <v>0</v>
      </c>
      <c r="W120" s="57" t="n">
        <f aca="false">IF(OR($B120="",$E120="",$F120=""),0,MAX(0,MIN($F120,EOMONTH(DATE(cfg_FY,2,1),0))-MAX($E120,DATE(cfg_FY,2,1))+1)*(1-IF($M120="نعم",0,N($J120))))</f>
        <v>0</v>
      </c>
      <c r="X120" s="57" t="n">
        <f aca="false">IF(OR($B120="",$E120="",$F120=""),0,MAX(0,MIN($F120,EOMONTH(DATE(cfg_FY,3,1),0))-MAX($E120,DATE(cfg_FY,3,1))+1)*(1-IF($M120="نعم",0,N($J120))))</f>
        <v>0</v>
      </c>
      <c r="Y120" s="57" t="n">
        <f aca="false">IF(OR($B120="",$E120="",$F120=""),0,MAX(0,MIN($F120,EOMONTH(DATE(cfg_FY,4,1),0))-MAX($E120,DATE(cfg_FY,4,1))+1)*(1-IF($M120="نعم",0,N($J120))))</f>
        <v>0</v>
      </c>
      <c r="Z120" s="57" t="n">
        <f aca="false">IF(OR($B120="",$E120="",$F120=""),0,MAX(0,MIN($F120,EOMONTH(DATE(cfg_FY,5,1),0))-MAX($E120,DATE(cfg_FY,5,1))+1)*(1-IF($M120="نعم",0,N($J120))))</f>
        <v>0</v>
      </c>
      <c r="AA120" s="57" t="n">
        <f aca="false">IF(OR($B120="",$E120="",$F120=""),0,MAX(0,MIN($F120,EOMONTH(DATE(cfg_FY,6,1),0))-MAX($E120,DATE(cfg_FY,6,1))+1)*(1-IF($M120="نعم",0,N($J120))))</f>
        <v>0</v>
      </c>
      <c r="AB120" s="57" t="n">
        <f aca="false">IF(OR($B120="",$E120="",$F120=""),0,MAX(0,MIN($F120,EOMONTH(DATE(cfg_FY,7,1),0))-MAX($E120,DATE(cfg_FY,7,1))+1)*(1-IF($M120="نعم",0,N($J120))))</f>
        <v>0</v>
      </c>
      <c r="AC120" s="57" t="n">
        <f aca="false">IF(OR($B120="",$E120="",$F120=""),0,MAX(0,MIN($F120,EOMONTH(DATE(cfg_FY,8,1),0))-MAX($E120,DATE(cfg_FY,8,1))+1)*(1-IF($M120="نعم",0,N($J120))))</f>
        <v>0</v>
      </c>
      <c r="AD120" s="57" t="n">
        <f aca="false">IF(OR($B120="",$E120="",$F120=""),0,MAX(0,MIN($F120,EOMONTH(DATE(cfg_FY,9,1),0))-MAX($E120,DATE(cfg_FY,9,1))+1)*(1-IF($M120="نعم",0,N($J120))))</f>
        <v>0</v>
      </c>
      <c r="AE120" s="57" t="n">
        <f aca="false">IF(OR($B120="",$E120="",$F120=""),0,MAX(0,MIN($F120,EOMONTH(DATE(cfg_FY,10,1),0))-MAX($E120,DATE(cfg_FY,10,1))+1)*(1-IF($M120="نعم",0,N($J120))))</f>
        <v>0</v>
      </c>
      <c r="AF120" s="57" t="n">
        <f aca="false">IF(OR($B120="",$E120="",$F120=""),0,MAX(0,MIN($F120,EOMONTH(DATE(cfg_FY,11,1),0))-MAX($E120,DATE(cfg_FY,11,1))+1)*(1-IF($M120="نعم",0,N($J120))))</f>
        <v>0</v>
      </c>
      <c r="AG120" s="57" t="n">
        <f aca="false">IF(OR($B120="",$E120="",$F120=""),0,MAX(0,MIN($F120,EOMONTH(DATE(cfg_FY,12,1),0))-MAX($E120,DATE(cfg_FY,12,1))+1)*(1-IF($M120="نعم",0,N($J120))))</f>
        <v>0</v>
      </c>
      <c r="AH120" s="57" t="n">
        <f aca="false">IF(OR(OR($B120="",$E120="",$F120=""),$L120&lt;&gt;"لا"),0,MAX(0,MIN($F120,EOMONTH(DATE(cfg_FY,1,1),0))-$E120+1))</f>
        <v>0</v>
      </c>
      <c r="AI120" s="57" t="n">
        <f aca="false">IF(OR(OR($B120="",$E120="",$F120=""),$L120&lt;&gt;"لا"),0,MAX(0,MIN($F120,EOMONTH(DATE(cfg_FY,2,1),0))-$E120+1))</f>
        <v>0</v>
      </c>
      <c r="AJ120" s="57" t="n">
        <f aca="false">IF(OR(OR($B120="",$E120="",$F120=""),$L120&lt;&gt;"لا"),0,MAX(0,MIN($F120,EOMONTH(DATE(cfg_FY,3,1),0))-$E120+1))</f>
        <v>0</v>
      </c>
      <c r="AK120" s="57" t="n">
        <f aca="false">IF(OR(OR($B120="",$E120="",$F120=""),$L120&lt;&gt;"لا"),0,MAX(0,MIN($F120,EOMONTH(DATE(cfg_FY,4,1),0))-$E120+1))</f>
        <v>0</v>
      </c>
      <c r="AL120" s="57" t="n">
        <f aca="false">IF(OR(OR($B120="",$E120="",$F120=""),$L120&lt;&gt;"لا"),0,MAX(0,MIN($F120,EOMONTH(DATE(cfg_FY,5,1),0))-$E120+1))</f>
        <v>0</v>
      </c>
      <c r="AM120" s="57" t="n">
        <f aca="false">IF(OR(OR($B120="",$E120="",$F120=""),$L120&lt;&gt;"لا"),0,MAX(0,MIN($F120,EOMONTH(DATE(cfg_FY,6,1),0))-$E120+1))</f>
        <v>0</v>
      </c>
      <c r="AN120" s="57" t="n">
        <f aca="false">IF(OR(OR($B120="",$E120="",$F120=""),$L120&lt;&gt;"لا"),0,MAX(0,MIN($F120,EOMONTH(DATE(cfg_FY,7,1),0))-$E120+1))</f>
        <v>0</v>
      </c>
      <c r="AO120" s="57" t="n">
        <f aca="false">IF(OR(OR($B120="",$E120="",$F120=""),$L120&lt;&gt;"لا"),0,MAX(0,MIN($F120,EOMONTH(DATE(cfg_FY,8,1),0))-$E120+1))</f>
        <v>0</v>
      </c>
      <c r="AP120" s="57" t="n">
        <f aca="false">IF(OR(OR($B120="",$E120="",$F120=""),$L120&lt;&gt;"لا"),0,MAX(0,MIN($F120,EOMONTH(DATE(cfg_FY,9,1),0))-$E120+1))</f>
        <v>0</v>
      </c>
      <c r="AQ120" s="57" t="n">
        <f aca="false">IF(OR(OR($B120="",$E120="",$F120=""),$L120&lt;&gt;"لا"),0,MAX(0,MIN($F120,EOMONTH(DATE(cfg_FY,10,1),0))-$E120+1))</f>
        <v>0</v>
      </c>
      <c r="AR120" s="57" t="n">
        <f aca="false">IF(OR(OR($B120="",$E120="",$F120=""),$L120&lt;&gt;"لا"),0,MAX(0,MIN($F120,EOMONTH(DATE(cfg_FY,11,1),0))-$E120+1))</f>
        <v>0</v>
      </c>
      <c r="AS120" s="57" t="n">
        <f aca="false">IF(OR(OR($B120="",$E120="",$F120=""),$L120&lt;&gt;"لا"),0,MAX(0,MIN($F120,EOMONTH(DATE(cfg_FY,12,1),0))-$E120+1))</f>
        <v>0</v>
      </c>
      <c r="AT120" s="57" t="n">
        <f aca="false">IF(OR(OR($B120="",$E120="",$F120=""),$K120&lt;&gt;"نعم",$M120="نعم"),0,MAX(0,MIN($F120,EOMONTH(DATE(cfg_FY,1,1),0))-MAX($E120,DATE(cfg_FY,1,1))+1))</f>
        <v>0</v>
      </c>
      <c r="AU120" s="57" t="n">
        <f aca="false">IF(OR(OR($B120="",$E120="",$F120=""),$K120&lt;&gt;"نعم",$M120="نعم"),0,MAX(0,MIN($F120,EOMONTH(DATE(cfg_FY,2,1),0))-MAX($E120,DATE(cfg_FY,2,1))+1))</f>
        <v>0</v>
      </c>
      <c r="AV120" s="57" t="n">
        <f aca="false">IF(OR(OR($B120="",$E120="",$F120=""),$K120&lt;&gt;"نعم",$M120="نعم"),0,MAX(0,MIN($F120,EOMONTH(DATE(cfg_FY,3,1),0))-MAX($E120,DATE(cfg_FY,3,1))+1))</f>
        <v>0</v>
      </c>
      <c r="AW120" s="57" t="n">
        <f aca="false">IF(OR(OR($B120="",$E120="",$F120=""),$K120&lt;&gt;"نعم",$M120="نعم"),0,MAX(0,MIN($F120,EOMONTH(DATE(cfg_FY,4,1),0))-MAX($E120,DATE(cfg_FY,4,1))+1))</f>
        <v>0</v>
      </c>
      <c r="AX120" s="57" t="n">
        <f aca="false">IF(OR(OR($B120="",$E120="",$F120=""),$K120&lt;&gt;"نعم",$M120="نعم"),0,MAX(0,MIN($F120,EOMONTH(DATE(cfg_FY,5,1),0))-MAX($E120,DATE(cfg_FY,5,1))+1))</f>
        <v>0</v>
      </c>
      <c r="AY120" s="57" t="n">
        <f aca="false">IF(OR(OR($B120="",$E120="",$F120=""),$K120&lt;&gt;"نعم",$M120="نعم"),0,MAX(0,MIN($F120,EOMONTH(DATE(cfg_FY,6,1),0))-MAX($E120,DATE(cfg_FY,6,1))+1))</f>
        <v>0</v>
      </c>
      <c r="AZ120" s="57" t="n">
        <f aca="false">IF(OR(OR($B120="",$E120="",$F120=""),$K120&lt;&gt;"نعم",$M120="نعم"),0,MAX(0,MIN($F120,EOMONTH(DATE(cfg_FY,7,1),0))-MAX($E120,DATE(cfg_FY,7,1))+1))</f>
        <v>0</v>
      </c>
      <c r="BA120" s="57" t="n">
        <f aca="false">IF(OR(OR($B120="",$E120="",$F120=""),$K120&lt;&gt;"نعم",$M120="نعم"),0,MAX(0,MIN($F120,EOMONTH(DATE(cfg_FY,8,1),0))-MAX($E120,DATE(cfg_FY,8,1))+1))</f>
        <v>0</v>
      </c>
      <c r="BB120" s="57" t="n">
        <f aca="false">IF(OR(OR($B120="",$E120="",$F120=""),$K120&lt;&gt;"نعم",$M120="نعم"),0,MAX(0,MIN($F120,EOMONTH(DATE(cfg_FY,9,1),0))-MAX($E120,DATE(cfg_FY,9,1))+1))</f>
        <v>0</v>
      </c>
      <c r="BC120" s="57" t="n">
        <f aca="false">IF(OR(OR($B120="",$E120="",$F120=""),$K120&lt;&gt;"نعم",$M120="نعم"),0,MAX(0,MIN($F120,EOMONTH(DATE(cfg_FY,10,1),0))-MAX($E120,DATE(cfg_FY,10,1))+1))</f>
        <v>0</v>
      </c>
      <c r="BD120" s="57" t="n">
        <f aca="false">IF(OR(OR($B120="",$E120="",$F120=""),$K120&lt;&gt;"نعم",$M120="نعم"),0,MAX(0,MIN($F120,EOMONTH(DATE(cfg_FY,11,1),0))-MAX($E120,DATE(cfg_FY,11,1))+1))</f>
        <v>0</v>
      </c>
      <c r="BE120" s="57" t="n">
        <f aca="false">IF(OR(OR($B120="",$E120="",$F120=""),$K120&lt;&gt;"نعم",$M120="نعم"),0,MAX(0,MIN($F120,EOMONTH(DATE(cfg_FY,12,1),0))-MAX($E120,DATE(cfg_FY,12,1))+1))</f>
        <v>0</v>
      </c>
    </row>
    <row r="121" customFormat="false" ht="15" hidden="false" customHeight="false" outlineLevel="0" collapsed="false">
      <c r="A121" s="100" t="str">
        <f aca="false">IF(B121="","",ROW()-5)</f>
        <v/>
      </c>
      <c r="B121" s="79"/>
      <c r="C121" s="102" t="str">
        <f aca="false">IF(B121="","",IFERROR(INDEX(الموظفون!$C$6:$C$105,MATCH(B121,الموظفون!$B$6:$B$105,0)),"✖ رقم غير موجود"))</f>
        <v/>
      </c>
      <c r="D121" s="79"/>
      <c r="E121" s="94"/>
      <c r="F121" s="94"/>
      <c r="G121" s="110" t="str">
        <f aca="false">IF(OR($B121="",$E121="",$F121=""),"",MAX(0,F121-E121+1))</f>
        <v/>
      </c>
      <c r="H121" s="111" t="str">
        <f aca="false">IF(D121="","",IFERROR(VLOOKUP(D121,cfg_LT,2,FALSE()),1))</f>
        <v/>
      </c>
      <c r="I121" s="82"/>
      <c r="J121" s="111" t="str">
        <f aca="false">IF(D121="","",IF(I121&lt;&gt;"",I121,H121))</f>
        <v/>
      </c>
      <c r="K121" s="102" t="str">
        <f aca="false">IF(D121="","",IFERROR(VLOOKUP($D121,cfg_LT,3,FALSE()),""))</f>
        <v/>
      </c>
      <c r="L121" s="102" t="str">
        <f aca="false">IF(D121="","",IFERROR(VLOOKUP($D121,cfg_LT,4,FALSE()),""))</f>
        <v/>
      </c>
      <c r="M121" s="102" t="str">
        <f aca="false">IF(D121="","",IFERROR(VLOOKUP($D121,cfg_LT,5,FALSE()),""))</f>
        <v/>
      </c>
      <c r="N121" s="101" t="n">
        <f aca="false">IF(OR(OR($B121="",$E121="",$F121=""),M121&lt;&gt;"نعم"),0,G121*J121*IFERROR(INDEX(الموظفون!$R$6:$R$105,MATCH(B121,الموظفون!$B$6:$B$105,0)),0)/cfg_DAYS_M)</f>
        <v>0</v>
      </c>
      <c r="O121" s="100" t="str">
        <f aca="false">IF(OR(OR($B121="",$E121="",$F121=""),M121&lt;&gt;"نعم"),"",IF(YEAR(E121)=cfg_FY,MONTH(E121),""))</f>
        <v/>
      </c>
      <c r="P121" s="102" t="str">
        <f aca="false">IF(B121="","",IF(OR(D121="",E121="",F121=""),"⚠ أكمل النوع والتواريخ",IF(F121&lt;E121,"✖ النهاية قبل البداية",IF(COUNTIFS($B$6:$B$505,B121,$E$6:$E$505,"&lt;="&amp;F121,$F$6:$F$505,"&gt;="&amp;E121)&gt;1,"⚠ تداخل مع سجل آخر",IF(E121&gt;cfg_VAL_DATE,"⏳ قادمة",IF(F121&lt;cfg_VAL_DATE,"✔ منتهية","✈ جارية في تاريخ التقرير"))))))</f>
        <v/>
      </c>
      <c r="Q121" s="79"/>
      <c r="R121" s="110" t="n">
        <f aca="false">IF(OR(OR($B121="",$E121="",$F121=""),L121&lt;&gt;"لا"),0,MAX(0,MIN(F121,cfg_Y_START-1)-E121+1))</f>
        <v>0</v>
      </c>
      <c r="S121" s="110" t="n">
        <f aca="false">IF(OR(OR($B121="",$E121="",$F121=""),L121&lt;&gt;"لا"),0,MAX(0,MIN(F121,cfg_VAL_DATE)-E121+1))</f>
        <v>0</v>
      </c>
      <c r="T121" s="110" t="n">
        <f aca="false">IF(OR(OR($B121="",$E121="",$F121=""),K121&lt;&gt;"نعم"),0,IF(M121="نعم",IF(AND(ISNUMBER(O121),N(O121)&lt;=cfg_VAL_M),G121,0),MAX(0,MIN(F121,cfg_VAL_DATE)-MAX(E121,cfg_Y_START)+1)))</f>
        <v>0</v>
      </c>
      <c r="V121" s="110" t="n">
        <f aca="false">IF(OR($B121="",$E121="",$F121=""),0,MAX(0,MIN($F121,EOMONTH(DATE(cfg_FY,1,1),0))-MAX($E121,DATE(cfg_FY,1,1))+1)*(1-IF($M121="نعم",0,N($J121))))</f>
        <v>0</v>
      </c>
      <c r="W121" s="110" t="n">
        <f aca="false">IF(OR($B121="",$E121="",$F121=""),0,MAX(0,MIN($F121,EOMONTH(DATE(cfg_FY,2,1),0))-MAX($E121,DATE(cfg_FY,2,1))+1)*(1-IF($M121="نعم",0,N($J121))))</f>
        <v>0</v>
      </c>
      <c r="X121" s="110" t="n">
        <f aca="false">IF(OR($B121="",$E121="",$F121=""),0,MAX(0,MIN($F121,EOMONTH(DATE(cfg_FY,3,1),0))-MAX($E121,DATE(cfg_FY,3,1))+1)*(1-IF($M121="نعم",0,N($J121))))</f>
        <v>0</v>
      </c>
      <c r="Y121" s="110" t="n">
        <f aca="false">IF(OR($B121="",$E121="",$F121=""),0,MAX(0,MIN($F121,EOMONTH(DATE(cfg_FY,4,1),0))-MAX($E121,DATE(cfg_FY,4,1))+1)*(1-IF($M121="نعم",0,N($J121))))</f>
        <v>0</v>
      </c>
      <c r="Z121" s="110" t="n">
        <f aca="false">IF(OR($B121="",$E121="",$F121=""),0,MAX(0,MIN($F121,EOMONTH(DATE(cfg_FY,5,1),0))-MAX($E121,DATE(cfg_FY,5,1))+1)*(1-IF($M121="نعم",0,N($J121))))</f>
        <v>0</v>
      </c>
      <c r="AA121" s="110" t="n">
        <f aca="false">IF(OR($B121="",$E121="",$F121=""),0,MAX(0,MIN($F121,EOMONTH(DATE(cfg_FY,6,1),0))-MAX($E121,DATE(cfg_FY,6,1))+1)*(1-IF($M121="نعم",0,N($J121))))</f>
        <v>0</v>
      </c>
      <c r="AB121" s="110" t="n">
        <f aca="false">IF(OR($B121="",$E121="",$F121=""),0,MAX(0,MIN($F121,EOMONTH(DATE(cfg_FY,7,1),0))-MAX($E121,DATE(cfg_FY,7,1))+1)*(1-IF($M121="نعم",0,N($J121))))</f>
        <v>0</v>
      </c>
      <c r="AC121" s="110" t="n">
        <f aca="false">IF(OR($B121="",$E121="",$F121=""),0,MAX(0,MIN($F121,EOMONTH(DATE(cfg_FY,8,1),0))-MAX($E121,DATE(cfg_FY,8,1))+1)*(1-IF($M121="نعم",0,N($J121))))</f>
        <v>0</v>
      </c>
      <c r="AD121" s="110" t="n">
        <f aca="false">IF(OR($B121="",$E121="",$F121=""),0,MAX(0,MIN($F121,EOMONTH(DATE(cfg_FY,9,1),0))-MAX($E121,DATE(cfg_FY,9,1))+1)*(1-IF($M121="نعم",0,N($J121))))</f>
        <v>0</v>
      </c>
      <c r="AE121" s="110" t="n">
        <f aca="false">IF(OR($B121="",$E121="",$F121=""),0,MAX(0,MIN($F121,EOMONTH(DATE(cfg_FY,10,1),0))-MAX($E121,DATE(cfg_FY,10,1))+1)*(1-IF($M121="نعم",0,N($J121))))</f>
        <v>0</v>
      </c>
      <c r="AF121" s="110" t="n">
        <f aca="false">IF(OR($B121="",$E121="",$F121=""),0,MAX(0,MIN($F121,EOMONTH(DATE(cfg_FY,11,1),0))-MAX($E121,DATE(cfg_FY,11,1))+1)*(1-IF($M121="نعم",0,N($J121))))</f>
        <v>0</v>
      </c>
      <c r="AG121" s="110" t="n">
        <f aca="false">IF(OR($B121="",$E121="",$F121=""),0,MAX(0,MIN($F121,EOMONTH(DATE(cfg_FY,12,1),0))-MAX($E121,DATE(cfg_FY,12,1))+1)*(1-IF($M121="نعم",0,N($J121))))</f>
        <v>0</v>
      </c>
      <c r="AH121" s="110" t="n">
        <f aca="false">IF(OR(OR($B121="",$E121="",$F121=""),$L121&lt;&gt;"لا"),0,MAX(0,MIN($F121,EOMONTH(DATE(cfg_FY,1,1),0))-$E121+1))</f>
        <v>0</v>
      </c>
      <c r="AI121" s="110" t="n">
        <f aca="false">IF(OR(OR($B121="",$E121="",$F121=""),$L121&lt;&gt;"لا"),0,MAX(0,MIN($F121,EOMONTH(DATE(cfg_FY,2,1),0))-$E121+1))</f>
        <v>0</v>
      </c>
      <c r="AJ121" s="110" t="n">
        <f aca="false">IF(OR(OR($B121="",$E121="",$F121=""),$L121&lt;&gt;"لا"),0,MAX(0,MIN($F121,EOMONTH(DATE(cfg_FY,3,1),0))-$E121+1))</f>
        <v>0</v>
      </c>
      <c r="AK121" s="110" t="n">
        <f aca="false">IF(OR(OR($B121="",$E121="",$F121=""),$L121&lt;&gt;"لا"),0,MAX(0,MIN($F121,EOMONTH(DATE(cfg_FY,4,1),0))-$E121+1))</f>
        <v>0</v>
      </c>
      <c r="AL121" s="110" t="n">
        <f aca="false">IF(OR(OR($B121="",$E121="",$F121=""),$L121&lt;&gt;"لا"),0,MAX(0,MIN($F121,EOMONTH(DATE(cfg_FY,5,1),0))-$E121+1))</f>
        <v>0</v>
      </c>
      <c r="AM121" s="110" t="n">
        <f aca="false">IF(OR(OR($B121="",$E121="",$F121=""),$L121&lt;&gt;"لا"),0,MAX(0,MIN($F121,EOMONTH(DATE(cfg_FY,6,1),0))-$E121+1))</f>
        <v>0</v>
      </c>
      <c r="AN121" s="110" t="n">
        <f aca="false">IF(OR(OR($B121="",$E121="",$F121=""),$L121&lt;&gt;"لا"),0,MAX(0,MIN($F121,EOMONTH(DATE(cfg_FY,7,1),0))-$E121+1))</f>
        <v>0</v>
      </c>
      <c r="AO121" s="110" t="n">
        <f aca="false">IF(OR(OR($B121="",$E121="",$F121=""),$L121&lt;&gt;"لا"),0,MAX(0,MIN($F121,EOMONTH(DATE(cfg_FY,8,1),0))-$E121+1))</f>
        <v>0</v>
      </c>
      <c r="AP121" s="110" t="n">
        <f aca="false">IF(OR(OR($B121="",$E121="",$F121=""),$L121&lt;&gt;"لا"),0,MAX(0,MIN($F121,EOMONTH(DATE(cfg_FY,9,1),0))-$E121+1))</f>
        <v>0</v>
      </c>
      <c r="AQ121" s="110" t="n">
        <f aca="false">IF(OR(OR($B121="",$E121="",$F121=""),$L121&lt;&gt;"لا"),0,MAX(0,MIN($F121,EOMONTH(DATE(cfg_FY,10,1),0))-$E121+1))</f>
        <v>0</v>
      </c>
      <c r="AR121" s="110" t="n">
        <f aca="false">IF(OR(OR($B121="",$E121="",$F121=""),$L121&lt;&gt;"لا"),0,MAX(0,MIN($F121,EOMONTH(DATE(cfg_FY,11,1),0))-$E121+1))</f>
        <v>0</v>
      </c>
      <c r="AS121" s="110" t="n">
        <f aca="false">IF(OR(OR($B121="",$E121="",$F121=""),$L121&lt;&gt;"لا"),0,MAX(0,MIN($F121,EOMONTH(DATE(cfg_FY,12,1),0))-$E121+1))</f>
        <v>0</v>
      </c>
      <c r="AT121" s="110" t="n">
        <f aca="false">IF(OR(OR($B121="",$E121="",$F121=""),$K121&lt;&gt;"نعم",$M121="نعم"),0,MAX(0,MIN($F121,EOMONTH(DATE(cfg_FY,1,1),0))-MAX($E121,DATE(cfg_FY,1,1))+1))</f>
        <v>0</v>
      </c>
      <c r="AU121" s="110" t="n">
        <f aca="false">IF(OR(OR($B121="",$E121="",$F121=""),$K121&lt;&gt;"نعم",$M121="نعم"),0,MAX(0,MIN($F121,EOMONTH(DATE(cfg_FY,2,1),0))-MAX($E121,DATE(cfg_FY,2,1))+1))</f>
        <v>0</v>
      </c>
      <c r="AV121" s="110" t="n">
        <f aca="false">IF(OR(OR($B121="",$E121="",$F121=""),$K121&lt;&gt;"نعم",$M121="نعم"),0,MAX(0,MIN($F121,EOMONTH(DATE(cfg_FY,3,1),0))-MAX($E121,DATE(cfg_FY,3,1))+1))</f>
        <v>0</v>
      </c>
      <c r="AW121" s="110" t="n">
        <f aca="false">IF(OR(OR($B121="",$E121="",$F121=""),$K121&lt;&gt;"نعم",$M121="نعم"),0,MAX(0,MIN($F121,EOMONTH(DATE(cfg_FY,4,1),0))-MAX($E121,DATE(cfg_FY,4,1))+1))</f>
        <v>0</v>
      </c>
      <c r="AX121" s="110" t="n">
        <f aca="false">IF(OR(OR($B121="",$E121="",$F121=""),$K121&lt;&gt;"نعم",$M121="نعم"),0,MAX(0,MIN($F121,EOMONTH(DATE(cfg_FY,5,1),0))-MAX($E121,DATE(cfg_FY,5,1))+1))</f>
        <v>0</v>
      </c>
      <c r="AY121" s="110" t="n">
        <f aca="false">IF(OR(OR($B121="",$E121="",$F121=""),$K121&lt;&gt;"نعم",$M121="نعم"),0,MAX(0,MIN($F121,EOMONTH(DATE(cfg_FY,6,1),0))-MAX($E121,DATE(cfg_FY,6,1))+1))</f>
        <v>0</v>
      </c>
      <c r="AZ121" s="110" t="n">
        <f aca="false">IF(OR(OR($B121="",$E121="",$F121=""),$K121&lt;&gt;"نعم",$M121="نعم"),0,MAX(0,MIN($F121,EOMONTH(DATE(cfg_FY,7,1),0))-MAX($E121,DATE(cfg_FY,7,1))+1))</f>
        <v>0</v>
      </c>
      <c r="BA121" s="110" t="n">
        <f aca="false">IF(OR(OR($B121="",$E121="",$F121=""),$K121&lt;&gt;"نعم",$M121="نعم"),0,MAX(0,MIN($F121,EOMONTH(DATE(cfg_FY,8,1),0))-MAX($E121,DATE(cfg_FY,8,1))+1))</f>
        <v>0</v>
      </c>
      <c r="BB121" s="110" t="n">
        <f aca="false">IF(OR(OR($B121="",$E121="",$F121=""),$K121&lt;&gt;"نعم",$M121="نعم"),0,MAX(0,MIN($F121,EOMONTH(DATE(cfg_FY,9,1),0))-MAX($E121,DATE(cfg_FY,9,1))+1))</f>
        <v>0</v>
      </c>
      <c r="BC121" s="110" t="n">
        <f aca="false">IF(OR(OR($B121="",$E121="",$F121=""),$K121&lt;&gt;"نعم",$M121="نعم"),0,MAX(0,MIN($F121,EOMONTH(DATE(cfg_FY,10,1),0))-MAX($E121,DATE(cfg_FY,10,1))+1))</f>
        <v>0</v>
      </c>
      <c r="BD121" s="110" t="n">
        <f aca="false">IF(OR(OR($B121="",$E121="",$F121=""),$K121&lt;&gt;"نعم",$M121="نعم"),0,MAX(0,MIN($F121,EOMONTH(DATE(cfg_FY,11,1),0))-MAX($E121,DATE(cfg_FY,11,1))+1))</f>
        <v>0</v>
      </c>
      <c r="BE121" s="110" t="n">
        <f aca="false">IF(OR(OR($B121="",$E121="",$F121=""),$K121&lt;&gt;"نعم",$M121="نعم"),0,MAX(0,MIN($F121,EOMONTH(DATE(cfg_FY,12,1),0))-MAX($E121,DATE(cfg_FY,12,1))+1))</f>
        <v>0</v>
      </c>
    </row>
    <row r="122" customFormat="false" ht="15" hidden="false" customHeight="false" outlineLevel="0" collapsed="false">
      <c r="A122" s="93" t="str">
        <f aca="false">IF(B122="","",ROW()-5)</f>
        <v/>
      </c>
      <c r="B122" s="79"/>
      <c r="C122" s="80" t="str">
        <f aca="false">IF(B122="","",IFERROR(INDEX(الموظفون!$C$6:$C$105,MATCH(B122,الموظفون!$B$6:$B$105,0)),"✖ رقم غير موجود"))</f>
        <v/>
      </c>
      <c r="D122" s="79"/>
      <c r="E122" s="94"/>
      <c r="F122" s="94"/>
      <c r="G122" s="57" t="str">
        <f aca="false">IF(OR($B122="",$E122="",$F122=""),"",MAX(0,F122-E122+1))</f>
        <v/>
      </c>
      <c r="H122" s="58" t="str">
        <f aca="false">IF(D122="","",IFERROR(VLOOKUP(D122,cfg_LT,2,FALSE()),1))</f>
        <v/>
      </c>
      <c r="I122" s="82"/>
      <c r="J122" s="58" t="str">
        <f aca="false">IF(D122="","",IF(I122&lt;&gt;"",I122,H122))</f>
        <v/>
      </c>
      <c r="K122" s="80" t="str">
        <f aca="false">IF(D122="","",IFERROR(VLOOKUP($D122,cfg_LT,3,FALSE()),""))</f>
        <v/>
      </c>
      <c r="L122" s="80" t="str">
        <f aca="false">IF(D122="","",IFERROR(VLOOKUP($D122,cfg_LT,4,FALSE()),""))</f>
        <v/>
      </c>
      <c r="M122" s="80" t="str">
        <f aca="false">IF(D122="","",IFERROR(VLOOKUP($D122,cfg_LT,5,FALSE()),""))</f>
        <v/>
      </c>
      <c r="N122" s="97" t="n">
        <f aca="false">IF(OR(OR($B122="",$E122="",$F122=""),M122&lt;&gt;"نعم"),0,G122*J122*IFERROR(INDEX(الموظفون!$R$6:$R$105,MATCH(B122,الموظفون!$B$6:$B$105,0)),0)/cfg_DAYS_M)</f>
        <v>0</v>
      </c>
      <c r="O122" s="93" t="str">
        <f aca="false">IF(OR(OR($B122="",$E122="",$F122=""),M122&lt;&gt;"نعم"),"",IF(YEAR(E122)=cfg_FY,MONTH(E122),""))</f>
        <v/>
      </c>
      <c r="P122" s="80" t="str">
        <f aca="false">IF(B122="","",IF(OR(D122="",E122="",F122=""),"⚠ أكمل النوع والتواريخ",IF(F122&lt;E122,"✖ النهاية قبل البداية",IF(COUNTIFS($B$6:$B$505,B122,$E$6:$E$505,"&lt;="&amp;F122,$F$6:$F$505,"&gt;="&amp;E122)&gt;1,"⚠ تداخل مع سجل آخر",IF(E122&gt;cfg_VAL_DATE,"⏳ قادمة",IF(F122&lt;cfg_VAL_DATE,"✔ منتهية","✈ جارية في تاريخ التقرير"))))))</f>
        <v/>
      </c>
      <c r="Q122" s="79"/>
      <c r="R122" s="57" t="n">
        <f aca="false">IF(OR(OR($B122="",$E122="",$F122=""),L122&lt;&gt;"لا"),0,MAX(0,MIN(F122,cfg_Y_START-1)-E122+1))</f>
        <v>0</v>
      </c>
      <c r="S122" s="57" t="n">
        <f aca="false">IF(OR(OR($B122="",$E122="",$F122=""),L122&lt;&gt;"لا"),0,MAX(0,MIN(F122,cfg_VAL_DATE)-E122+1))</f>
        <v>0</v>
      </c>
      <c r="T122" s="57" t="n">
        <f aca="false">IF(OR(OR($B122="",$E122="",$F122=""),K122&lt;&gt;"نعم"),0,IF(M122="نعم",IF(AND(ISNUMBER(O122),N(O122)&lt;=cfg_VAL_M),G122,0),MAX(0,MIN(F122,cfg_VAL_DATE)-MAX(E122,cfg_Y_START)+1)))</f>
        <v>0</v>
      </c>
      <c r="V122" s="57" t="n">
        <f aca="false">IF(OR($B122="",$E122="",$F122=""),0,MAX(0,MIN($F122,EOMONTH(DATE(cfg_FY,1,1),0))-MAX($E122,DATE(cfg_FY,1,1))+1)*(1-IF($M122="نعم",0,N($J122))))</f>
        <v>0</v>
      </c>
      <c r="W122" s="57" t="n">
        <f aca="false">IF(OR($B122="",$E122="",$F122=""),0,MAX(0,MIN($F122,EOMONTH(DATE(cfg_FY,2,1),0))-MAX($E122,DATE(cfg_FY,2,1))+1)*(1-IF($M122="نعم",0,N($J122))))</f>
        <v>0</v>
      </c>
      <c r="X122" s="57" t="n">
        <f aca="false">IF(OR($B122="",$E122="",$F122=""),0,MAX(0,MIN($F122,EOMONTH(DATE(cfg_FY,3,1),0))-MAX($E122,DATE(cfg_FY,3,1))+1)*(1-IF($M122="نعم",0,N($J122))))</f>
        <v>0</v>
      </c>
      <c r="Y122" s="57" t="n">
        <f aca="false">IF(OR($B122="",$E122="",$F122=""),0,MAX(0,MIN($F122,EOMONTH(DATE(cfg_FY,4,1),0))-MAX($E122,DATE(cfg_FY,4,1))+1)*(1-IF($M122="نعم",0,N($J122))))</f>
        <v>0</v>
      </c>
      <c r="Z122" s="57" t="n">
        <f aca="false">IF(OR($B122="",$E122="",$F122=""),0,MAX(0,MIN($F122,EOMONTH(DATE(cfg_FY,5,1),0))-MAX($E122,DATE(cfg_FY,5,1))+1)*(1-IF($M122="نعم",0,N($J122))))</f>
        <v>0</v>
      </c>
      <c r="AA122" s="57" t="n">
        <f aca="false">IF(OR($B122="",$E122="",$F122=""),0,MAX(0,MIN($F122,EOMONTH(DATE(cfg_FY,6,1),0))-MAX($E122,DATE(cfg_FY,6,1))+1)*(1-IF($M122="نعم",0,N($J122))))</f>
        <v>0</v>
      </c>
      <c r="AB122" s="57" t="n">
        <f aca="false">IF(OR($B122="",$E122="",$F122=""),0,MAX(0,MIN($F122,EOMONTH(DATE(cfg_FY,7,1),0))-MAX($E122,DATE(cfg_FY,7,1))+1)*(1-IF($M122="نعم",0,N($J122))))</f>
        <v>0</v>
      </c>
      <c r="AC122" s="57" t="n">
        <f aca="false">IF(OR($B122="",$E122="",$F122=""),0,MAX(0,MIN($F122,EOMONTH(DATE(cfg_FY,8,1),0))-MAX($E122,DATE(cfg_FY,8,1))+1)*(1-IF($M122="نعم",0,N($J122))))</f>
        <v>0</v>
      </c>
      <c r="AD122" s="57" t="n">
        <f aca="false">IF(OR($B122="",$E122="",$F122=""),0,MAX(0,MIN($F122,EOMONTH(DATE(cfg_FY,9,1),0))-MAX($E122,DATE(cfg_FY,9,1))+1)*(1-IF($M122="نعم",0,N($J122))))</f>
        <v>0</v>
      </c>
      <c r="AE122" s="57" t="n">
        <f aca="false">IF(OR($B122="",$E122="",$F122=""),0,MAX(0,MIN($F122,EOMONTH(DATE(cfg_FY,10,1),0))-MAX($E122,DATE(cfg_FY,10,1))+1)*(1-IF($M122="نعم",0,N($J122))))</f>
        <v>0</v>
      </c>
      <c r="AF122" s="57" t="n">
        <f aca="false">IF(OR($B122="",$E122="",$F122=""),0,MAX(0,MIN($F122,EOMONTH(DATE(cfg_FY,11,1),0))-MAX($E122,DATE(cfg_FY,11,1))+1)*(1-IF($M122="نعم",0,N($J122))))</f>
        <v>0</v>
      </c>
      <c r="AG122" s="57" t="n">
        <f aca="false">IF(OR($B122="",$E122="",$F122=""),0,MAX(0,MIN($F122,EOMONTH(DATE(cfg_FY,12,1),0))-MAX($E122,DATE(cfg_FY,12,1))+1)*(1-IF($M122="نعم",0,N($J122))))</f>
        <v>0</v>
      </c>
      <c r="AH122" s="57" t="n">
        <f aca="false">IF(OR(OR($B122="",$E122="",$F122=""),$L122&lt;&gt;"لا"),0,MAX(0,MIN($F122,EOMONTH(DATE(cfg_FY,1,1),0))-$E122+1))</f>
        <v>0</v>
      </c>
      <c r="AI122" s="57" t="n">
        <f aca="false">IF(OR(OR($B122="",$E122="",$F122=""),$L122&lt;&gt;"لا"),0,MAX(0,MIN($F122,EOMONTH(DATE(cfg_FY,2,1),0))-$E122+1))</f>
        <v>0</v>
      </c>
      <c r="AJ122" s="57" t="n">
        <f aca="false">IF(OR(OR($B122="",$E122="",$F122=""),$L122&lt;&gt;"لا"),0,MAX(0,MIN($F122,EOMONTH(DATE(cfg_FY,3,1),0))-$E122+1))</f>
        <v>0</v>
      </c>
      <c r="AK122" s="57" t="n">
        <f aca="false">IF(OR(OR($B122="",$E122="",$F122=""),$L122&lt;&gt;"لا"),0,MAX(0,MIN($F122,EOMONTH(DATE(cfg_FY,4,1),0))-$E122+1))</f>
        <v>0</v>
      </c>
      <c r="AL122" s="57" t="n">
        <f aca="false">IF(OR(OR($B122="",$E122="",$F122=""),$L122&lt;&gt;"لا"),0,MAX(0,MIN($F122,EOMONTH(DATE(cfg_FY,5,1),0))-$E122+1))</f>
        <v>0</v>
      </c>
      <c r="AM122" s="57" t="n">
        <f aca="false">IF(OR(OR($B122="",$E122="",$F122=""),$L122&lt;&gt;"لا"),0,MAX(0,MIN($F122,EOMONTH(DATE(cfg_FY,6,1),0))-$E122+1))</f>
        <v>0</v>
      </c>
      <c r="AN122" s="57" t="n">
        <f aca="false">IF(OR(OR($B122="",$E122="",$F122=""),$L122&lt;&gt;"لا"),0,MAX(0,MIN($F122,EOMONTH(DATE(cfg_FY,7,1),0))-$E122+1))</f>
        <v>0</v>
      </c>
      <c r="AO122" s="57" t="n">
        <f aca="false">IF(OR(OR($B122="",$E122="",$F122=""),$L122&lt;&gt;"لا"),0,MAX(0,MIN($F122,EOMONTH(DATE(cfg_FY,8,1),0))-$E122+1))</f>
        <v>0</v>
      </c>
      <c r="AP122" s="57" t="n">
        <f aca="false">IF(OR(OR($B122="",$E122="",$F122=""),$L122&lt;&gt;"لا"),0,MAX(0,MIN($F122,EOMONTH(DATE(cfg_FY,9,1),0))-$E122+1))</f>
        <v>0</v>
      </c>
      <c r="AQ122" s="57" t="n">
        <f aca="false">IF(OR(OR($B122="",$E122="",$F122=""),$L122&lt;&gt;"لا"),0,MAX(0,MIN($F122,EOMONTH(DATE(cfg_FY,10,1),0))-$E122+1))</f>
        <v>0</v>
      </c>
      <c r="AR122" s="57" t="n">
        <f aca="false">IF(OR(OR($B122="",$E122="",$F122=""),$L122&lt;&gt;"لا"),0,MAX(0,MIN($F122,EOMONTH(DATE(cfg_FY,11,1),0))-$E122+1))</f>
        <v>0</v>
      </c>
      <c r="AS122" s="57" t="n">
        <f aca="false">IF(OR(OR($B122="",$E122="",$F122=""),$L122&lt;&gt;"لا"),0,MAX(0,MIN($F122,EOMONTH(DATE(cfg_FY,12,1),0))-$E122+1))</f>
        <v>0</v>
      </c>
      <c r="AT122" s="57" t="n">
        <f aca="false">IF(OR(OR($B122="",$E122="",$F122=""),$K122&lt;&gt;"نعم",$M122="نعم"),0,MAX(0,MIN($F122,EOMONTH(DATE(cfg_FY,1,1),0))-MAX($E122,DATE(cfg_FY,1,1))+1))</f>
        <v>0</v>
      </c>
      <c r="AU122" s="57" t="n">
        <f aca="false">IF(OR(OR($B122="",$E122="",$F122=""),$K122&lt;&gt;"نعم",$M122="نعم"),0,MAX(0,MIN($F122,EOMONTH(DATE(cfg_FY,2,1),0))-MAX($E122,DATE(cfg_FY,2,1))+1))</f>
        <v>0</v>
      </c>
      <c r="AV122" s="57" t="n">
        <f aca="false">IF(OR(OR($B122="",$E122="",$F122=""),$K122&lt;&gt;"نعم",$M122="نعم"),0,MAX(0,MIN($F122,EOMONTH(DATE(cfg_FY,3,1),0))-MAX($E122,DATE(cfg_FY,3,1))+1))</f>
        <v>0</v>
      </c>
      <c r="AW122" s="57" t="n">
        <f aca="false">IF(OR(OR($B122="",$E122="",$F122=""),$K122&lt;&gt;"نعم",$M122="نعم"),0,MAX(0,MIN($F122,EOMONTH(DATE(cfg_FY,4,1),0))-MAX($E122,DATE(cfg_FY,4,1))+1))</f>
        <v>0</v>
      </c>
      <c r="AX122" s="57" t="n">
        <f aca="false">IF(OR(OR($B122="",$E122="",$F122=""),$K122&lt;&gt;"نعم",$M122="نعم"),0,MAX(0,MIN($F122,EOMONTH(DATE(cfg_FY,5,1),0))-MAX($E122,DATE(cfg_FY,5,1))+1))</f>
        <v>0</v>
      </c>
      <c r="AY122" s="57" t="n">
        <f aca="false">IF(OR(OR($B122="",$E122="",$F122=""),$K122&lt;&gt;"نعم",$M122="نعم"),0,MAX(0,MIN($F122,EOMONTH(DATE(cfg_FY,6,1),0))-MAX($E122,DATE(cfg_FY,6,1))+1))</f>
        <v>0</v>
      </c>
      <c r="AZ122" s="57" t="n">
        <f aca="false">IF(OR(OR($B122="",$E122="",$F122=""),$K122&lt;&gt;"نعم",$M122="نعم"),0,MAX(0,MIN($F122,EOMONTH(DATE(cfg_FY,7,1),0))-MAX($E122,DATE(cfg_FY,7,1))+1))</f>
        <v>0</v>
      </c>
      <c r="BA122" s="57" t="n">
        <f aca="false">IF(OR(OR($B122="",$E122="",$F122=""),$K122&lt;&gt;"نعم",$M122="نعم"),0,MAX(0,MIN($F122,EOMONTH(DATE(cfg_FY,8,1),0))-MAX($E122,DATE(cfg_FY,8,1))+1))</f>
        <v>0</v>
      </c>
      <c r="BB122" s="57" t="n">
        <f aca="false">IF(OR(OR($B122="",$E122="",$F122=""),$K122&lt;&gt;"نعم",$M122="نعم"),0,MAX(0,MIN($F122,EOMONTH(DATE(cfg_FY,9,1),0))-MAX($E122,DATE(cfg_FY,9,1))+1))</f>
        <v>0</v>
      </c>
      <c r="BC122" s="57" t="n">
        <f aca="false">IF(OR(OR($B122="",$E122="",$F122=""),$K122&lt;&gt;"نعم",$M122="نعم"),0,MAX(0,MIN($F122,EOMONTH(DATE(cfg_FY,10,1),0))-MAX($E122,DATE(cfg_FY,10,1))+1))</f>
        <v>0</v>
      </c>
      <c r="BD122" s="57" t="n">
        <f aca="false">IF(OR(OR($B122="",$E122="",$F122=""),$K122&lt;&gt;"نعم",$M122="نعم"),0,MAX(0,MIN($F122,EOMONTH(DATE(cfg_FY,11,1),0))-MAX($E122,DATE(cfg_FY,11,1))+1))</f>
        <v>0</v>
      </c>
      <c r="BE122" s="57" t="n">
        <f aca="false">IF(OR(OR($B122="",$E122="",$F122=""),$K122&lt;&gt;"نعم",$M122="نعم"),0,MAX(0,MIN($F122,EOMONTH(DATE(cfg_FY,12,1),0))-MAX($E122,DATE(cfg_FY,12,1))+1))</f>
        <v>0</v>
      </c>
    </row>
    <row r="123" customFormat="false" ht="15" hidden="false" customHeight="false" outlineLevel="0" collapsed="false">
      <c r="A123" s="100" t="str">
        <f aca="false">IF(B123="","",ROW()-5)</f>
        <v/>
      </c>
      <c r="B123" s="79"/>
      <c r="C123" s="102" t="str">
        <f aca="false">IF(B123="","",IFERROR(INDEX(الموظفون!$C$6:$C$105,MATCH(B123,الموظفون!$B$6:$B$105,0)),"✖ رقم غير موجود"))</f>
        <v/>
      </c>
      <c r="D123" s="79"/>
      <c r="E123" s="94"/>
      <c r="F123" s="94"/>
      <c r="G123" s="110" t="str">
        <f aca="false">IF(OR($B123="",$E123="",$F123=""),"",MAX(0,F123-E123+1))</f>
        <v/>
      </c>
      <c r="H123" s="111" t="str">
        <f aca="false">IF(D123="","",IFERROR(VLOOKUP(D123,cfg_LT,2,FALSE()),1))</f>
        <v/>
      </c>
      <c r="I123" s="82"/>
      <c r="J123" s="111" t="str">
        <f aca="false">IF(D123="","",IF(I123&lt;&gt;"",I123,H123))</f>
        <v/>
      </c>
      <c r="K123" s="102" t="str">
        <f aca="false">IF(D123="","",IFERROR(VLOOKUP($D123,cfg_LT,3,FALSE()),""))</f>
        <v/>
      </c>
      <c r="L123" s="102" t="str">
        <f aca="false">IF(D123="","",IFERROR(VLOOKUP($D123,cfg_LT,4,FALSE()),""))</f>
        <v/>
      </c>
      <c r="M123" s="102" t="str">
        <f aca="false">IF(D123="","",IFERROR(VLOOKUP($D123,cfg_LT,5,FALSE()),""))</f>
        <v/>
      </c>
      <c r="N123" s="101" t="n">
        <f aca="false">IF(OR(OR($B123="",$E123="",$F123=""),M123&lt;&gt;"نعم"),0,G123*J123*IFERROR(INDEX(الموظفون!$R$6:$R$105,MATCH(B123,الموظفون!$B$6:$B$105,0)),0)/cfg_DAYS_M)</f>
        <v>0</v>
      </c>
      <c r="O123" s="100" t="str">
        <f aca="false">IF(OR(OR($B123="",$E123="",$F123=""),M123&lt;&gt;"نعم"),"",IF(YEAR(E123)=cfg_FY,MONTH(E123),""))</f>
        <v/>
      </c>
      <c r="P123" s="102" t="str">
        <f aca="false">IF(B123="","",IF(OR(D123="",E123="",F123=""),"⚠ أكمل النوع والتواريخ",IF(F123&lt;E123,"✖ النهاية قبل البداية",IF(COUNTIFS($B$6:$B$505,B123,$E$6:$E$505,"&lt;="&amp;F123,$F$6:$F$505,"&gt;="&amp;E123)&gt;1,"⚠ تداخل مع سجل آخر",IF(E123&gt;cfg_VAL_DATE,"⏳ قادمة",IF(F123&lt;cfg_VAL_DATE,"✔ منتهية","✈ جارية في تاريخ التقرير"))))))</f>
        <v/>
      </c>
      <c r="Q123" s="79"/>
      <c r="R123" s="110" t="n">
        <f aca="false">IF(OR(OR($B123="",$E123="",$F123=""),L123&lt;&gt;"لا"),0,MAX(0,MIN(F123,cfg_Y_START-1)-E123+1))</f>
        <v>0</v>
      </c>
      <c r="S123" s="110" t="n">
        <f aca="false">IF(OR(OR($B123="",$E123="",$F123=""),L123&lt;&gt;"لا"),0,MAX(0,MIN(F123,cfg_VAL_DATE)-E123+1))</f>
        <v>0</v>
      </c>
      <c r="T123" s="110" t="n">
        <f aca="false">IF(OR(OR($B123="",$E123="",$F123=""),K123&lt;&gt;"نعم"),0,IF(M123="نعم",IF(AND(ISNUMBER(O123),N(O123)&lt;=cfg_VAL_M),G123,0),MAX(0,MIN(F123,cfg_VAL_DATE)-MAX(E123,cfg_Y_START)+1)))</f>
        <v>0</v>
      </c>
      <c r="V123" s="110" t="n">
        <f aca="false">IF(OR($B123="",$E123="",$F123=""),0,MAX(0,MIN($F123,EOMONTH(DATE(cfg_FY,1,1),0))-MAX($E123,DATE(cfg_FY,1,1))+1)*(1-IF($M123="نعم",0,N($J123))))</f>
        <v>0</v>
      </c>
      <c r="W123" s="110" t="n">
        <f aca="false">IF(OR($B123="",$E123="",$F123=""),0,MAX(0,MIN($F123,EOMONTH(DATE(cfg_FY,2,1),0))-MAX($E123,DATE(cfg_FY,2,1))+1)*(1-IF($M123="نعم",0,N($J123))))</f>
        <v>0</v>
      </c>
      <c r="X123" s="110" t="n">
        <f aca="false">IF(OR($B123="",$E123="",$F123=""),0,MAX(0,MIN($F123,EOMONTH(DATE(cfg_FY,3,1),0))-MAX($E123,DATE(cfg_FY,3,1))+1)*(1-IF($M123="نعم",0,N($J123))))</f>
        <v>0</v>
      </c>
      <c r="Y123" s="110" t="n">
        <f aca="false">IF(OR($B123="",$E123="",$F123=""),0,MAX(0,MIN($F123,EOMONTH(DATE(cfg_FY,4,1),0))-MAX($E123,DATE(cfg_FY,4,1))+1)*(1-IF($M123="نعم",0,N($J123))))</f>
        <v>0</v>
      </c>
      <c r="Z123" s="110" t="n">
        <f aca="false">IF(OR($B123="",$E123="",$F123=""),0,MAX(0,MIN($F123,EOMONTH(DATE(cfg_FY,5,1),0))-MAX($E123,DATE(cfg_FY,5,1))+1)*(1-IF($M123="نعم",0,N($J123))))</f>
        <v>0</v>
      </c>
      <c r="AA123" s="110" t="n">
        <f aca="false">IF(OR($B123="",$E123="",$F123=""),0,MAX(0,MIN($F123,EOMONTH(DATE(cfg_FY,6,1),0))-MAX($E123,DATE(cfg_FY,6,1))+1)*(1-IF($M123="نعم",0,N($J123))))</f>
        <v>0</v>
      </c>
      <c r="AB123" s="110" t="n">
        <f aca="false">IF(OR($B123="",$E123="",$F123=""),0,MAX(0,MIN($F123,EOMONTH(DATE(cfg_FY,7,1),0))-MAX($E123,DATE(cfg_FY,7,1))+1)*(1-IF($M123="نعم",0,N($J123))))</f>
        <v>0</v>
      </c>
      <c r="AC123" s="110" t="n">
        <f aca="false">IF(OR($B123="",$E123="",$F123=""),0,MAX(0,MIN($F123,EOMONTH(DATE(cfg_FY,8,1),0))-MAX($E123,DATE(cfg_FY,8,1))+1)*(1-IF($M123="نعم",0,N($J123))))</f>
        <v>0</v>
      </c>
      <c r="AD123" s="110" t="n">
        <f aca="false">IF(OR($B123="",$E123="",$F123=""),0,MAX(0,MIN($F123,EOMONTH(DATE(cfg_FY,9,1),0))-MAX($E123,DATE(cfg_FY,9,1))+1)*(1-IF($M123="نعم",0,N($J123))))</f>
        <v>0</v>
      </c>
      <c r="AE123" s="110" t="n">
        <f aca="false">IF(OR($B123="",$E123="",$F123=""),0,MAX(0,MIN($F123,EOMONTH(DATE(cfg_FY,10,1),0))-MAX($E123,DATE(cfg_FY,10,1))+1)*(1-IF($M123="نعم",0,N($J123))))</f>
        <v>0</v>
      </c>
      <c r="AF123" s="110" t="n">
        <f aca="false">IF(OR($B123="",$E123="",$F123=""),0,MAX(0,MIN($F123,EOMONTH(DATE(cfg_FY,11,1),0))-MAX($E123,DATE(cfg_FY,11,1))+1)*(1-IF($M123="نعم",0,N($J123))))</f>
        <v>0</v>
      </c>
      <c r="AG123" s="110" t="n">
        <f aca="false">IF(OR($B123="",$E123="",$F123=""),0,MAX(0,MIN($F123,EOMONTH(DATE(cfg_FY,12,1),0))-MAX($E123,DATE(cfg_FY,12,1))+1)*(1-IF($M123="نعم",0,N($J123))))</f>
        <v>0</v>
      </c>
      <c r="AH123" s="110" t="n">
        <f aca="false">IF(OR(OR($B123="",$E123="",$F123=""),$L123&lt;&gt;"لا"),0,MAX(0,MIN($F123,EOMONTH(DATE(cfg_FY,1,1),0))-$E123+1))</f>
        <v>0</v>
      </c>
      <c r="AI123" s="110" t="n">
        <f aca="false">IF(OR(OR($B123="",$E123="",$F123=""),$L123&lt;&gt;"لا"),0,MAX(0,MIN($F123,EOMONTH(DATE(cfg_FY,2,1),0))-$E123+1))</f>
        <v>0</v>
      </c>
      <c r="AJ123" s="110" t="n">
        <f aca="false">IF(OR(OR($B123="",$E123="",$F123=""),$L123&lt;&gt;"لا"),0,MAX(0,MIN($F123,EOMONTH(DATE(cfg_FY,3,1),0))-$E123+1))</f>
        <v>0</v>
      </c>
      <c r="AK123" s="110" t="n">
        <f aca="false">IF(OR(OR($B123="",$E123="",$F123=""),$L123&lt;&gt;"لا"),0,MAX(0,MIN($F123,EOMONTH(DATE(cfg_FY,4,1),0))-$E123+1))</f>
        <v>0</v>
      </c>
      <c r="AL123" s="110" t="n">
        <f aca="false">IF(OR(OR($B123="",$E123="",$F123=""),$L123&lt;&gt;"لا"),0,MAX(0,MIN($F123,EOMONTH(DATE(cfg_FY,5,1),0))-$E123+1))</f>
        <v>0</v>
      </c>
      <c r="AM123" s="110" t="n">
        <f aca="false">IF(OR(OR($B123="",$E123="",$F123=""),$L123&lt;&gt;"لا"),0,MAX(0,MIN($F123,EOMONTH(DATE(cfg_FY,6,1),0))-$E123+1))</f>
        <v>0</v>
      </c>
      <c r="AN123" s="110" t="n">
        <f aca="false">IF(OR(OR($B123="",$E123="",$F123=""),$L123&lt;&gt;"لا"),0,MAX(0,MIN($F123,EOMONTH(DATE(cfg_FY,7,1),0))-$E123+1))</f>
        <v>0</v>
      </c>
      <c r="AO123" s="110" t="n">
        <f aca="false">IF(OR(OR($B123="",$E123="",$F123=""),$L123&lt;&gt;"لا"),0,MAX(0,MIN($F123,EOMONTH(DATE(cfg_FY,8,1),0))-$E123+1))</f>
        <v>0</v>
      </c>
      <c r="AP123" s="110" t="n">
        <f aca="false">IF(OR(OR($B123="",$E123="",$F123=""),$L123&lt;&gt;"لا"),0,MAX(0,MIN($F123,EOMONTH(DATE(cfg_FY,9,1),0))-$E123+1))</f>
        <v>0</v>
      </c>
      <c r="AQ123" s="110" t="n">
        <f aca="false">IF(OR(OR($B123="",$E123="",$F123=""),$L123&lt;&gt;"لا"),0,MAX(0,MIN($F123,EOMONTH(DATE(cfg_FY,10,1),0))-$E123+1))</f>
        <v>0</v>
      </c>
      <c r="AR123" s="110" t="n">
        <f aca="false">IF(OR(OR($B123="",$E123="",$F123=""),$L123&lt;&gt;"لا"),0,MAX(0,MIN($F123,EOMONTH(DATE(cfg_FY,11,1),0))-$E123+1))</f>
        <v>0</v>
      </c>
      <c r="AS123" s="110" t="n">
        <f aca="false">IF(OR(OR($B123="",$E123="",$F123=""),$L123&lt;&gt;"لا"),0,MAX(0,MIN($F123,EOMONTH(DATE(cfg_FY,12,1),0))-$E123+1))</f>
        <v>0</v>
      </c>
      <c r="AT123" s="110" t="n">
        <f aca="false">IF(OR(OR($B123="",$E123="",$F123=""),$K123&lt;&gt;"نعم",$M123="نعم"),0,MAX(0,MIN($F123,EOMONTH(DATE(cfg_FY,1,1),0))-MAX($E123,DATE(cfg_FY,1,1))+1))</f>
        <v>0</v>
      </c>
      <c r="AU123" s="110" t="n">
        <f aca="false">IF(OR(OR($B123="",$E123="",$F123=""),$K123&lt;&gt;"نعم",$M123="نعم"),0,MAX(0,MIN($F123,EOMONTH(DATE(cfg_FY,2,1),0))-MAX($E123,DATE(cfg_FY,2,1))+1))</f>
        <v>0</v>
      </c>
      <c r="AV123" s="110" t="n">
        <f aca="false">IF(OR(OR($B123="",$E123="",$F123=""),$K123&lt;&gt;"نعم",$M123="نعم"),0,MAX(0,MIN($F123,EOMONTH(DATE(cfg_FY,3,1),0))-MAX($E123,DATE(cfg_FY,3,1))+1))</f>
        <v>0</v>
      </c>
      <c r="AW123" s="110" t="n">
        <f aca="false">IF(OR(OR($B123="",$E123="",$F123=""),$K123&lt;&gt;"نعم",$M123="نعم"),0,MAX(0,MIN($F123,EOMONTH(DATE(cfg_FY,4,1),0))-MAX($E123,DATE(cfg_FY,4,1))+1))</f>
        <v>0</v>
      </c>
      <c r="AX123" s="110" t="n">
        <f aca="false">IF(OR(OR($B123="",$E123="",$F123=""),$K123&lt;&gt;"نعم",$M123="نعم"),0,MAX(0,MIN($F123,EOMONTH(DATE(cfg_FY,5,1),0))-MAX($E123,DATE(cfg_FY,5,1))+1))</f>
        <v>0</v>
      </c>
      <c r="AY123" s="110" t="n">
        <f aca="false">IF(OR(OR($B123="",$E123="",$F123=""),$K123&lt;&gt;"نعم",$M123="نعم"),0,MAX(0,MIN($F123,EOMONTH(DATE(cfg_FY,6,1),0))-MAX($E123,DATE(cfg_FY,6,1))+1))</f>
        <v>0</v>
      </c>
      <c r="AZ123" s="110" t="n">
        <f aca="false">IF(OR(OR($B123="",$E123="",$F123=""),$K123&lt;&gt;"نعم",$M123="نعم"),0,MAX(0,MIN($F123,EOMONTH(DATE(cfg_FY,7,1),0))-MAX($E123,DATE(cfg_FY,7,1))+1))</f>
        <v>0</v>
      </c>
      <c r="BA123" s="110" t="n">
        <f aca="false">IF(OR(OR($B123="",$E123="",$F123=""),$K123&lt;&gt;"نعم",$M123="نعم"),0,MAX(0,MIN($F123,EOMONTH(DATE(cfg_FY,8,1),0))-MAX($E123,DATE(cfg_FY,8,1))+1))</f>
        <v>0</v>
      </c>
      <c r="BB123" s="110" t="n">
        <f aca="false">IF(OR(OR($B123="",$E123="",$F123=""),$K123&lt;&gt;"نعم",$M123="نعم"),0,MAX(0,MIN($F123,EOMONTH(DATE(cfg_FY,9,1),0))-MAX($E123,DATE(cfg_FY,9,1))+1))</f>
        <v>0</v>
      </c>
      <c r="BC123" s="110" t="n">
        <f aca="false">IF(OR(OR($B123="",$E123="",$F123=""),$K123&lt;&gt;"نعم",$M123="نعم"),0,MAX(0,MIN($F123,EOMONTH(DATE(cfg_FY,10,1),0))-MAX($E123,DATE(cfg_FY,10,1))+1))</f>
        <v>0</v>
      </c>
      <c r="BD123" s="110" t="n">
        <f aca="false">IF(OR(OR($B123="",$E123="",$F123=""),$K123&lt;&gt;"نعم",$M123="نعم"),0,MAX(0,MIN($F123,EOMONTH(DATE(cfg_FY,11,1),0))-MAX($E123,DATE(cfg_FY,11,1))+1))</f>
        <v>0</v>
      </c>
      <c r="BE123" s="110" t="n">
        <f aca="false">IF(OR(OR($B123="",$E123="",$F123=""),$K123&lt;&gt;"نعم",$M123="نعم"),0,MAX(0,MIN($F123,EOMONTH(DATE(cfg_FY,12,1),0))-MAX($E123,DATE(cfg_FY,12,1))+1))</f>
        <v>0</v>
      </c>
    </row>
    <row r="124" customFormat="false" ht="15" hidden="false" customHeight="false" outlineLevel="0" collapsed="false">
      <c r="A124" s="93" t="str">
        <f aca="false">IF(B124="","",ROW()-5)</f>
        <v/>
      </c>
      <c r="B124" s="79"/>
      <c r="C124" s="80" t="str">
        <f aca="false">IF(B124="","",IFERROR(INDEX(الموظفون!$C$6:$C$105,MATCH(B124,الموظفون!$B$6:$B$105,0)),"✖ رقم غير موجود"))</f>
        <v/>
      </c>
      <c r="D124" s="79"/>
      <c r="E124" s="94"/>
      <c r="F124" s="94"/>
      <c r="G124" s="57" t="str">
        <f aca="false">IF(OR($B124="",$E124="",$F124=""),"",MAX(0,F124-E124+1))</f>
        <v/>
      </c>
      <c r="H124" s="58" t="str">
        <f aca="false">IF(D124="","",IFERROR(VLOOKUP(D124,cfg_LT,2,FALSE()),1))</f>
        <v/>
      </c>
      <c r="I124" s="82"/>
      <c r="J124" s="58" t="str">
        <f aca="false">IF(D124="","",IF(I124&lt;&gt;"",I124,H124))</f>
        <v/>
      </c>
      <c r="K124" s="80" t="str">
        <f aca="false">IF(D124="","",IFERROR(VLOOKUP($D124,cfg_LT,3,FALSE()),""))</f>
        <v/>
      </c>
      <c r="L124" s="80" t="str">
        <f aca="false">IF(D124="","",IFERROR(VLOOKUP($D124,cfg_LT,4,FALSE()),""))</f>
        <v/>
      </c>
      <c r="M124" s="80" t="str">
        <f aca="false">IF(D124="","",IFERROR(VLOOKUP($D124,cfg_LT,5,FALSE()),""))</f>
        <v/>
      </c>
      <c r="N124" s="97" t="n">
        <f aca="false">IF(OR(OR($B124="",$E124="",$F124=""),M124&lt;&gt;"نعم"),0,G124*J124*IFERROR(INDEX(الموظفون!$R$6:$R$105,MATCH(B124,الموظفون!$B$6:$B$105,0)),0)/cfg_DAYS_M)</f>
        <v>0</v>
      </c>
      <c r="O124" s="93" t="str">
        <f aca="false">IF(OR(OR($B124="",$E124="",$F124=""),M124&lt;&gt;"نعم"),"",IF(YEAR(E124)=cfg_FY,MONTH(E124),""))</f>
        <v/>
      </c>
      <c r="P124" s="80" t="str">
        <f aca="false">IF(B124="","",IF(OR(D124="",E124="",F124=""),"⚠ أكمل النوع والتواريخ",IF(F124&lt;E124,"✖ النهاية قبل البداية",IF(COUNTIFS($B$6:$B$505,B124,$E$6:$E$505,"&lt;="&amp;F124,$F$6:$F$505,"&gt;="&amp;E124)&gt;1,"⚠ تداخل مع سجل آخر",IF(E124&gt;cfg_VAL_DATE,"⏳ قادمة",IF(F124&lt;cfg_VAL_DATE,"✔ منتهية","✈ جارية في تاريخ التقرير"))))))</f>
        <v/>
      </c>
      <c r="Q124" s="79"/>
      <c r="R124" s="57" t="n">
        <f aca="false">IF(OR(OR($B124="",$E124="",$F124=""),L124&lt;&gt;"لا"),0,MAX(0,MIN(F124,cfg_Y_START-1)-E124+1))</f>
        <v>0</v>
      </c>
      <c r="S124" s="57" t="n">
        <f aca="false">IF(OR(OR($B124="",$E124="",$F124=""),L124&lt;&gt;"لا"),0,MAX(0,MIN(F124,cfg_VAL_DATE)-E124+1))</f>
        <v>0</v>
      </c>
      <c r="T124" s="57" t="n">
        <f aca="false">IF(OR(OR($B124="",$E124="",$F124=""),K124&lt;&gt;"نعم"),0,IF(M124="نعم",IF(AND(ISNUMBER(O124),N(O124)&lt;=cfg_VAL_M),G124,0),MAX(0,MIN(F124,cfg_VAL_DATE)-MAX(E124,cfg_Y_START)+1)))</f>
        <v>0</v>
      </c>
      <c r="V124" s="57" t="n">
        <f aca="false">IF(OR($B124="",$E124="",$F124=""),0,MAX(0,MIN($F124,EOMONTH(DATE(cfg_FY,1,1),0))-MAX($E124,DATE(cfg_FY,1,1))+1)*(1-IF($M124="نعم",0,N($J124))))</f>
        <v>0</v>
      </c>
      <c r="W124" s="57" t="n">
        <f aca="false">IF(OR($B124="",$E124="",$F124=""),0,MAX(0,MIN($F124,EOMONTH(DATE(cfg_FY,2,1),0))-MAX($E124,DATE(cfg_FY,2,1))+1)*(1-IF($M124="نعم",0,N($J124))))</f>
        <v>0</v>
      </c>
      <c r="X124" s="57" t="n">
        <f aca="false">IF(OR($B124="",$E124="",$F124=""),0,MAX(0,MIN($F124,EOMONTH(DATE(cfg_FY,3,1),0))-MAX($E124,DATE(cfg_FY,3,1))+1)*(1-IF($M124="نعم",0,N($J124))))</f>
        <v>0</v>
      </c>
      <c r="Y124" s="57" t="n">
        <f aca="false">IF(OR($B124="",$E124="",$F124=""),0,MAX(0,MIN($F124,EOMONTH(DATE(cfg_FY,4,1),0))-MAX($E124,DATE(cfg_FY,4,1))+1)*(1-IF($M124="نعم",0,N($J124))))</f>
        <v>0</v>
      </c>
      <c r="Z124" s="57" t="n">
        <f aca="false">IF(OR($B124="",$E124="",$F124=""),0,MAX(0,MIN($F124,EOMONTH(DATE(cfg_FY,5,1),0))-MAX($E124,DATE(cfg_FY,5,1))+1)*(1-IF($M124="نعم",0,N($J124))))</f>
        <v>0</v>
      </c>
      <c r="AA124" s="57" t="n">
        <f aca="false">IF(OR($B124="",$E124="",$F124=""),0,MAX(0,MIN($F124,EOMONTH(DATE(cfg_FY,6,1),0))-MAX($E124,DATE(cfg_FY,6,1))+1)*(1-IF($M124="نعم",0,N($J124))))</f>
        <v>0</v>
      </c>
      <c r="AB124" s="57" t="n">
        <f aca="false">IF(OR($B124="",$E124="",$F124=""),0,MAX(0,MIN($F124,EOMONTH(DATE(cfg_FY,7,1),0))-MAX($E124,DATE(cfg_FY,7,1))+1)*(1-IF($M124="نعم",0,N($J124))))</f>
        <v>0</v>
      </c>
      <c r="AC124" s="57" t="n">
        <f aca="false">IF(OR($B124="",$E124="",$F124=""),0,MAX(0,MIN($F124,EOMONTH(DATE(cfg_FY,8,1),0))-MAX($E124,DATE(cfg_FY,8,1))+1)*(1-IF($M124="نعم",0,N($J124))))</f>
        <v>0</v>
      </c>
      <c r="AD124" s="57" t="n">
        <f aca="false">IF(OR($B124="",$E124="",$F124=""),0,MAX(0,MIN($F124,EOMONTH(DATE(cfg_FY,9,1),0))-MAX($E124,DATE(cfg_FY,9,1))+1)*(1-IF($M124="نعم",0,N($J124))))</f>
        <v>0</v>
      </c>
      <c r="AE124" s="57" t="n">
        <f aca="false">IF(OR($B124="",$E124="",$F124=""),0,MAX(0,MIN($F124,EOMONTH(DATE(cfg_FY,10,1),0))-MAX($E124,DATE(cfg_FY,10,1))+1)*(1-IF($M124="نعم",0,N($J124))))</f>
        <v>0</v>
      </c>
      <c r="AF124" s="57" t="n">
        <f aca="false">IF(OR($B124="",$E124="",$F124=""),0,MAX(0,MIN($F124,EOMONTH(DATE(cfg_FY,11,1),0))-MAX($E124,DATE(cfg_FY,11,1))+1)*(1-IF($M124="نعم",0,N($J124))))</f>
        <v>0</v>
      </c>
      <c r="AG124" s="57" t="n">
        <f aca="false">IF(OR($B124="",$E124="",$F124=""),0,MAX(0,MIN($F124,EOMONTH(DATE(cfg_FY,12,1),0))-MAX($E124,DATE(cfg_FY,12,1))+1)*(1-IF($M124="نعم",0,N($J124))))</f>
        <v>0</v>
      </c>
      <c r="AH124" s="57" t="n">
        <f aca="false">IF(OR(OR($B124="",$E124="",$F124=""),$L124&lt;&gt;"لا"),0,MAX(0,MIN($F124,EOMONTH(DATE(cfg_FY,1,1),0))-$E124+1))</f>
        <v>0</v>
      </c>
      <c r="AI124" s="57" t="n">
        <f aca="false">IF(OR(OR($B124="",$E124="",$F124=""),$L124&lt;&gt;"لا"),0,MAX(0,MIN($F124,EOMONTH(DATE(cfg_FY,2,1),0))-$E124+1))</f>
        <v>0</v>
      </c>
      <c r="AJ124" s="57" t="n">
        <f aca="false">IF(OR(OR($B124="",$E124="",$F124=""),$L124&lt;&gt;"لا"),0,MAX(0,MIN($F124,EOMONTH(DATE(cfg_FY,3,1),0))-$E124+1))</f>
        <v>0</v>
      </c>
      <c r="AK124" s="57" t="n">
        <f aca="false">IF(OR(OR($B124="",$E124="",$F124=""),$L124&lt;&gt;"لا"),0,MAX(0,MIN($F124,EOMONTH(DATE(cfg_FY,4,1),0))-$E124+1))</f>
        <v>0</v>
      </c>
      <c r="AL124" s="57" t="n">
        <f aca="false">IF(OR(OR($B124="",$E124="",$F124=""),$L124&lt;&gt;"لا"),0,MAX(0,MIN($F124,EOMONTH(DATE(cfg_FY,5,1),0))-$E124+1))</f>
        <v>0</v>
      </c>
      <c r="AM124" s="57" t="n">
        <f aca="false">IF(OR(OR($B124="",$E124="",$F124=""),$L124&lt;&gt;"لا"),0,MAX(0,MIN($F124,EOMONTH(DATE(cfg_FY,6,1),0))-$E124+1))</f>
        <v>0</v>
      </c>
      <c r="AN124" s="57" t="n">
        <f aca="false">IF(OR(OR($B124="",$E124="",$F124=""),$L124&lt;&gt;"لا"),0,MAX(0,MIN($F124,EOMONTH(DATE(cfg_FY,7,1),0))-$E124+1))</f>
        <v>0</v>
      </c>
      <c r="AO124" s="57" t="n">
        <f aca="false">IF(OR(OR($B124="",$E124="",$F124=""),$L124&lt;&gt;"لا"),0,MAX(0,MIN($F124,EOMONTH(DATE(cfg_FY,8,1),0))-$E124+1))</f>
        <v>0</v>
      </c>
      <c r="AP124" s="57" t="n">
        <f aca="false">IF(OR(OR($B124="",$E124="",$F124=""),$L124&lt;&gt;"لا"),0,MAX(0,MIN($F124,EOMONTH(DATE(cfg_FY,9,1),0))-$E124+1))</f>
        <v>0</v>
      </c>
      <c r="AQ124" s="57" t="n">
        <f aca="false">IF(OR(OR($B124="",$E124="",$F124=""),$L124&lt;&gt;"لا"),0,MAX(0,MIN($F124,EOMONTH(DATE(cfg_FY,10,1),0))-$E124+1))</f>
        <v>0</v>
      </c>
      <c r="AR124" s="57" t="n">
        <f aca="false">IF(OR(OR($B124="",$E124="",$F124=""),$L124&lt;&gt;"لا"),0,MAX(0,MIN($F124,EOMONTH(DATE(cfg_FY,11,1),0))-$E124+1))</f>
        <v>0</v>
      </c>
      <c r="AS124" s="57" t="n">
        <f aca="false">IF(OR(OR($B124="",$E124="",$F124=""),$L124&lt;&gt;"لا"),0,MAX(0,MIN($F124,EOMONTH(DATE(cfg_FY,12,1),0))-$E124+1))</f>
        <v>0</v>
      </c>
      <c r="AT124" s="57" t="n">
        <f aca="false">IF(OR(OR($B124="",$E124="",$F124=""),$K124&lt;&gt;"نعم",$M124="نعم"),0,MAX(0,MIN($F124,EOMONTH(DATE(cfg_FY,1,1),0))-MAX($E124,DATE(cfg_FY,1,1))+1))</f>
        <v>0</v>
      </c>
      <c r="AU124" s="57" t="n">
        <f aca="false">IF(OR(OR($B124="",$E124="",$F124=""),$K124&lt;&gt;"نعم",$M124="نعم"),0,MAX(0,MIN($F124,EOMONTH(DATE(cfg_FY,2,1),0))-MAX($E124,DATE(cfg_FY,2,1))+1))</f>
        <v>0</v>
      </c>
      <c r="AV124" s="57" t="n">
        <f aca="false">IF(OR(OR($B124="",$E124="",$F124=""),$K124&lt;&gt;"نعم",$M124="نعم"),0,MAX(0,MIN($F124,EOMONTH(DATE(cfg_FY,3,1),0))-MAX($E124,DATE(cfg_FY,3,1))+1))</f>
        <v>0</v>
      </c>
      <c r="AW124" s="57" t="n">
        <f aca="false">IF(OR(OR($B124="",$E124="",$F124=""),$K124&lt;&gt;"نعم",$M124="نعم"),0,MAX(0,MIN($F124,EOMONTH(DATE(cfg_FY,4,1),0))-MAX($E124,DATE(cfg_FY,4,1))+1))</f>
        <v>0</v>
      </c>
      <c r="AX124" s="57" t="n">
        <f aca="false">IF(OR(OR($B124="",$E124="",$F124=""),$K124&lt;&gt;"نعم",$M124="نعم"),0,MAX(0,MIN($F124,EOMONTH(DATE(cfg_FY,5,1),0))-MAX($E124,DATE(cfg_FY,5,1))+1))</f>
        <v>0</v>
      </c>
      <c r="AY124" s="57" t="n">
        <f aca="false">IF(OR(OR($B124="",$E124="",$F124=""),$K124&lt;&gt;"نعم",$M124="نعم"),0,MAX(0,MIN($F124,EOMONTH(DATE(cfg_FY,6,1),0))-MAX($E124,DATE(cfg_FY,6,1))+1))</f>
        <v>0</v>
      </c>
      <c r="AZ124" s="57" t="n">
        <f aca="false">IF(OR(OR($B124="",$E124="",$F124=""),$K124&lt;&gt;"نعم",$M124="نعم"),0,MAX(0,MIN($F124,EOMONTH(DATE(cfg_FY,7,1),0))-MAX($E124,DATE(cfg_FY,7,1))+1))</f>
        <v>0</v>
      </c>
      <c r="BA124" s="57" t="n">
        <f aca="false">IF(OR(OR($B124="",$E124="",$F124=""),$K124&lt;&gt;"نعم",$M124="نعم"),0,MAX(0,MIN($F124,EOMONTH(DATE(cfg_FY,8,1),0))-MAX($E124,DATE(cfg_FY,8,1))+1))</f>
        <v>0</v>
      </c>
      <c r="BB124" s="57" t="n">
        <f aca="false">IF(OR(OR($B124="",$E124="",$F124=""),$K124&lt;&gt;"نعم",$M124="نعم"),0,MAX(0,MIN($F124,EOMONTH(DATE(cfg_FY,9,1),0))-MAX($E124,DATE(cfg_FY,9,1))+1))</f>
        <v>0</v>
      </c>
      <c r="BC124" s="57" t="n">
        <f aca="false">IF(OR(OR($B124="",$E124="",$F124=""),$K124&lt;&gt;"نعم",$M124="نعم"),0,MAX(0,MIN($F124,EOMONTH(DATE(cfg_FY,10,1),0))-MAX($E124,DATE(cfg_FY,10,1))+1))</f>
        <v>0</v>
      </c>
      <c r="BD124" s="57" t="n">
        <f aca="false">IF(OR(OR($B124="",$E124="",$F124=""),$K124&lt;&gt;"نعم",$M124="نعم"),0,MAX(0,MIN($F124,EOMONTH(DATE(cfg_FY,11,1),0))-MAX($E124,DATE(cfg_FY,11,1))+1))</f>
        <v>0</v>
      </c>
      <c r="BE124" s="57" t="n">
        <f aca="false">IF(OR(OR($B124="",$E124="",$F124=""),$K124&lt;&gt;"نعم",$M124="نعم"),0,MAX(0,MIN($F124,EOMONTH(DATE(cfg_FY,12,1),0))-MAX($E124,DATE(cfg_FY,12,1))+1))</f>
        <v>0</v>
      </c>
    </row>
    <row r="125" customFormat="false" ht="15" hidden="false" customHeight="false" outlineLevel="0" collapsed="false">
      <c r="A125" s="100" t="str">
        <f aca="false">IF(B125="","",ROW()-5)</f>
        <v/>
      </c>
      <c r="B125" s="79"/>
      <c r="C125" s="102" t="str">
        <f aca="false">IF(B125="","",IFERROR(INDEX(الموظفون!$C$6:$C$105,MATCH(B125,الموظفون!$B$6:$B$105,0)),"✖ رقم غير موجود"))</f>
        <v/>
      </c>
      <c r="D125" s="79"/>
      <c r="E125" s="94"/>
      <c r="F125" s="94"/>
      <c r="G125" s="110" t="str">
        <f aca="false">IF(OR($B125="",$E125="",$F125=""),"",MAX(0,F125-E125+1))</f>
        <v/>
      </c>
      <c r="H125" s="111" t="str">
        <f aca="false">IF(D125="","",IFERROR(VLOOKUP(D125,cfg_LT,2,FALSE()),1))</f>
        <v/>
      </c>
      <c r="I125" s="82"/>
      <c r="J125" s="111" t="str">
        <f aca="false">IF(D125="","",IF(I125&lt;&gt;"",I125,H125))</f>
        <v/>
      </c>
      <c r="K125" s="102" t="str">
        <f aca="false">IF(D125="","",IFERROR(VLOOKUP($D125,cfg_LT,3,FALSE()),""))</f>
        <v/>
      </c>
      <c r="L125" s="102" t="str">
        <f aca="false">IF(D125="","",IFERROR(VLOOKUP($D125,cfg_LT,4,FALSE()),""))</f>
        <v/>
      </c>
      <c r="M125" s="102" t="str">
        <f aca="false">IF(D125="","",IFERROR(VLOOKUP($D125,cfg_LT,5,FALSE()),""))</f>
        <v/>
      </c>
      <c r="N125" s="101" t="n">
        <f aca="false">IF(OR(OR($B125="",$E125="",$F125=""),M125&lt;&gt;"نعم"),0,G125*J125*IFERROR(INDEX(الموظفون!$R$6:$R$105,MATCH(B125,الموظفون!$B$6:$B$105,0)),0)/cfg_DAYS_M)</f>
        <v>0</v>
      </c>
      <c r="O125" s="100" t="str">
        <f aca="false">IF(OR(OR($B125="",$E125="",$F125=""),M125&lt;&gt;"نعم"),"",IF(YEAR(E125)=cfg_FY,MONTH(E125),""))</f>
        <v/>
      </c>
      <c r="P125" s="102" t="str">
        <f aca="false">IF(B125="","",IF(OR(D125="",E125="",F125=""),"⚠ أكمل النوع والتواريخ",IF(F125&lt;E125,"✖ النهاية قبل البداية",IF(COUNTIFS($B$6:$B$505,B125,$E$6:$E$505,"&lt;="&amp;F125,$F$6:$F$505,"&gt;="&amp;E125)&gt;1,"⚠ تداخل مع سجل آخر",IF(E125&gt;cfg_VAL_DATE,"⏳ قادمة",IF(F125&lt;cfg_VAL_DATE,"✔ منتهية","✈ جارية في تاريخ التقرير"))))))</f>
        <v/>
      </c>
      <c r="Q125" s="79"/>
      <c r="R125" s="110" t="n">
        <f aca="false">IF(OR(OR($B125="",$E125="",$F125=""),L125&lt;&gt;"لا"),0,MAX(0,MIN(F125,cfg_Y_START-1)-E125+1))</f>
        <v>0</v>
      </c>
      <c r="S125" s="110" t="n">
        <f aca="false">IF(OR(OR($B125="",$E125="",$F125=""),L125&lt;&gt;"لا"),0,MAX(0,MIN(F125,cfg_VAL_DATE)-E125+1))</f>
        <v>0</v>
      </c>
      <c r="T125" s="110" t="n">
        <f aca="false">IF(OR(OR($B125="",$E125="",$F125=""),K125&lt;&gt;"نعم"),0,IF(M125="نعم",IF(AND(ISNUMBER(O125),N(O125)&lt;=cfg_VAL_M),G125,0),MAX(0,MIN(F125,cfg_VAL_DATE)-MAX(E125,cfg_Y_START)+1)))</f>
        <v>0</v>
      </c>
      <c r="V125" s="110" t="n">
        <f aca="false">IF(OR($B125="",$E125="",$F125=""),0,MAX(0,MIN($F125,EOMONTH(DATE(cfg_FY,1,1),0))-MAX($E125,DATE(cfg_FY,1,1))+1)*(1-IF($M125="نعم",0,N($J125))))</f>
        <v>0</v>
      </c>
      <c r="W125" s="110" t="n">
        <f aca="false">IF(OR($B125="",$E125="",$F125=""),0,MAX(0,MIN($F125,EOMONTH(DATE(cfg_FY,2,1),0))-MAX($E125,DATE(cfg_FY,2,1))+1)*(1-IF($M125="نعم",0,N($J125))))</f>
        <v>0</v>
      </c>
      <c r="X125" s="110" t="n">
        <f aca="false">IF(OR($B125="",$E125="",$F125=""),0,MAX(0,MIN($F125,EOMONTH(DATE(cfg_FY,3,1),0))-MAX($E125,DATE(cfg_FY,3,1))+1)*(1-IF($M125="نعم",0,N($J125))))</f>
        <v>0</v>
      </c>
      <c r="Y125" s="110" t="n">
        <f aca="false">IF(OR($B125="",$E125="",$F125=""),0,MAX(0,MIN($F125,EOMONTH(DATE(cfg_FY,4,1),0))-MAX($E125,DATE(cfg_FY,4,1))+1)*(1-IF($M125="نعم",0,N($J125))))</f>
        <v>0</v>
      </c>
      <c r="Z125" s="110" t="n">
        <f aca="false">IF(OR($B125="",$E125="",$F125=""),0,MAX(0,MIN($F125,EOMONTH(DATE(cfg_FY,5,1),0))-MAX($E125,DATE(cfg_FY,5,1))+1)*(1-IF($M125="نعم",0,N($J125))))</f>
        <v>0</v>
      </c>
      <c r="AA125" s="110" t="n">
        <f aca="false">IF(OR($B125="",$E125="",$F125=""),0,MAX(0,MIN($F125,EOMONTH(DATE(cfg_FY,6,1),0))-MAX($E125,DATE(cfg_FY,6,1))+1)*(1-IF($M125="نعم",0,N($J125))))</f>
        <v>0</v>
      </c>
      <c r="AB125" s="110" t="n">
        <f aca="false">IF(OR($B125="",$E125="",$F125=""),0,MAX(0,MIN($F125,EOMONTH(DATE(cfg_FY,7,1),0))-MAX($E125,DATE(cfg_FY,7,1))+1)*(1-IF($M125="نعم",0,N($J125))))</f>
        <v>0</v>
      </c>
      <c r="AC125" s="110" t="n">
        <f aca="false">IF(OR($B125="",$E125="",$F125=""),0,MAX(0,MIN($F125,EOMONTH(DATE(cfg_FY,8,1),0))-MAX($E125,DATE(cfg_FY,8,1))+1)*(1-IF($M125="نعم",0,N($J125))))</f>
        <v>0</v>
      </c>
      <c r="AD125" s="110" t="n">
        <f aca="false">IF(OR($B125="",$E125="",$F125=""),0,MAX(0,MIN($F125,EOMONTH(DATE(cfg_FY,9,1),0))-MAX($E125,DATE(cfg_FY,9,1))+1)*(1-IF($M125="نعم",0,N($J125))))</f>
        <v>0</v>
      </c>
      <c r="AE125" s="110" t="n">
        <f aca="false">IF(OR($B125="",$E125="",$F125=""),0,MAX(0,MIN($F125,EOMONTH(DATE(cfg_FY,10,1),0))-MAX($E125,DATE(cfg_FY,10,1))+1)*(1-IF($M125="نعم",0,N($J125))))</f>
        <v>0</v>
      </c>
      <c r="AF125" s="110" t="n">
        <f aca="false">IF(OR($B125="",$E125="",$F125=""),0,MAX(0,MIN($F125,EOMONTH(DATE(cfg_FY,11,1),0))-MAX($E125,DATE(cfg_FY,11,1))+1)*(1-IF($M125="نعم",0,N($J125))))</f>
        <v>0</v>
      </c>
      <c r="AG125" s="110" t="n">
        <f aca="false">IF(OR($B125="",$E125="",$F125=""),0,MAX(0,MIN($F125,EOMONTH(DATE(cfg_FY,12,1),0))-MAX($E125,DATE(cfg_FY,12,1))+1)*(1-IF($M125="نعم",0,N($J125))))</f>
        <v>0</v>
      </c>
      <c r="AH125" s="110" t="n">
        <f aca="false">IF(OR(OR($B125="",$E125="",$F125=""),$L125&lt;&gt;"لا"),0,MAX(0,MIN($F125,EOMONTH(DATE(cfg_FY,1,1),0))-$E125+1))</f>
        <v>0</v>
      </c>
      <c r="AI125" s="110" t="n">
        <f aca="false">IF(OR(OR($B125="",$E125="",$F125=""),$L125&lt;&gt;"لا"),0,MAX(0,MIN($F125,EOMONTH(DATE(cfg_FY,2,1),0))-$E125+1))</f>
        <v>0</v>
      </c>
      <c r="AJ125" s="110" t="n">
        <f aca="false">IF(OR(OR($B125="",$E125="",$F125=""),$L125&lt;&gt;"لا"),0,MAX(0,MIN($F125,EOMONTH(DATE(cfg_FY,3,1),0))-$E125+1))</f>
        <v>0</v>
      </c>
      <c r="AK125" s="110" t="n">
        <f aca="false">IF(OR(OR($B125="",$E125="",$F125=""),$L125&lt;&gt;"لا"),0,MAX(0,MIN($F125,EOMONTH(DATE(cfg_FY,4,1),0))-$E125+1))</f>
        <v>0</v>
      </c>
      <c r="AL125" s="110" t="n">
        <f aca="false">IF(OR(OR($B125="",$E125="",$F125=""),$L125&lt;&gt;"لا"),0,MAX(0,MIN($F125,EOMONTH(DATE(cfg_FY,5,1),0))-$E125+1))</f>
        <v>0</v>
      </c>
      <c r="AM125" s="110" t="n">
        <f aca="false">IF(OR(OR($B125="",$E125="",$F125=""),$L125&lt;&gt;"لا"),0,MAX(0,MIN($F125,EOMONTH(DATE(cfg_FY,6,1),0))-$E125+1))</f>
        <v>0</v>
      </c>
      <c r="AN125" s="110" t="n">
        <f aca="false">IF(OR(OR($B125="",$E125="",$F125=""),$L125&lt;&gt;"لا"),0,MAX(0,MIN($F125,EOMONTH(DATE(cfg_FY,7,1),0))-$E125+1))</f>
        <v>0</v>
      </c>
      <c r="AO125" s="110" t="n">
        <f aca="false">IF(OR(OR($B125="",$E125="",$F125=""),$L125&lt;&gt;"لا"),0,MAX(0,MIN($F125,EOMONTH(DATE(cfg_FY,8,1),0))-$E125+1))</f>
        <v>0</v>
      </c>
      <c r="AP125" s="110" t="n">
        <f aca="false">IF(OR(OR($B125="",$E125="",$F125=""),$L125&lt;&gt;"لا"),0,MAX(0,MIN($F125,EOMONTH(DATE(cfg_FY,9,1),0))-$E125+1))</f>
        <v>0</v>
      </c>
      <c r="AQ125" s="110" t="n">
        <f aca="false">IF(OR(OR($B125="",$E125="",$F125=""),$L125&lt;&gt;"لا"),0,MAX(0,MIN($F125,EOMONTH(DATE(cfg_FY,10,1),0))-$E125+1))</f>
        <v>0</v>
      </c>
      <c r="AR125" s="110" t="n">
        <f aca="false">IF(OR(OR($B125="",$E125="",$F125=""),$L125&lt;&gt;"لا"),0,MAX(0,MIN($F125,EOMONTH(DATE(cfg_FY,11,1),0))-$E125+1))</f>
        <v>0</v>
      </c>
      <c r="AS125" s="110" t="n">
        <f aca="false">IF(OR(OR($B125="",$E125="",$F125=""),$L125&lt;&gt;"لا"),0,MAX(0,MIN($F125,EOMONTH(DATE(cfg_FY,12,1),0))-$E125+1))</f>
        <v>0</v>
      </c>
      <c r="AT125" s="110" t="n">
        <f aca="false">IF(OR(OR($B125="",$E125="",$F125=""),$K125&lt;&gt;"نعم",$M125="نعم"),0,MAX(0,MIN($F125,EOMONTH(DATE(cfg_FY,1,1),0))-MAX($E125,DATE(cfg_FY,1,1))+1))</f>
        <v>0</v>
      </c>
      <c r="AU125" s="110" t="n">
        <f aca="false">IF(OR(OR($B125="",$E125="",$F125=""),$K125&lt;&gt;"نعم",$M125="نعم"),0,MAX(0,MIN($F125,EOMONTH(DATE(cfg_FY,2,1),0))-MAX($E125,DATE(cfg_FY,2,1))+1))</f>
        <v>0</v>
      </c>
      <c r="AV125" s="110" t="n">
        <f aca="false">IF(OR(OR($B125="",$E125="",$F125=""),$K125&lt;&gt;"نعم",$M125="نعم"),0,MAX(0,MIN($F125,EOMONTH(DATE(cfg_FY,3,1),0))-MAX($E125,DATE(cfg_FY,3,1))+1))</f>
        <v>0</v>
      </c>
      <c r="AW125" s="110" t="n">
        <f aca="false">IF(OR(OR($B125="",$E125="",$F125=""),$K125&lt;&gt;"نعم",$M125="نعم"),0,MAX(0,MIN($F125,EOMONTH(DATE(cfg_FY,4,1),0))-MAX($E125,DATE(cfg_FY,4,1))+1))</f>
        <v>0</v>
      </c>
      <c r="AX125" s="110" t="n">
        <f aca="false">IF(OR(OR($B125="",$E125="",$F125=""),$K125&lt;&gt;"نعم",$M125="نعم"),0,MAX(0,MIN($F125,EOMONTH(DATE(cfg_FY,5,1),0))-MAX($E125,DATE(cfg_FY,5,1))+1))</f>
        <v>0</v>
      </c>
      <c r="AY125" s="110" t="n">
        <f aca="false">IF(OR(OR($B125="",$E125="",$F125=""),$K125&lt;&gt;"نعم",$M125="نعم"),0,MAX(0,MIN($F125,EOMONTH(DATE(cfg_FY,6,1),0))-MAX($E125,DATE(cfg_FY,6,1))+1))</f>
        <v>0</v>
      </c>
      <c r="AZ125" s="110" t="n">
        <f aca="false">IF(OR(OR($B125="",$E125="",$F125=""),$K125&lt;&gt;"نعم",$M125="نعم"),0,MAX(0,MIN($F125,EOMONTH(DATE(cfg_FY,7,1),0))-MAX($E125,DATE(cfg_FY,7,1))+1))</f>
        <v>0</v>
      </c>
      <c r="BA125" s="110" t="n">
        <f aca="false">IF(OR(OR($B125="",$E125="",$F125=""),$K125&lt;&gt;"نعم",$M125="نعم"),0,MAX(0,MIN($F125,EOMONTH(DATE(cfg_FY,8,1),0))-MAX($E125,DATE(cfg_FY,8,1))+1))</f>
        <v>0</v>
      </c>
      <c r="BB125" s="110" t="n">
        <f aca="false">IF(OR(OR($B125="",$E125="",$F125=""),$K125&lt;&gt;"نعم",$M125="نعم"),0,MAX(0,MIN($F125,EOMONTH(DATE(cfg_FY,9,1),0))-MAX($E125,DATE(cfg_FY,9,1))+1))</f>
        <v>0</v>
      </c>
      <c r="BC125" s="110" t="n">
        <f aca="false">IF(OR(OR($B125="",$E125="",$F125=""),$K125&lt;&gt;"نعم",$M125="نعم"),0,MAX(0,MIN($F125,EOMONTH(DATE(cfg_FY,10,1),0))-MAX($E125,DATE(cfg_FY,10,1))+1))</f>
        <v>0</v>
      </c>
      <c r="BD125" s="110" t="n">
        <f aca="false">IF(OR(OR($B125="",$E125="",$F125=""),$K125&lt;&gt;"نعم",$M125="نعم"),0,MAX(0,MIN($F125,EOMONTH(DATE(cfg_FY,11,1),0))-MAX($E125,DATE(cfg_FY,11,1))+1))</f>
        <v>0</v>
      </c>
      <c r="BE125" s="110" t="n">
        <f aca="false">IF(OR(OR($B125="",$E125="",$F125=""),$K125&lt;&gt;"نعم",$M125="نعم"),0,MAX(0,MIN($F125,EOMONTH(DATE(cfg_FY,12,1),0))-MAX($E125,DATE(cfg_FY,12,1))+1))</f>
        <v>0</v>
      </c>
    </row>
    <row r="126" customFormat="false" ht="15" hidden="false" customHeight="false" outlineLevel="0" collapsed="false">
      <c r="A126" s="93" t="str">
        <f aca="false">IF(B126="","",ROW()-5)</f>
        <v/>
      </c>
      <c r="B126" s="79"/>
      <c r="C126" s="80" t="str">
        <f aca="false">IF(B126="","",IFERROR(INDEX(الموظفون!$C$6:$C$105,MATCH(B126,الموظفون!$B$6:$B$105,0)),"✖ رقم غير موجود"))</f>
        <v/>
      </c>
      <c r="D126" s="79"/>
      <c r="E126" s="94"/>
      <c r="F126" s="94"/>
      <c r="G126" s="57" t="str">
        <f aca="false">IF(OR($B126="",$E126="",$F126=""),"",MAX(0,F126-E126+1))</f>
        <v/>
      </c>
      <c r="H126" s="58" t="str">
        <f aca="false">IF(D126="","",IFERROR(VLOOKUP(D126,cfg_LT,2,FALSE()),1))</f>
        <v/>
      </c>
      <c r="I126" s="82"/>
      <c r="J126" s="58" t="str">
        <f aca="false">IF(D126="","",IF(I126&lt;&gt;"",I126,H126))</f>
        <v/>
      </c>
      <c r="K126" s="80" t="str">
        <f aca="false">IF(D126="","",IFERROR(VLOOKUP($D126,cfg_LT,3,FALSE()),""))</f>
        <v/>
      </c>
      <c r="L126" s="80" t="str">
        <f aca="false">IF(D126="","",IFERROR(VLOOKUP($D126,cfg_LT,4,FALSE()),""))</f>
        <v/>
      </c>
      <c r="M126" s="80" t="str">
        <f aca="false">IF(D126="","",IFERROR(VLOOKUP($D126,cfg_LT,5,FALSE()),""))</f>
        <v/>
      </c>
      <c r="N126" s="97" t="n">
        <f aca="false">IF(OR(OR($B126="",$E126="",$F126=""),M126&lt;&gt;"نعم"),0,G126*J126*IFERROR(INDEX(الموظفون!$R$6:$R$105,MATCH(B126,الموظفون!$B$6:$B$105,0)),0)/cfg_DAYS_M)</f>
        <v>0</v>
      </c>
      <c r="O126" s="93" t="str">
        <f aca="false">IF(OR(OR($B126="",$E126="",$F126=""),M126&lt;&gt;"نعم"),"",IF(YEAR(E126)=cfg_FY,MONTH(E126),""))</f>
        <v/>
      </c>
      <c r="P126" s="80" t="str">
        <f aca="false">IF(B126="","",IF(OR(D126="",E126="",F126=""),"⚠ أكمل النوع والتواريخ",IF(F126&lt;E126,"✖ النهاية قبل البداية",IF(COUNTIFS($B$6:$B$505,B126,$E$6:$E$505,"&lt;="&amp;F126,$F$6:$F$505,"&gt;="&amp;E126)&gt;1,"⚠ تداخل مع سجل آخر",IF(E126&gt;cfg_VAL_DATE,"⏳ قادمة",IF(F126&lt;cfg_VAL_DATE,"✔ منتهية","✈ جارية في تاريخ التقرير"))))))</f>
        <v/>
      </c>
      <c r="Q126" s="79"/>
      <c r="R126" s="57" t="n">
        <f aca="false">IF(OR(OR($B126="",$E126="",$F126=""),L126&lt;&gt;"لا"),0,MAX(0,MIN(F126,cfg_Y_START-1)-E126+1))</f>
        <v>0</v>
      </c>
      <c r="S126" s="57" t="n">
        <f aca="false">IF(OR(OR($B126="",$E126="",$F126=""),L126&lt;&gt;"لا"),0,MAX(0,MIN(F126,cfg_VAL_DATE)-E126+1))</f>
        <v>0</v>
      </c>
      <c r="T126" s="57" t="n">
        <f aca="false">IF(OR(OR($B126="",$E126="",$F126=""),K126&lt;&gt;"نعم"),0,IF(M126="نعم",IF(AND(ISNUMBER(O126),N(O126)&lt;=cfg_VAL_M),G126,0),MAX(0,MIN(F126,cfg_VAL_DATE)-MAX(E126,cfg_Y_START)+1)))</f>
        <v>0</v>
      </c>
      <c r="V126" s="57" t="n">
        <f aca="false">IF(OR($B126="",$E126="",$F126=""),0,MAX(0,MIN($F126,EOMONTH(DATE(cfg_FY,1,1),0))-MAX($E126,DATE(cfg_FY,1,1))+1)*(1-IF($M126="نعم",0,N($J126))))</f>
        <v>0</v>
      </c>
      <c r="W126" s="57" t="n">
        <f aca="false">IF(OR($B126="",$E126="",$F126=""),0,MAX(0,MIN($F126,EOMONTH(DATE(cfg_FY,2,1),0))-MAX($E126,DATE(cfg_FY,2,1))+1)*(1-IF($M126="نعم",0,N($J126))))</f>
        <v>0</v>
      </c>
      <c r="X126" s="57" t="n">
        <f aca="false">IF(OR($B126="",$E126="",$F126=""),0,MAX(0,MIN($F126,EOMONTH(DATE(cfg_FY,3,1),0))-MAX($E126,DATE(cfg_FY,3,1))+1)*(1-IF($M126="نعم",0,N($J126))))</f>
        <v>0</v>
      </c>
      <c r="Y126" s="57" t="n">
        <f aca="false">IF(OR($B126="",$E126="",$F126=""),0,MAX(0,MIN($F126,EOMONTH(DATE(cfg_FY,4,1),0))-MAX($E126,DATE(cfg_FY,4,1))+1)*(1-IF($M126="نعم",0,N($J126))))</f>
        <v>0</v>
      </c>
      <c r="Z126" s="57" t="n">
        <f aca="false">IF(OR($B126="",$E126="",$F126=""),0,MAX(0,MIN($F126,EOMONTH(DATE(cfg_FY,5,1),0))-MAX($E126,DATE(cfg_FY,5,1))+1)*(1-IF($M126="نعم",0,N($J126))))</f>
        <v>0</v>
      </c>
      <c r="AA126" s="57" t="n">
        <f aca="false">IF(OR($B126="",$E126="",$F126=""),0,MAX(0,MIN($F126,EOMONTH(DATE(cfg_FY,6,1),0))-MAX($E126,DATE(cfg_FY,6,1))+1)*(1-IF($M126="نعم",0,N($J126))))</f>
        <v>0</v>
      </c>
      <c r="AB126" s="57" t="n">
        <f aca="false">IF(OR($B126="",$E126="",$F126=""),0,MAX(0,MIN($F126,EOMONTH(DATE(cfg_FY,7,1),0))-MAX($E126,DATE(cfg_FY,7,1))+1)*(1-IF($M126="نعم",0,N($J126))))</f>
        <v>0</v>
      </c>
      <c r="AC126" s="57" t="n">
        <f aca="false">IF(OR($B126="",$E126="",$F126=""),0,MAX(0,MIN($F126,EOMONTH(DATE(cfg_FY,8,1),0))-MAX($E126,DATE(cfg_FY,8,1))+1)*(1-IF($M126="نعم",0,N($J126))))</f>
        <v>0</v>
      </c>
      <c r="AD126" s="57" t="n">
        <f aca="false">IF(OR($B126="",$E126="",$F126=""),0,MAX(0,MIN($F126,EOMONTH(DATE(cfg_FY,9,1),0))-MAX($E126,DATE(cfg_FY,9,1))+1)*(1-IF($M126="نعم",0,N($J126))))</f>
        <v>0</v>
      </c>
      <c r="AE126" s="57" t="n">
        <f aca="false">IF(OR($B126="",$E126="",$F126=""),0,MAX(0,MIN($F126,EOMONTH(DATE(cfg_FY,10,1),0))-MAX($E126,DATE(cfg_FY,10,1))+1)*(1-IF($M126="نعم",0,N($J126))))</f>
        <v>0</v>
      </c>
      <c r="AF126" s="57" t="n">
        <f aca="false">IF(OR($B126="",$E126="",$F126=""),0,MAX(0,MIN($F126,EOMONTH(DATE(cfg_FY,11,1),0))-MAX($E126,DATE(cfg_FY,11,1))+1)*(1-IF($M126="نعم",0,N($J126))))</f>
        <v>0</v>
      </c>
      <c r="AG126" s="57" t="n">
        <f aca="false">IF(OR($B126="",$E126="",$F126=""),0,MAX(0,MIN($F126,EOMONTH(DATE(cfg_FY,12,1),0))-MAX($E126,DATE(cfg_FY,12,1))+1)*(1-IF($M126="نعم",0,N($J126))))</f>
        <v>0</v>
      </c>
      <c r="AH126" s="57" t="n">
        <f aca="false">IF(OR(OR($B126="",$E126="",$F126=""),$L126&lt;&gt;"لا"),0,MAX(0,MIN($F126,EOMONTH(DATE(cfg_FY,1,1),0))-$E126+1))</f>
        <v>0</v>
      </c>
      <c r="AI126" s="57" t="n">
        <f aca="false">IF(OR(OR($B126="",$E126="",$F126=""),$L126&lt;&gt;"لا"),0,MAX(0,MIN($F126,EOMONTH(DATE(cfg_FY,2,1),0))-$E126+1))</f>
        <v>0</v>
      </c>
      <c r="AJ126" s="57" t="n">
        <f aca="false">IF(OR(OR($B126="",$E126="",$F126=""),$L126&lt;&gt;"لا"),0,MAX(0,MIN($F126,EOMONTH(DATE(cfg_FY,3,1),0))-$E126+1))</f>
        <v>0</v>
      </c>
      <c r="AK126" s="57" t="n">
        <f aca="false">IF(OR(OR($B126="",$E126="",$F126=""),$L126&lt;&gt;"لا"),0,MAX(0,MIN($F126,EOMONTH(DATE(cfg_FY,4,1),0))-$E126+1))</f>
        <v>0</v>
      </c>
      <c r="AL126" s="57" t="n">
        <f aca="false">IF(OR(OR($B126="",$E126="",$F126=""),$L126&lt;&gt;"لا"),0,MAX(0,MIN($F126,EOMONTH(DATE(cfg_FY,5,1),0))-$E126+1))</f>
        <v>0</v>
      </c>
      <c r="AM126" s="57" t="n">
        <f aca="false">IF(OR(OR($B126="",$E126="",$F126=""),$L126&lt;&gt;"لا"),0,MAX(0,MIN($F126,EOMONTH(DATE(cfg_FY,6,1),0))-$E126+1))</f>
        <v>0</v>
      </c>
      <c r="AN126" s="57" t="n">
        <f aca="false">IF(OR(OR($B126="",$E126="",$F126=""),$L126&lt;&gt;"لا"),0,MAX(0,MIN($F126,EOMONTH(DATE(cfg_FY,7,1),0))-$E126+1))</f>
        <v>0</v>
      </c>
      <c r="AO126" s="57" t="n">
        <f aca="false">IF(OR(OR($B126="",$E126="",$F126=""),$L126&lt;&gt;"لا"),0,MAX(0,MIN($F126,EOMONTH(DATE(cfg_FY,8,1),0))-$E126+1))</f>
        <v>0</v>
      </c>
      <c r="AP126" s="57" t="n">
        <f aca="false">IF(OR(OR($B126="",$E126="",$F126=""),$L126&lt;&gt;"لا"),0,MAX(0,MIN($F126,EOMONTH(DATE(cfg_FY,9,1),0))-$E126+1))</f>
        <v>0</v>
      </c>
      <c r="AQ126" s="57" t="n">
        <f aca="false">IF(OR(OR($B126="",$E126="",$F126=""),$L126&lt;&gt;"لا"),0,MAX(0,MIN($F126,EOMONTH(DATE(cfg_FY,10,1),0))-$E126+1))</f>
        <v>0</v>
      </c>
      <c r="AR126" s="57" t="n">
        <f aca="false">IF(OR(OR($B126="",$E126="",$F126=""),$L126&lt;&gt;"لا"),0,MAX(0,MIN($F126,EOMONTH(DATE(cfg_FY,11,1),0))-$E126+1))</f>
        <v>0</v>
      </c>
      <c r="AS126" s="57" t="n">
        <f aca="false">IF(OR(OR($B126="",$E126="",$F126=""),$L126&lt;&gt;"لا"),0,MAX(0,MIN($F126,EOMONTH(DATE(cfg_FY,12,1),0))-$E126+1))</f>
        <v>0</v>
      </c>
      <c r="AT126" s="57" t="n">
        <f aca="false">IF(OR(OR($B126="",$E126="",$F126=""),$K126&lt;&gt;"نعم",$M126="نعم"),0,MAX(0,MIN($F126,EOMONTH(DATE(cfg_FY,1,1),0))-MAX($E126,DATE(cfg_FY,1,1))+1))</f>
        <v>0</v>
      </c>
      <c r="AU126" s="57" t="n">
        <f aca="false">IF(OR(OR($B126="",$E126="",$F126=""),$K126&lt;&gt;"نعم",$M126="نعم"),0,MAX(0,MIN($F126,EOMONTH(DATE(cfg_FY,2,1),0))-MAX($E126,DATE(cfg_FY,2,1))+1))</f>
        <v>0</v>
      </c>
      <c r="AV126" s="57" t="n">
        <f aca="false">IF(OR(OR($B126="",$E126="",$F126=""),$K126&lt;&gt;"نعم",$M126="نعم"),0,MAX(0,MIN($F126,EOMONTH(DATE(cfg_FY,3,1),0))-MAX($E126,DATE(cfg_FY,3,1))+1))</f>
        <v>0</v>
      </c>
      <c r="AW126" s="57" t="n">
        <f aca="false">IF(OR(OR($B126="",$E126="",$F126=""),$K126&lt;&gt;"نعم",$M126="نعم"),0,MAX(0,MIN($F126,EOMONTH(DATE(cfg_FY,4,1),0))-MAX($E126,DATE(cfg_FY,4,1))+1))</f>
        <v>0</v>
      </c>
      <c r="AX126" s="57" t="n">
        <f aca="false">IF(OR(OR($B126="",$E126="",$F126=""),$K126&lt;&gt;"نعم",$M126="نعم"),0,MAX(0,MIN($F126,EOMONTH(DATE(cfg_FY,5,1),0))-MAX($E126,DATE(cfg_FY,5,1))+1))</f>
        <v>0</v>
      </c>
      <c r="AY126" s="57" t="n">
        <f aca="false">IF(OR(OR($B126="",$E126="",$F126=""),$K126&lt;&gt;"نعم",$M126="نعم"),0,MAX(0,MIN($F126,EOMONTH(DATE(cfg_FY,6,1),0))-MAX($E126,DATE(cfg_FY,6,1))+1))</f>
        <v>0</v>
      </c>
      <c r="AZ126" s="57" t="n">
        <f aca="false">IF(OR(OR($B126="",$E126="",$F126=""),$K126&lt;&gt;"نعم",$M126="نعم"),0,MAX(0,MIN($F126,EOMONTH(DATE(cfg_FY,7,1),0))-MAX($E126,DATE(cfg_FY,7,1))+1))</f>
        <v>0</v>
      </c>
      <c r="BA126" s="57" t="n">
        <f aca="false">IF(OR(OR($B126="",$E126="",$F126=""),$K126&lt;&gt;"نعم",$M126="نعم"),0,MAX(0,MIN($F126,EOMONTH(DATE(cfg_FY,8,1),0))-MAX($E126,DATE(cfg_FY,8,1))+1))</f>
        <v>0</v>
      </c>
      <c r="BB126" s="57" t="n">
        <f aca="false">IF(OR(OR($B126="",$E126="",$F126=""),$K126&lt;&gt;"نعم",$M126="نعم"),0,MAX(0,MIN($F126,EOMONTH(DATE(cfg_FY,9,1),0))-MAX($E126,DATE(cfg_FY,9,1))+1))</f>
        <v>0</v>
      </c>
      <c r="BC126" s="57" t="n">
        <f aca="false">IF(OR(OR($B126="",$E126="",$F126=""),$K126&lt;&gt;"نعم",$M126="نعم"),0,MAX(0,MIN($F126,EOMONTH(DATE(cfg_FY,10,1),0))-MAX($E126,DATE(cfg_FY,10,1))+1))</f>
        <v>0</v>
      </c>
      <c r="BD126" s="57" t="n">
        <f aca="false">IF(OR(OR($B126="",$E126="",$F126=""),$K126&lt;&gt;"نعم",$M126="نعم"),0,MAX(0,MIN($F126,EOMONTH(DATE(cfg_FY,11,1),0))-MAX($E126,DATE(cfg_FY,11,1))+1))</f>
        <v>0</v>
      </c>
      <c r="BE126" s="57" t="n">
        <f aca="false">IF(OR(OR($B126="",$E126="",$F126=""),$K126&lt;&gt;"نعم",$M126="نعم"),0,MAX(0,MIN($F126,EOMONTH(DATE(cfg_FY,12,1),0))-MAX($E126,DATE(cfg_FY,12,1))+1))</f>
        <v>0</v>
      </c>
    </row>
    <row r="127" customFormat="false" ht="15" hidden="false" customHeight="false" outlineLevel="0" collapsed="false">
      <c r="A127" s="100" t="str">
        <f aca="false">IF(B127="","",ROW()-5)</f>
        <v/>
      </c>
      <c r="B127" s="79"/>
      <c r="C127" s="102" t="str">
        <f aca="false">IF(B127="","",IFERROR(INDEX(الموظفون!$C$6:$C$105,MATCH(B127,الموظفون!$B$6:$B$105,0)),"✖ رقم غير موجود"))</f>
        <v/>
      </c>
      <c r="D127" s="79"/>
      <c r="E127" s="94"/>
      <c r="F127" s="94"/>
      <c r="G127" s="110" t="str">
        <f aca="false">IF(OR($B127="",$E127="",$F127=""),"",MAX(0,F127-E127+1))</f>
        <v/>
      </c>
      <c r="H127" s="111" t="str">
        <f aca="false">IF(D127="","",IFERROR(VLOOKUP(D127,cfg_LT,2,FALSE()),1))</f>
        <v/>
      </c>
      <c r="I127" s="82"/>
      <c r="J127" s="111" t="str">
        <f aca="false">IF(D127="","",IF(I127&lt;&gt;"",I127,H127))</f>
        <v/>
      </c>
      <c r="K127" s="102" t="str">
        <f aca="false">IF(D127="","",IFERROR(VLOOKUP($D127,cfg_LT,3,FALSE()),""))</f>
        <v/>
      </c>
      <c r="L127" s="102" t="str">
        <f aca="false">IF(D127="","",IFERROR(VLOOKUP($D127,cfg_LT,4,FALSE()),""))</f>
        <v/>
      </c>
      <c r="M127" s="102" t="str">
        <f aca="false">IF(D127="","",IFERROR(VLOOKUP($D127,cfg_LT,5,FALSE()),""))</f>
        <v/>
      </c>
      <c r="N127" s="101" t="n">
        <f aca="false">IF(OR(OR($B127="",$E127="",$F127=""),M127&lt;&gt;"نعم"),0,G127*J127*IFERROR(INDEX(الموظفون!$R$6:$R$105,MATCH(B127,الموظفون!$B$6:$B$105,0)),0)/cfg_DAYS_M)</f>
        <v>0</v>
      </c>
      <c r="O127" s="100" t="str">
        <f aca="false">IF(OR(OR($B127="",$E127="",$F127=""),M127&lt;&gt;"نعم"),"",IF(YEAR(E127)=cfg_FY,MONTH(E127),""))</f>
        <v/>
      </c>
      <c r="P127" s="102" t="str">
        <f aca="false">IF(B127="","",IF(OR(D127="",E127="",F127=""),"⚠ أكمل النوع والتواريخ",IF(F127&lt;E127,"✖ النهاية قبل البداية",IF(COUNTIFS($B$6:$B$505,B127,$E$6:$E$505,"&lt;="&amp;F127,$F$6:$F$505,"&gt;="&amp;E127)&gt;1,"⚠ تداخل مع سجل آخر",IF(E127&gt;cfg_VAL_DATE,"⏳ قادمة",IF(F127&lt;cfg_VAL_DATE,"✔ منتهية","✈ جارية في تاريخ التقرير"))))))</f>
        <v/>
      </c>
      <c r="Q127" s="79"/>
      <c r="R127" s="110" t="n">
        <f aca="false">IF(OR(OR($B127="",$E127="",$F127=""),L127&lt;&gt;"لا"),0,MAX(0,MIN(F127,cfg_Y_START-1)-E127+1))</f>
        <v>0</v>
      </c>
      <c r="S127" s="110" t="n">
        <f aca="false">IF(OR(OR($B127="",$E127="",$F127=""),L127&lt;&gt;"لا"),0,MAX(0,MIN(F127,cfg_VAL_DATE)-E127+1))</f>
        <v>0</v>
      </c>
      <c r="T127" s="110" t="n">
        <f aca="false">IF(OR(OR($B127="",$E127="",$F127=""),K127&lt;&gt;"نعم"),0,IF(M127="نعم",IF(AND(ISNUMBER(O127),N(O127)&lt;=cfg_VAL_M),G127,0),MAX(0,MIN(F127,cfg_VAL_DATE)-MAX(E127,cfg_Y_START)+1)))</f>
        <v>0</v>
      </c>
      <c r="V127" s="110" t="n">
        <f aca="false">IF(OR($B127="",$E127="",$F127=""),0,MAX(0,MIN($F127,EOMONTH(DATE(cfg_FY,1,1),0))-MAX($E127,DATE(cfg_FY,1,1))+1)*(1-IF($M127="نعم",0,N($J127))))</f>
        <v>0</v>
      </c>
      <c r="W127" s="110" t="n">
        <f aca="false">IF(OR($B127="",$E127="",$F127=""),0,MAX(0,MIN($F127,EOMONTH(DATE(cfg_FY,2,1),0))-MAX($E127,DATE(cfg_FY,2,1))+1)*(1-IF($M127="نعم",0,N($J127))))</f>
        <v>0</v>
      </c>
      <c r="X127" s="110" t="n">
        <f aca="false">IF(OR($B127="",$E127="",$F127=""),0,MAX(0,MIN($F127,EOMONTH(DATE(cfg_FY,3,1),0))-MAX($E127,DATE(cfg_FY,3,1))+1)*(1-IF($M127="نعم",0,N($J127))))</f>
        <v>0</v>
      </c>
      <c r="Y127" s="110" t="n">
        <f aca="false">IF(OR($B127="",$E127="",$F127=""),0,MAX(0,MIN($F127,EOMONTH(DATE(cfg_FY,4,1),0))-MAX($E127,DATE(cfg_FY,4,1))+1)*(1-IF($M127="نعم",0,N($J127))))</f>
        <v>0</v>
      </c>
      <c r="Z127" s="110" t="n">
        <f aca="false">IF(OR($B127="",$E127="",$F127=""),0,MAX(0,MIN($F127,EOMONTH(DATE(cfg_FY,5,1),0))-MAX($E127,DATE(cfg_FY,5,1))+1)*(1-IF($M127="نعم",0,N($J127))))</f>
        <v>0</v>
      </c>
      <c r="AA127" s="110" t="n">
        <f aca="false">IF(OR($B127="",$E127="",$F127=""),0,MAX(0,MIN($F127,EOMONTH(DATE(cfg_FY,6,1),0))-MAX($E127,DATE(cfg_FY,6,1))+1)*(1-IF($M127="نعم",0,N($J127))))</f>
        <v>0</v>
      </c>
      <c r="AB127" s="110" t="n">
        <f aca="false">IF(OR($B127="",$E127="",$F127=""),0,MAX(0,MIN($F127,EOMONTH(DATE(cfg_FY,7,1),0))-MAX($E127,DATE(cfg_FY,7,1))+1)*(1-IF($M127="نعم",0,N($J127))))</f>
        <v>0</v>
      </c>
      <c r="AC127" s="110" t="n">
        <f aca="false">IF(OR($B127="",$E127="",$F127=""),0,MAX(0,MIN($F127,EOMONTH(DATE(cfg_FY,8,1),0))-MAX($E127,DATE(cfg_FY,8,1))+1)*(1-IF($M127="نعم",0,N($J127))))</f>
        <v>0</v>
      </c>
      <c r="AD127" s="110" t="n">
        <f aca="false">IF(OR($B127="",$E127="",$F127=""),0,MAX(0,MIN($F127,EOMONTH(DATE(cfg_FY,9,1),0))-MAX($E127,DATE(cfg_FY,9,1))+1)*(1-IF($M127="نعم",0,N($J127))))</f>
        <v>0</v>
      </c>
      <c r="AE127" s="110" t="n">
        <f aca="false">IF(OR($B127="",$E127="",$F127=""),0,MAX(0,MIN($F127,EOMONTH(DATE(cfg_FY,10,1),0))-MAX($E127,DATE(cfg_FY,10,1))+1)*(1-IF($M127="نعم",0,N($J127))))</f>
        <v>0</v>
      </c>
      <c r="AF127" s="110" t="n">
        <f aca="false">IF(OR($B127="",$E127="",$F127=""),0,MAX(0,MIN($F127,EOMONTH(DATE(cfg_FY,11,1),0))-MAX($E127,DATE(cfg_FY,11,1))+1)*(1-IF($M127="نعم",0,N($J127))))</f>
        <v>0</v>
      </c>
      <c r="AG127" s="110" t="n">
        <f aca="false">IF(OR($B127="",$E127="",$F127=""),0,MAX(0,MIN($F127,EOMONTH(DATE(cfg_FY,12,1),0))-MAX($E127,DATE(cfg_FY,12,1))+1)*(1-IF($M127="نعم",0,N($J127))))</f>
        <v>0</v>
      </c>
      <c r="AH127" s="110" t="n">
        <f aca="false">IF(OR(OR($B127="",$E127="",$F127=""),$L127&lt;&gt;"لا"),0,MAX(0,MIN($F127,EOMONTH(DATE(cfg_FY,1,1),0))-$E127+1))</f>
        <v>0</v>
      </c>
      <c r="AI127" s="110" t="n">
        <f aca="false">IF(OR(OR($B127="",$E127="",$F127=""),$L127&lt;&gt;"لا"),0,MAX(0,MIN($F127,EOMONTH(DATE(cfg_FY,2,1),0))-$E127+1))</f>
        <v>0</v>
      </c>
      <c r="AJ127" s="110" t="n">
        <f aca="false">IF(OR(OR($B127="",$E127="",$F127=""),$L127&lt;&gt;"لا"),0,MAX(0,MIN($F127,EOMONTH(DATE(cfg_FY,3,1),0))-$E127+1))</f>
        <v>0</v>
      </c>
      <c r="AK127" s="110" t="n">
        <f aca="false">IF(OR(OR($B127="",$E127="",$F127=""),$L127&lt;&gt;"لا"),0,MAX(0,MIN($F127,EOMONTH(DATE(cfg_FY,4,1),0))-$E127+1))</f>
        <v>0</v>
      </c>
      <c r="AL127" s="110" t="n">
        <f aca="false">IF(OR(OR($B127="",$E127="",$F127=""),$L127&lt;&gt;"لا"),0,MAX(0,MIN($F127,EOMONTH(DATE(cfg_FY,5,1),0))-$E127+1))</f>
        <v>0</v>
      </c>
      <c r="AM127" s="110" t="n">
        <f aca="false">IF(OR(OR($B127="",$E127="",$F127=""),$L127&lt;&gt;"لا"),0,MAX(0,MIN($F127,EOMONTH(DATE(cfg_FY,6,1),0))-$E127+1))</f>
        <v>0</v>
      </c>
      <c r="AN127" s="110" t="n">
        <f aca="false">IF(OR(OR($B127="",$E127="",$F127=""),$L127&lt;&gt;"لا"),0,MAX(0,MIN($F127,EOMONTH(DATE(cfg_FY,7,1),0))-$E127+1))</f>
        <v>0</v>
      </c>
      <c r="AO127" s="110" t="n">
        <f aca="false">IF(OR(OR($B127="",$E127="",$F127=""),$L127&lt;&gt;"لا"),0,MAX(0,MIN($F127,EOMONTH(DATE(cfg_FY,8,1),0))-$E127+1))</f>
        <v>0</v>
      </c>
      <c r="AP127" s="110" t="n">
        <f aca="false">IF(OR(OR($B127="",$E127="",$F127=""),$L127&lt;&gt;"لا"),0,MAX(0,MIN($F127,EOMONTH(DATE(cfg_FY,9,1),0))-$E127+1))</f>
        <v>0</v>
      </c>
      <c r="AQ127" s="110" t="n">
        <f aca="false">IF(OR(OR($B127="",$E127="",$F127=""),$L127&lt;&gt;"لا"),0,MAX(0,MIN($F127,EOMONTH(DATE(cfg_FY,10,1),0))-$E127+1))</f>
        <v>0</v>
      </c>
      <c r="AR127" s="110" t="n">
        <f aca="false">IF(OR(OR($B127="",$E127="",$F127=""),$L127&lt;&gt;"لا"),0,MAX(0,MIN($F127,EOMONTH(DATE(cfg_FY,11,1),0))-$E127+1))</f>
        <v>0</v>
      </c>
      <c r="AS127" s="110" t="n">
        <f aca="false">IF(OR(OR($B127="",$E127="",$F127=""),$L127&lt;&gt;"لا"),0,MAX(0,MIN($F127,EOMONTH(DATE(cfg_FY,12,1),0))-$E127+1))</f>
        <v>0</v>
      </c>
      <c r="AT127" s="110" t="n">
        <f aca="false">IF(OR(OR($B127="",$E127="",$F127=""),$K127&lt;&gt;"نعم",$M127="نعم"),0,MAX(0,MIN($F127,EOMONTH(DATE(cfg_FY,1,1),0))-MAX($E127,DATE(cfg_FY,1,1))+1))</f>
        <v>0</v>
      </c>
      <c r="AU127" s="110" t="n">
        <f aca="false">IF(OR(OR($B127="",$E127="",$F127=""),$K127&lt;&gt;"نعم",$M127="نعم"),0,MAX(0,MIN($F127,EOMONTH(DATE(cfg_FY,2,1),0))-MAX($E127,DATE(cfg_FY,2,1))+1))</f>
        <v>0</v>
      </c>
      <c r="AV127" s="110" t="n">
        <f aca="false">IF(OR(OR($B127="",$E127="",$F127=""),$K127&lt;&gt;"نعم",$M127="نعم"),0,MAX(0,MIN($F127,EOMONTH(DATE(cfg_FY,3,1),0))-MAX($E127,DATE(cfg_FY,3,1))+1))</f>
        <v>0</v>
      </c>
      <c r="AW127" s="110" t="n">
        <f aca="false">IF(OR(OR($B127="",$E127="",$F127=""),$K127&lt;&gt;"نعم",$M127="نعم"),0,MAX(0,MIN($F127,EOMONTH(DATE(cfg_FY,4,1),0))-MAX($E127,DATE(cfg_FY,4,1))+1))</f>
        <v>0</v>
      </c>
      <c r="AX127" s="110" t="n">
        <f aca="false">IF(OR(OR($B127="",$E127="",$F127=""),$K127&lt;&gt;"نعم",$M127="نعم"),0,MAX(0,MIN($F127,EOMONTH(DATE(cfg_FY,5,1),0))-MAX($E127,DATE(cfg_FY,5,1))+1))</f>
        <v>0</v>
      </c>
      <c r="AY127" s="110" t="n">
        <f aca="false">IF(OR(OR($B127="",$E127="",$F127=""),$K127&lt;&gt;"نعم",$M127="نعم"),0,MAX(0,MIN($F127,EOMONTH(DATE(cfg_FY,6,1),0))-MAX($E127,DATE(cfg_FY,6,1))+1))</f>
        <v>0</v>
      </c>
      <c r="AZ127" s="110" t="n">
        <f aca="false">IF(OR(OR($B127="",$E127="",$F127=""),$K127&lt;&gt;"نعم",$M127="نعم"),0,MAX(0,MIN($F127,EOMONTH(DATE(cfg_FY,7,1),0))-MAX($E127,DATE(cfg_FY,7,1))+1))</f>
        <v>0</v>
      </c>
      <c r="BA127" s="110" t="n">
        <f aca="false">IF(OR(OR($B127="",$E127="",$F127=""),$K127&lt;&gt;"نعم",$M127="نعم"),0,MAX(0,MIN($F127,EOMONTH(DATE(cfg_FY,8,1),0))-MAX($E127,DATE(cfg_FY,8,1))+1))</f>
        <v>0</v>
      </c>
      <c r="BB127" s="110" t="n">
        <f aca="false">IF(OR(OR($B127="",$E127="",$F127=""),$K127&lt;&gt;"نعم",$M127="نعم"),0,MAX(0,MIN($F127,EOMONTH(DATE(cfg_FY,9,1),0))-MAX($E127,DATE(cfg_FY,9,1))+1))</f>
        <v>0</v>
      </c>
      <c r="BC127" s="110" t="n">
        <f aca="false">IF(OR(OR($B127="",$E127="",$F127=""),$K127&lt;&gt;"نعم",$M127="نعم"),0,MAX(0,MIN($F127,EOMONTH(DATE(cfg_FY,10,1),0))-MAX($E127,DATE(cfg_FY,10,1))+1))</f>
        <v>0</v>
      </c>
      <c r="BD127" s="110" t="n">
        <f aca="false">IF(OR(OR($B127="",$E127="",$F127=""),$K127&lt;&gt;"نعم",$M127="نعم"),0,MAX(0,MIN($F127,EOMONTH(DATE(cfg_FY,11,1),0))-MAX($E127,DATE(cfg_FY,11,1))+1))</f>
        <v>0</v>
      </c>
      <c r="BE127" s="110" t="n">
        <f aca="false">IF(OR(OR($B127="",$E127="",$F127=""),$K127&lt;&gt;"نعم",$M127="نعم"),0,MAX(0,MIN($F127,EOMONTH(DATE(cfg_FY,12,1),0))-MAX($E127,DATE(cfg_FY,12,1))+1))</f>
        <v>0</v>
      </c>
    </row>
    <row r="128" customFormat="false" ht="15" hidden="false" customHeight="false" outlineLevel="0" collapsed="false">
      <c r="A128" s="93" t="str">
        <f aca="false">IF(B128="","",ROW()-5)</f>
        <v/>
      </c>
      <c r="B128" s="79"/>
      <c r="C128" s="80" t="str">
        <f aca="false">IF(B128="","",IFERROR(INDEX(الموظفون!$C$6:$C$105,MATCH(B128,الموظفون!$B$6:$B$105,0)),"✖ رقم غير موجود"))</f>
        <v/>
      </c>
      <c r="D128" s="79"/>
      <c r="E128" s="94"/>
      <c r="F128" s="94"/>
      <c r="G128" s="57" t="str">
        <f aca="false">IF(OR($B128="",$E128="",$F128=""),"",MAX(0,F128-E128+1))</f>
        <v/>
      </c>
      <c r="H128" s="58" t="str">
        <f aca="false">IF(D128="","",IFERROR(VLOOKUP(D128,cfg_LT,2,FALSE()),1))</f>
        <v/>
      </c>
      <c r="I128" s="82"/>
      <c r="J128" s="58" t="str">
        <f aca="false">IF(D128="","",IF(I128&lt;&gt;"",I128,H128))</f>
        <v/>
      </c>
      <c r="K128" s="80" t="str">
        <f aca="false">IF(D128="","",IFERROR(VLOOKUP($D128,cfg_LT,3,FALSE()),""))</f>
        <v/>
      </c>
      <c r="L128" s="80" t="str">
        <f aca="false">IF(D128="","",IFERROR(VLOOKUP($D128,cfg_LT,4,FALSE()),""))</f>
        <v/>
      </c>
      <c r="M128" s="80" t="str">
        <f aca="false">IF(D128="","",IFERROR(VLOOKUP($D128,cfg_LT,5,FALSE()),""))</f>
        <v/>
      </c>
      <c r="N128" s="97" t="n">
        <f aca="false">IF(OR(OR($B128="",$E128="",$F128=""),M128&lt;&gt;"نعم"),0,G128*J128*IFERROR(INDEX(الموظفون!$R$6:$R$105,MATCH(B128,الموظفون!$B$6:$B$105,0)),0)/cfg_DAYS_M)</f>
        <v>0</v>
      </c>
      <c r="O128" s="93" t="str">
        <f aca="false">IF(OR(OR($B128="",$E128="",$F128=""),M128&lt;&gt;"نعم"),"",IF(YEAR(E128)=cfg_FY,MONTH(E128),""))</f>
        <v/>
      </c>
      <c r="P128" s="80" t="str">
        <f aca="false">IF(B128="","",IF(OR(D128="",E128="",F128=""),"⚠ أكمل النوع والتواريخ",IF(F128&lt;E128,"✖ النهاية قبل البداية",IF(COUNTIFS($B$6:$B$505,B128,$E$6:$E$505,"&lt;="&amp;F128,$F$6:$F$505,"&gt;="&amp;E128)&gt;1,"⚠ تداخل مع سجل آخر",IF(E128&gt;cfg_VAL_DATE,"⏳ قادمة",IF(F128&lt;cfg_VAL_DATE,"✔ منتهية","✈ جارية في تاريخ التقرير"))))))</f>
        <v/>
      </c>
      <c r="Q128" s="79"/>
      <c r="R128" s="57" t="n">
        <f aca="false">IF(OR(OR($B128="",$E128="",$F128=""),L128&lt;&gt;"لا"),0,MAX(0,MIN(F128,cfg_Y_START-1)-E128+1))</f>
        <v>0</v>
      </c>
      <c r="S128" s="57" t="n">
        <f aca="false">IF(OR(OR($B128="",$E128="",$F128=""),L128&lt;&gt;"لا"),0,MAX(0,MIN(F128,cfg_VAL_DATE)-E128+1))</f>
        <v>0</v>
      </c>
      <c r="T128" s="57" t="n">
        <f aca="false">IF(OR(OR($B128="",$E128="",$F128=""),K128&lt;&gt;"نعم"),0,IF(M128="نعم",IF(AND(ISNUMBER(O128),N(O128)&lt;=cfg_VAL_M),G128,0),MAX(0,MIN(F128,cfg_VAL_DATE)-MAX(E128,cfg_Y_START)+1)))</f>
        <v>0</v>
      </c>
      <c r="V128" s="57" t="n">
        <f aca="false">IF(OR($B128="",$E128="",$F128=""),0,MAX(0,MIN($F128,EOMONTH(DATE(cfg_FY,1,1),0))-MAX($E128,DATE(cfg_FY,1,1))+1)*(1-IF($M128="نعم",0,N($J128))))</f>
        <v>0</v>
      </c>
      <c r="W128" s="57" t="n">
        <f aca="false">IF(OR($B128="",$E128="",$F128=""),0,MAX(0,MIN($F128,EOMONTH(DATE(cfg_FY,2,1),0))-MAX($E128,DATE(cfg_FY,2,1))+1)*(1-IF($M128="نعم",0,N($J128))))</f>
        <v>0</v>
      </c>
      <c r="X128" s="57" t="n">
        <f aca="false">IF(OR($B128="",$E128="",$F128=""),0,MAX(0,MIN($F128,EOMONTH(DATE(cfg_FY,3,1),0))-MAX($E128,DATE(cfg_FY,3,1))+1)*(1-IF($M128="نعم",0,N($J128))))</f>
        <v>0</v>
      </c>
      <c r="Y128" s="57" t="n">
        <f aca="false">IF(OR($B128="",$E128="",$F128=""),0,MAX(0,MIN($F128,EOMONTH(DATE(cfg_FY,4,1),0))-MAX($E128,DATE(cfg_FY,4,1))+1)*(1-IF($M128="نعم",0,N($J128))))</f>
        <v>0</v>
      </c>
      <c r="Z128" s="57" t="n">
        <f aca="false">IF(OR($B128="",$E128="",$F128=""),0,MAX(0,MIN($F128,EOMONTH(DATE(cfg_FY,5,1),0))-MAX($E128,DATE(cfg_FY,5,1))+1)*(1-IF($M128="نعم",0,N($J128))))</f>
        <v>0</v>
      </c>
      <c r="AA128" s="57" t="n">
        <f aca="false">IF(OR($B128="",$E128="",$F128=""),0,MAX(0,MIN($F128,EOMONTH(DATE(cfg_FY,6,1),0))-MAX($E128,DATE(cfg_FY,6,1))+1)*(1-IF($M128="نعم",0,N($J128))))</f>
        <v>0</v>
      </c>
      <c r="AB128" s="57" t="n">
        <f aca="false">IF(OR($B128="",$E128="",$F128=""),0,MAX(0,MIN($F128,EOMONTH(DATE(cfg_FY,7,1),0))-MAX($E128,DATE(cfg_FY,7,1))+1)*(1-IF($M128="نعم",0,N($J128))))</f>
        <v>0</v>
      </c>
      <c r="AC128" s="57" t="n">
        <f aca="false">IF(OR($B128="",$E128="",$F128=""),0,MAX(0,MIN($F128,EOMONTH(DATE(cfg_FY,8,1),0))-MAX($E128,DATE(cfg_FY,8,1))+1)*(1-IF($M128="نعم",0,N($J128))))</f>
        <v>0</v>
      </c>
      <c r="AD128" s="57" t="n">
        <f aca="false">IF(OR($B128="",$E128="",$F128=""),0,MAX(0,MIN($F128,EOMONTH(DATE(cfg_FY,9,1),0))-MAX($E128,DATE(cfg_FY,9,1))+1)*(1-IF($M128="نعم",0,N($J128))))</f>
        <v>0</v>
      </c>
      <c r="AE128" s="57" t="n">
        <f aca="false">IF(OR($B128="",$E128="",$F128=""),0,MAX(0,MIN($F128,EOMONTH(DATE(cfg_FY,10,1),0))-MAX($E128,DATE(cfg_FY,10,1))+1)*(1-IF($M128="نعم",0,N($J128))))</f>
        <v>0</v>
      </c>
      <c r="AF128" s="57" t="n">
        <f aca="false">IF(OR($B128="",$E128="",$F128=""),0,MAX(0,MIN($F128,EOMONTH(DATE(cfg_FY,11,1),0))-MAX($E128,DATE(cfg_FY,11,1))+1)*(1-IF($M128="نعم",0,N($J128))))</f>
        <v>0</v>
      </c>
      <c r="AG128" s="57" t="n">
        <f aca="false">IF(OR($B128="",$E128="",$F128=""),0,MAX(0,MIN($F128,EOMONTH(DATE(cfg_FY,12,1),0))-MAX($E128,DATE(cfg_FY,12,1))+1)*(1-IF($M128="نعم",0,N($J128))))</f>
        <v>0</v>
      </c>
      <c r="AH128" s="57" t="n">
        <f aca="false">IF(OR(OR($B128="",$E128="",$F128=""),$L128&lt;&gt;"لا"),0,MAX(0,MIN($F128,EOMONTH(DATE(cfg_FY,1,1),0))-$E128+1))</f>
        <v>0</v>
      </c>
      <c r="AI128" s="57" t="n">
        <f aca="false">IF(OR(OR($B128="",$E128="",$F128=""),$L128&lt;&gt;"لا"),0,MAX(0,MIN($F128,EOMONTH(DATE(cfg_FY,2,1),0))-$E128+1))</f>
        <v>0</v>
      </c>
      <c r="AJ128" s="57" t="n">
        <f aca="false">IF(OR(OR($B128="",$E128="",$F128=""),$L128&lt;&gt;"لا"),0,MAX(0,MIN($F128,EOMONTH(DATE(cfg_FY,3,1),0))-$E128+1))</f>
        <v>0</v>
      </c>
      <c r="AK128" s="57" t="n">
        <f aca="false">IF(OR(OR($B128="",$E128="",$F128=""),$L128&lt;&gt;"لا"),0,MAX(0,MIN($F128,EOMONTH(DATE(cfg_FY,4,1),0))-$E128+1))</f>
        <v>0</v>
      </c>
      <c r="AL128" s="57" t="n">
        <f aca="false">IF(OR(OR($B128="",$E128="",$F128=""),$L128&lt;&gt;"لا"),0,MAX(0,MIN($F128,EOMONTH(DATE(cfg_FY,5,1),0))-$E128+1))</f>
        <v>0</v>
      </c>
      <c r="AM128" s="57" t="n">
        <f aca="false">IF(OR(OR($B128="",$E128="",$F128=""),$L128&lt;&gt;"لا"),0,MAX(0,MIN($F128,EOMONTH(DATE(cfg_FY,6,1),0))-$E128+1))</f>
        <v>0</v>
      </c>
      <c r="AN128" s="57" t="n">
        <f aca="false">IF(OR(OR($B128="",$E128="",$F128=""),$L128&lt;&gt;"لا"),0,MAX(0,MIN($F128,EOMONTH(DATE(cfg_FY,7,1),0))-$E128+1))</f>
        <v>0</v>
      </c>
      <c r="AO128" s="57" t="n">
        <f aca="false">IF(OR(OR($B128="",$E128="",$F128=""),$L128&lt;&gt;"لا"),0,MAX(0,MIN($F128,EOMONTH(DATE(cfg_FY,8,1),0))-$E128+1))</f>
        <v>0</v>
      </c>
      <c r="AP128" s="57" t="n">
        <f aca="false">IF(OR(OR($B128="",$E128="",$F128=""),$L128&lt;&gt;"لا"),0,MAX(0,MIN($F128,EOMONTH(DATE(cfg_FY,9,1),0))-$E128+1))</f>
        <v>0</v>
      </c>
      <c r="AQ128" s="57" t="n">
        <f aca="false">IF(OR(OR($B128="",$E128="",$F128=""),$L128&lt;&gt;"لا"),0,MAX(0,MIN($F128,EOMONTH(DATE(cfg_FY,10,1),0))-$E128+1))</f>
        <v>0</v>
      </c>
      <c r="AR128" s="57" t="n">
        <f aca="false">IF(OR(OR($B128="",$E128="",$F128=""),$L128&lt;&gt;"لا"),0,MAX(0,MIN($F128,EOMONTH(DATE(cfg_FY,11,1),0))-$E128+1))</f>
        <v>0</v>
      </c>
      <c r="AS128" s="57" t="n">
        <f aca="false">IF(OR(OR($B128="",$E128="",$F128=""),$L128&lt;&gt;"لا"),0,MAX(0,MIN($F128,EOMONTH(DATE(cfg_FY,12,1),0))-$E128+1))</f>
        <v>0</v>
      </c>
      <c r="AT128" s="57" t="n">
        <f aca="false">IF(OR(OR($B128="",$E128="",$F128=""),$K128&lt;&gt;"نعم",$M128="نعم"),0,MAX(0,MIN($F128,EOMONTH(DATE(cfg_FY,1,1),0))-MAX($E128,DATE(cfg_FY,1,1))+1))</f>
        <v>0</v>
      </c>
      <c r="AU128" s="57" t="n">
        <f aca="false">IF(OR(OR($B128="",$E128="",$F128=""),$K128&lt;&gt;"نعم",$M128="نعم"),0,MAX(0,MIN($F128,EOMONTH(DATE(cfg_FY,2,1),0))-MAX($E128,DATE(cfg_FY,2,1))+1))</f>
        <v>0</v>
      </c>
      <c r="AV128" s="57" t="n">
        <f aca="false">IF(OR(OR($B128="",$E128="",$F128=""),$K128&lt;&gt;"نعم",$M128="نعم"),0,MAX(0,MIN($F128,EOMONTH(DATE(cfg_FY,3,1),0))-MAX($E128,DATE(cfg_FY,3,1))+1))</f>
        <v>0</v>
      </c>
      <c r="AW128" s="57" t="n">
        <f aca="false">IF(OR(OR($B128="",$E128="",$F128=""),$K128&lt;&gt;"نعم",$M128="نعم"),0,MAX(0,MIN($F128,EOMONTH(DATE(cfg_FY,4,1),0))-MAX($E128,DATE(cfg_FY,4,1))+1))</f>
        <v>0</v>
      </c>
      <c r="AX128" s="57" t="n">
        <f aca="false">IF(OR(OR($B128="",$E128="",$F128=""),$K128&lt;&gt;"نعم",$M128="نعم"),0,MAX(0,MIN($F128,EOMONTH(DATE(cfg_FY,5,1),0))-MAX($E128,DATE(cfg_FY,5,1))+1))</f>
        <v>0</v>
      </c>
      <c r="AY128" s="57" t="n">
        <f aca="false">IF(OR(OR($B128="",$E128="",$F128=""),$K128&lt;&gt;"نعم",$M128="نعم"),0,MAX(0,MIN($F128,EOMONTH(DATE(cfg_FY,6,1),0))-MAX($E128,DATE(cfg_FY,6,1))+1))</f>
        <v>0</v>
      </c>
      <c r="AZ128" s="57" t="n">
        <f aca="false">IF(OR(OR($B128="",$E128="",$F128=""),$K128&lt;&gt;"نعم",$M128="نعم"),0,MAX(0,MIN($F128,EOMONTH(DATE(cfg_FY,7,1),0))-MAX($E128,DATE(cfg_FY,7,1))+1))</f>
        <v>0</v>
      </c>
      <c r="BA128" s="57" t="n">
        <f aca="false">IF(OR(OR($B128="",$E128="",$F128=""),$K128&lt;&gt;"نعم",$M128="نعم"),0,MAX(0,MIN($F128,EOMONTH(DATE(cfg_FY,8,1),0))-MAX($E128,DATE(cfg_FY,8,1))+1))</f>
        <v>0</v>
      </c>
      <c r="BB128" s="57" t="n">
        <f aca="false">IF(OR(OR($B128="",$E128="",$F128=""),$K128&lt;&gt;"نعم",$M128="نعم"),0,MAX(0,MIN($F128,EOMONTH(DATE(cfg_FY,9,1),0))-MAX($E128,DATE(cfg_FY,9,1))+1))</f>
        <v>0</v>
      </c>
      <c r="BC128" s="57" t="n">
        <f aca="false">IF(OR(OR($B128="",$E128="",$F128=""),$K128&lt;&gt;"نعم",$M128="نعم"),0,MAX(0,MIN($F128,EOMONTH(DATE(cfg_FY,10,1),0))-MAX($E128,DATE(cfg_FY,10,1))+1))</f>
        <v>0</v>
      </c>
      <c r="BD128" s="57" t="n">
        <f aca="false">IF(OR(OR($B128="",$E128="",$F128=""),$K128&lt;&gt;"نعم",$M128="نعم"),0,MAX(0,MIN($F128,EOMONTH(DATE(cfg_FY,11,1),0))-MAX($E128,DATE(cfg_FY,11,1))+1))</f>
        <v>0</v>
      </c>
      <c r="BE128" s="57" t="n">
        <f aca="false">IF(OR(OR($B128="",$E128="",$F128=""),$K128&lt;&gt;"نعم",$M128="نعم"),0,MAX(0,MIN($F128,EOMONTH(DATE(cfg_FY,12,1),0))-MAX($E128,DATE(cfg_FY,12,1))+1))</f>
        <v>0</v>
      </c>
    </row>
    <row r="129" customFormat="false" ht="15" hidden="false" customHeight="false" outlineLevel="0" collapsed="false">
      <c r="A129" s="100" t="str">
        <f aca="false">IF(B129="","",ROW()-5)</f>
        <v/>
      </c>
      <c r="B129" s="79"/>
      <c r="C129" s="102" t="str">
        <f aca="false">IF(B129="","",IFERROR(INDEX(الموظفون!$C$6:$C$105,MATCH(B129,الموظفون!$B$6:$B$105,0)),"✖ رقم غير موجود"))</f>
        <v/>
      </c>
      <c r="D129" s="79"/>
      <c r="E129" s="94"/>
      <c r="F129" s="94"/>
      <c r="G129" s="110" t="str">
        <f aca="false">IF(OR($B129="",$E129="",$F129=""),"",MAX(0,F129-E129+1))</f>
        <v/>
      </c>
      <c r="H129" s="111" t="str">
        <f aca="false">IF(D129="","",IFERROR(VLOOKUP(D129,cfg_LT,2,FALSE()),1))</f>
        <v/>
      </c>
      <c r="I129" s="82"/>
      <c r="J129" s="111" t="str">
        <f aca="false">IF(D129="","",IF(I129&lt;&gt;"",I129,H129))</f>
        <v/>
      </c>
      <c r="K129" s="102" t="str">
        <f aca="false">IF(D129="","",IFERROR(VLOOKUP($D129,cfg_LT,3,FALSE()),""))</f>
        <v/>
      </c>
      <c r="L129" s="102" t="str">
        <f aca="false">IF(D129="","",IFERROR(VLOOKUP($D129,cfg_LT,4,FALSE()),""))</f>
        <v/>
      </c>
      <c r="M129" s="102" t="str">
        <f aca="false">IF(D129="","",IFERROR(VLOOKUP($D129,cfg_LT,5,FALSE()),""))</f>
        <v/>
      </c>
      <c r="N129" s="101" t="n">
        <f aca="false">IF(OR(OR($B129="",$E129="",$F129=""),M129&lt;&gt;"نعم"),0,G129*J129*IFERROR(INDEX(الموظفون!$R$6:$R$105,MATCH(B129,الموظفون!$B$6:$B$105,0)),0)/cfg_DAYS_M)</f>
        <v>0</v>
      </c>
      <c r="O129" s="100" t="str">
        <f aca="false">IF(OR(OR($B129="",$E129="",$F129=""),M129&lt;&gt;"نعم"),"",IF(YEAR(E129)=cfg_FY,MONTH(E129),""))</f>
        <v/>
      </c>
      <c r="P129" s="102" t="str">
        <f aca="false">IF(B129="","",IF(OR(D129="",E129="",F129=""),"⚠ أكمل النوع والتواريخ",IF(F129&lt;E129,"✖ النهاية قبل البداية",IF(COUNTIFS($B$6:$B$505,B129,$E$6:$E$505,"&lt;="&amp;F129,$F$6:$F$505,"&gt;="&amp;E129)&gt;1,"⚠ تداخل مع سجل آخر",IF(E129&gt;cfg_VAL_DATE,"⏳ قادمة",IF(F129&lt;cfg_VAL_DATE,"✔ منتهية","✈ جارية في تاريخ التقرير"))))))</f>
        <v/>
      </c>
      <c r="Q129" s="79"/>
      <c r="R129" s="110" t="n">
        <f aca="false">IF(OR(OR($B129="",$E129="",$F129=""),L129&lt;&gt;"لا"),0,MAX(0,MIN(F129,cfg_Y_START-1)-E129+1))</f>
        <v>0</v>
      </c>
      <c r="S129" s="110" t="n">
        <f aca="false">IF(OR(OR($B129="",$E129="",$F129=""),L129&lt;&gt;"لا"),0,MAX(0,MIN(F129,cfg_VAL_DATE)-E129+1))</f>
        <v>0</v>
      </c>
      <c r="T129" s="110" t="n">
        <f aca="false">IF(OR(OR($B129="",$E129="",$F129=""),K129&lt;&gt;"نعم"),0,IF(M129="نعم",IF(AND(ISNUMBER(O129),N(O129)&lt;=cfg_VAL_M),G129,0),MAX(0,MIN(F129,cfg_VAL_DATE)-MAX(E129,cfg_Y_START)+1)))</f>
        <v>0</v>
      </c>
      <c r="V129" s="110" t="n">
        <f aca="false">IF(OR($B129="",$E129="",$F129=""),0,MAX(0,MIN($F129,EOMONTH(DATE(cfg_FY,1,1),0))-MAX($E129,DATE(cfg_FY,1,1))+1)*(1-IF($M129="نعم",0,N($J129))))</f>
        <v>0</v>
      </c>
      <c r="W129" s="110" t="n">
        <f aca="false">IF(OR($B129="",$E129="",$F129=""),0,MAX(0,MIN($F129,EOMONTH(DATE(cfg_FY,2,1),0))-MAX($E129,DATE(cfg_FY,2,1))+1)*(1-IF($M129="نعم",0,N($J129))))</f>
        <v>0</v>
      </c>
      <c r="X129" s="110" t="n">
        <f aca="false">IF(OR($B129="",$E129="",$F129=""),0,MAX(0,MIN($F129,EOMONTH(DATE(cfg_FY,3,1),0))-MAX($E129,DATE(cfg_FY,3,1))+1)*(1-IF($M129="نعم",0,N($J129))))</f>
        <v>0</v>
      </c>
      <c r="Y129" s="110" t="n">
        <f aca="false">IF(OR($B129="",$E129="",$F129=""),0,MAX(0,MIN($F129,EOMONTH(DATE(cfg_FY,4,1),0))-MAX($E129,DATE(cfg_FY,4,1))+1)*(1-IF($M129="نعم",0,N($J129))))</f>
        <v>0</v>
      </c>
      <c r="Z129" s="110" t="n">
        <f aca="false">IF(OR($B129="",$E129="",$F129=""),0,MAX(0,MIN($F129,EOMONTH(DATE(cfg_FY,5,1),0))-MAX($E129,DATE(cfg_FY,5,1))+1)*(1-IF($M129="نعم",0,N($J129))))</f>
        <v>0</v>
      </c>
      <c r="AA129" s="110" t="n">
        <f aca="false">IF(OR($B129="",$E129="",$F129=""),0,MAX(0,MIN($F129,EOMONTH(DATE(cfg_FY,6,1),0))-MAX($E129,DATE(cfg_FY,6,1))+1)*(1-IF($M129="نعم",0,N($J129))))</f>
        <v>0</v>
      </c>
      <c r="AB129" s="110" t="n">
        <f aca="false">IF(OR($B129="",$E129="",$F129=""),0,MAX(0,MIN($F129,EOMONTH(DATE(cfg_FY,7,1),0))-MAX($E129,DATE(cfg_FY,7,1))+1)*(1-IF($M129="نعم",0,N($J129))))</f>
        <v>0</v>
      </c>
      <c r="AC129" s="110" t="n">
        <f aca="false">IF(OR($B129="",$E129="",$F129=""),0,MAX(0,MIN($F129,EOMONTH(DATE(cfg_FY,8,1),0))-MAX($E129,DATE(cfg_FY,8,1))+1)*(1-IF($M129="نعم",0,N($J129))))</f>
        <v>0</v>
      </c>
      <c r="AD129" s="110" t="n">
        <f aca="false">IF(OR($B129="",$E129="",$F129=""),0,MAX(0,MIN($F129,EOMONTH(DATE(cfg_FY,9,1),0))-MAX($E129,DATE(cfg_FY,9,1))+1)*(1-IF($M129="نعم",0,N($J129))))</f>
        <v>0</v>
      </c>
      <c r="AE129" s="110" t="n">
        <f aca="false">IF(OR($B129="",$E129="",$F129=""),0,MAX(0,MIN($F129,EOMONTH(DATE(cfg_FY,10,1),0))-MAX($E129,DATE(cfg_FY,10,1))+1)*(1-IF($M129="نعم",0,N($J129))))</f>
        <v>0</v>
      </c>
      <c r="AF129" s="110" t="n">
        <f aca="false">IF(OR($B129="",$E129="",$F129=""),0,MAX(0,MIN($F129,EOMONTH(DATE(cfg_FY,11,1),0))-MAX($E129,DATE(cfg_FY,11,1))+1)*(1-IF($M129="نعم",0,N($J129))))</f>
        <v>0</v>
      </c>
      <c r="AG129" s="110" t="n">
        <f aca="false">IF(OR($B129="",$E129="",$F129=""),0,MAX(0,MIN($F129,EOMONTH(DATE(cfg_FY,12,1),0))-MAX($E129,DATE(cfg_FY,12,1))+1)*(1-IF($M129="نعم",0,N($J129))))</f>
        <v>0</v>
      </c>
      <c r="AH129" s="110" t="n">
        <f aca="false">IF(OR(OR($B129="",$E129="",$F129=""),$L129&lt;&gt;"لا"),0,MAX(0,MIN($F129,EOMONTH(DATE(cfg_FY,1,1),0))-$E129+1))</f>
        <v>0</v>
      </c>
      <c r="AI129" s="110" t="n">
        <f aca="false">IF(OR(OR($B129="",$E129="",$F129=""),$L129&lt;&gt;"لا"),0,MAX(0,MIN($F129,EOMONTH(DATE(cfg_FY,2,1),0))-$E129+1))</f>
        <v>0</v>
      </c>
      <c r="AJ129" s="110" t="n">
        <f aca="false">IF(OR(OR($B129="",$E129="",$F129=""),$L129&lt;&gt;"لا"),0,MAX(0,MIN($F129,EOMONTH(DATE(cfg_FY,3,1),0))-$E129+1))</f>
        <v>0</v>
      </c>
      <c r="AK129" s="110" t="n">
        <f aca="false">IF(OR(OR($B129="",$E129="",$F129=""),$L129&lt;&gt;"لا"),0,MAX(0,MIN($F129,EOMONTH(DATE(cfg_FY,4,1),0))-$E129+1))</f>
        <v>0</v>
      </c>
      <c r="AL129" s="110" t="n">
        <f aca="false">IF(OR(OR($B129="",$E129="",$F129=""),$L129&lt;&gt;"لا"),0,MAX(0,MIN($F129,EOMONTH(DATE(cfg_FY,5,1),0))-$E129+1))</f>
        <v>0</v>
      </c>
      <c r="AM129" s="110" t="n">
        <f aca="false">IF(OR(OR($B129="",$E129="",$F129=""),$L129&lt;&gt;"لا"),0,MAX(0,MIN($F129,EOMONTH(DATE(cfg_FY,6,1),0))-$E129+1))</f>
        <v>0</v>
      </c>
      <c r="AN129" s="110" t="n">
        <f aca="false">IF(OR(OR($B129="",$E129="",$F129=""),$L129&lt;&gt;"لا"),0,MAX(0,MIN($F129,EOMONTH(DATE(cfg_FY,7,1),0))-$E129+1))</f>
        <v>0</v>
      </c>
      <c r="AO129" s="110" t="n">
        <f aca="false">IF(OR(OR($B129="",$E129="",$F129=""),$L129&lt;&gt;"لا"),0,MAX(0,MIN($F129,EOMONTH(DATE(cfg_FY,8,1),0))-$E129+1))</f>
        <v>0</v>
      </c>
      <c r="AP129" s="110" t="n">
        <f aca="false">IF(OR(OR($B129="",$E129="",$F129=""),$L129&lt;&gt;"لا"),0,MAX(0,MIN($F129,EOMONTH(DATE(cfg_FY,9,1),0))-$E129+1))</f>
        <v>0</v>
      </c>
      <c r="AQ129" s="110" t="n">
        <f aca="false">IF(OR(OR($B129="",$E129="",$F129=""),$L129&lt;&gt;"لا"),0,MAX(0,MIN($F129,EOMONTH(DATE(cfg_FY,10,1),0))-$E129+1))</f>
        <v>0</v>
      </c>
      <c r="AR129" s="110" t="n">
        <f aca="false">IF(OR(OR($B129="",$E129="",$F129=""),$L129&lt;&gt;"لا"),0,MAX(0,MIN($F129,EOMONTH(DATE(cfg_FY,11,1),0))-$E129+1))</f>
        <v>0</v>
      </c>
      <c r="AS129" s="110" t="n">
        <f aca="false">IF(OR(OR($B129="",$E129="",$F129=""),$L129&lt;&gt;"لا"),0,MAX(0,MIN($F129,EOMONTH(DATE(cfg_FY,12,1),0))-$E129+1))</f>
        <v>0</v>
      </c>
      <c r="AT129" s="110" t="n">
        <f aca="false">IF(OR(OR($B129="",$E129="",$F129=""),$K129&lt;&gt;"نعم",$M129="نعم"),0,MAX(0,MIN($F129,EOMONTH(DATE(cfg_FY,1,1),0))-MAX($E129,DATE(cfg_FY,1,1))+1))</f>
        <v>0</v>
      </c>
      <c r="AU129" s="110" t="n">
        <f aca="false">IF(OR(OR($B129="",$E129="",$F129=""),$K129&lt;&gt;"نعم",$M129="نعم"),0,MAX(0,MIN($F129,EOMONTH(DATE(cfg_FY,2,1),0))-MAX($E129,DATE(cfg_FY,2,1))+1))</f>
        <v>0</v>
      </c>
      <c r="AV129" s="110" t="n">
        <f aca="false">IF(OR(OR($B129="",$E129="",$F129=""),$K129&lt;&gt;"نعم",$M129="نعم"),0,MAX(0,MIN($F129,EOMONTH(DATE(cfg_FY,3,1),0))-MAX($E129,DATE(cfg_FY,3,1))+1))</f>
        <v>0</v>
      </c>
      <c r="AW129" s="110" t="n">
        <f aca="false">IF(OR(OR($B129="",$E129="",$F129=""),$K129&lt;&gt;"نعم",$M129="نعم"),0,MAX(0,MIN($F129,EOMONTH(DATE(cfg_FY,4,1),0))-MAX($E129,DATE(cfg_FY,4,1))+1))</f>
        <v>0</v>
      </c>
      <c r="AX129" s="110" t="n">
        <f aca="false">IF(OR(OR($B129="",$E129="",$F129=""),$K129&lt;&gt;"نعم",$M129="نعم"),0,MAX(0,MIN($F129,EOMONTH(DATE(cfg_FY,5,1),0))-MAX($E129,DATE(cfg_FY,5,1))+1))</f>
        <v>0</v>
      </c>
      <c r="AY129" s="110" t="n">
        <f aca="false">IF(OR(OR($B129="",$E129="",$F129=""),$K129&lt;&gt;"نعم",$M129="نعم"),0,MAX(0,MIN($F129,EOMONTH(DATE(cfg_FY,6,1),0))-MAX($E129,DATE(cfg_FY,6,1))+1))</f>
        <v>0</v>
      </c>
      <c r="AZ129" s="110" t="n">
        <f aca="false">IF(OR(OR($B129="",$E129="",$F129=""),$K129&lt;&gt;"نعم",$M129="نعم"),0,MAX(0,MIN($F129,EOMONTH(DATE(cfg_FY,7,1),0))-MAX($E129,DATE(cfg_FY,7,1))+1))</f>
        <v>0</v>
      </c>
      <c r="BA129" s="110" t="n">
        <f aca="false">IF(OR(OR($B129="",$E129="",$F129=""),$K129&lt;&gt;"نعم",$M129="نعم"),0,MAX(0,MIN($F129,EOMONTH(DATE(cfg_FY,8,1),0))-MAX($E129,DATE(cfg_FY,8,1))+1))</f>
        <v>0</v>
      </c>
      <c r="BB129" s="110" t="n">
        <f aca="false">IF(OR(OR($B129="",$E129="",$F129=""),$K129&lt;&gt;"نعم",$M129="نعم"),0,MAX(0,MIN($F129,EOMONTH(DATE(cfg_FY,9,1),0))-MAX($E129,DATE(cfg_FY,9,1))+1))</f>
        <v>0</v>
      </c>
      <c r="BC129" s="110" t="n">
        <f aca="false">IF(OR(OR($B129="",$E129="",$F129=""),$K129&lt;&gt;"نعم",$M129="نعم"),0,MAX(0,MIN($F129,EOMONTH(DATE(cfg_FY,10,1),0))-MAX($E129,DATE(cfg_FY,10,1))+1))</f>
        <v>0</v>
      </c>
      <c r="BD129" s="110" t="n">
        <f aca="false">IF(OR(OR($B129="",$E129="",$F129=""),$K129&lt;&gt;"نعم",$M129="نعم"),0,MAX(0,MIN($F129,EOMONTH(DATE(cfg_FY,11,1),0))-MAX($E129,DATE(cfg_FY,11,1))+1))</f>
        <v>0</v>
      </c>
      <c r="BE129" s="110" t="n">
        <f aca="false">IF(OR(OR($B129="",$E129="",$F129=""),$K129&lt;&gt;"نعم",$M129="نعم"),0,MAX(0,MIN($F129,EOMONTH(DATE(cfg_FY,12,1),0))-MAX($E129,DATE(cfg_FY,12,1))+1))</f>
        <v>0</v>
      </c>
    </row>
    <row r="130" customFormat="false" ht="15" hidden="false" customHeight="false" outlineLevel="0" collapsed="false">
      <c r="A130" s="93" t="str">
        <f aca="false">IF(B130="","",ROW()-5)</f>
        <v/>
      </c>
      <c r="B130" s="79"/>
      <c r="C130" s="80" t="str">
        <f aca="false">IF(B130="","",IFERROR(INDEX(الموظفون!$C$6:$C$105,MATCH(B130,الموظفون!$B$6:$B$105,0)),"✖ رقم غير موجود"))</f>
        <v/>
      </c>
      <c r="D130" s="79"/>
      <c r="E130" s="94"/>
      <c r="F130" s="94"/>
      <c r="G130" s="57" t="str">
        <f aca="false">IF(OR($B130="",$E130="",$F130=""),"",MAX(0,F130-E130+1))</f>
        <v/>
      </c>
      <c r="H130" s="58" t="str">
        <f aca="false">IF(D130="","",IFERROR(VLOOKUP(D130,cfg_LT,2,FALSE()),1))</f>
        <v/>
      </c>
      <c r="I130" s="82"/>
      <c r="J130" s="58" t="str">
        <f aca="false">IF(D130="","",IF(I130&lt;&gt;"",I130,H130))</f>
        <v/>
      </c>
      <c r="K130" s="80" t="str">
        <f aca="false">IF(D130="","",IFERROR(VLOOKUP($D130,cfg_LT,3,FALSE()),""))</f>
        <v/>
      </c>
      <c r="L130" s="80" t="str">
        <f aca="false">IF(D130="","",IFERROR(VLOOKUP($D130,cfg_LT,4,FALSE()),""))</f>
        <v/>
      </c>
      <c r="M130" s="80" t="str">
        <f aca="false">IF(D130="","",IFERROR(VLOOKUP($D130,cfg_LT,5,FALSE()),""))</f>
        <v/>
      </c>
      <c r="N130" s="97" t="n">
        <f aca="false">IF(OR(OR($B130="",$E130="",$F130=""),M130&lt;&gt;"نعم"),0,G130*J130*IFERROR(INDEX(الموظفون!$R$6:$R$105,MATCH(B130,الموظفون!$B$6:$B$105,0)),0)/cfg_DAYS_M)</f>
        <v>0</v>
      </c>
      <c r="O130" s="93" t="str">
        <f aca="false">IF(OR(OR($B130="",$E130="",$F130=""),M130&lt;&gt;"نعم"),"",IF(YEAR(E130)=cfg_FY,MONTH(E130),""))</f>
        <v/>
      </c>
      <c r="P130" s="80" t="str">
        <f aca="false">IF(B130="","",IF(OR(D130="",E130="",F130=""),"⚠ أكمل النوع والتواريخ",IF(F130&lt;E130,"✖ النهاية قبل البداية",IF(COUNTIFS($B$6:$B$505,B130,$E$6:$E$505,"&lt;="&amp;F130,$F$6:$F$505,"&gt;="&amp;E130)&gt;1,"⚠ تداخل مع سجل آخر",IF(E130&gt;cfg_VAL_DATE,"⏳ قادمة",IF(F130&lt;cfg_VAL_DATE,"✔ منتهية","✈ جارية في تاريخ التقرير"))))))</f>
        <v/>
      </c>
      <c r="Q130" s="79"/>
      <c r="R130" s="57" t="n">
        <f aca="false">IF(OR(OR($B130="",$E130="",$F130=""),L130&lt;&gt;"لا"),0,MAX(0,MIN(F130,cfg_Y_START-1)-E130+1))</f>
        <v>0</v>
      </c>
      <c r="S130" s="57" t="n">
        <f aca="false">IF(OR(OR($B130="",$E130="",$F130=""),L130&lt;&gt;"لا"),0,MAX(0,MIN(F130,cfg_VAL_DATE)-E130+1))</f>
        <v>0</v>
      </c>
      <c r="T130" s="57" t="n">
        <f aca="false">IF(OR(OR($B130="",$E130="",$F130=""),K130&lt;&gt;"نعم"),0,IF(M130="نعم",IF(AND(ISNUMBER(O130),N(O130)&lt;=cfg_VAL_M),G130,0),MAX(0,MIN(F130,cfg_VAL_DATE)-MAX(E130,cfg_Y_START)+1)))</f>
        <v>0</v>
      </c>
      <c r="V130" s="57" t="n">
        <f aca="false">IF(OR($B130="",$E130="",$F130=""),0,MAX(0,MIN($F130,EOMONTH(DATE(cfg_FY,1,1),0))-MAX($E130,DATE(cfg_FY,1,1))+1)*(1-IF($M130="نعم",0,N($J130))))</f>
        <v>0</v>
      </c>
      <c r="W130" s="57" t="n">
        <f aca="false">IF(OR($B130="",$E130="",$F130=""),0,MAX(0,MIN($F130,EOMONTH(DATE(cfg_FY,2,1),0))-MAX($E130,DATE(cfg_FY,2,1))+1)*(1-IF($M130="نعم",0,N($J130))))</f>
        <v>0</v>
      </c>
      <c r="X130" s="57" t="n">
        <f aca="false">IF(OR($B130="",$E130="",$F130=""),0,MAX(0,MIN($F130,EOMONTH(DATE(cfg_FY,3,1),0))-MAX($E130,DATE(cfg_FY,3,1))+1)*(1-IF($M130="نعم",0,N($J130))))</f>
        <v>0</v>
      </c>
      <c r="Y130" s="57" t="n">
        <f aca="false">IF(OR($B130="",$E130="",$F130=""),0,MAX(0,MIN($F130,EOMONTH(DATE(cfg_FY,4,1),0))-MAX($E130,DATE(cfg_FY,4,1))+1)*(1-IF($M130="نعم",0,N($J130))))</f>
        <v>0</v>
      </c>
      <c r="Z130" s="57" t="n">
        <f aca="false">IF(OR($B130="",$E130="",$F130=""),0,MAX(0,MIN($F130,EOMONTH(DATE(cfg_FY,5,1),0))-MAX($E130,DATE(cfg_FY,5,1))+1)*(1-IF($M130="نعم",0,N($J130))))</f>
        <v>0</v>
      </c>
      <c r="AA130" s="57" t="n">
        <f aca="false">IF(OR($B130="",$E130="",$F130=""),0,MAX(0,MIN($F130,EOMONTH(DATE(cfg_FY,6,1),0))-MAX($E130,DATE(cfg_FY,6,1))+1)*(1-IF($M130="نعم",0,N($J130))))</f>
        <v>0</v>
      </c>
      <c r="AB130" s="57" t="n">
        <f aca="false">IF(OR($B130="",$E130="",$F130=""),0,MAX(0,MIN($F130,EOMONTH(DATE(cfg_FY,7,1),0))-MAX($E130,DATE(cfg_FY,7,1))+1)*(1-IF($M130="نعم",0,N($J130))))</f>
        <v>0</v>
      </c>
      <c r="AC130" s="57" t="n">
        <f aca="false">IF(OR($B130="",$E130="",$F130=""),0,MAX(0,MIN($F130,EOMONTH(DATE(cfg_FY,8,1),0))-MAX($E130,DATE(cfg_FY,8,1))+1)*(1-IF($M130="نعم",0,N($J130))))</f>
        <v>0</v>
      </c>
      <c r="AD130" s="57" t="n">
        <f aca="false">IF(OR($B130="",$E130="",$F130=""),0,MAX(0,MIN($F130,EOMONTH(DATE(cfg_FY,9,1),0))-MAX($E130,DATE(cfg_FY,9,1))+1)*(1-IF($M130="نعم",0,N($J130))))</f>
        <v>0</v>
      </c>
      <c r="AE130" s="57" t="n">
        <f aca="false">IF(OR($B130="",$E130="",$F130=""),0,MAX(0,MIN($F130,EOMONTH(DATE(cfg_FY,10,1),0))-MAX($E130,DATE(cfg_FY,10,1))+1)*(1-IF($M130="نعم",0,N($J130))))</f>
        <v>0</v>
      </c>
      <c r="AF130" s="57" t="n">
        <f aca="false">IF(OR($B130="",$E130="",$F130=""),0,MAX(0,MIN($F130,EOMONTH(DATE(cfg_FY,11,1),0))-MAX($E130,DATE(cfg_FY,11,1))+1)*(1-IF($M130="نعم",0,N($J130))))</f>
        <v>0</v>
      </c>
      <c r="AG130" s="57" t="n">
        <f aca="false">IF(OR($B130="",$E130="",$F130=""),0,MAX(0,MIN($F130,EOMONTH(DATE(cfg_FY,12,1),0))-MAX($E130,DATE(cfg_FY,12,1))+1)*(1-IF($M130="نعم",0,N($J130))))</f>
        <v>0</v>
      </c>
      <c r="AH130" s="57" t="n">
        <f aca="false">IF(OR(OR($B130="",$E130="",$F130=""),$L130&lt;&gt;"لا"),0,MAX(0,MIN($F130,EOMONTH(DATE(cfg_FY,1,1),0))-$E130+1))</f>
        <v>0</v>
      </c>
      <c r="AI130" s="57" t="n">
        <f aca="false">IF(OR(OR($B130="",$E130="",$F130=""),$L130&lt;&gt;"لا"),0,MAX(0,MIN($F130,EOMONTH(DATE(cfg_FY,2,1),0))-$E130+1))</f>
        <v>0</v>
      </c>
      <c r="AJ130" s="57" t="n">
        <f aca="false">IF(OR(OR($B130="",$E130="",$F130=""),$L130&lt;&gt;"لا"),0,MAX(0,MIN($F130,EOMONTH(DATE(cfg_FY,3,1),0))-$E130+1))</f>
        <v>0</v>
      </c>
      <c r="AK130" s="57" t="n">
        <f aca="false">IF(OR(OR($B130="",$E130="",$F130=""),$L130&lt;&gt;"لا"),0,MAX(0,MIN($F130,EOMONTH(DATE(cfg_FY,4,1),0))-$E130+1))</f>
        <v>0</v>
      </c>
      <c r="AL130" s="57" t="n">
        <f aca="false">IF(OR(OR($B130="",$E130="",$F130=""),$L130&lt;&gt;"لا"),0,MAX(0,MIN($F130,EOMONTH(DATE(cfg_FY,5,1),0))-$E130+1))</f>
        <v>0</v>
      </c>
      <c r="AM130" s="57" t="n">
        <f aca="false">IF(OR(OR($B130="",$E130="",$F130=""),$L130&lt;&gt;"لا"),0,MAX(0,MIN($F130,EOMONTH(DATE(cfg_FY,6,1),0))-$E130+1))</f>
        <v>0</v>
      </c>
      <c r="AN130" s="57" t="n">
        <f aca="false">IF(OR(OR($B130="",$E130="",$F130=""),$L130&lt;&gt;"لا"),0,MAX(0,MIN($F130,EOMONTH(DATE(cfg_FY,7,1),0))-$E130+1))</f>
        <v>0</v>
      </c>
      <c r="AO130" s="57" t="n">
        <f aca="false">IF(OR(OR($B130="",$E130="",$F130=""),$L130&lt;&gt;"لا"),0,MAX(0,MIN($F130,EOMONTH(DATE(cfg_FY,8,1),0))-$E130+1))</f>
        <v>0</v>
      </c>
      <c r="AP130" s="57" t="n">
        <f aca="false">IF(OR(OR($B130="",$E130="",$F130=""),$L130&lt;&gt;"لا"),0,MAX(0,MIN($F130,EOMONTH(DATE(cfg_FY,9,1),0))-$E130+1))</f>
        <v>0</v>
      </c>
      <c r="AQ130" s="57" t="n">
        <f aca="false">IF(OR(OR($B130="",$E130="",$F130=""),$L130&lt;&gt;"لا"),0,MAX(0,MIN($F130,EOMONTH(DATE(cfg_FY,10,1),0))-$E130+1))</f>
        <v>0</v>
      </c>
      <c r="AR130" s="57" t="n">
        <f aca="false">IF(OR(OR($B130="",$E130="",$F130=""),$L130&lt;&gt;"لا"),0,MAX(0,MIN($F130,EOMONTH(DATE(cfg_FY,11,1),0))-$E130+1))</f>
        <v>0</v>
      </c>
      <c r="AS130" s="57" t="n">
        <f aca="false">IF(OR(OR($B130="",$E130="",$F130=""),$L130&lt;&gt;"لا"),0,MAX(0,MIN($F130,EOMONTH(DATE(cfg_FY,12,1),0))-$E130+1))</f>
        <v>0</v>
      </c>
      <c r="AT130" s="57" t="n">
        <f aca="false">IF(OR(OR($B130="",$E130="",$F130=""),$K130&lt;&gt;"نعم",$M130="نعم"),0,MAX(0,MIN($F130,EOMONTH(DATE(cfg_FY,1,1),0))-MAX($E130,DATE(cfg_FY,1,1))+1))</f>
        <v>0</v>
      </c>
      <c r="AU130" s="57" t="n">
        <f aca="false">IF(OR(OR($B130="",$E130="",$F130=""),$K130&lt;&gt;"نعم",$M130="نعم"),0,MAX(0,MIN($F130,EOMONTH(DATE(cfg_FY,2,1),0))-MAX($E130,DATE(cfg_FY,2,1))+1))</f>
        <v>0</v>
      </c>
      <c r="AV130" s="57" t="n">
        <f aca="false">IF(OR(OR($B130="",$E130="",$F130=""),$K130&lt;&gt;"نعم",$M130="نعم"),0,MAX(0,MIN($F130,EOMONTH(DATE(cfg_FY,3,1),0))-MAX($E130,DATE(cfg_FY,3,1))+1))</f>
        <v>0</v>
      </c>
      <c r="AW130" s="57" t="n">
        <f aca="false">IF(OR(OR($B130="",$E130="",$F130=""),$K130&lt;&gt;"نعم",$M130="نعم"),0,MAX(0,MIN($F130,EOMONTH(DATE(cfg_FY,4,1),0))-MAX($E130,DATE(cfg_FY,4,1))+1))</f>
        <v>0</v>
      </c>
      <c r="AX130" s="57" t="n">
        <f aca="false">IF(OR(OR($B130="",$E130="",$F130=""),$K130&lt;&gt;"نعم",$M130="نعم"),0,MAX(0,MIN($F130,EOMONTH(DATE(cfg_FY,5,1),0))-MAX($E130,DATE(cfg_FY,5,1))+1))</f>
        <v>0</v>
      </c>
      <c r="AY130" s="57" t="n">
        <f aca="false">IF(OR(OR($B130="",$E130="",$F130=""),$K130&lt;&gt;"نعم",$M130="نعم"),0,MAX(0,MIN($F130,EOMONTH(DATE(cfg_FY,6,1),0))-MAX($E130,DATE(cfg_FY,6,1))+1))</f>
        <v>0</v>
      </c>
      <c r="AZ130" s="57" t="n">
        <f aca="false">IF(OR(OR($B130="",$E130="",$F130=""),$K130&lt;&gt;"نعم",$M130="نعم"),0,MAX(0,MIN($F130,EOMONTH(DATE(cfg_FY,7,1),0))-MAX($E130,DATE(cfg_FY,7,1))+1))</f>
        <v>0</v>
      </c>
      <c r="BA130" s="57" t="n">
        <f aca="false">IF(OR(OR($B130="",$E130="",$F130=""),$K130&lt;&gt;"نعم",$M130="نعم"),0,MAX(0,MIN($F130,EOMONTH(DATE(cfg_FY,8,1),0))-MAX($E130,DATE(cfg_FY,8,1))+1))</f>
        <v>0</v>
      </c>
      <c r="BB130" s="57" t="n">
        <f aca="false">IF(OR(OR($B130="",$E130="",$F130=""),$K130&lt;&gt;"نعم",$M130="نعم"),0,MAX(0,MIN($F130,EOMONTH(DATE(cfg_FY,9,1),0))-MAX($E130,DATE(cfg_FY,9,1))+1))</f>
        <v>0</v>
      </c>
      <c r="BC130" s="57" t="n">
        <f aca="false">IF(OR(OR($B130="",$E130="",$F130=""),$K130&lt;&gt;"نعم",$M130="نعم"),0,MAX(0,MIN($F130,EOMONTH(DATE(cfg_FY,10,1),0))-MAX($E130,DATE(cfg_FY,10,1))+1))</f>
        <v>0</v>
      </c>
      <c r="BD130" s="57" t="n">
        <f aca="false">IF(OR(OR($B130="",$E130="",$F130=""),$K130&lt;&gt;"نعم",$M130="نعم"),0,MAX(0,MIN($F130,EOMONTH(DATE(cfg_FY,11,1),0))-MAX($E130,DATE(cfg_FY,11,1))+1))</f>
        <v>0</v>
      </c>
      <c r="BE130" s="57" t="n">
        <f aca="false">IF(OR(OR($B130="",$E130="",$F130=""),$K130&lt;&gt;"نعم",$M130="نعم"),0,MAX(0,MIN($F130,EOMONTH(DATE(cfg_FY,12,1),0))-MAX($E130,DATE(cfg_FY,12,1))+1))</f>
        <v>0</v>
      </c>
    </row>
    <row r="131" customFormat="false" ht="15" hidden="false" customHeight="false" outlineLevel="0" collapsed="false">
      <c r="A131" s="100" t="str">
        <f aca="false">IF(B131="","",ROW()-5)</f>
        <v/>
      </c>
      <c r="B131" s="79"/>
      <c r="C131" s="102" t="str">
        <f aca="false">IF(B131="","",IFERROR(INDEX(الموظفون!$C$6:$C$105,MATCH(B131,الموظفون!$B$6:$B$105,0)),"✖ رقم غير موجود"))</f>
        <v/>
      </c>
      <c r="D131" s="79"/>
      <c r="E131" s="94"/>
      <c r="F131" s="94"/>
      <c r="G131" s="110" t="str">
        <f aca="false">IF(OR($B131="",$E131="",$F131=""),"",MAX(0,F131-E131+1))</f>
        <v/>
      </c>
      <c r="H131" s="111" t="str">
        <f aca="false">IF(D131="","",IFERROR(VLOOKUP(D131,cfg_LT,2,FALSE()),1))</f>
        <v/>
      </c>
      <c r="I131" s="82"/>
      <c r="J131" s="111" t="str">
        <f aca="false">IF(D131="","",IF(I131&lt;&gt;"",I131,H131))</f>
        <v/>
      </c>
      <c r="K131" s="102" t="str">
        <f aca="false">IF(D131="","",IFERROR(VLOOKUP($D131,cfg_LT,3,FALSE()),""))</f>
        <v/>
      </c>
      <c r="L131" s="102" t="str">
        <f aca="false">IF(D131="","",IFERROR(VLOOKUP($D131,cfg_LT,4,FALSE()),""))</f>
        <v/>
      </c>
      <c r="M131" s="102" t="str">
        <f aca="false">IF(D131="","",IFERROR(VLOOKUP($D131,cfg_LT,5,FALSE()),""))</f>
        <v/>
      </c>
      <c r="N131" s="101" t="n">
        <f aca="false">IF(OR(OR($B131="",$E131="",$F131=""),M131&lt;&gt;"نعم"),0,G131*J131*IFERROR(INDEX(الموظفون!$R$6:$R$105,MATCH(B131,الموظفون!$B$6:$B$105,0)),0)/cfg_DAYS_M)</f>
        <v>0</v>
      </c>
      <c r="O131" s="100" t="str">
        <f aca="false">IF(OR(OR($B131="",$E131="",$F131=""),M131&lt;&gt;"نعم"),"",IF(YEAR(E131)=cfg_FY,MONTH(E131),""))</f>
        <v/>
      </c>
      <c r="P131" s="102" t="str">
        <f aca="false">IF(B131="","",IF(OR(D131="",E131="",F131=""),"⚠ أكمل النوع والتواريخ",IF(F131&lt;E131,"✖ النهاية قبل البداية",IF(COUNTIFS($B$6:$B$505,B131,$E$6:$E$505,"&lt;="&amp;F131,$F$6:$F$505,"&gt;="&amp;E131)&gt;1,"⚠ تداخل مع سجل آخر",IF(E131&gt;cfg_VAL_DATE,"⏳ قادمة",IF(F131&lt;cfg_VAL_DATE,"✔ منتهية","✈ جارية في تاريخ التقرير"))))))</f>
        <v/>
      </c>
      <c r="Q131" s="79"/>
      <c r="R131" s="110" t="n">
        <f aca="false">IF(OR(OR($B131="",$E131="",$F131=""),L131&lt;&gt;"لا"),0,MAX(0,MIN(F131,cfg_Y_START-1)-E131+1))</f>
        <v>0</v>
      </c>
      <c r="S131" s="110" t="n">
        <f aca="false">IF(OR(OR($B131="",$E131="",$F131=""),L131&lt;&gt;"لا"),0,MAX(0,MIN(F131,cfg_VAL_DATE)-E131+1))</f>
        <v>0</v>
      </c>
      <c r="T131" s="110" t="n">
        <f aca="false">IF(OR(OR($B131="",$E131="",$F131=""),K131&lt;&gt;"نعم"),0,IF(M131="نعم",IF(AND(ISNUMBER(O131),N(O131)&lt;=cfg_VAL_M),G131,0),MAX(0,MIN(F131,cfg_VAL_DATE)-MAX(E131,cfg_Y_START)+1)))</f>
        <v>0</v>
      </c>
      <c r="V131" s="110" t="n">
        <f aca="false">IF(OR($B131="",$E131="",$F131=""),0,MAX(0,MIN($F131,EOMONTH(DATE(cfg_FY,1,1),0))-MAX($E131,DATE(cfg_FY,1,1))+1)*(1-IF($M131="نعم",0,N($J131))))</f>
        <v>0</v>
      </c>
      <c r="W131" s="110" t="n">
        <f aca="false">IF(OR($B131="",$E131="",$F131=""),0,MAX(0,MIN($F131,EOMONTH(DATE(cfg_FY,2,1),0))-MAX($E131,DATE(cfg_FY,2,1))+1)*(1-IF($M131="نعم",0,N($J131))))</f>
        <v>0</v>
      </c>
      <c r="X131" s="110" t="n">
        <f aca="false">IF(OR($B131="",$E131="",$F131=""),0,MAX(0,MIN($F131,EOMONTH(DATE(cfg_FY,3,1),0))-MAX($E131,DATE(cfg_FY,3,1))+1)*(1-IF($M131="نعم",0,N($J131))))</f>
        <v>0</v>
      </c>
      <c r="Y131" s="110" t="n">
        <f aca="false">IF(OR($B131="",$E131="",$F131=""),0,MAX(0,MIN($F131,EOMONTH(DATE(cfg_FY,4,1),0))-MAX($E131,DATE(cfg_FY,4,1))+1)*(1-IF($M131="نعم",0,N($J131))))</f>
        <v>0</v>
      </c>
      <c r="Z131" s="110" t="n">
        <f aca="false">IF(OR($B131="",$E131="",$F131=""),0,MAX(0,MIN($F131,EOMONTH(DATE(cfg_FY,5,1),0))-MAX($E131,DATE(cfg_FY,5,1))+1)*(1-IF($M131="نعم",0,N($J131))))</f>
        <v>0</v>
      </c>
      <c r="AA131" s="110" t="n">
        <f aca="false">IF(OR($B131="",$E131="",$F131=""),0,MAX(0,MIN($F131,EOMONTH(DATE(cfg_FY,6,1),0))-MAX($E131,DATE(cfg_FY,6,1))+1)*(1-IF($M131="نعم",0,N($J131))))</f>
        <v>0</v>
      </c>
      <c r="AB131" s="110" t="n">
        <f aca="false">IF(OR($B131="",$E131="",$F131=""),0,MAX(0,MIN($F131,EOMONTH(DATE(cfg_FY,7,1),0))-MAX($E131,DATE(cfg_FY,7,1))+1)*(1-IF($M131="نعم",0,N($J131))))</f>
        <v>0</v>
      </c>
      <c r="AC131" s="110" t="n">
        <f aca="false">IF(OR($B131="",$E131="",$F131=""),0,MAX(0,MIN($F131,EOMONTH(DATE(cfg_FY,8,1),0))-MAX($E131,DATE(cfg_FY,8,1))+1)*(1-IF($M131="نعم",0,N($J131))))</f>
        <v>0</v>
      </c>
      <c r="AD131" s="110" t="n">
        <f aca="false">IF(OR($B131="",$E131="",$F131=""),0,MAX(0,MIN($F131,EOMONTH(DATE(cfg_FY,9,1),0))-MAX($E131,DATE(cfg_FY,9,1))+1)*(1-IF($M131="نعم",0,N($J131))))</f>
        <v>0</v>
      </c>
      <c r="AE131" s="110" t="n">
        <f aca="false">IF(OR($B131="",$E131="",$F131=""),0,MAX(0,MIN($F131,EOMONTH(DATE(cfg_FY,10,1),0))-MAX($E131,DATE(cfg_FY,10,1))+1)*(1-IF($M131="نعم",0,N($J131))))</f>
        <v>0</v>
      </c>
      <c r="AF131" s="110" t="n">
        <f aca="false">IF(OR($B131="",$E131="",$F131=""),0,MAX(0,MIN($F131,EOMONTH(DATE(cfg_FY,11,1),0))-MAX($E131,DATE(cfg_FY,11,1))+1)*(1-IF($M131="نعم",0,N($J131))))</f>
        <v>0</v>
      </c>
      <c r="AG131" s="110" t="n">
        <f aca="false">IF(OR($B131="",$E131="",$F131=""),0,MAX(0,MIN($F131,EOMONTH(DATE(cfg_FY,12,1),0))-MAX($E131,DATE(cfg_FY,12,1))+1)*(1-IF($M131="نعم",0,N($J131))))</f>
        <v>0</v>
      </c>
      <c r="AH131" s="110" t="n">
        <f aca="false">IF(OR(OR($B131="",$E131="",$F131=""),$L131&lt;&gt;"لا"),0,MAX(0,MIN($F131,EOMONTH(DATE(cfg_FY,1,1),0))-$E131+1))</f>
        <v>0</v>
      </c>
      <c r="AI131" s="110" t="n">
        <f aca="false">IF(OR(OR($B131="",$E131="",$F131=""),$L131&lt;&gt;"لا"),0,MAX(0,MIN($F131,EOMONTH(DATE(cfg_FY,2,1),0))-$E131+1))</f>
        <v>0</v>
      </c>
      <c r="AJ131" s="110" t="n">
        <f aca="false">IF(OR(OR($B131="",$E131="",$F131=""),$L131&lt;&gt;"لا"),0,MAX(0,MIN($F131,EOMONTH(DATE(cfg_FY,3,1),0))-$E131+1))</f>
        <v>0</v>
      </c>
      <c r="AK131" s="110" t="n">
        <f aca="false">IF(OR(OR($B131="",$E131="",$F131=""),$L131&lt;&gt;"لا"),0,MAX(0,MIN($F131,EOMONTH(DATE(cfg_FY,4,1),0))-$E131+1))</f>
        <v>0</v>
      </c>
      <c r="AL131" s="110" t="n">
        <f aca="false">IF(OR(OR($B131="",$E131="",$F131=""),$L131&lt;&gt;"لا"),0,MAX(0,MIN($F131,EOMONTH(DATE(cfg_FY,5,1),0))-$E131+1))</f>
        <v>0</v>
      </c>
      <c r="AM131" s="110" t="n">
        <f aca="false">IF(OR(OR($B131="",$E131="",$F131=""),$L131&lt;&gt;"لا"),0,MAX(0,MIN($F131,EOMONTH(DATE(cfg_FY,6,1),0))-$E131+1))</f>
        <v>0</v>
      </c>
      <c r="AN131" s="110" t="n">
        <f aca="false">IF(OR(OR($B131="",$E131="",$F131=""),$L131&lt;&gt;"لا"),0,MAX(0,MIN($F131,EOMONTH(DATE(cfg_FY,7,1),0))-$E131+1))</f>
        <v>0</v>
      </c>
      <c r="AO131" s="110" t="n">
        <f aca="false">IF(OR(OR($B131="",$E131="",$F131=""),$L131&lt;&gt;"لا"),0,MAX(0,MIN($F131,EOMONTH(DATE(cfg_FY,8,1),0))-$E131+1))</f>
        <v>0</v>
      </c>
      <c r="AP131" s="110" t="n">
        <f aca="false">IF(OR(OR($B131="",$E131="",$F131=""),$L131&lt;&gt;"لا"),0,MAX(0,MIN($F131,EOMONTH(DATE(cfg_FY,9,1),0))-$E131+1))</f>
        <v>0</v>
      </c>
      <c r="AQ131" s="110" t="n">
        <f aca="false">IF(OR(OR($B131="",$E131="",$F131=""),$L131&lt;&gt;"لا"),0,MAX(0,MIN($F131,EOMONTH(DATE(cfg_FY,10,1),0))-$E131+1))</f>
        <v>0</v>
      </c>
      <c r="AR131" s="110" t="n">
        <f aca="false">IF(OR(OR($B131="",$E131="",$F131=""),$L131&lt;&gt;"لا"),0,MAX(0,MIN($F131,EOMONTH(DATE(cfg_FY,11,1),0))-$E131+1))</f>
        <v>0</v>
      </c>
      <c r="AS131" s="110" t="n">
        <f aca="false">IF(OR(OR($B131="",$E131="",$F131=""),$L131&lt;&gt;"لا"),0,MAX(0,MIN($F131,EOMONTH(DATE(cfg_FY,12,1),0))-$E131+1))</f>
        <v>0</v>
      </c>
      <c r="AT131" s="110" t="n">
        <f aca="false">IF(OR(OR($B131="",$E131="",$F131=""),$K131&lt;&gt;"نعم",$M131="نعم"),0,MAX(0,MIN($F131,EOMONTH(DATE(cfg_FY,1,1),0))-MAX($E131,DATE(cfg_FY,1,1))+1))</f>
        <v>0</v>
      </c>
      <c r="AU131" s="110" t="n">
        <f aca="false">IF(OR(OR($B131="",$E131="",$F131=""),$K131&lt;&gt;"نعم",$M131="نعم"),0,MAX(0,MIN($F131,EOMONTH(DATE(cfg_FY,2,1),0))-MAX($E131,DATE(cfg_FY,2,1))+1))</f>
        <v>0</v>
      </c>
      <c r="AV131" s="110" t="n">
        <f aca="false">IF(OR(OR($B131="",$E131="",$F131=""),$K131&lt;&gt;"نعم",$M131="نعم"),0,MAX(0,MIN($F131,EOMONTH(DATE(cfg_FY,3,1),0))-MAX($E131,DATE(cfg_FY,3,1))+1))</f>
        <v>0</v>
      </c>
      <c r="AW131" s="110" t="n">
        <f aca="false">IF(OR(OR($B131="",$E131="",$F131=""),$K131&lt;&gt;"نعم",$M131="نعم"),0,MAX(0,MIN($F131,EOMONTH(DATE(cfg_FY,4,1),0))-MAX($E131,DATE(cfg_FY,4,1))+1))</f>
        <v>0</v>
      </c>
      <c r="AX131" s="110" t="n">
        <f aca="false">IF(OR(OR($B131="",$E131="",$F131=""),$K131&lt;&gt;"نعم",$M131="نعم"),0,MAX(0,MIN($F131,EOMONTH(DATE(cfg_FY,5,1),0))-MAX($E131,DATE(cfg_FY,5,1))+1))</f>
        <v>0</v>
      </c>
      <c r="AY131" s="110" t="n">
        <f aca="false">IF(OR(OR($B131="",$E131="",$F131=""),$K131&lt;&gt;"نعم",$M131="نعم"),0,MAX(0,MIN($F131,EOMONTH(DATE(cfg_FY,6,1),0))-MAX($E131,DATE(cfg_FY,6,1))+1))</f>
        <v>0</v>
      </c>
      <c r="AZ131" s="110" t="n">
        <f aca="false">IF(OR(OR($B131="",$E131="",$F131=""),$K131&lt;&gt;"نعم",$M131="نعم"),0,MAX(0,MIN($F131,EOMONTH(DATE(cfg_FY,7,1),0))-MAX($E131,DATE(cfg_FY,7,1))+1))</f>
        <v>0</v>
      </c>
      <c r="BA131" s="110" t="n">
        <f aca="false">IF(OR(OR($B131="",$E131="",$F131=""),$K131&lt;&gt;"نعم",$M131="نعم"),0,MAX(0,MIN($F131,EOMONTH(DATE(cfg_FY,8,1),0))-MAX($E131,DATE(cfg_FY,8,1))+1))</f>
        <v>0</v>
      </c>
      <c r="BB131" s="110" t="n">
        <f aca="false">IF(OR(OR($B131="",$E131="",$F131=""),$K131&lt;&gt;"نعم",$M131="نعم"),0,MAX(0,MIN($F131,EOMONTH(DATE(cfg_FY,9,1),0))-MAX($E131,DATE(cfg_FY,9,1))+1))</f>
        <v>0</v>
      </c>
      <c r="BC131" s="110" t="n">
        <f aca="false">IF(OR(OR($B131="",$E131="",$F131=""),$K131&lt;&gt;"نعم",$M131="نعم"),0,MAX(0,MIN($F131,EOMONTH(DATE(cfg_FY,10,1),0))-MAX($E131,DATE(cfg_FY,10,1))+1))</f>
        <v>0</v>
      </c>
      <c r="BD131" s="110" t="n">
        <f aca="false">IF(OR(OR($B131="",$E131="",$F131=""),$K131&lt;&gt;"نعم",$M131="نعم"),0,MAX(0,MIN($F131,EOMONTH(DATE(cfg_FY,11,1),0))-MAX($E131,DATE(cfg_FY,11,1))+1))</f>
        <v>0</v>
      </c>
      <c r="BE131" s="110" t="n">
        <f aca="false">IF(OR(OR($B131="",$E131="",$F131=""),$K131&lt;&gt;"نعم",$M131="نعم"),0,MAX(0,MIN($F131,EOMONTH(DATE(cfg_FY,12,1),0))-MAX($E131,DATE(cfg_FY,12,1))+1))</f>
        <v>0</v>
      </c>
    </row>
    <row r="132" customFormat="false" ht="15" hidden="false" customHeight="false" outlineLevel="0" collapsed="false">
      <c r="A132" s="93" t="str">
        <f aca="false">IF(B132="","",ROW()-5)</f>
        <v/>
      </c>
      <c r="B132" s="79"/>
      <c r="C132" s="80" t="str">
        <f aca="false">IF(B132="","",IFERROR(INDEX(الموظفون!$C$6:$C$105,MATCH(B132,الموظفون!$B$6:$B$105,0)),"✖ رقم غير موجود"))</f>
        <v/>
      </c>
      <c r="D132" s="79"/>
      <c r="E132" s="94"/>
      <c r="F132" s="94"/>
      <c r="G132" s="57" t="str">
        <f aca="false">IF(OR($B132="",$E132="",$F132=""),"",MAX(0,F132-E132+1))</f>
        <v/>
      </c>
      <c r="H132" s="58" t="str">
        <f aca="false">IF(D132="","",IFERROR(VLOOKUP(D132,cfg_LT,2,FALSE()),1))</f>
        <v/>
      </c>
      <c r="I132" s="82"/>
      <c r="J132" s="58" t="str">
        <f aca="false">IF(D132="","",IF(I132&lt;&gt;"",I132,H132))</f>
        <v/>
      </c>
      <c r="K132" s="80" t="str">
        <f aca="false">IF(D132="","",IFERROR(VLOOKUP($D132,cfg_LT,3,FALSE()),""))</f>
        <v/>
      </c>
      <c r="L132" s="80" t="str">
        <f aca="false">IF(D132="","",IFERROR(VLOOKUP($D132,cfg_LT,4,FALSE()),""))</f>
        <v/>
      </c>
      <c r="M132" s="80" t="str">
        <f aca="false">IF(D132="","",IFERROR(VLOOKUP($D132,cfg_LT,5,FALSE()),""))</f>
        <v/>
      </c>
      <c r="N132" s="97" t="n">
        <f aca="false">IF(OR(OR($B132="",$E132="",$F132=""),M132&lt;&gt;"نعم"),0,G132*J132*IFERROR(INDEX(الموظفون!$R$6:$R$105,MATCH(B132,الموظفون!$B$6:$B$105,0)),0)/cfg_DAYS_M)</f>
        <v>0</v>
      </c>
      <c r="O132" s="93" t="str">
        <f aca="false">IF(OR(OR($B132="",$E132="",$F132=""),M132&lt;&gt;"نعم"),"",IF(YEAR(E132)=cfg_FY,MONTH(E132),""))</f>
        <v/>
      </c>
      <c r="P132" s="80" t="str">
        <f aca="false">IF(B132="","",IF(OR(D132="",E132="",F132=""),"⚠ أكمل النوع والتواريخ",IF(F132&lt;E132,"✖ النهاية قبل البداية",IF(COUNTIFS($B$6:$B$505,B132,$E$6:$E$505,"&lt;="&amp;F132,$F$6:$F$505,"&gt;="&amp;E132)&gt;1,"⚠ تداخل مع سجل آخر",IF(E132&gt;cfg_VAL_DATE,"⏳ قادمة",IF(F132&lt;cfg_VAL_DATE,"✔ منتهية","✈ جارية في تاريخ التقرير"))))))</f>
        <v/>
      </c>
      <c r="Q132" s="79"/>
      <c r="R132" s="57" t="n">
        <f aca="false">IF(OR(OR($B132="",$E132="",$F132=""),L132&lt;&gt;"لا"),0,MAX(0,MIN(F132,cfg_Y_START-1)-E132+1))</f>
        <v>0</v>
      </c>
      <c r="S132" s="57" t="n">
        <f aca="false">IF(OR(OR($B132="",$E132="",$F132=""),L132&lt;&gt;"لا"),0,MAX(0,MIN(F132,cfg_VAL_DATE)-E132+1))</f>
        <v>0</v>
      </c>
      <c r="T132" s="57" t="n">
        <f aca="false">IF(OR(OR($B132="",$E132="",$F132=""),K132&lt;&gt;"نعم"),0,IF(M132="نعم",IF(AND(ISNUMBER(O132),N(O132)&lt;=cfg_VAL_M),G132,0),MAX(0,MIN(F132,cfg_VAL_DATE)-MAX(E132,cfg_Y_START)+1)))</f>
        <v>0</v>
      </c>
      <c r="V132" s="57" t="n">
        <f aca="false">IF(OR($B132="",$E132="",$F132=""),0,MAX(0,MIN($F132,EOMONTH(DATE(cfg_FY,1,1),0))-MAX($E132,DATE(cfg_FY,1,1))+1)*(1-IF($M132="نعم",0,N($J132))))</f>
        <v>0</v>
      </c>
      <c r="W132" s="57" t="n">
        <f aca="false">IF(OR($B132="",$E132="",$F132=""),0,MAX(0,MIN($F132,EOMONTH(DATE(cfg_FY,2,1),0))-MAX($E132,DATE(cfg_FY,2,1))+1)*(1-IF($M132="نعم",0,N($J132))))</f>
        <v>0</v>
      </c>
      <c r="X132" s="57" t="n">
        <f aca="false">IF(OR($B132="",$E132="",$F132=""),0,MAX(0,MIN($F132,EOMONTH(DATE(cfg_FY,3,1),0))-MAX($E132,DATE(cfg_FY,3,1))+1)*(1-IF($M132="نعم",0,N($J132))))</f>
        <v>0</v>
      </c>
      <c r="Y132" s="57" t="n">
        <f aca="false">IF(OR($B132="",$E132="",$F132=""),0,MAX(0,MIN($F132,EOMONTH(DATE(cfg_FY,4,1),0))-MAX($E132,DATE(cfg_FY,4,1))+1)*(1-IF($M132="نعم",0,N($J132))))</f>
        <v>0</v>
      </c>
      <c r="Z132" s="57" t="n">
        <f aca="false">IF(OR($B132="",$E132="",$F132=""),0,MAX(0,MIN($F132,EOMONTH(DATE(cfg_FY,5,1),0))-MAX($E132,DATE(cfg_FY,5,1))+1)*(1-IF($M132="نعم",0,N($J132))))</f>
        <v>0</v>
      </c>
      <c r="AA132" s="57" t="n">
        <f aca="false">IF(OR($B132="",$E132="",$F132=""),0,MAX(0,MIN($F132,EOMONTH(DATE(cfg_FY,6,1),0))-MAX($E132,DATE(cfg_FY,6,1))+1)*(1-IF($M132="نعم",0,N($J132))))</f>
        <v>0</v>
      </c>
      <c r="AB132" s="57" t="n">
        <f aca="false">IF(OR($B132="",$E132="",$F132=""),0,MAX(0,MIN($F132,EOMONTH(DATE(cfg_FY,7,1),0))-MAX($E132,DATE(cfg_FY,7,1))+1)*(1-IF($M132="نعم",0,N($J132))))</f>
        <v>0</v>
      </c>
      <c r="AC132" s="57" t="n">
        <f aca="false">IF(OR($B132="",$E132="",$F132=""),0,MAX(0,MIN($F132,EOMONTH(DATE(cfg_FY,8,1),0))-MAX($E132,DATE(cfg_FY,8,1))+1)*(1-IF($M132="نعم",0,N($J132))))</f>
        <v>0</v>
      </c>
      <c r="AD132" s="57" t="n">
        <f aca="false">IF(OR($B132="",$E132="",$F132=""),0,MAX(0,MIN($F132,EOMONTH(DATE(cfg_FY,9,1),0))-MAX($E132,DATE(cfg_FY,9,1))+1)*(1-IF($M132="نعم",0,N($J132))))</f>
        <v>0</v>
      </c>
      <c r="AE132" s="57" t="n">
        <f aca="false">IF(OR($B132="",$E132="",$F132=""),0,MAX(0,MIN($F132,EOMONTH(DATE(cfg_FY,10,1),0))-MAX($E132,DATE(cfg_FY,10,1))+1)*(1-IF($M132="نعم",0,N($J132))))</f>
        <v>0</v>
      </c>
      <c r="AF132" s="57" t="n">
        <f aca="false">IF(OR($B132="",$E132="",$F132=""),0,MAX(0,MIN($F132,EOMONTH(DATE(cfg_FY,11,1),0))-MAX($E132,DATE(cfg_FY,11,1))+1)*(1-IF($M132="نعم",0,N($J132))))</f>
        <v>0</v>
      </c>
      <c r="AG132" s="57" t="n">
        <f aca="false">IF(OR($B132="",$E132="",$F132=""),0,MAX(0,MIN($F132,EOMONTH(DATE(cfg_FY,12,1),0))-MAX($E132,DATE(cfg_FY,12,1))+1)*(1-IF($M132="نعم",0,N($J132))))</f>
        <v>0</v>
      </c>
      <c r="AH132" s="57" t="n">
        <f aca="false">IF(OR(OR($B132="",$E132="",$F132=""),$L132&lt;&gt;"لا"),0,MAX(0,MIN($F132,EOMONTH(DATE(cfg_FY,1,1),0))-$E132+1))</f>
        <v>0</v>
      </c>
      <c r="AI132" s="57" t="n">
        <f aca="false">IF(OR(OR($B132="",$E132="",$F132=""),$L132&lt;&gt;"لا"),0,MAX(0,MIN($F132,EOMONTH(DATE(cfg_FY,2,1),0))-$E132+1))</f>
        <v>0</v>
      </c>
      <c r="AJ132" s="57" t="n">
        <f aca="false">IF(OR(OR($B132="",$E132="",$F132=""),$L132&lt;&gt;"لا"),0,MAX(0,MIN($F132,EOMONTH(DATE(cfg_FY,3,1),0))-$E132+1))</f>
        <v>0</v>
      </c>
      <c r="AK132" s="57" t="n">
        <f aca="false">IF(OR(OR($B132="",$E132="",$F132=""),$L132&lt;&gt;"لا"),0,MAX(0,MIN($F132,EOMONTH(DATE(cfg_FY,4,1),0))-$E132+1))</f>
        <v>0</v>
      </c>
      <c r="AL132" s="57" t="n">
        <f aca="false">IF(OR(OR($B132="",$E132="",$F132=""),$L132&lt;&gt;"لا"),0,MAX(0,MIN($F132,EOMONTH(DATE(cfg_FY,5,1),0))-$E132+1))</f>
        <v>0</v>
      </c>
      <c r="AM132" s="57" t="n">
        <f aca="false">IF(OR(OR($B132="",$E132="",$F132=""),$L132&lt;&gt;"لا"),0,MAX(0,MIN($F132,EOMONTH(DATE(cfg_FY,6,1),0))-$E132+1))</f>
        <v>0</v>
      </c>
      <c r="AN132" s="57" t="n">
        <f aca="false">IF(OR(OR($B132="",$E132="",$F132=""),$L132&lt;&gt;"لا"),0,MAX(0,MIN($F132,EOMONTH(DATE(cfg_FY,7,1),0))-$E132+1))</f>
        <v>0</v>
      </c>
      <c r="AO132" s="57" t="n">
        <f aca="false">IF(OR(OR($B132="",$E132="",$F132=""),$L132&lt;&gt;"لا"),0,MAX(0,MIN($F132,EOMONTH(DATE(cfg_FY,8,1),0))-$E132+1))</f>
        <v>0</v>
      </c>
      <c r="AP132" s="57" t="n">
        <f aca="false">IF(OR(OR($B132="",$E132="",$F132=""),$L132&lt;&gt;"لا"),0,MAX(0,MIN($F132,EOMONTH(DATE(cfg_FY,9,1),0))-$E132+1))</f>
        <v>0</v>
      </c>
      <c r="AQ132" s="57" t="n">
        <f aca="false">IF(OR(OR($B132="",$E132="",$F132=""),$L132&lt;&gt;"لا"),0,MAX(0,MIN($F132,EOMONTH(DATE(cfg_FY,10,1),0))-$E132+1))</f>
        <v>0</v>
      </c>
      <c r="AR132" s="57" t="n">
        <f aca="false">IF(OR(OR($B132="",$E132="",$F132=""),$L132&lt;&gt;"لا"),0,MAX(0,MIN($F132,EOMONTH(DATE(cfg_FY,11,1),0))-$E132+1))</f>
        <v>0</v>
      </c>
      <c r="AS132" s="57" t="n">
        <f aca="false">IF(OR(OR($B132="",$E132="",$F132=""),$L132&lt;&gt;"لا"),0,MAX(0,MIN($F132,EOMONTH(DATE(cfg_FY,12,1),0))-$E132+1))</f>
        <v>0</v>
      </c>
      <c r="AT132" s="57" t="n">
        <f aca="false">IF(OR(OR($B132="",$E132="",$F132=""),$K132&lt;&gt;"نعم",$M132="نعم"),0,MAX(0,MIN($F132,EOMONTH(DATE(cfg_FY,1,1),0))-MAX($E132,DATE(cfg_FY,1,1))+1))</f>
        <v>0</v>
      </c>
      <c r="AU132" s="57" t="n">
        <f aca="false">IF(OR(OR($B132="",$E132="",$F132=""),$K132&lt;&gt;"نعم",$M132="نعم"),0,MAX(0,MIN($F132,EOMONTH(DATE(cfg_FY,2,1),0))-MAX($E132,DATE(cfg_FY,2,1))+1))</f>
        <v>0</v>
      </c>
      <c r="AV132" s="57" t="n">
        <f aca="false">IF(OR(OR($B132="",$E132="",$F132=""),$K132&lt;&gt;"نعم",$M132="نعم"),0,MAX(0,MIN($F132,EOMONTH(DATE(cfg_FY,3,1),0))-MAX($E132,DATE(cfg_FY,3,1))+1))</f>
        <v>0</v>
      </c>
      <c r="AW132" s="57" t="n">
        <f aca="false">IF(OR(OR($B132="",$E132="",$F132=""),$K132&lt;&gt;"نعم",$M132="نعم"),0,MAX(0,MIN($F132,EOMONTH(DATE(cfg_FY,4,1),0))-MAX($E132,DATE(cfg_FY,4,1))+1))</f>
        <v>0</v>
      </c>
      <c r="AX132" s="57" t="n">
        <f aca="false">IF(OR(OR($B132="",$E132="",$F132=""),$K132&lt;&gt;"نعم",$M132="نعم"),0,MAX(0,MIN($F132,EOMONTH(DATE(cfg_FY,5,1),0))-MAX($E132,DATE(cfg_FY,5,1))+1))</f>
        <v>0</v>
      </c>
      <c r="AY132" s="57" t="n">
        <f aca="false">IF(OR(OR($B132="",$E132="",$F132=""),$K132&lt;&gt;"نعم",$M132="نعم"),0,MAX(0,MIN($F132,EOMONTH(DATE(cfg_FY,6,1),0))-MAX($E132,DATE(cfg_FY,6,1))+1))</f>
        <v>0</v>
      </c>
      <c r="AZ132" s="57" t="n">
        <f aca="false">IF(OR(OR($B132="",$E132="",$F132=""),$K132&lt;&gt;"نعم",$M132="نعم"),0,MAX(0,MIN($F132,EOMONTH(DATE(cfg_FY,7,1),0))-MAX($E132,DATE(cfg_FY,7,1))+1))</f>
        <v>0</v>
      </c>
      <c r="BA132" s="57" t="n">
        <f aca="false">IF(OR(OR($B132="",$E132="",$F132=""),$K132&lt;&gt;"نعم",$M132="نعم"),0,MAX(0,MIN($F132,EOMONTH(DATE(cfg_FY,8,1),0))-MAX($E132,DATE(cfg_FY,8,1))+1))</f>
        <v>0</v>
      </c>
      <c r="BB132" s="57" t="n">
        <f aca="false">IF(OR(OR($B132="",$E132="",$F132=""),$K132&lt;&gt;"نعم",$M132="نعم"),0,MAX(0,MIN($F132,EOMONTH(DATE(cfg_FY,9,1),0))-MAX($E132,DATE(cfg_FY,9,1))+1))</f>
        <v>0</v>
      </c>
      <c r="BC132" s="57" t="n">
        <f aca="false">IF(OR(OR($B132="",$E132="",$F132=""),$K132&lt;&gt;"نعم",$M132="نعم"),0,MAX(0,MIN($F132,EOMONTH(DATE(cfg_FY,10,1),0))-MAX($E132,DATE(cfg_FY,10,1))+1))</f>
        <v>0</v>
      </c>
      <c r="BD132" s="57" t="n">
        <f aca="false">IF(OR(OR($B132="",$E132="",$F132=""),$K132&lt;&gt;"نعم",$M132="نعم"),0,MAX(0,MIN($F132,EOMONTH(DATE(cfg_FY,11,1),0))-MAX($E132,DATE(cfg_FY,11,1))+1))</f>
        <v>0</v>
      </c>
      <c r="BE132" s="57" t="n">
        <f aca="false">IF(OR(OR($B132="",$E132="",$F132=""),$K132&lt;&gt;"نعم",$M132="نعم"),0,MAX(0,MIN($F132,EOMONTH(DATE(cfg_FY,12,1),0))-MAX($E132,DATE(cfg_FY,12,1))+1))</f>
        <v>0</v>
      </c>
    </row>
    <row r="133" customFormat="false" ht="15" hidden="false" customHeight="false" outlineLevel="0" collapsed="false">
      <c r="A133" s="100" t="str">
        <f aca="false">IF(B133="","",ROW()-5)</f>
        <v/>
      </c>
      <c r="B133" s="79"/>
      <c r="C133" s="102" t="str">
        <f aca="false">IF(B133="","",IFERROR(INDEX(الموظفون!$C$6:$C$105,MATCH(B133,الموظفون!$B$6:$B$105,0)),"✖ رقم غير موجود"))</f>
        <v/>
      </c>
      <c r="D133" s="79"/>
      <c r="E133" s="94"/>
      <c r="F133" s="94"/>
      <c r="G133" s="110" t="str">
        <f aca="false">IF(OR($B133="",$E133="",$F133=""),"",MAX(0,F133-E133+1))</f>
        <v/>
      </c>
      <c r="H133" s="111" t="str">
        <f aca="false">IF(D133="","",IFERROR(VLOOKUP(D133,cfg_LT,2,FALSE()),1))</f>
        <v/>
      </c>
      <c r="I133" s="82"/>
      <c r="J133" s="111" t="str">
        <f aca="false">IF(D133="","",IF(I133&lt;&gt;"",I133,H133))</f>
        <v/>
      </c>
      <c r="K133" s="102" t="str">
        <f aca="false">IF(D133="","",IFERROR(VLOOKUP($D133,cfg_LT,3,FALSE()),""))</f>
        <v/>
      </c>
      <c r="L133" s="102" t="str">
        <f aca="false">IF(D133="","",IFERROR(VLOOKUP($D133,cfg_LT,4,FALSE()),""))</f>
        <v/>
      </c>
      <c r="M133" s="102" t="str">
        <f aca="false">IF(D133="","",IFERROR(VLOOKUP($D133,cfg_LT,5,FALSE()),""))</f>
        <v/>
      </c>
      <c r="N133" s="101" t="n">
        <f aca="false">IF(OR(OR($B133="",$E133="",$F133=""),M133&lt;&gt;"نعم"),0,G133*J133*IFERROR(INDEX(الموظفون!$R$6:$R$105,MATCH(B133,الموظفون!$B$6:$B$105,0)),0)/cfg_DAYS_M)</f>
        <v>0</v>
      </c>
      <c r="O133" s="100" t="str">
        <f aca="false">IF(OR(OR($B133="",$E133="",$F133=""),M133&lt;&gt;"نعم"),"",IF(YEAR(E133)=cfg_FY,MONTH(E133),""))</f>
        <v/>
      </c>
      <c r="P133" s="102" t="str">
        <f aca="false">IF(B133="","",IF(OR(D133="",E133="",F133=""),"⚠ أكمل النوع والتواريخ",IF(F133&lt;E133,"✖ النهاية قبل البداية",IF(COUNTIFS($B$6:$B$505,B133,$E$6:$E$505,"&lt;="&amp;F133,$F$6:$F$505,"&gt;="&amp;E133)&gt;1,"⚠ تداخل مع سجل آخر",IF(E133&gt;cfg_VAL_DATE,"⏳ قادمة",IF(F133&lt;cfg_VAL_DATE,"✔ منتهية","✈ جارية في تاريخ التقرير"))))))</f>
        <v/>
      </c>
      <c r="Q133" s="79"/>
      <c r="R133" s="110" t="n">
        <f aca="false">IF(OR(OR($B133="",$E133="",$F133=""),L133&lt;&gt;"لا"),0,MAX(0,MIN(F133,cfg_Y_START-1)-E133+1))</f>
        <v>0</v>
      </c>
      <c r="S133" s="110" t="n">
        <f aca="false">IF(OR(OR($B133="",$E133="",$F133=""),L133&lt;&gt;"لا"),0,MAX(0,MIN(F133,cfg_VAL_DATE)-E133+1))</f>
        <v>0</v>
      </c>
      <c r="T133" s="110" t="n">
        <f aca="false">IF(OR(OR($B133="",$E133="",$F133=""),K133&lt;&gt;"نعم"),0,IF(M133="نعم",IF(AND(ISNUMBER(O133),N(O133)&lt;=cfg_VAL_M),G133,0),MAX(0,MIN(F133,cfg_VAL_DATE)-MAX(E133,cfg_Y_START)+1)))</f>
        <v>0</v>
      </c>
      <c r="V133" s="110" t="n">
        <f aca="false">IF(OR($B133="",$E133="",$F133=""),0,MAX(0,MIN($F133,EOMONTH(DATE(cfg_FY,1,1),0))-MAX($E133,DATE(cfg_FY,1,1))+1)*(1-IF($M133="نعم",0,N($J133))))</f>
        <v>0</v>
      </c>
      <c r="W133" s="110" t="n">
        <f aca="false">IF(OR($B133="",$E133="",$F133=""),0,MAX(0,MIN($F133,EOMONTH(DATE(cfg_FY,2,1),0))-MAX($E133,DATE(cfg_FY,2,1))+1)*(1-IF($M133="نعم",0,N($J133))))</f>
        <v>0</v>
      </c>
      <c r="X133" s="110" t="n">
        <f aca="false">IF(OR($B133="",$E133="",$F133=""),0,MAX(0,MIN($F133,EOMONTH(DATE(cfg_FY,3,1),0))-MAX($E133,DATE(cfg_FY,3,1))+1)*(1-IF($M133="نعم",0,N($J133))))</f>
        <v>0</v>
      </c>
      <c r="Y133" s="110" t="n">
        <f aca="false">IF(OR($B133="",$E133="",$F133=""),0,MAX(0,MIN($F133,EOMONTH(DATE(cfg_FY,4,1),0))-MAX($E133,DATE(cfg_FY,4,1))+1)*(1-IF($M133="نعم",0,N($J133))))</f>
        <v>0</v>
      </c>
      <c r="Z133" s="110" t="n">
        <f aca="false">IF(OR($B133="",$E133="",$F133=""),0,MAX(0,MIN($F133,EOMONTH(DATE(cfg_FY,5,1),0))-MAX($E133,DATE(cfg_FY,5,1))+1)*(1-IF($M133="نعم",0,N($J133))))</f>
        <v>0</v>
      </c>
      <c r="AA133" s="110" t="n">
        <f aca="false">IF(OR($B133="",$E133="",$F133=""),0,MAX(0,MIN($F133,EOMONTH(DATE(cfg_FY,6,1),0))-MAX($E133,DATE(cfg_FY,6,1))+1)*(1-IF($M133="نعم",0,N($J133))))</f>
        <v>0</v>
      </c>
      <c r="AB133" s="110" t="n">
        <f aca="false">IF(OR($B133="",$E133="",$F133=""),0,MAX(0,MIN($F133,EOMONTH(DATE(cfg_FY,7,1),0))-MAX($E133,DATE(cfg_FY,7,1))+1)*(1-IF($M133="نعم",0,N($J133))))</f>
        <v>0</v>
      </c>
      <c r="AC133" s="110" t="n">
        <f aca="false">IF(OR($B133="",$E133="",$F133=""),0,MAX(0,MIN($F133,EOMONTH(DATE(cfg_FY,8,1),0))-MAX($E133,DATE(cfg_FY,8,1))+1)*(1-IF($M133="نعم",0,N($J133))))</f>
        <v>0</v>
      </c>
      <c r="AD133" s="110" t="n">
        <f aca="false">IF(OR($B133="",$E133="",$F133=""),0,MAX(0,MIN($F133,EOMONTH(DATE(cfg_FY,9,1),0))-MAX($E133,DATE(cfg_FY,9,1))+1)*(1-IF($M133="نعم",0,N($J133))))</f>
        <v>0</v>
      </c>
      <c r="AE133" s="110" t="n">
        <f aca="false">IF(OR($B133="",$E133="",$F133=""),0,MAX(0,MIN($F133,EOMONTH(DATE(cfg_FY,10,1),0))-MAX($E133,DATE(cfg_FY,10,1))+1)*(1-IF($M133="نعم",0,N($J133))))</f>
        <v>0</v>
      </c>
      <c r="AF133" s="110" t="n">
        <f aca="false">IF(OR($B133="",$E133="",$F133=""),0,MAX(0,MIN($F133,EOMONTH(DATE(cfg_FY,11,1),0))-MAX($E133,DATE(cfg_FY,11,1))+1)*(1-IF($M133="نعم",0,N($J133))))</f>
        <v>0</v>
      </c>
      <c r="AG133" s="110" t="n">
        <f aca="false">IF(OR($B133="",$E133="",$F133=""),0,MAX(0,MIN($F133,EOMONTH(DATE(cfg_FY,12,1),0))-MAX($E133,DATE(cfg_FY,12,1))+1)*(1-IF($M133="نعم",0,N($J133))))</f>
        <v>0</v>
      </c>
      <c r="AH133" s="110" t="n">
        <f aca="false">IF(OR(OR($B133="",$E133="",$F133=""),$L133&lt;&gt;"لا"),0,MAX(0,MIN($F133,EOMONTH(DATE(cfg_FY,1,1),0))-$E133+1))</f>
        <v>0</v>
      </c>
      <c r="AI133" s="110" t="n">
        <f aca="false">IF(OR(OR($B133="",$E133="",$F133=""),$L133&lt;&gt;"لا"),0,MAX(0,MIN($F133,EOMONTH(DATE(cfg_FY,2,1),0))-$E133+1))</f>
        <v>0</v>
      </c>
      <c r="AJ133" s="110" t="n">
        <f aca="false">IF(OR(OR($B133="",$E133="",$F133=""),$L133&lt;&gt;"لا"),0,MAX(0,MIN($F133,EOMONTH(DATE(cfg_FY,3,1),0))-$E133+1))</f>
        <v>0</v>
      </c>
      <c r="AK133" s="110" t="n">
        <f aca="false">IF(OR(OR($B133="",$E133="",$F133=""),$L133&lt;&gt;"لا"),0,MAX(0,MIN($F133,EOMONTH(DATE(cfg_FY,4,1),0))-$E133+1))</f>
        <v>0</v>
      </c>
      <c r="AL133" s="110" t="n">
        <f aca="false">IF(OR(OR($B133="",$E133="",$F133=""),$L133&lt;&gt;"لا"),0,MAX(0,MIN($F133,EOMONTH(DATE(cfg_FY,5,1),0))-$E133+1))</f>
        <v>0</v>
      </c>
      <c r="AM133" s="110" t="n">
        <f aca="false">IF(OR(OR($B133="",$E133="",$F133=""),$L133&lt;&gt;"لا"),0,MAX(0,MIN($F133,EOMONTH(DATE(cfg_FY,6,1),0))-$E133+1))</f>
        <v>0</v>
      </c>
      <c r="AN133" s="110" t="n">
        <f aca="false">IF(OR(OR($B133="",$E133="",$F133=""),$L133&lt;&gt;"لا"),0,MAX(0,MIN($F133,EOMONTH(DATE(cfg_FY,7,1),0))-$E133+1))</f>
        <v>0</v>
      </c>
      <c r="AO133" s="110" t="n">
        <f aca="false">IF(OR(OR($B133="",$E133="",$F133=""),$L133&lt;&gt;"لا"),0,MAX(0,MIN($F133,EOMONTH(DATE(cfg_FY,8,1),0))-$E133+1))</f>
        <v>0</v>
      </c>
      <c r="AP133" s="110" t="n">
        <f aca="false">IF(OR(OR($B133="",$E133="",$F133=""),$L133&lt;&gt;"لا"),0,MAX(0,MIN($F133,EOMONTH(DATE(cfg_FY,9,1),0))-$E133+1))</f>
        <v>0</v>
      </c>
      <c r="AQ133" s="110" t="n">
        <f aca="false">IF(OR(OR($B133="",$E133="",$F133=""),$L133&lt;&gt;"لا"),0,MAX(0,MIN($F133,EOMONTH(DATE(cfg_FY,10,1),0))-$E133+1))</f>
        <v>0</v>
      </c>
      <c r="AR133" s="110" t="n">
        <f aca="false">IF(OR(OR($B133="",$E133="",$F133=""),$L133&lt;&gt;"لا"),0,MAX(0,MIN($F133,EOMONTH(DATE(cfg_FY,11,1),0))-$E133+1))</f>
        <v>0</v>
      </c>
      <c r="AS133" s="110" t="n">
        <f aca="false">IF(OR(OR($B133="",$E133="",$F133=""),$L133&lt;&gt;"لا"),0,MAX(0,MIN($F133,EOMONTH(DATE(cfg_FY,12,1),0))-$E133+1))</f>
        <v>0</v>
      </c>
      <c r="AT133" s="110" t="n">
        <f aca="false">IF(OR(OR($B133="",$E133="",$F133=""),$K133&lt;&gt;"نعم",$M133="نعم"),0,MAX(0,MIN($F133,EOMONTH(DATE(cfg_FY,1,1),0))-MAX($E133,DATE(cfg_FY,1,1))+1))</f>
        <v>0</v>
      </c>
      <c r="AU133" s="110" t="n">
        <f aca="false">IF(OR(OR($B133="",$E133="",$F133=""),$K133&lt;&gt;"نعم",$M133="نعم"),0,MAX(0,MIN($F133,EOMONTH(DATE(cfg_FY,2,1),0))-MAX($E133,DATE(cfg_FY,2,1))+1))</f>
        <v>0</v>
      </c>
      <c r="AV133" s="110" t="n">
        <f aca="false">IF(OR(OR($B133="",$E133="",$F133=""),$K133&lt;&gt;"نعم",$M133="نعم"),0,MAX(0,MIN($F133,EOMONTH(DATE(cfg_FY,3,1),0))-MAX($E133,DATE(cfg_FY,3,1))+1))</f>
        <v>0</v>
      </c>
      <c r="AW133" s="110" t="n">
        <f aca="false">IF(OR(OR($B133="",$E133="",$F133=""),$K133&lt;&gt;"نعم",$M133="نعم"),0,MAX(0,MIN($F133,EOMONTH(DATE(cfg_FY,4,1),0))-MAX($E133,DATE(cfg_FY,4,1))+1))</f>
        <v>0</v>
      </c>
      <c r="AX133" s="110" t="n">
        <f aca="false">IF(OR(OR($B133="",$E133="",$F133=""),$K133&lt;&gt;"نعم",$M133="نعم"),0,MAX(0,MIN($F133,EOMONTH(DATE(cfg_FY,5,1),0))-MAX($E133,DATE(cfg_FY,5,1))+1))</f>
        <v>0</v>
      </c>
      <c r="AY133" s="110" t="n">
        <f aca="false">IF(OR(OR($B133="",$E133="",$F133=""),$K133&lt;&gt;"نعم",$M133="نعم"),0,MAX(0,MIN($F133,EOMONTH(DATE(cfg_FY,6,1),0))-MAX($E133,DATE(cfg_FY,6,1))+1))</f>
        <v>0</v>
      </c>
      <c r="AZ133" s="110" t="n">
        <f aca="false">IF(OR(OR($B133="",$E133="",$F133=""),$K133&lt;&gt;"نعم",$M133="نعم"),0,MAX(0,MIN($F133,EOMONTH(DATE(cfg_FY,7,1),0))-MAX($E133,DATE(cfg_FY,7,1))+1))</f>
        <v>0</v>
      </c>
      <c r="BA133" s="110" t="n">
        <f aca="false">IF(OR(OR($B133="",$E133="",$F133=""),$K133&lt;&gt;"نعم",$M133="نعم"),0,MAX(0,MIN($F133,EOMONTH(DATE(cfg_FY,8,1),0))-MAX($E133,DATE(cfg_FY,8,1))+1))</f>
        <v>0</v>
      </c>
      <c r="BB133" s="110" t="n">
        <f aca="false">IF(OR(OR($B133="",$E133="",$F133=""),$K133&lt;&gt;"نعم",$M133="نعم"),0,MAX(0,MIN($F133,EOMONTH(DATE(cfg_FY,9,1),0))-MAX($E133,DATE(cfg_FY,9,1))+1))</f>
        <v>0</v>
      </c>
      <c r="BC133" s="110" t="n">
        <f aca="false">IF(OR(OR($B133="",$E133="",$F133=""),$K133&lt;&gt;"نعم",$M133="نعم"),0,MAX(0,MIN($F133,EOMONTH(DATE(cfg_FY,10,1),0))-MAX($E133,DATE(cfg_FY,10,1))+1))</f>
        <v>0</v>
      </c>
      <c r="BD133" s="110" t="n">
        <f aca="false">IF(OR(OR($B133="",$E133="",$F133=""),$K133&lt;&gt;"نعم",$M133="نعم"),0,MAX(0,MIN($F133,EOMONTH(DATE(cfg_FY,11,1),0))-MAX($E133,DATE(cfg_FY,11,1))+1))</f>
        <v>0</v>
      </c>
      <c r="BE133" s="110" t="n">
        <f aca="false">IF(OR(OR($B133="",$E133="",$F133=""),$K133&lt;&gt;"نعم",$M133="نعم"),0,MAX(0,MIN($F133,EOMONTH(DATE(cfg_FY,12,1),0))-MAX($E133,DATE(cfg_FY,12,1))+1))</f>
        <v>0</v>
      </c>
    </row>
    <row r="134" customFormat="false" ht="15" hidden="false" customHeight="false" outlineLevel="0" collapsed="false">
      <c r="A134" s="93" t="str">
        <f aca="false">IF(B134="","",ROW()-5)</f>
        <v/>
      </c>
      <c r="B134" s="79"/>
      <c r="C134" s="80" t="str">
        <f aca="false">IF(B134="","",IFERROR(INDEX(الموظفون!$C$6:$C$105,MATCH(B134,الموظفون!$B$6:$B$105,0)),"✖ رقم غير موجود"))</f>
        <v/>
      </c>
      <c r="D134" s="79"/>
      <c r="E134" s="94"/>
      <c r="F134" s="94"/>
      <c r="G134" s="57" t="str">
        <f aca="false">IF(OR($B134="",$E134="",$F134=""),"",MAX(0,F134-E134+1))</f>
        <v/>
      </c>
      <c r="H134" s="58" t="str">
        <f aca="false">IF(D134="","",IFERROR(VLOOKUP(D134,cfg_LT,2,FALSE()),1))</f>
        <v/>
      </c>
      <c r="I134" s="82"/>
      <c r="J134" s="58" t="str">
        <f aca="false">IF(D134="","",IF(I134&lt;&gt;"",I134,H134))</f>
        <v/>
      </c>
      <c r="K134" s="80" t="str">
        <f aca="false">IF(D134="","",IFERROR(VLOOKUP($D134,cfg_LT,3,FALSE()),""))</f>
        <v/>
      </c>
      <c r="L134" s="80" t="str">
        <f aca="false">IF(D134="","",IFERROR(VLOOKUP($D134,cfg_LT,4,FALSE()),""))</f>
        <v/>
      </c>
      <c r="M134" s="80" t="str">
        <f aca="false">IF(D134="","",IFERROR(VLOOKUP($D134,cfg_LT,5,FALSE()),""))</f>
        <v/>
      </c>
      <c r="N134" s="97" t="n">
        <f aca="false">IF(OR(OR($B134="",$E134="",$F134=""),M134&lt;&gt;"نعم"),0,G134*J134*IFERROR(INDEX(الموظفون!$R$6:$R$105,MATCH(B134,الموظفون!$B$6:$B$105,0)),0)/cfg_DAYS_M)</f>
        <v>0</v>
      </c>
      <c r="O134" s="93" t="str">
        <f aca="false">IF(OR(OR($B134="",$E134="",$F134=""),M134&lt;&gt;"نعم"),"",IF(YEAR(E134)=cfg_FY,MONTH(E134),""))</f>
        <v/>
      </c>
      <c r="P134" s="80" t="str">
        <f aca="false">IF(B134="","",IF(OR(D134="",E134="",F134=""),"⚠ أكمل النوع والتواريخ",IF(F134&lt;E134,"✖ النهاية قبل البداية",IF(COUNTIFS($B$6:$B$505,B134,$E$6:$E$505,"&lt;="&amp;F134,$F$6:$F$505,"&gt;="&amp;E134)&gt;1,"⚠ تداخل مع سجل آخر",IF(E134&gt;cfg_VAL_DATE,"⏳ قادمة",IF(F134&lt;cfg_VAL_DATE,"✔ منتهية","✈ جارية في تاريخ التقرير"))))))</f>
        <v/>
      </c>
      <c r="Q134" s="79"/>
      <c r="R134" s="57" t="n">
        <f aca="false">IF(OR(OR($B134="",$E134="",$F134=""),L134&lt;&gt;"لا"),0,MAX(0,MIN(F134,cfg_Y_START-1)-E134+1))</f>
        <v>0</v>
      </c>
      <c r="S134" s="57" t="n">
        <f aca="false">IF(OR(OR($B134="",$E134="",$F134=""),L134&lt;&gt;"لا"),0,MAX(0,MIN(F134,cfg_VAL_DATE)-E134+1))</f>
        <v>0</v>
      </c>
      <c r="T134" s="57" t="n">
        <f aca="false">IF(OR(OR($B134="",$E134="",$F134=""),K134&lt;&gt;"نعم"),0,IF(M134="نعم",IF(AND(ISNUMBER(O134),N(O134)&lt;=cfg_VAL_M),G134,0),MAX(0,MIN(F134,cfg_VAL_DATE)-MAX(E134,cfg_Y_START)+1)))</f>
        <v>0</v>
      </c>
      <c r="V134" s="57" t="n">
        <f aca="false">IF(OR($B134="",$E134="",$F134=""),0,MAX(0,MIN($F134,EOMONTH(DATE(cfg_FY,1,1),0))-MAX($E134,DATE(cfg_FY,1,1))+1)*(1-IF($M134="نعم",0,N($J134))))</f>
        <v>0</v>
      </c>
      <c r="W134" s="57" t="n">
        <f aca="false">IF(OR($B134="",$E134="",$F134=""),0,MAX(0,MIN($F134,EOMONTH(DATE(cfg_FY,2,1),0))-MAX($E134,DATE(cfg_FY,2,1))+1)*(1-IF($M134="نعم",0,N($J134))))</f>
        <v>0</v>
      </c>
      <c r="X134" s="57" t="n">
        <f aca="false">IF(OR($B134="",$E134="",$F134=""),0,MAX(0,MIN($F134,EOMONTH(DATE(cfg_FY,3,1),0))-MAX($E134,DATE(cfg_FY,3,1))+1)*(1-IF($M134="نعم",0,N($J134))))</f>
        <v>0</v>
      </c>
      <c r="Y134" s="57" t="n">
        <f aca="false">IF(OR($B134="",$E134="",$F134=""),0,MAX(0,MIN($F134,EOMONTH(DATE(cfg_FY,4,1),0))-MAX($E134,DATE(cfg_FY,4,1))+1)*(1-IF($M134="نعم",0,N($J134))))</f>
        <v>0</v>
      </c>
      <c r="Z134" s="57" t="n">
        <f aca="false">IF(OR($B134="",$E134="",$F134=""),0,MAX(0,MIN($F134,EOMONTH(DATE(cfg_FY,5,1),0))-MAX($E134,DATE(cfg_FY,5,1))+1)*(1-IF($M134="نعم",0,N($J134))))</f>
        <v>0</v>
      </c>
      <c r="AA134" s="57" t="n">
        <f aca="false">IF(OR($B134="",$E134="",$F134=""),0,MAX(0,MIN($F134,EOMONTH(DATE(cfg_FY,6,1),0))-MAX($E134,DATE(cfg_FY,6,1))+1)*(1-IF($M134="نعم",0,N($J134))))</f>
        <v>0</v>
      </c>
      <c r="AB134" s="57" t="n">
        <f aca="false">IF(OR($B134="",$E134="",$F134=""),0,MAX(0,MIN($F134,EOMONTH(DATE(cfg_FY,7,1),0))-MAX($E134,DATE(cfg_FY,7,1))+1)*(1-IF($M134="نعم",0,N($J134))))</f>
        <v>0</v>
      </c>
      <c r="AC134" s="57" t="n">
        <f aca="false">IF(OR($B134="",$E134="",$F134=""),0,MAX(0,MIN($F134,EOMONTH(DATE(cfg_FY,8,1),0))-MAX($E134,DATE(cfg_FY,8,1))+1)*(1-IF($M134="نعم",0,N($J134))))</f>
        <v>0</v>
      </c>
      <c r="AD134" s="57" t="n">
        <f aca="false">IF(OR($B134="",$E134="",$F134=""),0,MAX(0,MIN($F134,EOMONTH(DATE(cfg_FY,9,1),0))-MAX($E134,DATE(cfg_FY,9,1))+1)*(1-IF($M134="نعم",0,N($J134))))</f>
        <v>0</v>
      </c>
      <c r="AE134" s="57" t="n">
        <f aca="false">IF(OR($B134="",$E134="",$F134=""),0,MAX(0,MIN($F134,EOMONTH(DATE(cfg_FY,10,1),0))-MAX($E134,DATE(cfg_FY,10,1))+1)*(1-IF($M134="نعم",0,N($J134))))</f>
        <v>0</v>
      </c>
      <c r="AF134" s="57" t="n">
        <f aca="false">IF(OR($B134="",$E134="",$F134=""),0,MAX(0,MIN($F134,EOMONTH(DATE(cfg_FY,11,1),0))-MAX($E134,DATE(cfg_FY,11,1))+1)*(1-IF($M134="نعم",0,N($J134))))</f>
        <v>0</v>
      </c>
      <c r="AG134" s="57" t="n">
        <f aca="false">IF(OR($B134="",$E134="",$F134=""),0,MAX(0,MIN($F134,EOMONTH(DATE(cfg_FY,12,1),0))-MAX($E134,DATE(cfg_FY,12,1))+1)*(1-IF($M134="نعم",0,N($J134))))</f>
        <v>0</v>
      </c>
      <c r="AH134" s="57" t="n">
        <f aca="false">IF(OR(OR($B134="",$E134="",$F134=""),$L134&lt;&gt;"لا"),0,MAX(0,MIN($F134,EOMONTH(DATE(cfg_FY,1,1),0))-$E134+1))</f>
        <v>0</v>
      </c>
      <c r="AI134" s="57" t="n">
        <f aca="false">IF(OR(OR($B134="",$E134="",$F134=""),$L134&lt;&gt;"لا"),0,MAX(0,MIN($F134,EOMONTH(DATE(cfg_FY,2,1),0))-$E134+1))</f>
        <v>0</v>
      </c>
      <c r="AJ134" s="57" t="n">
        <f aca="false">IF(OR(OR($B134="",$E134="",$F134=""),$L134&lt;&gt;"لا"),0,MAX(0,MIN($F134,EOMONTH(DATE(cfg_FY,3,1),0))-$E134+1))</f>
        <v>0</v>
      </c>
      <c r="AK134" s="57" t="n">
        <f aca="false">IF(OR(OR($B134="",$E134="",$F134=""),$L134&lt;&gt;"لا"),0,MAX(0,MIN($F134,EOMONTH(DATE(cfg_FY,4,1),0))-$E134+1))</f>
        <v>0</v>
      </c>
      <c r="AL134" s="57" t="n">
        <f aca="false">IF(OR(OR($B134="",$E134="",$F134=""),$L134&lt;&gt;"لا"),0,MAX(0,MIN($F134,EOMONTH(DATE(cfg_FY,5,1),0))-$E134+1))</f>
        <v>0</v>
      </c>
      <c r="AM134" s="57" t="n">
        <f aca="false">IF(OR(OR($B134="",$E134="",$F134=""),$L134&lt;&gt;"لا"),0,MAX(0,MIN($F134,EOMONTH(DATE(cfg_FY,6,1),0))-$E134+1))</f>
        <v>0</v>
      </c>
      <c r="AN134" s="57" t="n">
        <f aca="false">IF(OR(OR($B134="",$E134="",$F134=""),$L134&lt;&gt;"لا"),0,MAX(0,MIN($F134,EOMONTH(DATE(cfg_FY,7,1),0))-$E134+1))</f>
        <v>0</v>
      </c>
      <c r="AO134" s="57" t="n">
        <f aca="false">IF(OR(OR($B134="",$E134="",$F134=""),$L134&lt;&gt;"لا"),0,MAX(0,MIN($F134,EOMONTH(DATE(cfg_FY,8,1),0))-$E134+1))</f>
        <v>0</v>
      </c>
      <c r="AP134" s="57" t="n">
        <f aca="false">IF(OR(OR($B134="",$E134="",$F134=""),$L134&lt;&gt;"لا"),0,MAX(0,MIN($F134,EOMONTH(DATE(cfg_FY,9,1),0))-$E134+1))</f>
        <v>0</v>
      </c>
      <c r="AQ134" s="57" t="n">
        <f aca="false">IF(OR(OR($B134="",$E134="",$F134=""),$L134&lt;&gt;"لا"),0,MAX(0,MIN($F134,EOMONTH(DATE(cfg_FY,10,1),0))-$E134+1))</f>
        <v>0</v>
      </c>
      <c r="AR134" s="57" t="n">
        <f aca="false">IF(OR(OR($B134="",$E134="",$F134=""),$L134&lt;&gt;"لا"),0,MAX(0,MIN($F134,EOMONTH(DATE(cfg_FY,11,1),0))-$E134+1))</f>
        <v>0</v>
      </c>
      <c r="AS134" s="57" t="n">
        <f aca="false">IF(OR(OR($B134="",$E134="",$F134=""),$L134&lt;&gt;"لا"),0,MAX(0,MIN($F134,EOMONTH(DATE(cfg_FY,12,1),0))-$E134+1))</f>
        <v>0</v>
      </c>
      <c r="AT134" s="57" t="n">
        <f aca="false">IF(OR(OR($B134="",$E134="",$F134=""),$K134&lt;&gt;"نعم",$M134="نعم"),0,MAX(0,MIN($F134,EOMONTH(DATE(cfg_FY,1,1),0))-MAX($E134,DATE(cfg_FY,1,1))+1))</f>
        <v>0</v>
      </c>
      <c r="AU134" s="57" t="n">
        <f aca="false">IF(OR(OR($B134="",$E134="",$F134=""),$K134&lt;&gt;"نعم",$M134="نعم"),0,MAX(0,MIN($F134,EOMONTH(DATE(cfg_FY,2,1),0))-MAX($E134,DATE(cfg_FY,2,1))+1))</f>
        <v>0</v>
      </c>
      <c r="AV134" s="57" t="n">
        <f aca="false">IF(OR(OR($B134="",$E134="",$F134=""),$K134&lt;&gt;"نعم",$M134="نعم"),0,MAX(0,MIN($F134,EOMONTH(DATE(cfg_FY,3,1),0))-MAX($E134,DATE(cfg_FY,3,1))+1))</f>
        <v>0</v>
      </c>
      <c r="AW134" s="57" t="n">
        <f aca="false">IF(OR(OR($B134="",$E134="",$F134=""),$K134&lt;&gt;"نعم",$M134="نعم"),0,MAX(0,MIN($F134,EOMONTH(DATE(cfg_FY,4,1),0))-MAX($E134,DATE(cfg_FY,4,1))+1))</f>
        <v>0</v>
      </c>
      <c r="AX134" s="57" t="n">
        <f aca="false">IF(OR(OR($B134="",$E134="",$F134=""),$K134&lt;&gt;"نعم",$M134="نعم"),0,MAX(0,MIN($F134,EOMONTH(DATE(cfg_FY,5,1),0))-MAX($E134,DATE(cfg_FY,5,1))+1))</f>
        <v>0</v>
      </c>
      <c r="AY134" s="57" t="n">
        <f aca="false">IF(OR(OR($B134="",$E134="",$F134=""),$K134&lt;&gt;"نعم",$M134="نعم"),0,MAX(0,MIN($F134,EOMONTH(DATE(cfg_FY,6,1),0))-MAX($E134,DATE(cfg_FY,6,1))+1))</f>
        <v>0</v>
      </c>
      <c r="AZ134" s="57" t="n">
        <f aca="false">IF(OR(OR($B134="",$E134="",$F134=""),$K134&lt;&gt;"نعم",$M134="نعم"),0,MAX(0,MIN($F134,EOMONTH(DATE(cfg_FY,7,1),0))-MAX($E134,DATE(cfg_FY,7,1))+1))</f>
        <v>0</v>
      </c>
      <c r="BA134" s="57" t="n">
        <f aca="false">IF(OR(OR($B134="",$E134="",$F134=""),$K134&lt;&gt;"نعم",$M134="نعم"),0,MAX(0,MIN($F134,EOMONTH(DATE(cfg_FY,8,1),0))-MAX($E134,DATE(cfg_FY,8,1))+1))</f>
        <v>0</v>
      </c>
      <c r="BB134" s="57" t="n">
        <f aca="false">IF(OR(OR($B134="",$E134="",$F134=""),$K134&lt;&gt;"نعم",$M134="نعم"),0,MAX(0,MIN($F134,EOMONTH(DATE(cfg_FY,9,1),0))-MAX($E134,DATE(cfg_FY,9,1))+1))</f>
        <v>0</v>
      </c>
      <c r="BC134" s="57" t="n">
        <f aca="false">IF(OR(OR($B134="",$E134="",$F134=""),$K134&lt;&gt;"نعم",$M134="نعم"),0,MAX(0,MIN($F134,EOMONTH(DATE(cfg_FY,10,1),0))-MAX($E134,DATE(cfg_FY,10,1))+1))</f>
        <v>0</v>
      </c>
      <c r="BD134" s="57" t="n">
        <f aca="false">IF(OR(OR($B134="",$E134="",$F134=""),$K134&lt;&gt;"نعم",$M134="نعم"),0,MAX(0,MIN($F134,EOMONTH(DATE(cfg_FY,11,1),0))-MAX($E134,DATE(cfg_FY,11,1))+1))</f>
        <v>0</v>
      </c>
      <c r="BE134" s="57" t="n">
        <f aca="false">IF(OR(OR($B134="",$E134="",$F134=""),$K134&lt;&gt;"نعم",$M134="نعم"),0,MAX(0,MIN($F134,EOMONTH(DATE(cfg_FY,12,1),0))-MAX($E134,DATE(cfg_FY,12,1))+1))</f>
        <v>0</v>
      </c>
    </row>
    <row r="135" customFormat="false" ht="15" hidden="false" customHeight="false" outlineLevel="0" collapsed="false">
      <c r="A135" s="100" t="str">
        <f aca="false">IF(B135="","",ROW()-5)</f>
        <v/>
      </c>
      <c r="B135" s="79"/>
      <c r="C135" s="102" t="str">
        <f aca="false">IF(B135="","",IFERROR(INDEX(الموظفون!$C$6:$C$105,MATCH(B135,الموظفون!$B$6:$B$105,0)),"✖ رقم غير موجود"))</f>
        <v/>
      </c>
      <c r="D135" s="79"/>
      <c r="E135" s="94"/>
      <c r="F135" s="94"/>
      <c r="G135" s="110" t="str">
        <f aca="false">IF(OR($B135="",$E135="",$F135=""),"",MAX(0,F135-E135+1))</f>
        <v/>
      </c>
      <c r="H135" s="111" t="str">
        <f aca="false">IF(D135="","",IFERROR(VLOOKUP(D135,cfg_LT,2,FALSE()),1))</f>
        <v/>
      </c>
      <c r="I135" s="82"/>
      <c r="J135" s="111" t="str">
        <f aca="false">IF(D135="","",IF(I135&lt;&gt;"",I135,H135))</f>
        <v/>
      </c>
      <c r="K135" s="102" t="str">
        <f aca="false">IF(D135="","",IFERROR(VLOOKUP($D135,cfg_LT,3,FALSE()),""))</f>
        <v/>
      </c>
      <c r="L135" s="102" t="str">
        <f aca="false">IF(D135="","",IFERROR(VLOOKUP($D135,cfg_LT,4,FALSE()),""))</f>
        <v/>
      </c>
      <c r="M135" s="102" t="str">
        <f aca="false">IF(D135="","",IFERROR(VLOOKUP($D135,cfg_LT,5,FALSE()),""))</f>
        <v/>
      </c>
      <c r="N135" s="101" t="n">
        <f aca="false">IF(OR(OR($B135="",$E135="",$F135=""),M135&lt;&gt;"نعم"),0,G135*J135*IFERROR(INDEX(الموظفون!$R$6:$R$105,MATCH(B135,الموظفون!$B$6:$B$105,0)),0)/cfg_DAYS_M)</f>
        <v>0</v>
      </c>
      <c r="O135" s="100" t="str">
        <f aca="false">IF(OR(OR($B135="",$E135="",$F135=""),M135&lt;&gt;"نعم"),"",IF(YEAR(E135)=cfg_FY,MONTH(E135),""))</f>
        <v/>
      </c>
      <c r="P135" s="102" t="str">
        <f aca="false">IF(B135="","",IF(OR(D135="",E135="",F135=""),"⚠ أكمل النوع والتواريخ",IF(F135&lt;E135,"✖ النهاية قبل البداية",IF(COUNTIFS($B$6:$B$505,B135,$E$6:$E$505,"&lt;="&amp;F135,$F$6:$F$505,"&gt;="&amp;E135)&gt;1,"⚠ تداخل مع سجل آخر",IF(E135&gt;cfg_VAL_DATE,"⏳ قادمة",IF(F135&lt;cfg_VAL_DATE,"✔ منتهية","✈ جارية في تاريخ التقرير"))))))</f>
        <v/>
      </c>
      <c r="Q135" s="79"/>
      <c r="R135" s="110" t="n">
        <f aca="false">IF(OR(OR($B135="",$E135="",$F135=""),L135&lt;&gt;"لا"),0,MAX(0,MIN(F135,cfg_Y_START-1)-E135+1))</f>
        <v>0</v>
      </c>
      <c r="S135" s="110" t="n">
        <f aca="false">IF(OR(OR($B135="",$E135="",$F135=""),L135&lt;&gt;"لا"),0,MAX(0,MIN(F135,cfg_VAL_DATE)-E135+1))</f>
        <v>0</v>
      </c>
      <c r="T135" s="110" t="n">
        <f aca="false">IF(OR(OR($B135="",$E135="",$F135=""),K135&lt;&gt;"نعم"),0,IF(M135="نعم",IF(AND(ISNUMBER(O135),N(O135)&lt;=cfg_VAL_M),G135,0),MAX(0,MIN(F135,cfg_VAL_DATE)-MAX(E135,cfg_Y_START)+1)))</f>
        <v>0</v>
      </c>
      <c r="V135" s="110" t="n">
        <f aca="false">IF(OR($B135="",$E135="",$F135=""),0,MAX(0,MIN($F135,EOMONTH(DATE(cfg_FY,1,1),0))-MAX($E135,DATE(cfg_FY,1,1))+1)*(1-IF($M135="نعم",0,N($J135))))</f>
        <v>0</v>
      </c>
      <c r="W135" s="110" t="n">
        <f aca="false">IF(OR($B135="",$E135="",$F135=""),0,MAX(0,MIN($F135,EOMONTH(DATE(cfg_FY,2,1),0))-MAX($E135,DATE(cfg_FY,2,1))+1)*(1-IF($M135="نعم",0,N($J135))))</f>
        <v>0</v>
      </c>
      <c r="X135" s="110" t="n">
        <f aca="false">IF(OR($B135="",$E135="",$F135=""),0,MAX(0,MIN($F135,EOMONTH(DATE(cfg_FY,3,1),0))-MAX($E135,DATE(cfg_FY,3,1))+1)*(1-IF($M135="نعم",0,N($J135))))</f>
        <v>0</v>
      </c>
      <c r="Y135" s="110" t="n">
        <f aca="false">IF(OR($B135="",$E135="",$F135=""),0,MAX(0,MIN($F135,EOMONTH(DATE(cfg_FY,4,1),0))-MAX($E135,DATE(cfg_FY,4,1))+1)*(1-IF($M135="نعم",0,N($J135))))</f>
        <v>0</v>
      </c>
      <c r="Z135" s="110" t="n">
        <f aca="false">IF(OR($B135="",$E135="",$F135=""),0,MAX(0,MIN($F135,EOMONTH(DATE(cfg_FY,5,1),0))-MAX($E135,DATE(cfg_FY,5,1))+1)*(1-IF($M135="نعم",0,N($J135))))</f>
        <v>0</v>
      </c>
      <c r="AA135" s="110" t="n">
        <f aca="false">IF(OR($B135="",$E135="",$F135=""),0,MAX(0,MIN($F135,EOMONTH(DATE(cfg_FY,6,1),0))-MAX($E135,DATE(cfg_FY,6,1))+1)*(1-IF($M135="نعم",0,N($J135))))</f>
        <v>0</v>
      </c>
      <c r="AB135" s="110" t="n">
        <f aca="false">IF(OR($B135="",$E135="",$F135=""),0,MAX(0,MIN($F135,EOMONTH(DATE(cfg_FY,7,1),0))-MAX($E135,DATE(cfg_FY,7,1))+1)*(1-IF($M135="نعم",0,N($J135))))</f>
        <v>0</v>
      </c>
      <c r="AC135" s="110" t="n">
        <f aca="false">IF(OR($B135="",$E135="",$F135=""),0,MAX(0,MIN($F135,EOMONTH(DATE(cfg_FY,8,1),0))-MAX($E135,DATE(cfg_FY,8,1))+1)*(1-IF($M135="نعم",0,N($J135))))</f>
        <v>0</v>
      </c>
      <c r="AD135" s="110" t="n">
        <f aca="false">IF(OR($B135="",$E135="",$F135=""),0,MAX(0,MIN($F135,EOMONTH(DATE(cfg_FY,9,1),0))-MAX($E135,DATE(cfg_FY,9,1))+1)*(1-IF($M135="نعم",0,N($J135))))</f>
        <v>0</v>
      </c>
      <c r="AE135" s="110" t="n">
        <f aca="false">IF(OR($B135="",$E135="",$F135=""),0,MAX(0,MIN($F135,EOMONTH(DATE(cfg_FY,10,1),0))-MAX($E135,DATE(cfg_FY,10,1))+1)*(1-IF($M135="نعم",0,N($J135))))</f>
        <v>0</v>
      </c>
      <c r="AF135" s="110" t="n">
        <f aca="false">IF(OR($B135="",$E135="",$F135=""),0,MAX(0,MIN($F135,EOMONTH(DATE(cfg_FY,11,1),0))-MAX($E135,DATE(cfg_FY,11,1))+1)*(1-IF($M135="نعم",0,N($J135))))</f>
        <v>0</v>
      </c>
      <c r="AG135" s="110" t="n">
        <f aca="false">IF(OR($B135="",$E135="",$F135=""),0,MAX(0,MIN($F135,EOMONTH(DATE(cfg_FY,12,1),0))-MAX($E135,DATE(cfg_FY,12,1))+1)*(1-IF($M135="نعم",0,N($J135))))</f>
        <v>0</v>
      </c>
      <c r="AH135" s="110" t="n">
        <f aca="false">IF(OR(OR($B135="",$E135="",$F135=""),$L135&lt;&gt;"لا"),0,MAX(0,MIN($F135,EOMONTH(DATE(cfg_FY,1,1),0))-$E135+1))</f>
        <v>0</v>
      </c>
      <c r="AI135" s="110" t="n">
        <f aca="false">IF(OR(OR($B135="",$E135="",$F135=""),$L135&lt;&gt;"لا"),0,MAX(0,MIN($F135,EOMONTH(DATE(cfg_FY,2,1),0))-$E135+1))</f>
        <v>0</v>
      </c>
      <c r="AJ135" s="110" t="n">
        <f aca="false">IF(OR(OR($B135="",$E135="",$F135=""),$L135&lt;&gt;"لا"),0,MAX(0,MIN($F135,EOMONTH(DATE(cfg_FY,3,1),0))-$E135+1))</f>
        <v>0</v>
      </c>
      <c r="AK135" s="110" t="n">
        <f aca="false">IF(OR(OR($B135="",$E135="",$F135=""),$L135&lt;&gt;"لا"),0,MAX(0,MIN($F135,EOMONTH(DATE(cfg_FY,4,1),0))-$E135+1))</f>
        <v>0</v>
      </c>
      <c r="AL135" s="110" t="n">
        <f aca="false">IF(OR(OR($B135="",$E135="",$F135=""),$L135&lt;&gt;"لا"),0,MAX(0,MIN($F135,EOMONTH(DATE(cfg_FY,5,1),0))-$E135+1))</f>
        <v>0</v>
      </c>
      <c r="AM135" s="110" t="n">
        <f aca="false">IF(OR(OR($B135="",$E135="",$F135=""),$L135&lt;&gt;"لا"),0,MAX(0,MIN($F135,EOMONTH(DATE(cfg_FY,6,1),0))-$E135+1))</f>
        <v>0</v>
      </c>
      <c r="AN135" s="110" t="n">
        <f aca="false">IF(OR(OR($B135="",$E135="",$F135=""),$L135&lt;&gt;"لا"),0,MAX(0,MIN($F135,EOMONTH(DATE(cfg_FY,7,1),0))-$E135+1))</f>
        <v>0</v>
      </c>
      <c r="AO135" s="110" t="n">
        <f aca="false">IF(OR(OR($B135="",$E135="",$F135=""),$L135&lt;&gt;"لا"),0,MAX(0,MIN($F135,EOMONTH(DATE(cfg_FY,8,1),0))-$E135+1))</f>
        <v>0</v>
      </c>
      <c r="AP135" s="110" t="n">
        <f aca="false">IF(OR(OR($B135="",$E135="",$F135=""),$L135&lt;&gt;"لا"),0,MAX(0,MIN($F135,EOMONTH(DATE(cfg_FY,9,1),0))-$E135+1))</f>
        <v>0</v>
      </c>
      <c r="AQ135" s="110" t="n">
        <f aca="false">IF(OR(OR($B135="",$E135="",$F135=""),$L135&lt;&gt;"لا"),0,MAX(0,MIN($F135,EOMONTH(DATE(cfg_FY,10,1),0))-$E135+1))</f>
        <v>0</v>
      </c>
      <c r="AR135" s="110" t="n">
        <f aca="false">IF(OR(OR($B135="",$E135="",$F135=""),$L135&lt;&gt;"لا"),0,MAX(0,MIN($F135,EOMONTH(DATE(cfg_FY,11,1),0))-$E135+1))</f>
        <v>0</v>
      </c>
      <c r="AS135" s="110" t="n">
        <f aca="false">IF(OR(OR($B135="",$E135="",$F135=""),$L135&lt;&gt;"لا"),0,MAX(0,MIN($F135,EOMONTH(DATE(cfg_FY,12,1),0))-$E135+1))</f>
        <v>0</v>
      </c>
      <c r="AT135" s="110" t="n">
        <f aca="false">IF(OR(OR($B135="",$E135="",$F135=""),$K135&lt;&gt;"نعم",$M135="نعم"),0,MAX(0,MIN($F135,EOMONTH(DATE(cfg_FY,1,1),0))-MAX($E135,DATE(cfg_FY,1,1))+1))</f>
        <v>0</v>
      </c>
      <c r="AU135" s="110" t="n">
        <f aca="false">IF(OR(OR($B135="",$E135="",$F135=""),$K135&lt;&gt;"نعم",$M135="نعم"),0,MAX(0,MIN($F135,EOMONTH(DATE(cfg_FY,2,1),0))-MAX($E135,DATE(cfg_FY,2,1))+1))</f>
        <v>0</v>
      </c>
      <c r="AV135" s="110" t="n">
        <f aca="false">IF(OR(OR($B135="",$E135="",$F135=""),$K135&lt;&gt;"نعم",$M135="نعم"),0,MAX(0,MIN($F135,EOMONTH(DATE(cfg_FY,3,1),0))-MAX($E135,DATE(cfg_FY,3,1))+1))</f>
        <v>0</v>
      </c>
      <c r="AW135" s="110" t="n">
        <f aca="false">IF(OR(OR($B135="",$E135="",$F135=""),$K135&lt;&gt;"نعم",$M135="نعم"),0,MAX(0,MIN($F135,EOMONTH(DATE(cfg_FY,4,1),0))-MAX($E135,DATE(cfg_FY,4,1))+1))</f>
        <v>0</v>
      </c>
      <c r="AX135" s="110" t="n">
        <f aca="false">IF(OR(OR($B135="",$E135="",$F135=""),$K135&lt;&gt;"نعم",$M135="نعم"),0,MAX(0,MIN($F135,EOMONTH(DATE(cfg_FY,5,1),0))-MAX($E135,DATE(cfg_FY,5,1))+1))</f>
        <v>0</v>
      </c>
      <c r="AY135" s="110" t="n">
        <f aca="false">IF(OR(OR($B135="",$E135="",$F135=""),$K135&lt;&gt;"نعم",$M135="نعم"),0,MAX(0,MIN($F135,EOMONTH(DATE(cfg_FY,6,1),0))-MAX($E135,DATE(cfg_FY,6,1))+1))</f>
        <v>0</v>
      </c>
      <c r="AZ135" s="110" t="n">
        <f aca="false">IF(OR(OR($B135="",$E135="",$F135=""),$K135&lt;&gt;"نعم",$M135="نعم"),0,MAX(0,MIN($F135,EOMONTH(DATE(cfg_FY,7,1),0))-MAX($E135,DATE(cfg_FY,7,1))+1))</f>
        <v>0</v>
      </c>
      <c r="BA135" s="110" t="n">
        <f aca="false">IF(OR(OR($B135="",$E135="",$F135=""),$K135&lt;&gt;"نعم",$M135="نعم"),0,MAX(0,MIN($F135,EOMONTH(DATE(cfg_FY,8,1),0))-MAX($E135,DATE(cfg_FY,8,1))+1))</f>
        <v>0</v>
      </c>
      <c r="BB135" s="110" t="n">
        <f aca="false">IF(OR(OR($B135="",$E135="",$F135=""),$K135&lt;&gt;"نعم",$M135="نعم"),0,MAX(0,MIN($F135,EOMONTH(DATE(cfg_FY,9,1),0))-MAX($E135,DATE(cfg_FY,9,1))+1))</f>
        <v>0</v>
      </c>
      <c r="BC135" s="110" t="n">
        <f aca="false">IF(OR(OR($B135="",$E135="",$F135=""),$K135&lt;&gt;"نعم",$M135="نعم"),0,MAX(0,MIN($F135,EOMONTH(DATE(cfg_FY,10,1),0))-MAX($E135,DATE(cfg_FY,10,1))+1))</f>
        <v>0</v>
      </c>
      <c r="BD135" s="110" t="n">
        <f aca="false">IF(OR(OR($B135="",$E135="",$F135=""),$K135&lt;&gt;"نعم",$M135="نعم"),0,MAX(0,MIN($F135,EOMONTH(DATE(cfg_FY,11,1),0))-MAX($E135,DATE(cfg_FY,11,1))+1))</f>
        <v>0</v>
      </c>
      <c r="BE135" s="110" t="n">
        <f aca="false">IF(OR(OR($B135="",$E135="",$F135=""),$K135&lt;&gt;"نعم",$M135="نعم"),0,MAX(0,MIN($F135,EOMONTH(DATE(cfg_FY,12,1),0))-MAX($E135,DATE(cfg_FY,12,1))+1))</f>
        <v>0</v>
      </c>
    </row>
    <row r="136" customFormat="false" ht="15" hidden="false" customHeight="false" outlineLevel="0" collapsed="false">
      <c r="A136" s="93" t="str">
        <f aca="false">IF(B136="","",ROW()-5)</f>
        <v/>
      </c>
      <c r="B136" s="79"/>
      <c r="C136" s="80" t="str">
        <f aca="false">IF(B136="","",IFERROR(INDEX(الموظفون!$C$6:$C$105,MATCH(B136,الموظفون!$B$6:$B$105,0)),"✖ رقم غير موجود"))</f>
        <v/>
      </c>
      <c r="D136" s="79"/>
      <c r="E136" s="94"/>
      <c r="F136" s="94"/>
      <c r="G136" s="57" t="str">
        <f aca="false">IF(OR($B136="",$E136="",$F136=""),"",MAX(0,F136-E136+1))</f>
        <v/>
      </c>
      <c r="H136" s="58" t="str">
        <f aca="false">IF(D136="","",IFERROR(VLOOKUP(D136,cfg_LT,2,FALSE()),1))</f>
        <v/>
      </c>
      <c r="I136" s="82"/>
      <c r="J136" s="58" t="str">
        <f aca="false">IF(D136="","",IF(I136&lt;&gt;"",I136,H136))</f>
        <v/>
      </c>
      <c r="K136" s="80" t="str">
        <f aca="false">IF(D136="","",IFERROR(VLOOKUP($D136,cfg_LT,3,FALSE()),""))</f>
        <v/>
      </c>
      <c r="L136" s="80" t="str">
        <f aca="false">IF(D136="","",IFERROR(VLOOKUP($D136,cfg_LT,4,FALSE()),""))</f>
        <v/>
      </c>
      <c r="M136" s="80" t="str">
        <f aca="false">IF(D136="","",IFERROR(VLOOKUP($D136,cfg_LT,5,FALSE()),""))</f>
        <v/>
      </c>
      <c r="N136" s="97" t="n">
        <f aca="false">IF(OR(OR($B136="",$E136="",$F136=""),M136&lt;&gt;"نعم"),0,G136*J136*IFERROR(INDEX(الموظفون!$R$6:$R$105,MATCH(B136,الموظفون!$B$6:$B$105,0)),0)/cfg_DAYS_M)</f>
        <v>0</v>
      </c>
      <c r="O136" s="93" t="str">
        <f aca="false">IF(OR(OR($B136="",$E136="",$F136=""),M136&lt;&gt;"نعم"),"",IF(YEAR(E136)=cfg_FY,MONTH(E136),""))</f>
        <v/>
      </c>
      <c r="P136" s="80" t="str">
        <f aca="false">IF(B136="","",IF(OR(D136="",E136="",F136=""),"⚠ أكمل النوع والتواريخ",IF(F136&lt;E136,"✖ النهاية قبل البداية",IF(COUNTIFS($B$6:$B$505,B136,$E$6:$E$505,"&lt;="&amp;F136,$F$6:$F$505,"&gt;="&amp;E136)&gt;1,"⚠ تداخل مع سجل آخر",IF(E136&gt;cfg_VAL_DATE,"⏳ قادمة",IF(F136&lt;cfg_VAL_DATE,"✔ منتهية","✈ جارية في تاريخ التقرير"))))))</f>
        <v/>
      </c>
      <c r="Q136" s="79"/>
      <c r="R136" s="57" t="n">
        <f aca="false">IF(OR(OR($B136="",$E136="",$F136=""),L136&lt;&gt;"لا"),0,MAX(0,MIN(F136,cfg_Y_START-1)-E136+1))</f>
        <v>0</v>
      </c>
      <c r="S136" s="57" t="n">
        <f aca="false">IF(OR(OR($B136="",$E136="",$F136=""),L136&lt;&gt;"لا"),0,MAX(0,MIN(F136,cfg_VAL_DATE)-E136+1))</f>
        <v>0</v>
      </c>
      <c r="T136" s="57" t="n">
        <f aca="false">IF(OR(OR($B136="",$E136="",$F136=""),K136&lt;&gt;"نعم"),0,IF(M136="نعم",IF(AND(ISNUMBER(O136),N(O136)&lt;=cfg_VAL_M),G136,0),MAX(0,MIN(F136,cfg_VAL_DATE)-MAX(E136,cfg_Y_START)+1)))</f>
        <v>0</v>
      </c>
      <c r="V136" s="57" t="n">
        <f aca="false">IF(OR($B136="",$E136="",$F136=""),0,MAX(0,MIN($F136,EOMONTH(DATE(cfg_FY,1,1),0))-MAX($E136,DATE(cfg_FY,1,1))+1)*(1-IF($M136="نعم",0,N($J136))))</f>
        <v>0</v>
      </c>
      <c r="W136" s="57" t="n">
        <f aca="false">IF(OR($B136="",$E136="",$F136=""),0,MAX(0,MIN($F136,EOMONTH(DATE(cfg_FY,2,1),0))-MAX($E136,DATE(cfg_FY,2,1))+1)*(1-IF($M136="نعم",0,N($J136))))</f>
        <v>0</v>
      </c>
      <c r="X136" s="57" t="n">
        <f aca="false">IF(OR($B136="",$E136="",$F136=""),0,MAX(0,MIN($F136,EOMONTH(DATE(cfg_FY,3,1),0))-MAX($E136,DATE(cfg_FY,3,1))+1)*(1-IF($M136="نعم",0,N($J136))))</f>
        <v>0</v>
      </c>
      <c r="Y136" s="57" t="n">
        <f aca="false">IF(OR($B136="",$E136="",$F136=""),0,MAX(0,MIN($F136,EOMONTH(DATE(cfg_FY,4,1),0))-MAX($E136,DATE(cfg_FY,4,1))+1)*(1-IF($M136="نعم",0,N($J136))))</f>
        <v>0</v>
      </c>
      <c r="Z136" s="57" t="n">
        <f aca="false">IF(OR($B136="",$E136="",$F136=""),0,MAX(0,MIN($F136,EOMONTH(DATE(cfg_FY,5,1),0))-MAX($E136,DATE(cfg_FY,5,1))+1)*(1-IF($M136="نعم",0,N($J136))))</f>
        <v>0</v>
      </c>
      <c r="AA136" s="57" t="n">
        <f aca="false">IF(OR($B136="",$E136="",$F136=""),0,MAX(0,MIN($F136,EOMONTH(DATE(cfg_FY,6,1),0))-MAX($E136,DATE(cfg_FY,6,1))+1)*(1-IF($M136="نعم",0,N($J136))))</f>
        <v>0</v>
      </c>
      <c r="AB136" s="57" t="n">
        <f aca="false">IF(OR($B136="",$E136="",$F136=""),0,MAX(0,MIN($F136,EOMONTH(DATE(cfg_FY,7,1),0))-MAX($E136,DATE(cfg_FY,7,1))+1)*(1-IF($M136="نعم",0,N($J136))))</f>
        <v>0</v>
      </c>
      <c r="AC136" s="57" t="n">
        <f aca="false">IF(OR($B136="",$E136="",$F136=""),0,MAX(0,MIN($F136,EOMONTH(DATE(cfg_FY,8,1),0))-MAX($E136,DATE(cfg_FY,8,1))+1)*(1-IF($M136="نعم",0,N($J136))))</f>
        <v>0</v>
      </c>
      <c r="AD136" s="57" t="n">
        <f aca="false">IF(OR($B136="",$E136="",$F136=""),0,MAX(0,MIN($F136,EOMONTH(DATE(cfg_FY,9,1),0))-MAX($E136,DATE(cfg_FY,9,1))+1)*(1-IF($M136="نعم",0,N($J136))))</f>
        <v>0</v>
      </c>
      <c r="AE136" s="57" t="n">
        <f aca="false">IF(OR($B136="",$E136="",$F136=""),0,MAX(0,MIN($F136,EOMONTH(DATE(cfg_FY,10,1),0))-MAX($E136,DATE(cfg_FY,10,1))+1)*(1-IF($M136="نعم",0,N($J136))))</f>
        <v>0</v>
      </c>
      <c r="AF136" s="57" t="n">
        <f aca="false">IF(OR($B136="",$E136="",$F136=""),0,MAX(0,MIN($F136,EOMONTH(DATE(cfg_FY,11,1),0))-MAX($E136,DATE(cfg_FY,11,1))+1)*(1-IF($M136="نعم",0,N($J136))))</f>
        <v>0</v>
      </c>
      <c r="AG136" s="57" t="n">
        <f aca="false">IF(OR($B136="",$E136="",$F136=""),0,MAX(0,MIN($F136,EOMONTH(DATE(cfg_FY,12,1),0))-MAX($E136,DATE(cfg_FY,12,1))+1)*(1-IF($M136="نعم",0,N($J136))))</f>
        <v>0</v>
      </c>
      <c r="AH136" s="57" t="n">
        <f aca="false">IF(OR(OR($B136="",$E136="",$F136=""),$L136&lt;&gt;"لا"),0,MAX(0,MIN($F136,EOMONTH(DATE(cfg_FY,1,1),0))-$E136+1))</f>
        <v>0</v>
      </c>
      <c r="AI136" s="57" t="n">
        <f aca="false">IF(OR(OR($B136="",$E136="",$F136=""),$L136&lt;&gt;"لا"),0,MAX(0,MIN($F136,EOMONTH(DATE(cfg_FY,2,1),0))-$E136+1))</f>
        <v>0</v>
      </c>
      <c r="AJ136" s="57" t="n">
        <f aca="false">IF(OR(OR($B136="",$E136="",$F136=""),$L136&lt;&gt;"لا"),0,MAX(0,MIN($F136,EOMONTH(DATE(cfg_FY,3,1),0))-$E136+1))</f>
        <v>0</v>
      </c>
      <c r="AK136" s="57" t="n">
        <f aca="false">IF(OR(OR($B136="",$E136="",$F136=""),$L136&lt;&gt;"لا"),0,MAX(0,MIN($F136,EOMONTH(DATE(cfg_FY,4,1),0))-$E136+1))</f>
        <v>0</v>
      </c>
      <c r="AL136" s="57" t="n">
        <f aca="false">IF(OR(OR($B136="",$E136="",$F136=""),$L136&lt;&gt;"لا"),0,MAX(0,MIN($F136,EOMONTH(DATE(cfg_FY,5,1),0))-$E136+1))</f>
        <v>0</v>
      </c>
      <c r="AM136" s="57" t="n">
        <f aca="false">IF(OR(OR($B136="",$E136="",$F136=""),$L136&lt;&gt;"لا"),0,MAX(0,MIN($F136,EOMONTH(DATE(cfg_FY,6,1),0))-$E136+1))</f>
        <v>0</v>
      </c>
      <c r="AN136" s="57" t="n">
        <f aca="false">IF(OR(OR($B136="",$E136="",$F136=""),$L136&lt;&gt;"لا"),0,MAX(0,MIN($F136,EOMONTH(DATE(cfg_FY,7,1),0))-$E136+1))</f>
        <v>0</v>
      </c>
      <c r="AO136" s="57" t="n">
        <f aca="false">IF(OR(OR($B136="",$E136="",$F136=""),$L136&lt;&gt;"لا"),0,MAX(0,MIN($F136,EOMONTH(DATE(cfg_FY,8,1),0))-$E136+1))</f>
        <v>0</v>
      </c>
      <c r="AP136" s="57" t="n">
        <f aca="false">IF(OR(OR($B136="",$E136="",$F136=""),$L136&lt;&gt;"لا"),0,MAX(0,MIN($F136,EOMONTH(DATE(cfg_FY,9,1),0))-$E136+1))</f>
        <v>0</v>
      </c>
      <c r="AQ136" s="57" t="n">
        <f aca="false">IF(OR(OR($B136="",$E136="",$F136=""),$L136&lt;&gt;"لا"),0,MAX(0,MIN($F136,EOMONTH(DATE(cfg_FY,10,1),0))-$E136+1))</f>
        <v>0</v>
      </c>
      <c r="AR136" s="57" t="n">
        <f aca="false">IF(OR(OR($B136="",$E136="",$F136=""),$L136&lt;&gt;"لا"),0,MAX(0,MIN($F136,EOMONTH(DATE(cfg_FY,11,1),0))-$E136+1))</f>
        <v>0</v>
      </c>
      <c r="AS136" s="57" t="n">
        <f aca="false">IF(OR(OR($B136="",$E136="",$F136=""),$L136&lt;&gt;"لا"),0,MAX(0,MIN($F136,EOMONTH(DATE(cfg_FY,12,1),0))-$E136+1))</f>
        <v>0</v>
      </c>
      <c r="AT136" s="57" t="n">
        <f aca="false">IF(OR(OR($B136="",$E136="",$F136=""),$K136&lt;&gt;"نعم",$M136="نعم"),0,MAX(0,MIN($F136,EOMONTH(DATE(cfg_FY,1,1),0))-MAX($E136,DATE(cfg_FY,1,1))+1))</f>
        <v>0</v>
      </c>
      <c r="AU136" s="57" t="n">
        <f aca="false">IF(OR(OR($B136="",$E136="",$F136=""),$K136&lt;&gt;"نعم",$M136="نعم"),0,MAX(0,MIN($F136,EOMONTH(DATE(cfg_FY,2,1),0))-MAX($E136,DATE(cfg_FY,2,1))+1))</f>
        <v>0</v>
      </c>
      <c r="AV136" s="57" t="n">
        <f aca="false">IF(OR(OR($B136="",$E136="",$F136=""),$K136&lt;&gt;"نعم",$M136="نعم"),0,MAX(0,MIN($F136,EOMONTH(DATE(cfg_FY,3,1),0))-MAX($E136,DATE(cfg_FY,3,1))+1))</f>
        <v>0</v>
      </c>
      <c r="AW136" s="57" t="n">
        <f aca="false">IF(OR(OR($B136="",$E136="",$F136=""),$K136&lt;&gt;"نعم",$M136="نعم"),0,MAX(0,MIN($F136,EOMONTH(DATE(cfg_FY,4,1),0))-MAX($E136,DATE(cfg_FY,4,1))+1))</f>
        <v>0</v>
      </c>
      <c r="AX136" s="57" t="n">
        <f aca="false">IF(OR(OR($B136="",$E136="",$F136=""),$K136&lt;&gt;"نعم",$M136="نعم"),0,MAX(0,MIN($F136,EOMONTH(DATE(cfg_FY,5,1),0))-MAX($E136,DATE(cfg_FY,5,1))+1))</f>
        <v>0</v>
      </c>
      <c r="AY136" s="57" t="n">
        <f aca="false">IF(OR(OR($B136="",$E136="",$F136=""),$K136&lt;&gt;"نعم",$M136="نعم"),0,MAX(0,MIN($F136,EOMONTH(DATE(cfg_FY,6,1),0))-MAX($E136,DATE(cfg_FY,6,1))+1))</f>
        <v>0</v>
      </c>
      <c r="AZ136" s="57" t="n">
        <f aca="false">IF(OR(OR($B136="",$E136="",$F136=""),$K136&lt;&gt;"نعم",$M136="نعم"),0,MAX(0,MIN($F136,EOMONTH(DATE(cfg_FY,7,1),0))-MAX($E136,DATE(cfg_FY,7,1))+1))</f>
        <v>0</v>
      </c>
      <c r="BA136" s="57" t="n">
        <f aca="false">IF(OR(OR($B136="",$E136="",$F136=""),$K136&lt;&gt;"نعم",$M136="نعم"),0,MAX(0,MIN($F136,EOMONTH(DATE(cfg_FY,8,1),0))-MAX($E136,DATE(cfg_FY,8,1))+1))</f>
        <v>0</v>
      </c>
      <c r="BB136" s="57" t="n">
        <f aca="false">IF(OR(OR($B136="",$E136="",$F136=""),$K136&lt;&gt;"نعم",$M136="نعم"),0,MAX(0,MIN($F136,EOMONTH(DATE(cfg_FY,9,1),0))-MAX($E136,DATE(cfg_FY,9,1))+1))</f>
        <v>0</v>
      </c>
      <c r="BC136" s="57" t="n">
        <f aca="false">IF(OR(OR($B136="",$E136="",$F136=""),$K136&lt;&gt;"نعم",$M136="نعم"),0,MAX(0,MIN($F136,EOMONTH(DATE(cfg_FY,10,1),0))-MAX($E136,DATE(cfg_FY,10,1))+1))</f>
        <v>0</v>
      </c>
      <c r="BD136" s="57" t="n">
        <f aca="false">IF(OR(OR($B136="",$E136="",$F136=""),$K136&lt;&gt;"نعم",$M136="نعم"),0,MAX(0,MIN($F136,EOMONTH(DATE(cfg_FY,11,1),0))-MAX($E136,DATE(cfg_FY,11,1))+1))</f>
        <v>0</v>
      </c>
      <c r="BE136" s="57" t="n">
        <f aca="false">IF(OR(OR($B136="",$E136="",$F136=""),$K136&lt;&gt;"نعم",$M136="نعم"),0,MAX(0,MIN($F136,EOMONTH(DATE(cfg_FY,12,1),0))-MAX($E136,DATE(cfg_FY,12,1))+1))</f>
        <v>0</v>
      </c>
    </row>
    <row r="137" customFormat="false" ht="15" hidden="false" customHeight="false" outlineLevel="0" collapsed="false">
      <c r="A137" s="100" t="str">
        <f aca="false">IF(B137="","",ROW()-5)</f>
        <v/>
      </c>
      <c r="B137" s="79"/>
      <c r="C137" s="102" t="str">
        <f aca="false">IF(B137="","",IFERROR(INDEX(الموظفون!$C$6:$C$105,MATCH(B137,الموظفون!$B$6:$B$105,0)),"✖ رقم غير موجود"))</f>
        <v/>
      </c>
      <c r="D137" s="79"/>
      <c r="E137" s="94"/>
      <c r="F137" s="94"/>
      <c r="G137" s="110" t="str">
        <f aca="false">IF(OR($B137="",$E137="",$F137=""),"",MAX(0,F137-E137+1))</f>
        <v/>
      </c>
      <c r="H137" s="111" t="str">
        <f aca="false">IF(D137="","",IFERROR(VLOOKUP(D137,cfg_LT,2,FALSE()),1))</f>
        <v/>
      </c>
      <c r="I137" s="82"/>
      <c r="J137" s="111" t="str">
        <f aca="false">IF(D137="","",IF(I137&lt;&gt;"",I137,H137))</f>
        <v/>
      </c>
      <c r="K137" s="102" t="str">
        <f aca="false">IF(D137="","",IFERROR(VLOOKUP($D137,cfg_LT,3,FALSE()),""))</f>
        <v/>
      </c>
      <c r="L137" s="102" t="str">
        <f aca="false">IF(D137="","",IFERROR(VLOOKUP($D137,cfg_LT,4,FALSE()),""))</f>
        <v/>
      </c>
      <c r="M137" s="102" t="str">
        <f aca="false">IF(D137="","",IFERROR(VLOOKUP($D137,cfg_LT,5,FALSE()),""))</f>
        <v/>
      </c>
      <c r="N137" s="101" t="n">
        <f aca="false">IF(OR(OR($B137="",$E137="",$F137=""),M137&lt;&gt;"نعم"),0,G137*J137*IFERROR(INDEX(الموظفون!$R$6:$R$105,MATCH(B137,الموظفون!$B$6:$B$105,0)),0)/cfg_DAYS_M)</f>
        <v>0</v>
      </c>
      <c r="O137" s="100" t="str">
        <f aca="false">IF(OR(OR($B137="",$E137="",$F137=""),M137&lt;&gt;"نعم"),"",IF(YEAR(E137)=cfg_FY,MONTH(E137),""))</f>
        <v/>
      </c>
      <c r="P137" s="102" t="str">
        <f aca="false">IF(B137="","",IF(OR(D137="",E137="",F137=""),"⚠ أكمل النوع والتواريخ",IF(F137&lt;E137,"✖ النهاية قبل البداية",IF(COUNTIFS($B$6:$B$505,B137,$E$6:$E$505,"&lt;="&amp;F137,$F$6:$F$505,"&gt;="&amp;E137)&gt;1,"⚠ تداخل مع سجل آخر",IF(E137&gt;cfg_VAL_DATE,"⏳ قادمة",IF(F137&lt;cfg_VAL_DATE,"✔ منتهية","✈ جارية في تاريخ التقرير"))))))</f>
        <v/>
      </c>
      <c r="Q137" s="79"/>
      <c r="R137" s="110" t="n">
        <f aca="false">IF(OR(OR($B137="",$E137="",$F137=""),L137&lt;&gt;"لا"),0,MAX(0,MIN(F137,cfg_Y_START-1)-E137+1))</f>
        <v>0</v>
      </c>
      <c r="S137" s="110" t="n">
        <f aca="false">IF(OR(OR($B137="",$E137="",$F137=""),L137&lt;&gt;"لا"),0,MAX(0,MIN(F137,cfg_VAL_DATE)-E137+1))</f>
        <v>0</v>
      </c>
      <c r="T137" s="110" t="n">
        <f aca="false">IF(OR(OR($B137="",$E137="",$F137=""),K137&lt;&gt;"نعم"),0,IF(M137="نعم",IF(AND(ISNUMBER(O137),N(O137)&lt;=cfg_VAL_M),G137,0),MAX(0,MIN(F137,cfg_VAL_DATE)-MAX(E137,cfg_Y_START)+1)))</f>
        <v>0</v>
      </c>
      <c r="V137" s="110" t="n">
        <f aca="false">IF(OR($B137="",$E137="",$F137=""),0,MAX(0,MIN($F137,EOMONTH(DATE(cfg_FY,1,1),0))-MAX($E137,DATE(cfg_FY,1,1))+1)*(1-IF($M137="نعم",0,N($J137))))</f>
        <v>0</v>
      </c>
      <c r="W137" s="110" t="n">
        <f aca="false">IF(OR($B137="",$E137="",$F137=""),0,MAX(0,MIN($F137,EOMONTH(DATE(cfg_FY,2,1),0))-MAX($E137,DATE(cfg_FY,2,1))+1)*(1-IF($M137="نعم",0,N($J137))))</f>
        <v>0</v>
      </c>
      <c r="X137" s="110" t="n">
        <f aca="false">IF(OR($B137="",$E137="",$F137=""),0,MAX(0,MIN($F137,EOMONTH(DATE(cfg_FY,3,1),0))-MAX($E137,DATE(cfg_FY,3,1))+1)*(1-IF($M137="نعم",0,N($J137))))</f>
        <v>0</v>
      </c>
      <c r="Y137" s="110" t="n">
        <f aca="false">IF(OR($B137="",$E137="",$F137=""),0,MAX(0,MIN($F137,EOMONTH(DATE(cfg_FY,4,1),0))-MAX($E137,DATE(cfg_FY,4,1))+1)*(1-IF($M137="نعم",0,N($J137))))</f>
        <v>0</v>
      </c>
      <c r="Z137" s="110" t="n">
        <f aca="false">IF(OR($B137="",$E137="",$F137=""),0,MAX(0,MIN($F137,EOMONTH(DATE(cfg_FY,5,1),0))-MAX($E137,DATE(cfg_FY,5,1))+1)*(1-IF($M137="نعم",0,N($J137))))</f>
        <v>0</v>
      </c>
      <c r="AA137" s="110" t="n">
        <f aca="false">IF(OR($B137="",$E137="",$F137=""),0,MAX(0,MIN($F137,EOMONTH(DATE(cfg_FY,6,1),0))-MAX($E137,DATE(cfg_FY,6,1))+1)*(1-IF($M137="نعم",0,N($J137))))</f>
        <v>0</v>
      </c>
      <c r="AB137" s="110" t="n">
        <f aca="false">IF(OR($B137="",$E137="",$F137=""),0,MAX(0,MIN($F137,EOMONTH(DATE(cfg_FY,7,1),0))-MAX($E137,DATE(cfg_FY,7,1))+1)*(1-IF($M137="نعم",0,N($J137))))</f>
        <v>0</v>
      </c>
      <c r="AC137" s="110" t="n">
        <f aca="false">IF(OR($B137="",$E137="",$F137=""),0,MAX(0,MIN($F137,EOMONTH(DATE(cfg_FY,8,1),0))-MAX($E137,DATE(cfg_FY,8,1))+1)*(1-IF($M137="نعم",0,N($J137))))</f>
        <v>0</v>
      </c>
      <c r="AD137" s="110" t="n">
        <f aca="false">IF(OR($B137="",$E137="",$F137=""),0,MAX(0,MIN($F137,EOMONTH(DATE(cfg_FY,9,1),0))-MAX($E137,DATE(cfg_FY,9,1))+1)*(1-IF($M137="نعم",0,N($J137))))</f>
        <v>0</v>
      </c>
      <c r="AE137" s="110" t="n">
        <f aca="false">IF(OR($B137="",$E137="",$F137=""),0,MAX(0,MIN($F137,EOMONTH(DATE(cfg_FY,10,1),0))-MAX($E137,DATE(cfg_FY,10,1))+1)*(1-IF($M137="نعم",0,N($J137))))</f>
        <v>0</v>
      </c>
      <c r="AF137" s="110" t="n">
        <f aca="false">IF(OR($B137="",$E137="",$F137=""),0,MAX(0,MIN($F137,EOMONTH(DATE(cfg_FY,11,1),0))-MAX($E137,DATE(cfg_FY,11,1))+1)*(1-IF($M137="نعم",0,N($J137))))</f>
        <v>0</v>
      </c>
      <c r="AG137" s="110" t="n">
        <f aca="false">IF(OR($B137="",$E137="",$F137=""),0,MAX(0,MIN($F137,EOMONTH(DATE(cfg_FY,12,1),0))-MAX($E137,DATE(cfg_FY,12,1))+1)*(1-IF($M137="نعم",0,N($J137))))</f>
        <v>0</v>
      </c>
      <c r="AH137" s="110" t="n">
        <f aca="false">IF(OR(OR($B137="",$E137="",$F137=""),$L137&lt;&gt;"لا"),0,MAX(0,MIN($F137,EOMONTH(DATE(cfg_FY,1,1),0))-$E137+1))</f>
        <v>0</v>
      </c>
      <c r="AI137" s="110" t="n">
        <f aca="false">IF(OR(OR($B137="",$E137="",$F137=""),$L137&lt;&gt;"لا"),0,MAX(0,MIN($F137,EOMONTH(DATE(cfg_FY,2,1),0))-$E137+1))</f>
        <v>0</v>
      </c>
      <c r="AJ137" s="110" t="n">
        <f aca="false">IF(OR(OR($B137="",$E137="",$F137=""),$L137&lt;&gt;"لا"),0,MAX(0,MIN($F137,EOMONTH(DATE(cfg_FY,3,1),0))-$E137+1))</f>
        <v>0</v>
      </c>
      <c r="AK137" s="110" t="n">
        <f aca="false">IF(OR(OR($B137="",$E137="",$F137=""),$L137&lt;&gt;"لا"),0,MAX(0,MIN($F137,EOMONTH(DATE(cfg_FY,4,1),0))-$E137+1))</f>
        <v>0</v>
      </c>
      <c r="AL137" s="110" t="n">
        <f aca="false">IF(OR(OR($B137="",$E137="",$F137=""),$L137&lt;&gt;"لا"),0,MAX(0,MIN($F137,EOMONTH(DATE(cfg_FY,5,1),0))-$E137+1))</f>
        <v>0</v>
      </c>
      <c r="AM137" s="110" t="n">
        <f aca="false">IF(OR(OR($B137="",$E137="",$F137=""),$L137&lt;&gt;"لا"),0,MAX(0,MIN($F137,EOMONTH(DATE(cfg_FY,6,1),0))-$E137+1))</f>
        <v>0</v>
      </c>
      <c r="AN137" s="110" t="n">
        <f aca="false">IF(OR(OR($B137="",$E137="",$F137=""),$L137&lt;&gt;"لا"),0,MAX(0,MIN($F137,EOMONTH(DATE(cfg_FY,7,1),0))-$E137+1))</f>
        <v>0</v>
      </c>
      <c r="AO137" s="110" t="n">
        <f aca="false">IF(OR(OR($B137="",$E137="",$F137=""),$L137&lt;&gt;"لا"),0,MAX(0,MIN($F137,EOMONTH(DATE(cfg_FY,8,1),0))-$E137+1))</f>
        <v>0</v>
      </c>
      <c r="AP137" s="110" t="n">
        <f aca="false">IF(OR(OR($B137="",$E137="",$F137=""),$L137&lt;&gt;"لا"),0,MAX(0,MIN($F137,EOMONTH(DATE(cfg_FY,9,1),0))-$E137+1))</f>
        <v>0</v>
      </c>
      <c r="AQ137" s="110" t="n">
        <f aca="false">IF(OR(OR($B137="",$E137="",$F137=""),$L137&lt;&gt;"لا"),0,MAX(0,MIN($F137,EOMONTH(DATE(cfg_FY,10,1),0))-$E137+1))</f>
        <v>0</v>
      </c>
      <c r="AR137" s="110" t="n">
        <f aca="false">IF(OR(OR($B137="",$E137="",$F137=""),$L137&lt;&gt;"لا"),0,MAX(0,MIN($F137,EOMONTH(DATE(cfg_FY,11,1),0))-$E137+1))</f>
        <v>0</v>
      </c>
      <c r="AS137" s="110" t="n">
        <f aca="false">IF(OR(OR($B137="",$E137="",$F137=""),$L137&lt;&gt;"لا"),0,MAX(0,MIN($F137,EOMONTH(DATE(cfg_FY,12,1),0))-$E137+1))</f>
        <v>0</v>
      </c>
      <c r="AT137" s="110" t="n">
        <f aca="false">IF(OR(OR($B137="",$E137="",$F137=""),$K137&lt;&gt;"نعم",$M137="نعم"),0,MAX(0,MIN($F137,EOMONTH(DATE(cfg_FY,1,1),0))-MAX($E137,DATE(cfg_FY,1,1))+1))</f>
        <v>0</v>
      </c>
      <c r="AU137" s="110" t="n">
        <f aca="false">IF(OR(OR($B137="",$E137="",$F137=""),$K137&lt;&gt;"نعم",$M137="نعم"),0,MAX(0,MIN($F137,EOMONTH(DATE(cfg_FY,2,1),0))-MAX($E137,DATE(cfg_FY,2,1))+1))</f>
        <v>0</v>
      </c>
      <c r="AV137" s="110" t="n">
        <f aca="false">IF(OR(OR($B137="",$E137="",$F137=""),$K137&lt;&gt;"نعم",$M137="نعم"),0,MAX(0,MIN($F137,EOMONTH(DATE(cfg_FY,3,1),0))-MAX($E137,DATE(cfg_FY,3,1))+1))</f>
        <v>0</v>
      </c>
      <c r="AW137" s="110" t="n">
        <f aca="false">IF(OR(OR($B137="",$E137="",$F137=""),$K137&lt;&gt;"نعم",$M137="نعم"),0,MAX(0,MIN($F137,EOMONTH(DATE(cfg_FY,4,1),0))-MAX($E137,DATE(cfg_FY,4,1))+1))</f>
        <v>0</v>
      </c>
      <c r="AX137" s="110" t="n">
        <f aca="false">IF(OR(OR($B137="",$E137="",$F137=""),$K137&lt;&gt;"نعم",$M137="نعم"),0,MAX(0,MIN($F137,EOMONTH(DATE(cfg_FY,5,1),0))-MAX($E137,DATE(cfg_FY,5,1))+1))</f>
        <v>0</v>
      </c>
      <c r="AY137" s="110" t="n">
        <f aca="false">IF(OR(OR($B137="",$E137="",$F137=""),$K137&lt;&gt;"نعم",$M137="نعم"),0,MAX(0,MIN($F137,EOMONTH(DATE(cfg_FY,6,1),0))-MAX($E137,DATE(cfg_FY,6,1))+1))</f>
        <v>0</v>
      </c>
      <c r="AZ137" s="110" t="n">
        <f aca="false">IF(OR(OR($B137="",$E137="",$F137=""),$K137&lt;&gt;"نعم",$M137="نعم"),0,MAX(0,MIN($F137,EOMONTH(DATE(cfg_FY,7,1),0))-MAX($E137,DATE(cfg_FY,7,1))+1))</f>
        <v>0</v>
      </c>
      <c r="BA137" s="110" t="n">
        <f aca="false">IF(OR(OR($B137="",$E137="",$F137=""),$K137&lt;&gt;"نعم",$M137="نعم"),0,MAX(0,MIN($F137,EOMONTH(DATE(cfg_FY,8,1),0))-MAX($E137,DATE(cfg_FY,8,1))+1))</f>
        <v>0</v>
      </c>
      <c r="BB137" s="110" t="n">
        <f aca="false">IF(OR(OR($B137="",$E137="",$F137=""),$K137&lt;&gt;"نعم",$M137="نعم"),0,MAX(0,MIN($F137,EOMONTH(DATE(cfg_FY,9,1),0))-MAX($E137,DATE(cfg_FY,9,1))+1))</f>
        <v>0</v>
      </c>
      <c r="BC137" s="110" t="n">
        <f aca="false">IF(OR(OR($B137="",$E137="",$F137=""),$K137&lt;&gt;"نعم",$M137="نعم"),0,MAX(0,MIN($F137,EOMONTH(DATE(cfg_FY,10,1),0))-MAX($E137,DATE(cfg_FY,10,1))+1))</f>
        <v>0</v>
      </c>
      <c r="BD137" s="110" t="n">
        <f aca="false">IF(OR(OR($B137="",$E137="",$F137=""),$K137&lt;&gt;"نعم",$M137="نعم"),0,MAX(0,MIN($F137,EOMONTH(DATE(cfg_FY,11,1),0))-MAX($E137,DATE(cfg_FY,11,1))+1))</f>
        <v>0</v>
      </c>
      <c r="BE137" s="110" t="n">
        <f aca="false">IF(OR(OR($B137="",$E137="",$F137=""),$K137&lt;&gt;"نعم",$M137="نعم"),0,MAX(0,MIN($F137,EOMONTH(DATE(cfg_FY,12,1),0))-MAX($E137,DATE(cfg_FY,12,1))+1))</f>
        <v>0</v>
      </c>
    </row>
    <row r="138" customFormat="false" ht="15" hidden="false" customHeight="false" outlineLevel="0" collapsed="false">
      <c r="A138" s="93" t="str">
        <f aca="false">IF(B138="","",ROW()-5)</f>
        <v/>
      </c>
      <c r="B138" s="79"/>
      <c r="C138" s="80" t="str">
        <f aca="false">IF(B138="","",IFERROR(INDEX(الموظفون!$C$6:$C$105,MATCH(B138,الموظفون!$B$6:$B$105,0)),"✖ رقم غير موجود"))</f>
        <v/>
      </c>
      <c r="D138" s="79"/>
      <c r="E138" s="94"/>
      <c r="F138" s="94"/>
      <c r="G138" s="57" t="str">
        <f aca="false">IF(OR($B138="",$E138="",$F138=""),"",MAX(0,F138-E138+1))</f>
        <v/>
      </c>
      <c r="H138" s="58" t="str">
        <f aca="false">IF(D138="","",IFERROR(VLOOKUP(D138,cfg_LT,2,FALSE()),1))</f>
        <v/>
      </c>
      <c r="I138" s="82"/>
      <c r="J138" s="58" t="str">
        <f aca="false">IF(D138="","",IF(I138&lt;&gt;"",I138,H138))</f>
        <v/>
      </c>
      <c r="K138" s="80" t="str">
        <f aca="false">IF(D138="","",IFERROR(VLOOKUP($D138,cfg_LT,3,FALSE()),""))</f>
        <v/>
      </c>
      <c r="L138" s="80" t="str">
        <f aca="false">IF(D138="","",IFERROR(VLOOKUP($D138,cfg_LT,4,FALSE()),""))</f>
        <v/>
      </c>
      <c r="M138" s="80" t="str">
        <f aca="false">IF(D138="","",IFERROR(VLOOKUP($D138,cfg_LT,5,FALSE()),""))</f>
        <v/>
      </c>
      <c r="N138" s="97" t="n">
        <f aca="false">IF(OR(OR($B138="",$E138="",$F138=""),M138&lt;&gt;"نعم"),0,G138*J138*IFERROR(INDEX(الموظفون!$R$6:$R$105,MATCH(B138,الموظفون!$B$6:$B$105,0)),0)/cfg_DAYS_M)</f>
        <v>0</v>
      </c>
      <c r="O138" s="93" t="str">
        <f aca="false">IF(OR(OR($B138="",$E138="",$F138=""),M138&lt;&gt;"نعم"),"",IF(YEAR(E138)=cfg_FY,MONTH(E138),""))</f>
        <v/>
      </c>
      <c r="P138" s="80" t="str">
        <f aca="false">IF(B138="","",IF(OR(D138="",E138="",F138=""),"⚠ أكمل النوع والتواريخ",IF(F138&lt;E138,"✖ النهاية قبل البداية",IF(COUNTIFS($B$6:$B$505,B138,$E$6:$E$505,"&lt;="&amp;F138,$F$6:$F$505,"&gt;="&amp;E138)&gt;1,"⚠ تداخل مع سجل آخر",IF(E138&gt;cfg_VAL_DATE,"⏳ قادمة",IF(F138&lt;cfg_VAL_DATE,"✔ منتهية","✈ جارية في تاريخ التقرير"))))))</f>
        <v/>
      </c>
      <c r="Q138" s="79"/>
      <c r="R138" s="57" t="n">
        <f aca="false">IF(OR(OR($B138="",$E138="",$F138=""),L138&lt;&gt;"لا"),0,MAX(0,MIN(F138,cfg_Y_START-1)-E138+1))</f>
        <v>0</v>
      </c>
      <c r="S138" s="57" t="n">
        <f aca="false">IF(OR(OR($B138="",$E138="",$F138=""),L138&lt;&gt;"لا"),0,MAX(0,MIN(F138,cfg_VAL_DATE)-E138+1))</f>
        <v>0</v>
      </c>
      <c r="T138" s="57" t="n">
        <f aca="false">IF(OR(OR($B138="",$E138="",$F138=""),K138&lt;&gt;"نعم"),0,IF(M138="نعم",IF(AND(ISNUMBER(O138),N(O138)&lt;=cfg_VAL_M),G138,0),MAX(0,MIN(F138,cfg_VAL_DATE)-MAX(E138,cfg_Y_START)+1)))</f>
        <v>0</v>
      </c>
      <c r="V138" s="57" t="n">
        <f aca="false">IF(OR($B138="",$E138="",$F138=""),0,MAX(0,MIN($F138,EOMONTH(DATE(cfg_FY,1,1),0))-MAX($E138,DATE(cfg_FY,1,1))+1)*(1-IF($M138="نعم",0,N($J138))))</f>
        <v>0</v>
      </c>
      <c r="W138" s="57" t="n">
        <f aca="false">IF(OR($B138="",$E138="",$F138=""),0,MAX(0,MIN($F138,EOMONTH(DATE(cfg_FY,2,1),0))-MAX($E138,DATE(cfg_FY,2,1))+1)*(1-IF($M138="نعم",0,N($J138))))</f>
        <v>0</v>
      </c>
      <c r="X138" s="57" t="n">
        <f aca="false">IF(OR($B138="",$E138="",$F138=""),0,MAX(0,MIN($F138,EOMONTH(DATE(cfg_FY,3,1),0))-MAX($E138,DATE(cfg_FY,3,1))+1)*(1-IF($M138="نعم",0,N($J138))))</f>
        <v>0</v>
      </c>
      <c r="Y138" s="57" t="n">
        <f aca="false">IF(OR($B138="",$E138="",$F138=""),0,MAX(0,MIN($F138,EOMONTH(DATE(cfg_FY,4,1),0))-MAX($E138,DATE(cfg_FY,4,1))+1)*(1-IF($M138="نعم",0,N($J138))))</f>
        <v>0</v>
      </c>
      <c r="Z138" s="57" t="n">
        <f aca="false">IF(OR($B138="",$E138="",$F138=""),0,MAX(0,MIN($F138,EOMONTH(DATE(cfg_FY,5,1),0))-MAX($E138,DATE(cfg_FY,5,1))+1)*(1-IF($M138="نعم",0,N($J138))))</f>
        <v>0</v>
      </c>
      <c r="AA138" s="57" t="n">
        <f aca="false">IF(OR($B138="",$E138="",$F138=""),0,MAX(0,MIN($F138,EOMONTH(DATE(cfg_FY,6,1),0))-MAX($E138,DATE(cfg_FY,6,1))+1)*(1-IF($M138="نعم",0,N($J138))))</f>
        <v>0</v>
      </c>
      <c r="AB138" s="57" t="n">
        <f aca="false">IF(OR($B138="",$E138="",$F138=""),0,MAX(0,MIN($F138,EOMONTH(DATE(cfg_FY,7,1),0))-MAX($E138,DATE(cfg_FY,7,1))+1)*(1-IF($M138="نعم",0,N($J138))))</f>
        <v>0</v>
      </c>
      <c r="AC138" s="57" t="n">
        <f aca="false">IF(OR($B138="",$E138="",$F138=""),0,MAX(0,MIN($F138,EOMONTH(DATE(cfg_FY,8,1),0))-MAX($E138,DATE(cfg_FY,8,1))+1)*(1-IF($M138="نعم",0,N($J138))))</f>
        <v>0</v>
      </c>
      <c r="AD138" s="57" t="n">
        <f aca="false">IF(OR($B138="",$E138="",$F138=""),0,MAX(0,MIN($F138,EOMONTH(DATE(cfg_FY,9,1),0))-MAX($E138,DATE(cfg_FY,9,1))+1)*(1-IF($M138="نعم",0,N($J138))))</f>
        <v>0</v>
      </c>
      <c r="AE138" s="57" t="n">
        <f aca="false">IF(OR($B138="",$E138="",$F138=""),0,MAX(0,MIN($F138,EOMONTH(DATE(cfg_FY,10,1),0))-MAX($E138,DATE(cfg_FY,10,1))+1)*(1-IF($M138="نعم",0,N($J138))))</f>
        <v>0</v>
      </c>
      <c r="AF138" s="57" t="n">
        <f aca="false">IF(OR($B138="",$E138="",$F138=""),0,MAX(0,MIN($F138,EOMONTH(DATE(cfg_FY,11,1),0))-MAX($E138,DATE(cfg_FY,11,1))+1)*(1-IF($M138="نعم",0,N($J138))))</f>
        <v>0</v>
      </c>
      <c r="AG138" s="57" t="n">
        <f aca="false">IF(OR($B138="",$E138="",$F138=""),0,MAX(0,MIN($F138,EOMONTH(DATE(cfg_FY,12,1),0))-MAX($E138,DATE(cfg_FY,12,1))+1)*(1-IF($M138="نعم",0,N($J138))))</f>
        <v>0</v>
      </c>
      <c r="AH138" s="57" t="n">
        <f aca="false">IF(OR(OR($B138="",$E138="",$F138=""),$L138&lt;&gt;"لا"),0,MAX(0,MIN($F138,EOMONTH(DATE(cfg_FY,1,1),0))-$E138+1))</f>
        <v>0</v>
      </c>
      <c r="AI138" s="57" t="n">
        <f aca="false">IF(OR(OR($B138="",$E138="",$F138=""),$L138&lt;&gt;"لا"),0,MAX(0,MIN($F138,EOMONTH(DATE(cfg_FY,2,1),0))-$E138+1))</f>
        <v>0</v>
      </c>
      <c r="AJ138" s="57" t="n">
        <f aca="false">IF(OR(OR($B138="",$E138="",$F138=""),$L138&lt;&gt;"لا"),0,MAX(0,MIN($F138,EOMONTH(DATE(cfg_FY,3,1),0))-$E138+1))</f>
        <v>0</v>
      </c>
      <c r="AK138" s="57" t="n">
        <f aca="false">IF(OR(OR($B138="",$E138="",$F138=""),$L138&lt;&gt;"لا"),0,MAX(0,MIN($F138,EOMONTH(DATE(cfg_FY,4,1),0))-$E138+1))</f>
        <v>0</v>
      </c>
      <c r="AL138" s="57" t="n">
        <f aca="false">IF(OR(OR($B138="",$E138="",$F138=""),$L138&lt;&gt;"لا"),0,MAX(0,MIN($F138,EOMONTH(DATE(cfg_FY,5,1),0))-$E138+1))</f>
        <v>0</v>
      </c>
      <c r="AM138" s="57" t="n">
        <f aca="false">IF(OR(OR($B138="",$E138="",$F138=""),$L138&lt;&gt;"لا"),0,MAX(0,MIN($F138,EOMONTH(DATE(cfg_FY,6,1),0))-$E138+1))</f>
        <v>0</v>
      </c>
      <c r="AN138" s="57" t="n">
        <f aca="false">IF(OR(OR($B138="",$E138="",$F138=""),$L138&lt;&gt;"لا"),0,MAX(0,MIN($F138,EOMONTH(DATE(cfg_FY,7,1),0))-$E138+1))</f>
        <v>0</v>
      </c>
      <c r="AO138" s="57" t="n">
        <f aca="false">IF(OR(OR($B138="",$E138="",$F138=""),$L138&lt;&gt;"لا"),0,MAX(0,MIN($F138,EOMONTH(DATE(cfg_FY,8,1),0))-$E138+1))</f>
        <v>0</v>
      </c>
      <c r="AP138" s="57" t="n">
        <f aca="false">IF(OR(OR($B138="",$E138="",$F138=""),$L138&lt;&gt;"لا"),0,MAX(0,MIN($F138,EOMONTH(DATE(cfg_FY,9,1),0))-$E138+1))</f>
        <v>0</v>
      </c>
      <c r="AQ138" s="57" t="n">
        <f aca="false">IF(OR(OR($B138="",$E138="",$F138=""),$L138&lt;&gt;"لا"),0,MAX(0,MIN($F138,EOMONTH(DATE(cfg_FY,10,1),0))-$E138+1))</f>
        <v>0</v>
      </c>
      <c r="AR138" s="57" t="n">
        <f aca="false">IF(OR(OR($B138="",$E138="",$F138=""),$L138&lt;&gt;"لا"),0,MAX(0,MIN($F138,EOMONTH(DATE(cfg_FY,11,1),0))-$E138+1))</f>
        <v>0</v>
      </c>
      <c r="AS138" s="57" t="n">
        <f aca="false">IF(OR(OR($B138="",$E138="",$F138=""),$L138&lt;&gt;"لا"),0,MAX(0,MIN($F138,EOMONTH(DATE(cfg_FY,12,1),0))-$E138+1))</f>
        <v>0</v>
      </c>
      <c r="AT138" s="57" t="n">
        <f aca="false">IF(OR(OR($B138="",$E138="",$F138=""),$K138&lt;&gt;"نعم",$M138="نعم"),0,MAX(0,MIN($F138,EOMONTH(DATE(cfg_FY,1,1),0))-MAX($E138,DATE(cfg_FY,1,1))+1))</f>
        <v>0</v>
      </c>
      <c r="AU138" s="57" t="n">
        <f aca="false">IF(OR(OR($B138="",$E138="",$F138=""),$K138&lt;&gt;"نعم",$M138="نعم"),0,MAX(0,MIN($F138,EOMONTH(DATE(cfg_FY,2,1),0))-MAX($E138,DATE(cfg_FY,2,1))+1))</f>
        <v>0</v>
      </c>
      <c r="AV138" s="57" t="n">
        <f aca="false">IF(OR(OR($B138="",$E138="",$F138=""),$K138&lt;&gt;"نعم",$M138="نعم"),0,MAX(0,MIN($F138,EOMONTH(DATE(cfg_FY,3,1),0))-MAX($E138,DATE(cfg_FY,3,1))+1))</f>
        <v>0</v>
      </c>
      <c r="AW138" s="57" t="n">
        <f aca="false">IF(OR(OR($B138="",$E138="",$F138=""),$K138&lt;&gt;"نعم",$M138="نعم"),0,MAX(0,MIN($F138,EOMONTH(DATE(cfg_FY,4,1),0))-MAX($E138,DATE(cfg_FY,4,1))+1))</f>
        <v>0</v>
      </c>
      <c r="AX138" s="57" t="n">
        <f aca="false">IF(OR(OR($B138="",$E138="",$F138=""),$K138&lt;&gt;"نعم",$M138="نعم"),0,MAX(0,MIN($F138,EOMONTH(DATE(cfg_FY,5,1),0))-MAX($E138,DATE(cfg_FY,5,1))+1))</f>
        <v>0</v>
      </c>
      <c r="AY138" s="57" t="n">
        <f aca="false">IF(OR(OR($B138="",$E138="",$F138=""),$K138&lt;&gt;"نعم",$M138="نعم"),0,MAX(0,MIN($F138,EOMONTH(DATE(cfg_FY,6,1),0))-MAX($E138,DATE(cfg_FY,6,1))+1))</f>
        <v>0</v>
      </c>
      <c r="AZ138" s="57" t="n">
        <f aca="false">IF(OR(OR($B138="",$E138="",$F138=""),$K138&lt;&gt;"نعم",$M138="نعم"),0,MAX(0,MIN($F138,EOMONTH(DATE(cfg_FY,7,1),0))-MAX($E138,DATE(cfg_FY,7,1))+1))</f>
        <v>0</v>
      </c>
      <c r="BA138" s="57" t="n">
        <f aca="false">IF(OR(OR($B138="",$E138="",$F138=""),$K138&lt;&gt;"نعم",$M138="نعم"),0,MAX(0,MIN($F138,EOMONTH(DATE(cfg_FY,8,1),0))-MAX($E138,DATE(cfg_FY,8,1))+1))</f>
        <v>0</v>
      </c>
      <c r="BB138" s="57" t="n">
        <f aca="false">IF(OR(OR($B138="",$E138="",$F138=""),$K138&lt;&gt;"نعم",$M138="نعم"),0,MAX(0,MIN($F138,EOMONTH(DATE(cfg_FY,9,1),0))-MAX($E138,DATE(cfg_FY,9,1))+1))</f>
        <v>0</v>
      </c>
      <c r="BC138" s="57" t="n">
        <f aca="false">IF(OR(OR($B138="",$E138="",$F138=""),$K138&lt;&gt;"نعم",$M138="نعم"),0,MAX(0,MIN($F138,EOMONTH(DATE(cfg_FY,10,1),0))-MAX($E138,DATE(cfg_FY,10,1))+1))</f>
        <v>0</v>
      </c>
      <c r="BD138" s="57" t="n">
        <f aca="false">IF(OR(OR($B138="",$E138="",$F138=""),$K138&lt;&gt;"نعم",$M138="نعم"),0,MAX(0,MIN($F138,EOMONTH(DATE(cfg_FY,11,1),0))-MAX($E138,DATE(cfg_FY,11,1))+1))</f>
        <v>0</v>
      </c>
      <c r="BE138" s="57" t="n">
        <f aca="false">IF(OR(OR($B138="",$E138="",$F138=""),$K138&lt;&gt;"نعم",$M138="نعم"),0,MAX(0,MIN($F138,EOMONTH(DATE(cfg_FY,12,1),0))-MAX($E138,DATE(cfg_FY,12,1))+1))</f>
        <v>0</v>
      </c>
    </row>
    <row r="139" customFormat="false" ht="15" hidden="false" customHeight="false" outlineLevel="0" collapsed="false">
      <c r="A139" s="100" t="str">
        <f aca="false">IF(B139="","",ROW()-5)</f>
        <v/>
      </c>
      <c r="B139" s="79"/>
      <c r="C139" s="102" t="str">
        <f aca="false">IF(B139="","",IFERROR(INDEX(الموظفون!$C$6:$C$105,MATCH(B139,الموظفون!$B$6:$B$105,0)),"✖ رقم غير موجود"))</f>
        <v/>
      </c>
      <c r="D139" s="79"/>
      <c r="E139" s="94"/>
      <c r="F139" s="94"/>
      <c r="G139" s="110" t="str">
        <f aca="false">IF(OR($B139="",$E139="",$F139=""),"",MAX(0,F139-E139+1))</f>
        <v/>
      </c>
      <c r="H139" s="111" t="str">
        <f aca="false">IF(D139="","",IFERROR(VLOOKUP(D139,cfg_LT,2,FALSE()),1))</f>
        <v/>
      </c>
      <c r="I139" s="82"/>
      <c r="J139" s="111" t="str">
        <f aca="false">IF(D139="","",IF(I139&lt;&gt;"",I139,H139))</f>
        <v/>
      </c>
      <c r="K139" s="102" t="str">
        <f aca="false">IF(D139="","",IFERROR(VLOOKUP($D139,cfg_LT,3,FALSE()),""))</f>
        <v/>
      </c>
      <c r="L139" s="102" t="str">
        <f aca="false">IF(D139="","",IFERROR(VLOOKUP($D139,cfg_LT,4,FALSE()),""))</f>
        <v/>
      </c>
      <c r="M139" s="102" t="str">
        <f aca="false">IF(D139="","",IFERROR(VLOOKUP($D139,cfg_LT,5,FALSE()),""))</f>
        <v/>
      </c>
      <c r="N139" s="101" t="n">
        <f aca="false">IF(OR(OR($B139="",$E139="",$F139=""),M139&lt;&gt;"نعم"),0,G139*J139*IFERROR(INDEX(الموظفون!$R$6:$R$105,MATCH(B139,الموظفون!$B$6:$B$105,0)),0)/cfg_DAYS_M)</f>
        <v>0</v>
      </c>
      <c r="O139" s="100" t="str">
        <f aca="false">IF(OR(OR($B139="",$E139="",$F139=""),M139&lt;&gt;"نعم"),"",IF(YEAR(E139)=cfg_FY,MONTH(E139),""))</f>
        <v/>
      </c>
      <c r="P139" s="102" t="str">
        <f aca="false">IF(B139="","",IF(OR(D139="",E139="",F139=""),"⚠ أكمل النوع والتواريخ",IF(F139&lt;E139,"✖ النهاية قبل البداية",IF(COUNTIFS($B$6:$B$505,B139,$E$6:$E$505,"&lt;="&amp;F139,$F$6:$F$505,"&gt;="&amp;E139)&gt;1,"⚠ تداخل مع سجل آخر",IF(E139&gt;cfg_VAL_DATE,"⏳ قادمة",IF(F139&lt;cfg_VAL_DATE,"✔ منتهية","✈ جارية في تاريخ التقرير"))))))</f>
        <v/>
      </c>
      <c r="Q139" s="79"/>
      <c r="R139" s="110" t="n">
        <f aca="false">IF(OR(OR($B139="",$E139="",$F139=""),L139&lt;&gt;"لا"),0,MAX(0,MIN(F139,cfg_Y_START-1)-E139+1))</f>
        <v>0</v>
      </c>
      <c r="S139" s="110" t="n">
        <f aca="false">IF(OR(OR($B139="",$E139="",$F139=""),L139&lt;&gt;"لا"),0,MAX(0,MIN(F139,cfg_VAL_DATE)-E139+1))</f>
        <v>0</v>
      </c>
      <c r="T139" s="110" t="n">
        <f aca="false">IF(OR(OR($B139="",$E139="",$F139=""),K139&lt;&gt;"نعم"),0,IF(M139="نعم",IF(AND(ISNUMBER(O139),N(O139)&lt;=cfg_VAL_M),G139,0),MAX(0,MIN(F139,cfg_VAL_DATE)-MAX(E139,cfg_Y_START)+1)))</f>
        <v>0</v>
      </c>
      <c r="V139" s="110" t="n">
        <f aca="false">IF(OR($B139="",$E139="",$F139=""),0,MAX(0,MIN($F139,EOMONTH(DATE(cfg_FY,1,1),0))-MAX($E139,DATE(cfg_FY,1,1))+1)*(1-IF($M139="نعم",0,N($J139))))</f>
        <v>0</v>
      </c>
      <c r="W139" s="110" t="n">
        <f aca="false">IF(OR($B139="",$E139="",$F139=""),0,MAX(0,MIN($F139,EOMONTH(DATE(cfg_FY,2,1),0))-MAX($E139,DATE(cfg_FY,2,1))+1)*(1-IF($M139="نعم",0,N($J139))))</f>
        <v>0</v>
      </c>
      <c r="X139" s="110" t="n">
        <f aca="false">IF(OR($B139="",$E139="",$F139=""),0,MAX(0,MIN($F139,EOMONTH(DATE(cfg_FY,3,1),0))-MAX($E139,DATE(cfg_FY,3,1))+1)*(1-IF($M139="نعم",0,N($J139))))</f>
        <v>0</v>
      </c>
      <c r="Y139" s="110" t="n">
        <f aca="false">IF(OR($B139="",$E139="",$F139=""),0,MAX(0,MIN($F139,EOMONTH(DATE(cfg_FY,4,1),0))-MAX($E139,DATE(cfg_FY,4,1))+1)*(1-IF($M139="نعم",0,N($J139))))</f>
        <v>0</v>
      </c>
      <c r="Z139" s="110" t="n">
        <f aca="false">IF(OR($B139="",$E139="",$F139=""),0,MAX(0,MIN($F139,EOMONTH(DATE(cfg_FY,5,1),0))-MAX($E139,DATE(cfg_FY,5,1))+1)*(1-IF($M139="نعم",0,N($J139))))</f>
        <v>0</v>
      </c>
      <c r="AA139" s="110" t="n">
        <f aca="false">IF(OR($B139="",$E139="",$F139=""),0,MAX(0,MIN($F139,EOMONTH(DATE(cfg_FY,6,1),0))-MAX($E139,DATE(cfg_FY,6,1))+1)*(1-IF($M139="نعم",0,N($J139))))</f>
        <v>0</v>
      </c>
      <c r="AB139" s="110" t="n">
        <f aca="false">IF(OR($B139="",$E139="",$F139=""),0,MAX(0,MIN($F139,EOMONTH(DATE(cfg_FY,7,1),0))-MAX($E139,DATE(cfg_FY,7,1))+1)*(1-IF($M139="نعم",0,N($J139))))</f>
        <v>0</v>
      </c>
      <c r="AC139" s="110" t="n">
        <f aca="false">IF(OR($B139="",$E139="",$F139=""),0,MAX(0,MIN($F139,EOMONTH(DATE(cfg_FY,8,1),0))-MAX($E139,DATE(cfg_FY,8,1))+1)*(1-IF($M139="نعم",0,N($J139))))</f>
        <v>0</v>
      </c>
      <c r="AD139" s="110" t="n">
        <f aca="false">IF(OR($B139="",$E139="",$F139=""),0,MAX(0,MIN($F139,EOMONTH(DATE(cfg_FY,9,1),0))-MAX($E139,DATE(cfg_FY,9,1))+1)*(1-IF($M139="نعم",0,N($J139))))</f>
        <v>0</v>
      </c>
      <c r="AE139" s="110" t="n">
        <f aca="false">IF(OR($B139="",$E139="",$F139=""),0,MAX(0,MIN($F139,EOMONTH(DATE(cfg_FY,10,1),0))-MAX($E139,DATE(cfg_FY,10,1))+1)*(1-IF($M139="نعم",0,N($J139))))</f>
        <v>0</v>
      </c>
      <c r="AF139" s="110" t="n">
        <f aca="false">IF(OR($B139="",$E139="",$F139=""),0,MAX(0,MIN($F139,EOMONTH(DATE(cfg_FY,11,1),0))-MAX($E139,DATE(cfg_FY,11,1))+1)*(1-IF($M139="نعم",0,N($J139))))</f>
        <v>0</v>
      </c>
      <c r="AG139" s="110" t="n">
        <f aca="false">IF(OR($B139="",$E139="",$F139=""),0,MAX(0,MIN($F139,EOMONTH(DATE(cfg_FY,12,1),0))-MAX($E139,DATE(cfg_FY,12,1))+1)*(1-IF($M139="نعم",0,N($J139))))</f>
        <v>0</v>
      </c>
      <c r="AH139" s="110" t="n">
        <f aca="false">IF(OR(OR($B139="",$E139="",$F139=""),$L139&lt;&gt;"لا"),0,MAX(0,MIN($F139,EOMONTH(DATE(cfg_FY,1,1),0))-$E139+1))</f>
        <v>0</v>
      </c>
      <c r="AI139" s="110" t="n">
        <f aca="false">IF(OR(OR($B139="",$E139="",$F139=""),$L139&lt;&gt;"لا"),0,MAX(0,MIN($F139,EOMONTH(DATE(cfg_FY,2,1),0))-$E139+1))</f>
        <v>0</v>
      </c>
      <c r="AJ139" s="110" t="n">
        <f aca="false">IF(OR(OR($B139="",$E139="",$F139=""),$L139&lt;&gt;"لا"),0,MAX(0,MIN($F139,EOMONTH(DATE(cfg_FY,3,1),0))-$E139+1))</f>
        <v>0</v>
      </c>
      <c r="AK139" s="110" t="n">
        <f aca="false">IF(OR(OR($B139="",$E139="",$F139=""),$L139&lt;&gt;"لا"),0,MAX(0,MIN($F139,EOMONTH(DATE(cfg_FY,4,1),0))-$E139+1))</f>
        <v>0</v>
      </c>
      <c r="AL139" s="110" t="n">
        <f aca="false">IF(OR(OR($B139="",$E139="",$F139=""),$L139&lt;&gt;"لا"),0,MAX(0,MIN($F139,EOMONTH(DATE(cfg_FY,5,1),0))-$E139+1))</f>
        <v>0</v>
      </c>
      <c r="AM139" s="110" t="n">
        <f aca="false">IF(OR(OR($B139="",$E139="",$F139=""),$L139&lt;&gt;"لا"),0,MAX(0,MIN($F139,EOMONTH(DATE(cfg_FY,6,1),0))-$E139+1))</f>
        <v>0</v>
      </c>
      <c r="AN139" s="110" t="n">
        <f aca="false">IF(OR(OR($B139="",$E139="",$F139=""),$L139&lt;&gt;"لا"),0,MAX(0,MIN($F139,EOMONTH(DATE(cfg_FY,7,1),0))-$E139+1))</f>
        <v>0</v>
      </c>
      <c r="AO139" s="110" t="n">
        <f aca="false">IF(OR(OR($B139="",$E139="",$F139=""),$L139&lt;&gt;"لا"),0,MAX(0,MIN($F139,EOMONTH(DATE(cfg_FY,8,1),0))-$E139+1))</f>
        <v>0</v>
      </c>
      <c r="AP139" s="110" t="n">
        <f aca="false">IF(OR(OR($B139="",$E139="",$F139=""),$L139&lt;&gt;"لا"),0,MAX(0,MIN($F139,EOMONTH(DATE(cfg_FY,9,1),0))-$E139+1))</f>
        <v>0</v>
      </c>
      <c r="AQ139" s="110" t="n">
        <f aca="false">IF(OR(OR($B139="",$E139="",$F139=""),$L139&lt;&gt;"لا"),0,MAX(0,MIN($F139,EOMONTH(DATE(cfg_FY,10,1),0))-$E139+1))</f>
        <v>0</v>
      </c>
      <c r="AR139" s="110" t="n">
        <f aca="false">IF(OR(OR($B139="",$E139="",$F139=""),$L139&lt;&gt;"لا"),0,MAX(0,MIN($F139,EOMONTH(DATE(cfg_FY,11,1),0))-$E139+1))</f>
        <v>0</v>
      </c>
      <c r="AS139" s="110" t="n">
        <f aca="false">IF(OR(OR($B139="",$E139="",$F139=""),$L139&lt;&gt;"لا"),0,MAX(0,MIN($F139,EOMONTH(DATE(cfg_FY,12,1),0))-$E139+1))</f>
        <v>0</v>
      </c>
      <c r="AT139" s="110" t="n">
        <f aca="false">IF(OR(OR($B139="",$E139="",$F139=""),$K139&lt;&gt;"نعم",$M139="نعم"),0,MAX(0,MIN($F139,EOMONTH(DATE(cfg_FY,1,1),0))-MAX($E139,DATE(cfg_FY,1,1))+1))</f>
        <v>0</v>
      </c>
      <c r="AU139" s="110" t="n">
        <f aca="false">IF(OR(OR($B139="",$E139="",$F139=""),$K139&lt;&gt;"نعم",$M139="نعم"),0,MAX(0,MIN($F139,EOMONTH(DATE(cfg_FY,2,1),0))-MAX($E139,DATE(cfg_FY,2,1))+1))</f>
        <v>0</v>
      </c>
      <c r="AV139" s="110" t="n">
        <f aca="false">IF(OR(OR($B139="",$E139="",$F139=""),$K139&lt;&gt;"نعم",$M139="نعم"),0,MAX(0,MIN($F139,EOMONTH(DATE(cfg_FY,3,1),0))-MAX($E139,DATE(cfg_FY,3,1))+1))</f>
        <v>0</v>
      </c>
      <c r="AW139" s="110" t="n">
        <f aca="false">IF(OR(OR($B139="",$E139="",$F139=""),$K139&lt;&gt;"نعم",$M139="نعم"),0,MAX(0,MIN($F139,EOMONTH(DATE(cfg_FY,4,1),0))-MAX($E139,DATE(cfg_FY,4,1))+1))</f>
        <v>0</v>
      </c>
      <c r="AX139" s="110" t="n">
        <f aca="false">IF(OR(OR($B139="",$E139="",$F139=""),$K139&lt;&gt;"نعم",$M139="نعم"),0,MAX(0,MIN($F139,EOMONTH(DATE(cfg_FY,5,1),0))-MAX($E139,DATE(cfg_FY,5,1))+1))</f>
        <v>0</v>
      </c>
      <c r="AY139" s="110" t="n">
        <f aca="false">IF(OR(OR($B139="",$E139="",$F139=""),$K139&lt;&gt;"نعم",$M139="نعم"),0,MAX(0,MIN($F139,EOMONTH(DATE(cfg_FY,6,1),0))-MAX($E139,DATE(cfg_FY,6,1))+1))</f>
        <v>0</v>
      </c>
      <c r="AZ139" s="110" t="n">
        <f aca="false">IF(OR(OR($B139="",$E139="",$F139=""),$K139&lt;&gt;"نعم",$M139="نعم"),0,MAX(0,MIN($F139,EOMONTH(DATE(cfg_FY,7,1),0))-MAX($E139,DATE(cfg_FY,7,1))+1))</f>
        <v>0</v>
      </c>
      <c r="BA139" s="110" t="n">
        <f aca="false">IF(OR(OR($B139="",$E139="",$F139=""),$K139&lt;&gt;"نعم",$M139="نعم"),0,MAX(0,MIN($F139,EOMONTH(DATE(cfg_FY,8,1),0))-MAX($E139,DATE(cfg_FY,8,1))+1))</f>
        <v>0</v>
      </c>
      <c r="BB139" s="110" t="n">
        <f aca="false">IF(OR(OR($B139="",$E139="",$F139=""),$K139&lt;&gt;"نعم",$M139="نعم"),0,MAX(0,MIN($F139,EOMONTH(DATE(cfg_FY,9,1),0))-MAX($E139,DATE(cfg_FY,9,1))+1))</f>
        <v>0</v>
      </c>
      <c r="BC139" s="110" t="n">
        <f aca="false">IF(OR(OR($B139="",$E139="",$F139=""),$K139&lt;&gt;"نعم",$M139="نعم"),0,MAX(0,MIN($F139,EOMONTH(DATE(cfg_FY,10,1),0))-MAX($E139,DATE(cfg_FY,10,1))+1))</f>
        <v>0</v>
      </c>
      <c r="BD139" s="110" t="n">
        <f aca="false">IF(OR(OR($B139="",$E139="",$F139=""),$K139&lt;&gt;"نعم",$M139="نعم"),0,MAX(0,MIN($F139,EOMONTH(DATE(cfg_FY,11,1),0))-MAX($E139,DATE(cfg_FY,11,1))+1))</f>
        <v>0</v>
      </c>
      <c r="BE139" s="110" t="n">
        <f aca="false">IF(OR(OR($B139="",$E139="",$F139=""),$K139&lt;&gt;"نعم",$M139="نعم"),0,MAX(0,MIN($F139,EOMONTH(DATE(cfg_FY,12,1),0))-MAX($E139,DATE(cfg_FY,12,1))+1))</f>
        <v>0</v>
      </c>
    </row>
    <row r="140" customFormat="false" ht="15" hidden="false" customHeight="false" outlineLevel="0" collapsed="false">
      <c r="A140" s="93" t="str">
        <f aca="false">IF(B140="","",ROW()-5)</f>
        <v/>
      </c>
      <c r="B140" s="79"/>
      <c r="C140" s="80" t="str">
        <f aca="false">IF(B140="","",IFERROR(INDEX(الموظفون!$C$6:$C$105,MATCH(B140,الموظفون!$B$6:$B$105,0)),"✖ رقم غير موجود"))</f>
        <v/>
      </c>
      <c r="D140" s="79"/>
      <c r="E140" s="94"/>
      <c r="F140" s="94"/>
      <c r="G140" s="57" t="str">
        <f aca="false">IF(OR($B140="",$E140="",$F140=""),"",MAX(0,F140-E140+1))</f>
        <v/>
      </c>
      <c r="H140" s="58" t="str">
        <f aca="false">IF(D140="","",IFERROR(VLOOKUP(D140,cfg_LT,2,FALSE()),1))</f>
        <v/>
      </c>
      <c r="I140" s="82"/>
      <c r="J140" s="58" t="str">
        <f aca="false">IF(D140="","",IF(I140&lt;&gt;"",I140,H140))</f>
        <v/>
      </c>
      <c r="K140" s="80" t="str">
        <f aca="false">IF(D140="","",IFERROR(VLOOKUP($D140,cfg_LT,3,FALSE()),""))</f>
        <v/>
      </c>
      <c r="L140" s="80" t="str">
        <f aca="false">IF(D140="","",IFERROR(VLOOKUP($D140,cfg_LT,4,FALSE()),""))</f>
        <v/>
      </c>
      <c r="M140" s="80" t="str">
        <f aca="false">IF(D140="","",IFERROR(VLOOKUP($D140,cfg_LT,5,FALSE()),""))</f>
        <v/>
      </c>
      <c r="N140" s="97" t="n">
        <f aca="false">IF(OR(OR($B140="",$E140="",$F140=""),M140&lt;&gt;"نعم"),0,G140*J140*IFERROR(INDEX(الموظفون!$R$6:$R$105,MATCH(B140,الموظفون!$B$6:$B$105,0)),0)/cfg_DAYS_M)</f>
        <v>0</v>
      </c>
      <c r="O140" s="93" t="str">
        <f aca="false">IF(OR(OR($B140="",$E140="",$F140=""),M140&lt;&gt;"نعم"),"",IF(YEAR(E140)=cfg_FY,MONTH(E140),""))</f>
        <v/>
      </c>
      <c r="P140" s="80" t="str">
        <f aca="false">IF(B140="","",IF(OR(D140="",E140="",F140=""),"⚠ أكمل النوع والتواريخ",IF(F140&lt;E140,"✖ النهاية قبل البداية",IF(COUNTIFS($B$6:$B$505,B140,$E$6:$E$505,"&lt;="&amp;F140,$F$6:$F$505,"&gt;="&amp;E140)&gt;1,"⚠ تداخل مع سجل آخر",IF(E140&gt;cfg_VAL_DATE,"⏳ قادمة",IF(F140&lt;cfg_VAL_DATE,"✔ منتهية","✈ جارية في تاريخ التقرير"))))))</f>
        <v/>
      </c>
      <c r="Q140" s="79"/>
      <c r="R140" s="57" t="n">
        <f aca="false">IF(OR(OR($B140="",$E140="",$F140=""),L140&lt;&gt;"لا"),0,MAX(0,MIN(F140,cfg_Y_START-1)-E140+1))</f>
        <v>0</v>
      </c>
      <c r="S140" s="57" t="n">
        <f aca="false">IF(OR(OR($B140="",$E140="",$F140=""),L140&lt;&gt;"لا"),0,MAX(0,MIN(F140,cfg_VAL_DATE)-E140+1))</f>
        <v>0</v>
      </c>
      <c r="T140" s="57" t="n">
        <f aca="false">IF(OR(OR($B140="",$E140="",$F140=""),K140&lt;&gt;"نعم"),0,IF(M140="نعم",IF(AND(ISNUMBER(O140),N(O140)&lt;=cfg_VAL_M),G140,0),MAX(0,MIN(F140,cfg_VAL_DATE)-MAX(E140,cfg_Y_START)+1)))</f>
        <v>0</v>
      </c>
      <c r="V140" s="57" t="n">
        <f aca="false">IF(OR($B140="",$E140="",$F140=""),0,MAX(0,MIN($F140,EOMONTH(DATE(cfg_FY,1,1),0))-MAX($E140,DATE(cfg_FY,1,1))+1)*(1-IF($M140="نعم",0,N($J140))))</f>
        <v>0</v>
      </c>
      <c r="W140" s="57" t="n">
        <f aca="false">IF(OR($B140="",$E140="",$F140=""),0,MAX(0,MIN($F140,EOMONTH(DATE(cfg_FY,2,1),0))-MAX($E140,DATE(cfg_FY,2,1))+1)*(1-IF($M140="نعم",0,N($J140))))</f>
        <v>0</v>
      </c>
      <c r="X140" s="57" t="n">
        <f aca="false">IF(OR($B140="",$E140="",$F140=""),0,MAX(0,MIN($F140,EOMONTH(DATE(cfg_FY,3,1),0))-MAX($E140,DATE(cfg_FY,3,1))+1)*(1-IF($M140="نعم",0,N($J140))))</f>
        <v>0</v>
      </c>
      <c r="Y140" s="57" t="n">
        <f aca="false">IF(OR($B140="",$E140="",$F140=""),0,MAX(0,MIN($F140,EOMONTH(DATE(cfg_FY,4,1),0))-MAX($E140,DATE(cfg_FY,4,1))+1)*(1-IF($M140="نعم",0,N($J140))))</f>
        <v>0</v>
      </c>
      <c r="Z140" s="57" t="n">
        <f aca="false">IF(OR($B140="",$E140="",$F140=""),0,MAX(0,MIN($F140,EOMONTH(DATE(cfg_FY,5,1),0))-MAX($E140,DATE(cfg_FY,5,1))+1)*(1-IF($M140="نعم",0,N($J140))))</f>
        <v>0</v>
      </c>
      <c r="AA140" s="57" t="n">
        <f aca="false">IF(OR($B140="",$E140="",$F140=""),0,MAX(0,MIN($F140,EOMONTH(DATE(cfg_FY,6,1),0))-MAX($E140,DATE(cfg_FY,6,1))+1)*(1-IF($M140="نعم",0,N($J140))))</f>
        <v>0</v>
      </c>
      <c r="AB140" s="57" t="n">
        <f aca="false">IF(OR($B140="",$E140="",$F140=""),0,MAX(0,MIN($F140,EOMONTH(DATE(cfg_FY,7,1),0))-MAX($E140,DATE(cfg_FY,7,1))+1)*(1-IF($M140="نعم",0,N($J140))))</f>
        <v>0</v>
      </c>
      <c r="AC140" s="57" t="n">
        <f aca="false">IF(OR($B140="",$E140="",$F140=""),0,MAX(0,MIN($F140,EOMONTH(DATE(cfg_FY,8,1),0))-MAX($E140,DATE(cfg_FY,8,1))+1)*(1-IF($M140="نعم",0,N($J140))))</f>
        <v>0</v>
      </c>
      <c r="AD140" s="57" t="n">
        <f aca="false">IF(OR($B140="",$E140="",$F140=""),0,MAX(0,MIN($F140,EOMONTH(DATE(cfg_FY,9,1),0))-MAX($E140,DATE(cfg_FY,9,1))+1)*(1-IF($M140="نعم",0,N($J140))))</f>
        <v>0</v>
      </c>
      <c r="AE140" s="57" t="n">
        <f aca="false">IF(OR($B140="",$E140="",$F140=""),0,MAX(0,MIN($F140,EOMONTH(DATE(cfg_FY,10,1),0))-MAX($E140,DATE(cfg_FY,10,1))+1)*(1-IF($M140="نعم",0,N($J140))))</f>
        <v>0</v>
      </c>
      <c r="AF140" s="57" t="n">
        <f aca="false">IF(OR($B140="",$E140="",$F140=""),0,MAX(0,MIN($F140,EOMONTH(DATE(cfg_FY,11,1),0))-MAX($E140,DATE(cfg_FY,11,1))+1)*(1-IF($M140="نعم",0,N($J140))))</f>
        <v>0</v>
      </c>
      <c r="AG140" s="57" t="n">
        <f aca="false">IF(OR($B140="",$E140="",$F140=""),0,MAX(0,MIN($F140,EOMONTH(DATE(cfg_FY,12,1),0))-MAX($E140,DATE(cfg_FY,12,1))+1)*(1-IF($M140="نعم",0,N($J140))))</f>
        <v>0</v>
      </c>
      <c r="AH140" s="57" t="n">
        <f aca="false">IF(OR(OR($B140="",$E140="",$F140=""),$L140&lt;&gt;"لا"),0,MAX(0,MIN($F140,EOMONTH(DATE(cfg_FY,1,1),0))-$E140+1))</f>
        <v>0</v>
      </c>
      <c r="AI140" s="57" t="n">
        <f aca="false">IF(OR(OR($B140="",$E140="",$F140=""),$L140&lt;&gt;"لا"),0,MAX(0,MIN($F140,EOMONTH(DATE(cfg_FY,2,1),0))-$E140+1))</f>
        <v>0</v>
      </c>
      <c r="AJ140" s="57" t="n">
        <f aca="false">IF(OR(OR($B140="",$E140="",$F140=""),$L140&lt;&gt;"لا"),0,MAX(0,MIN($F140,EOMONTH(DATE(cfg_FY,3,1),0))-$E140+1))</f>
        <v>0</v>
      </c>
      <c r="AK140" s="57" t="n">
        <f aca="false">IF(OR(OR($B140="",$E140="",$F140=""),$L140&lt;&gt;"لا"),0,MAX(0,MIN($F140,EOMONTH(DATE(cfg_FY,4,1),0))-$E140+1))</f>
        <v>0</v>
      </c>
      <c r="AL140" s="57" t="n">
        <f aca="false">IF(OR(OR($B140="",$E140="",$F140=""),$L140&lt;&gt;"لا"),0,MAX(0,MIN($F140,EOMONTH(DATE(cfg_FY,5,1),0))-$E140+1))</f>
        <v>0</v>
      </c>
      <c r="AM140" s="57" t="n">
        <f aca="false">IF(OR(OR($B140="",$E140="",$F140=""),$L140&lt;&gt;"لا"),0,MAX(0,MIN($F140,EOMONTH(DATE(cfg_FY,6,1),0))-$E140+1))</f>
        <v>0</v>
      </c>
      <c r="AN140" s="57" t="n">
        <f aca="false">IF(OR(OR($B140="",$E140="",$F140=""),$L140&lt;&gt;"لا"),0,MAX(0,MIN($F140,EOMONTH(DATE(cfg_FY,7,1),0))-$E140+1))</f>
        <v>0</v>
      </c>
      <c r="AO140" s="57" t="n">
        <f aca="false">IF(OR(OR($B140="",$E140="",$F140=""),$L140&lt;&gt;"لا"),0,MAX(0,MIN($F140,EOMONTH(DATE(cfg_FY,8,1),0))-$E140+1))</f>
        <v>0</v>
      </c>
      <c r="AP140" s="57" t="n">
        <f aca="false">IF(OR(OR($B140="",$E140="",$F140=""),$L140&lt;&gt;"لا"),0,MAX(0,MIN($F140,EOMONTH(DATE(cfg_FY,9,1),0))-$E140+1))</f>
        <v>0</v>
      </c>
      <c r="AQ140" s="57" t="n">
        <f aca="false">IF(OR(OR($B140="",$E140="",$F140=""),$L140&lt;&gt;"لا"),0,MAX(0,MIN($F140,EOMONTH(DATE(cfg_FY,10,1),0))-$E140+1))</f>
        <v>0</v>
      </c>
      <c r="AR140" s="57" t="n">
        <f aca="false">IF(OR(OR($B140="",$E140="",$F140=""),$L140&lt;&gt;"لا"),0,MAX(0,MIN($F140,EOMONTH(DATE(cfg_FY,11,1),0))-$E140+1))</f>
        <v>0</v>
      </c>
      <c r="AS140" s="57" t="n">
        <f aca="false">IF(OR(OR($B140="",$E140="",$F140=""),$L140&lt;&gt;"لا"),0,MAX(0,MIN($F140,EOMONTH(DATE(cfg_FY,12,1),0))-$E140+1))</f>
        <v>0</v>
      </c>
      <c r="AT140" s="57" t="n">
        <f aca="false">IF(OR(OR($B140="",$E140="",$F140=""),$K140&lt;&gt;"نعم",$M140="نعم"),0,MAX(0,MIN($F140,EOMONTH(DATE(cfg_FY,1,1),0))-MAX($E140,DATE(cfg_FY,1,1))+1))</f>
        <v>0</v>
      </c>
      <c r="AU140" s="57" t="n">
        <f aca="false">IF(OR(OR($B140="",$E140="",$F140=""),$K140&lt;&gt;"نعم",$M140="نعم"),0,MAX(0,MIN($F140,EOMONTH(DATE(cfg_FY,2,1),0))-MAX($E140,DATE(cfg_FY,2,1))+1))</f>
        <v>0</v>
      </c>
      <c r="AV140" s="57" t="n">
        <f aca="false">IF(OR(OR($B140="",$E140="",$F140=""),$K140&lt;&gt;"نعم",$M140="نعم"),0,MAX(0,MIN($F140,EOMONTH(DATE(cfg_FY,3,1),0))-MAX($E140,DATE(cfg_FY,3,1))+1))</f>
        <v>0</v>
      </c>
      <c r="AW140" s="57" t="n">
        <f aca="false">IF(OR(OR($B140="",$E140="",$F140=""),$K140&lt;&gt;"نعم",$M140="نعم"),0,MAX(0,MIN($F140,EOMONTH(DATE(cfg_FY,4,1),0))-MAX($E140,DATE(cfg_FY,4,1))+1))</f>
        <v>0</v>
      </c>
      <c r="AX140" s="57" t="n">
        <f aca="false">IF(OR(OR($B140="",$E140="",$F140=""),$K140&lt;&gt;"نعم",$M140="نعم"),0,MAX(0,MIN($F140,EOMONTH(DATE(cfg_FY,5,1),0))-MAX($E140,DATE(cfg_FY,5,1))+1))</f>
        <v>0</v>
      </c>
      <c r="AY140" s="57" t="n">
        <f aca="false">IF(OR(OR($B140="",$E140="",$F140=""),$K140&lt;&gt;"نعم",$M140="نعم"),0,MAX(0,MIN($F140,EOMONTH(DATE(cfg_FY,6,1),0))-MAX($E140,DATE(cfg_FY,6,1))+1))</f>
        <v>0</v>
      </c>
      <c r="AZ140" s="57" t="n">
        <f aca="false">IF(OR(OR($B140="",$E140="",$F140=""),$K140&lt;&gt;"نعم",$M140="نعم"),0,MAX(0,MIN($F140,EOMONTH(DATE(cfg_FY,7,1),0))-MAX($E140,DATE(cfg_FY,7,1))+1))</f>
        <v>0</v>
      </c>
      <c r="BA140" s="57" t="n">
        <f aca="false">IF(OR(OR($B140="",$E140="",$F140=""),$K140&lt;&gt;"نعم",$M140="نعم"),0,MAX(0,MIN($F140,EOMONTH(DATE(cfg_FY,8,1),0))-MAX($E140,DATE(cfg_FY,8,1))+1))</f>
        <v>0</v>
      </c>
      <c r="BB140" s="57" t="n">
        <f aca="false">IF(OR(OR($B140="",$E140="",$F140=""),$K140&lt;&gt;"نعم",$M140="نعم"),0,MAX(0,MIN($F140,EOMONTH(DATE(cfg_FY,9,1),0))-MAX($E140,DATE(cfg_FY,9,1))+1))</f>
        <v>0</v>
      </c>
      <c r="BC140" s="57" t="n">
        <f aca="false">IF(OR(OR($B140="",$E140="",$F140=""),$K140&lt;&gt;"نعم",$M140="نعم"),0,MAX(0,MIN($F140,EOMONTH(DATE(cfg_FY,10,1),0))-MAX($E140,DATE(cfg_FY,10,1))+1))</f>
        <v>0</v>
      </c>
      <c r="BD140" s="57" t="n">
        <f aca="false">IF(OR(OR($B140="",$E140="",$F140=""),$K140&lt;&gt;"نعم",$M140="نعم"),0,MAX(0,MIN($F140,EOMONTH(DATE(cfg_FY,11,1),0))-MAX($E140,DATE(cfg_FY,11,1))+1))</f>
        <v>0</v>
      </c>
      <c r="BE140" s="57" t="n">
        <f aca="false">IF(OR(OR($B140="",$E140="",$F140=""),$K140&lt;&gt;"نعم",$M140="نعم"),0,MAX(0,MIN($F140,EOMONTH(DATE(cfg_FY,12,1),0))-MAX($E140,DATE(cfg_FY,12,1))+1))</f>
        <v>0</v>
      </c>
    </row>
    <row r="141" customFormat="false" ht="15" hidden="false" customHeight="false" outlineLevel="0" collapsed="false">
      <c r="A141" s="100" t="str">
        <f aca="false">IF(B141="","",ROW()-5)</f>
        <v/>
      </c>
      <c r="B141" s="79"/>
      <c r="C141" s="102" t="str">
        <f aca="false">IF(B141="","",IFERROR(INDEX(الموظفون!$C$6:$C$105,MATCH(B141,الموظفون!$B$6:$B$105,0)),"✖ رقم غير موجود"))</f>
        <v/>
      </c>
      <c r="D141" s="79"/>
      <c r="E141" s="94"/>
      <c r="F141" s="94"/>
      <c r="G141" s="110" t="str">
        <f aca="false">IF(OR($B141="",$E141="",$F141=""),"",MAX(0,F141-E141+1))</f>
        <v/>
      </c>
      <c r="H141" s="111" t="str">
        <f aca="false">IF(D141="","",IFERROR(VLOOKUP(D141,cfg_LT,2,FALSE()),1))</f>
        <v/>
      </c>
      <c r="I141" s="82"/>
      <c r="J141" s="111" t="str">
        <f aca="false">IF(D141="","",IF(I141&lt;&gt;"",I141,H141))</f>
        <v/>
      </c>
      <c r="K141" s="102" t="str">
        <f aca="false">IF(D141="","",IFERROR(VLOOKUP($D141,cfg_LT,3,FALSE()),""))</f>
        <v/>
      </c>
      <c r="L141" s="102" t="str">
        <f aca="false">IF(D141="","",IFERROR(VLOOKUP($D141,cfg_LT,4,FALSE()),""))</f>
        <v/>
      </c>
      <c r="M141" s="102" t="str">
        <f aca="false">IF(D141="","",IFERROR(VLOOKUP($D141,cfg_LT,5,FALSE()),""))</f>
        <v/>
      </c>
      <c r="N141" s="101" t="n">
        <f aca="false">IF(OR(OR($B141="",$E141="",$F141=""),M141&lt;&gt;"نعم"),0,G141*J141*IFERROR(INDEX(الموظفون!$R$6:$R$105,MATCH(B141,الموظفون!$B$6:$B$105,0)),0)/cfg_DAYS_M)</f>
        <v>0</v>
      </c>
      <c r="O141" s="100" t="str">
        <f aca="false">IF(OR(OR($B141="",$E141="",$F141=""),M141&lt;&gt;"نعم"),"",IF(YEAR(E141)=cfg_FY,MONTH(E141),""))</f>
        <v/>
      </c>
      <c r="P141" s="102" t="str">
        <f aca="false">IF(B141="","",IF(OR(D141="",E141="",F141=""),"⚠ أكمل النوع والتواريخ",IF(F141&lt;E141,"✖ النهاية قبل البداية",IF(COUNTIFS($B$6:$B$505,B141,$E$6:$E$505,"&lt;="&amp;F141,$F$6:$F$505,"&gt;="&amp;E141)&gt;1,"⚠ تداخل مع سجل آخر",IF(E141&gt;cfg_VAL_DATE,"⏳ قادمة",IF(F141&lt;cfg_VAL_DATE,"✔ منتهية","✈ جارية في تاريخ التقرير"))))))</f>
        <v/>
      </c>
      <c r="Q141" s="79"/>
      <c r="R141" s="110" t="n">
        <f aca="false">IF(OR(OR($B141="",$E141="",$F141=""),L141&lt;&gt;"لا"),0,MAX(0,MIN(F141,cfg_Y_START-1)-E141+1))</f>
        <v>0</v>
      </c>
      <c r="S141" s="110" t="n">
        <f aca="false">IF(OR(OR($B141="",$E141="",$F141=""),L141&lt;&gt;"لا"),0,MAX(0,MIN(F141,cfg_VAL_DATE)-E141+1))</f>
        <v>0</v>
      </c>
      <c r="T141" s="110" t="n">
        <f aca="false">IF(OR(OR($B141="",$E141="",$F141=""),K141&lt;&gt;"نعم"),0,IF(M141="نعم",IF(AND(ISNUMBER(O141),N(O141)&lt;=cfg_VAL_M),G141,0),MAX(0,MIN(F141,cfg_VAL_DATE)-MAX(E141,cfg_Y_START)+1)))</f>
        <v>0</v>
      </c>
      <c r="V141" s="110" t="n">
        <f aca="false">IF(OR($B141="",$E141="",$F141=""),0,MAX(0,MIN($F141,EOMONTH(DATE(cfg_FY,1,1),0))-MAX($E141,DATE(cfg_FY,1,1))+1)*(1-IF($M141="نعم",0,N($J141))))</f>
        <v>0</v>
      </c>
      <c r="W141" s="110" t="n">
        <f aca="false">IF(OR($B141="",$E141="",$F141=""),0,MAX(0,MIN($F141,EOMONTH(DATE(cfg_FY,2,1),0))-MAX($E141,DATE(cfg_FY,2,1))+1)*(1-IF($M141="نعم",0,N($J141))))</f>
        <v>0</v>
      </c>
      <c r="X141" s="110" t="n">
        <f aca="false">IF(OR($B141="",$E141="",$F141=""),0,MAX(0,MIN($F141,EOMONTH(DATE(cfg_FY,3,1),0))-MAX($E141,DATE(cfg_FY,3,1))+1)*(1-IF($M141="نعم",0,N($J141))))</f>
        <v>0</v>
      </c>
      <c r="Y141" s="110" t="n">
        <f aca="false">IF(OR($B141="",$E141="",$F141=""),0,MAX(0,MIN($F141,EOMONTH(DATE(cfg_FY,4,1),0))-MAX($E141,DATE(cfg_FY,4,1))+1)*(1-IF($M141="نعم",0,N($J141))))</f>
        <v>0</v>
      </c>
      <c r="Z141" s="110" t="n">
        <f aca="false">IF(OR($B141="",$E141="",$F141=""),0,MAX(0,MIN($F141,EOMONTH(DATE(cfg_FY,5,1),0))-MAX($E141,DATE(cfg_FY,5,1))+1)*(1-IF($M141="نعم",0,N($J141))))</f>
        <v>0</v>
      </c>
      <c r="AA141" s="110" t="n">
        <f aca="false">IF(OR($B141="",$E141="",$F141=""),0,MAX(0,MIN($F141,EOMONTH(DATE(cfg_FY,6,1),0))-MAX($E141,DATE(cfg_FY,6,1))+1)*(1-IF($M141="نعم",0,N($J141))))</f>
        <v>0</v>
      </c>
      <c r="AB141" s="110" t="n">
        <f aca="false">IF(OR($B141="",$E141="",$F141=""),0,MAX(0,MIN($F141,EOMONTH(DATE(cfg_FY,7,1),0))-MAX($E141,DATE(cfg_FY,7,1))+1)*(1-IF($M141="نعم",0,N($J141))))</f>
        <v>0</v>
      </c>
      <c r="AC141" s="110" t="n">
        <f aca="false">IF(OR($B141="",$E141="",$F141=""),0,MAX(0,MIN($F141,EOMONTH(DATE(cfg_FY,8,1),0))-MAX($E141,DATE(cfg_FY,8,1))+1)*(1-IF($M141="نعم",0,N($J141))))</f>
        <v>0</v>
      </c>
      <c r="AD141" s="110" t="n">
        <f aca="false">IF(OR($B141="",$E141="",$F141=""),0,MAX(0,MIN($F141,EOMONTH(DATE(cfg_FY,9,1),0))-MAX($E141,DATE(cfg_FY,9,1))+1)*(1-IF($M141="نعم",0,N($J141))))</f>
        <v>0</v>
      </c>
      <c r="AE141" s="110" t="n">
        <f aca="false">IF(OR($B141="",$E141="",$F141=""),0,MAX(0,MIN($F141,EOMONTH(DATE(cfg_FY,10,1),0))-MAX($E141,DATE(cfg_FY,10,1))+1)*(1-IF($M141="نعم",0,N($J141))))</f>
        <v>0</v>
      </c>
      <c r="AF141" s="110" t="n">
        <f aca="false">IF(OR($B141="",$E141="",$F141=""),0,MAX(0,MIN($F141,EOMONTH(DATE(cfg_FY,11,1),0))-MAX($E141,DATE(cfg_FY,11,1))+1)*(1-IF($M141="نعم",0,N($J141))))</f>
        <v>0</v>
      </c>
      <c r="AG141" s="110" t="n">
        <f aca="false">IF(OR($B141="",$E141="",$F141=""),0,MAX(0,MIN($F141,EOMONTH(DATE(cfg_FY,12,1),0))-MAX($E141,DATE(cfg_FY,12,1))+1)*(1-IF($M141="نعم",0,N($J141))))</f>
        <v>0</v>
      </c>
      <c r="AH141" s="110" t="n">
        <f aca="false">IF(OR(OR($B141="",$E141="",$F141=""),$L141&lt;&gt;"لا"),0,MAX(0,MIN($F141,EOMONTH(DATE(cfg_FY,1,1),0))-$E141+1))</f>
        <v>0</v>
      </c>
      <c r="AI141" s="110" t="n">
        <f aca="false">IF(OR(OR($B141="",$E141="",$F141=""),$L141&lt;&gt;"لا"),0,MAX(0,MIN($F141,EOMONTH(DATE(cfg_FY,2,1),0))-$E141+1))</f>
        <v>0</v>
      </c>
      <c r="AJ141" s="110" t="n">
        <f aca="false">IF(OR(OR($B141="",$E141="",$F141=""),$L141&lt;&gt;"لا"),0,MAX(0,MIN($F141,EOMONTH(DATE(cfg_FY,3,1),0))-$E141+1))</f>
        <v>0</v>
      </c>
      <c r="AK141" s="110" t="n">
        <f aca="false">IF(OR(OR($B141="",$E141="",$F141=""),$L141&lt;&gt;"لا"),0,MAX(0,MIN($F141,EOMONTH(DATE(cfg_FY,4,1),0))-$E141+1))</f>
        <v>0</v>
      </c>
      <c r="AL141" s="110" t="n">
        <f aca="false">IF(OR(OR($B141="",$E141="",$F141=""),$L141&lt;&gt;"لا"),0,MAX(0,MIN($F141,EOMONTH(DATE(cfg_FY,5,1),0))-$E141+1))</f>
        <v>0</v>
      </c>
      <c r="AM141" s="110" t="n">
        <f aca="false">IF(OR(OR($B141="",$E141="",$F141=""),$L141&lt;&gt;"لا"),0,MAX(0,MIN($F141,EOMONTH(DATE(cfg_FY,6,1),0))-$E141+1))</f>
        <v>0</v>
      </c>
      <c r="AN141" s="110" t="n">
        <f aca="false">IF(OR(OR($B141="",$E141="",$F141=""),$L141&lt;&gt;"لا"),0,MAX(0,MIN($F141,EOMONTH(DATE(cfg_FY,7,1),0))-$E141+1))</f>
        <v>0</v>
      </c>
      <c r="AO141" s="110" t="n">
        <f aca="false">IF(OR(OR($B141="",$E141="",$F141=""),$L141&lt;&gt;"لا"),0,MAX(0,MIN($F141,EOMONTH(DATE(cfg_FY,8,1),0))-$E141+1))</f>
        <v>0</v>
      </c>
      <c r="AP141" s="110" t="n">
        <f aca="false">IF(OR(OR($B141="",$E141="",$F141=""),$L141&lt;&gt;"لا"),0,MAX(0,MIN($F141,EOMONTH(DATE(cfg_FY,9,1),0))-$E141+1))</f>
        <v>0</v>
      </c>
      <c r="AQ141" s="110" t="n">
        <f aca="false">IF(OR(OR($B141="",$E141="",$F141=""),$L141&lt;&gt;"لا"),0,MAX(0,MIN($F141,EOMONTH(DATE(cfg_FY,10,1),0))-$E141+1))</f>
        <v>0</v>
      </c>
      <c r="AR141" s="110" t="n">
        <f aca="false">IF(OR(OR($B141="",$E141="",$F141=""),$L141&lt;&gt;"لا"),0,MAX(0,MIN($F141,EOMONTH(DATE(cfg_FY,11,1),0))-$E141+1))</f>
        <v>0</v>
      </c>
      <c r="AS141" s="110" t="n">
        <f aca="false">IF(OR(OR($B141="",$E141="",$F141=""),$L141&lt;&gt;"لا"),0,MAX(0,MIN($F141,EOMONTH(DATE(cfg_FY,12,1),0))-$E141+1))</f>
        <v>0</v>
      </c>
      <c r="AT141" s="110" t="n">
        <f aca="false">IF(OR(OR($B141="",$E141="",$F141=""),$K141&lt;&gt;"نعم",$M141="نعم"),0,MAX(0,MIN($F141,EOMONTH(DATE(cfg_FY,1,1),0))-MAX($E141,DATE(cfg_FY,1,1))+1))</f>
        <v>0</v>
      </c>
      <c r="AU141" s="110" t="n">
        <f aca="false">IF(OR(OR($B141="",$E141="",$F141=""),$K141&lt;&gt;"نعم",$M141="نعم"),0,MAX(0,MIN($F141,EOMONTH(DATE(cfg_FY,2,1),0))-MAX($E141,DATE(cfg_FY,2,1))+1))</f>
        <v>0</v>
      </c>
      <c r="AV141" s="110" t="n">
        <f aca="false">IF(OR(OR($B141="",$E141="",$F141=""),$K141&lt;&gt;"نعم",$M141="نعم"),0,MAX(0,MIN($F141,EOMONTH(DATE(cfg_FY,3,1),0))-MAX($E141,DATE(cfg_FY,3,1))+1))</f>
        <v>0</v>
      </c>
      <c r="AW141" s="110" t="n">
        <f aca="false">IF(OR(OR($B141="",$E141="",$F141=""),$K141&lt;&gt;"نعم",$M141="نعم"),0,MAX(0,MIN($F141,EOMONTH(DATE(cfg_FY,4,1),0))-MAX($E141,DATE(cfg_FY,4,1))+1))</f>
        <v>0</v>
      </c>
      <c r="AX141" s="110" t="n">
        <f aca="false">IF(OR(OR($B141="",$E141="",$F141=""),$K141&lt;&gt;"نعم",$M141="نعم"),0,MAX(0,MIN($F141,EOMONTH(DATE(cfg_FY,5,1),0))-MAX($E141,DATE(cfg_FY,5,1))+1))</f>
        <v>0</v>
      </c>
      <c r="AY141" s="110" t="n">
        <f aca="false">IF(OR(OR($B141="",$E141="",$F141=""),$K141&lt;&gt;"نعم",$M141="نعم"),0,MAX(0,MIN($F141,EOMONTH(DATE(cfg_FY,6,1),0))-MAX($E141,DATE(cfg_FY,6,1))+1))</f>
        <v>0</v>
      </c>
      <c r="AZ141" s="110" t="n">
        <f aca="false">IF(OR(OR($B141="",$E141="",$F141=""),$K141&lt;&gt;"نعم",$M141="نعم"),0,MAX(0,MIN($F141,EOMONTH(DATE(cfg_FY,7,1),0))-MAX($E141,DATE(cfg_FY,7,1))+1))</f>
        <v>0</v>
      </c>
      <c r="BA141" s="110" t="n">
        <f aca="false">IF(OR(OR($B141="",$E141="",$F141=""),$K141&lt;&gt;"نعم",$M141="نعم"),0,MAX(0,MIN($F141,EOMONTH(DATE(cfg_FY,8,1),0))-MAX($E141,DATE(cfg_FY,8,1))+1))</f>
        <v>0</v>
      </c>
      <c r="BB141" s="110" t="n">
        <f aca="false">IF(OR(OR($B141="",$E141="",$F141=""),$K141&lt;&gt;"نعم",$M141="نعم"),0,MAX(0,MIN($F141,EOMONTH(DATE(cfg_FY,9,1),0))-MAX($E141,DATE(cfg_FY,9,1))+1))</f>
        <v>0</v>
      </c>
      <c r="BC141" s="110" t="n">
        <f aca="false">IF(OR(OR($B141="",$E141="",$F141=""),$K141&lt;&gt;"نعم",$M141="نعم"),0,MAX(0,MIN($F141,EOMONTH(DATE(cfg_FY,10,1),0))-MAX($E141,DATE(cfg_FY,10,1))+1))</f>
        <v>0</v>
      </c>
      <c r="BD141" s="110" t="n">
        <f aca="false">IF(OR(OR($B141="",$E141="",$F141=""),$K141&lt;&gt;"نعم",$M141="نعم"),0,MAX(0,MIN($F141,EOMONTH(DATE(cfg_FY,11,1),0))-MAX($E141,DATE(cfg_FY,11,1))+1))</f>
        <v>0</v>
      </c>
      <c r="BE141" s="110" t="n">
        <f aca="false">IF(OR(OR($B141="",$E141="",$F141=""),$K141&lt;&gt;"نعم",$M141="نعم"),0,MAX(0,MIN($F141,EOMONTH(DATE(cfg_FY,12,1),0))-MAX($E141,DATE(cfg_FY,12,1))+1))</f>
        <v>0</v>
      </c>
    </row>
    <row r="142" customFormat="false" ht="15" hidden="false" customHeight="false" outlineLevel="0" collapsed="false">
      <c r="A142" s="93" t="str">
        <f aca="false">IF(B142="","",ROW()-5)</f>
        <v/>
      </c>
      <c r="B142" s="79"/>
      <c r="C142" s="80" t="str">
        <f aca="false">IF(B142="","",IFERROR(INDEX(الموظفون!$C$6:$C$105,MATCH(B142,الموظفون!$B$6:$B$105,0)),"✖ رقم غير موجود"))</f>
        <v/>
      </c>
      <c r="D142" s="79"/>
      <c r="E142" s="94"/>
      <c r="F142" s="94"/>
      <c r="G142" s="57" t="str">
        <f aca="false">IF(OR($B142="",$E142="",$F142=""),"",MAX(0,F142-E142+1))</f>
        <v/>
      </c>
      <c r="H142" s="58" t="str">
        <f aca="false">IF(D142="","",IFERROR(VLOOKUP(D142,cfg_LT,2,FALSE()),1))</f>
        <v/>
      </c>
      <c r="I142" s="82"/>
      <c r="J142" s="58" t="str">
        <f aca="false">IF(D142="","",IF(I142&lt;&gt;"",I142,H142))</f>
        <v/>
      </c>
      <c r="K142" s="80" t="str">
        <f aca="false">IF(D142="","",IFERROR(VLOOKUP($D142,cfg_LT,3,FALSE()),""))</f>
        <v/>
      </c>
      <c r="L142" s="80" t="str">
        <f aca="false">IF(D142="","",IFERROR(VLOOKUP($D142,cfg_LT,4,FALSE()),""))</f>
        <v/>
      </c>
      <c r="M142" s="80" t="str">
        <f aca="false">IF(D142="","",IFERROR(VLOOKUP($D142,cfg_LT,5,FALSE()),""))</f>
        <v/>
      </c>
      <c r="N142" s="97" t="n">
        <f aca="false">IF(OR(OR($B142="",$E142="",$F142=""),M142&lt;&gt;"نعم"),0,G142*J142*IFERROR(INDEX(الموظفون!$R$6:$R$105,MATCH(B142,الموظفون!$B$6:$B$105,0)),0)/cfg_DAYS_M)</f>
        <v>0</v>
      </c>
      <c r="O142" s="93" t="str">
        <f aca="false">IF(OR(OR($B142="",$E142="",$F142=""),M142&lt;&gt;"نعم"),"",IF(YEAR(E142)=cfg_FY,MONTH(E142),""))</f>
        <v/>
      </c>
      <c r="P142" s="80" t="str">
        <f aca="false">IF(B142="","",IF(OR(D142="",E142="",F142=""),"⚠ أكمل النوع والتواريخ",IF(F142&lt;E142,"✖ النهاية قبل البداية",IF(COUNTIFS($B$6:$B$505,B142,$E$6:$E$505,"&lt;="&amp;F142,$F$6:$F$505,"&gt;="&amp;E142)&gt;1,"⚠ تداخل مع سجل آخر",IF(E142&gt;cfg_VAL_DATE,"⏳ قادمة",IF(F142&lt;cfg_VAL_DATE,"✔ منتهية","✈ جارية في تاريخ التقرير"))))))</f>
        <v/>
      </c>
      <c r="Q142" s="79"/>
      <c r="R142" s="57" t="n">
        <f aca="false">IF(OR(OR($B142="",$E142="",$F142=""),L142&lt;&gt;"لا"),0,MAX(0,MIN(F142,cfg_Y_START-1)-E142+1))</f>
        <v>0</v>
      </c>
      <c r="S142" s="57" t="n">
        <f aca="false">IF(OR(OR($B142="",$E142="",$F142=""),L142&lt;&gt;"لا"),0,MAX(0,MIN(F142,cfg_VAL_DATE)-E142+1))</f>
        <v>0</v>
      </c>
      <c r="T142" s="57" t="n">
        <f aca="false">IF(OR(OR($B142="",$E142="",$F142=""),K142&lt;&gt;"نعم"),0,IF(M142="نعم",IF(AND(ISNUMBER(O142),N(O142)&lt;=cfg_VAL_M),G142,0),MAX(0,MIN(F142,cfg_VAL_DATE)-MAX(E142,cfg_Y_START)+1)))</f>
        <v>0</v>
      </c>
      <c r="V142" s="57" t="n">
        <f aca="false">IF(OR($B142="",$E142="",$F142=""),0,MAX(0,MIN($F142,EOMONTH(DATE(cfg_FY,1,1),0))-MAX($E142,DATE(cfg_FY,1,1))+1)*(1-IF($M142="نعم",0,N($J142))))</f>
        <v>0</v>
      </c>
      <c r="W142" s="57" t="n">
        <f aca="false">IF(OR($B142="",$E142="",$F142=""),0,MAX(0,MIN($F142,EOMONTH(DATE(cfg_FY,2,1),0))-MAX($E142,DATE(cfg_FY,2,1))+1)*(1-IF($M142="نعم",0,N($J142))))</f>
        <v>0</v>
      </c>
      <c r="X142" s="57" t="n">
        <f aca="false">IF(OR($B142="",$E142="",$F142=""),0,MAX(0,MIN($F142,EOMONTH(DATE(cfg_FY,3,1),0))-MAX($E142,DATE(cfg_FY,3,1))+1)*(1-IF($M142="نعم",0,N($J142))))</f>
        <v>0</v>
      </c>
      <c r="Y142" s="57" t="n">
        <f aca="false">IF(OR($B142="",$E142="",$F142=""),0,MAX(0,MIN($F142,EOMONTH(DATE(cfg_FY,4,1),0))-MAX($E142,DATE(cfg_FY,4,1))+1)*(1-IF($M142="نعم",0,N($J142))))</f>
        <v>0</v>
      </c>
      <c r="Z142" s="57" t="n">
        <f aca="false">IF(OR($B142="",$E142="",$F142=""),0,MAX(0,MIN($F142,EOMONTH(DATE(cfg_FY,5,1),0))-MAX($E142,DATE(cfg_FY,5,1))+1)*(1-IF($M142="نعم",0,N($J142))))</f>
        <v>0</v>
      </c>
      <c r="AA142" s="57" t="n">
        <f aca="false">IF(OR($B142="",$E142="",$F142=""),0,MAX(0,MIN($F142,EOMONTH(DATE(cfg_FY,6,1),0))-MAX($E142,DATE(cfg_FY,6,1))+1)*(1-IF($M142="نعم",0,N($J142))))</f>
        <v>0</v>
      </c>
      <c r="AB142" s="57" t="n">
        <f aca="false">IF(OR($B142="",$E142="",$F142=""),0,MAX(0,MIN($F142,EOMONTH(DATE(cfg_FY,7,1),0))-MAX($E142,DATE(cfg_FY,7,1))+1)*(1-IF($M142="نعم",0,N($J142))))</f>
        <v>0</v>
      </c>
      <c r="AC142" s="57" t="n">
        <f aca="false">IF(OR($B142="",$E142="",$F142=""),0,MAX(0,MIN($F142,EOMONTH(DATE(cfg_FY,8,1),0))-MAX($E142,DATE(cfg_FY,8,1))+1)*(1-IF($M142="نعم",0,N($J142))))</f>
        <v>0</v>
      </c>
      <c r="AD142" s="57" t="n">
        <f aca="false">IF(OR($B142="",$E142="",$F142=""),0,MAX(0,MIN($F142,EOMONTH(DATE(cfg_FY,9,1),0))-MAX($E142,DATE(cfg_FY,9,1))+1)*(1-IF($M142="نعم",0,N($J142))))</f>
        <v>0</v>
      </c>
      <c r="AE142" s="57" t="n">
        <f aca="false">IF(OR($B142="",$E142="",$F142=""),0,MAX(0,MIN($F142,EOMONTH(DATE(cfg_FY,10,1),0))-MAX($E142,DATE(cfg_FY,10,1))+1)*(1-IF($M142="نعم",0,N($J142))))</f>
        <v>0</v>
      </c>
      <c r="AF142" s="57" t="n">
        <f aca="false">IF(OR($B142="",$E142="",$F142=""),0,MAX(0,MIN($F142,EOMONTH(DATE(cfg_FY,11,1),0))-MAX($E142,DATE(cfg_FY,11,1))+1)*(1-IF($M142="نعم",0,N($J142))))</f>
        <v>0</v>
      </c>
      <c r="AG142" s="57" t="n">
        <f aca="false">IF(OR($B142="",$E142="",$F142=""),0,MAX(0,MIN($F142,EOMONTH(DATE(cfg_FY,12,1),0))-MAX($E142,DATE(cfg_FY,12,1))+1)*(1-IF($M142="نعم",0,N($J142))))</f>
        <v>0</v>
      </c>
      <c r="AH142" s="57" t="n">
        <f aca="false">IF(OR(OR($B142="",$E142="",$F142=""),$L142&lt;&gt;"لا"),0,MAX(0,MIN($F142,EOMONTH(DATE(cfg_FY,1,1),0))-$E142+1))</f>
        <v>0</v>
      </c>
      <c r="AI142" s="57" t="n">
        <f aca="false">IF(OR(OR($B142="",$E142="",$F142=""),$L142&lt;&gt;"لا"),0,MAX(0,MIN($F142,EOMONTH(DATE(cfg_FY,2,1),0))-$E142+1))</f>
        <v>0</v>
      </c>
      <c r="AJ142" s="57" t="n">
        <f aca="false">IF(OR(OR($B142="",$E142="",$F142=""),$L142&lt;&gt;"لا"),0,MAX(0,MIN($F142,EOMONTH(DATE(cfg_FY,3,1),0))-$E142+1))</f>
        <v>0</v>
      </c>
      <c r="AK142" s="57" t="n">
        <f aca="false">IF(OR(OR($B142="",$E142="",$F142=""),$L142&lt;&gt;"لا"),0,MAX(0,MIN($F142,EOMONTH(DATE(cfg_FY,4,1),0))-$E142+1))</f>
        <v>0</v>
      </c>
      <c r="AL142" s="57" t="n">
        <f aca="false">IF(OR(OR($B142="",$E142="",$F142=""),$L142&lt;&gt;"لا"),0,MAX(0,MIN($F142,EOMONTH(DATE(cfg_FY,5,1),0))-$E142+1))</f>
        <v>0</v>
      </c>
      <c r="AM142" s="57" t="n">
        <f aca="false">IF(OR(OR($B142="",$E142="",$F142=""),$L142&lt;&gt;"لا"),0,MAX(0,MIN($F142,EOMONTH(DATE(cfg_FY,6,1),0))-$E142+1))</f>
        <v>0</v>
      </c>
      <c r="AN142" s="57" t="n">
        <f aca="false">IF(OR(OR($B142="",$E142="",$F142=""),$L142&lt;&gt;"لا"),0,MAX(0,MIN($F142,EOMONTH(DATE(cfg_FY,7,1),0))-$E142+1))</f>
        <v>0</v>
      </c>
      <c r="AO142" s="57" t="n">
        <f aca="false">IF(OR(OR($B142="",$E142="",$F142=""),$L142&lt;&gt;"لا"),0,MAX(0,MIN($F142,EOMONTH(DATE(cfg_FY,8,1),0))-$E142+1))</f>
        <v>0</v>
      </c>
      <c r="AP142" s="57" t="n">
        <f aca="false">IF(OR(OR($B142="",$E142="",$F142=""),$L142&lt;&gt;"لا"),0,MAX(0,MIN($F142,EOMONTH(DATE(cfg_FY,9,1),0))-$E142+1))</f>
        <v>0</v>
      </c>
      <c r="AQ142" s="57" t="n">
        <f aca="false">IF(OR(OR($B142="",$E142="",$F142=""),$L142&lt;&gt;"لا"),0,MAX(0,MIN($F142,EOMONTH(DATE(cfg_FY,10,1),0))-$E142+1))</f>
        <v>0</v>
      </c>
      <c r="AR142" s="57" t="n">
        <f aca="false">IF(OR(OR($B142="",$E142="",$F142=""),$L142&lt;&gt;"لا"),0,MAX(0,MIN($F142,EOMONTH(DATE(cfg_FY,11,1),0))-$E142+1))</f>
        <v>0</v>
      </c>
      <c r="AS142" s="57" t="n">
        <f aca="false">IF(OR(OR($B142="",$E142="",$F142=""),$L142&lt;&gt;"لا"),0,MAX(0,MIN($F142,EOMONTH(DATE(cfg_FY,12,1),0))-$E142+1))</f>
        <v>0</v>
      </c>
      <c r="AT142" s="57" t="n">
        <f aca="false">IF(OR(OR($B142="",$E142="",$F142=""),$K142&lt;&gt;"نعم",$M142="نعم"),0,MAX(0,MIN($F142,EOMONTH(DATE(cfg_FY,1,1),0))-MAX($E142,DATE(cfg_FY,1,1))+1))</f>
        <v>0</v>
      </c>
      <c r="AU142" s="57" t="n">
        <f aca="false">IF(OR(OR($B142="",$E142="",$F142=""),$K142&lt;&gt;"نعم",$M142="نعم"),0,MAX(0,MIN($F142,EOMONTH(DATE(cfg_FY,2,1),0))-MAX($E142,DATE(cfg_FY,2,1))+1))</f>
        <v>0</v>
      </c>
      <c r="AV142" s="57" t="n">
        <f aca="false">IF(OR(OR($B142="",$E142="",$F142=""),$K142&lt;&gt;"نعم",$M142="نعم"),0,MAX(0,MIN($F142,EOMONTH(DATE(cfg_FY,3,1),0))-MAX($E142,DATE(cfg_FY,3,1))+1))</f>
        <v>0</v>
      </c>
      <c r="AW142" s="57" t="n">
        <f aca="false">IF(OR(OR($B142="",$E142="",$F142=""),$K142&lt;&gt;"نعم",$M142="نعم"),0,MAX(0,MIN($F142,EOMONTH(DATE(cfg_FY,4,1),0))-MAX($E142,DATE(cfg_FY,4,1))+1))</f>
        <v>0</v>
      </c>
      <c r="AX142" s="57" t="n">
        <f aca="false">IF(OR(OR($B142="",$E142="",$F142=""),$K142&lt;&gt;"نعم",$M142="نعم"),0,MAX(0,MIN($F142,EOMONTH(DATE(cfg_FY,5,1),0))-MAX($E142,DATE(cfg_FY,5,1))+1))</f>
        <v>0</v>
      </c>
      <c r="AY142" s="57" t="n">
        <f aca="false">IF(OR(OR($B142="",$E142="",$F142=""),$K142&lt;&gt;"نعم",$M142="نعم"),0,MAX(0,MIN($F142,EOMONTH(DATE(cfg_FY,6,1),0))-MAX($E142,DATE(cfg_FY,6,1))+1))</f>
        <v>0</v>
      </c>
      <c r="AZ142" s="57" t="n">
        <f aca="false">IF(OR(OR($B142="",$E142="",$F142=""),$K142&lt;&gt;"نعم",$M142="نعم"),0,MAX(0,MIN($F142,EOMONTH(DATE(cfg_FY,7,1),0))-MAX($E142,DATE(cfg_FY,7,1))+1))</f>
        <v>0</v>
      </c>
      <c r="BA142" s="57" t="n">
        <f aca="false">IF(OR(OR($B142="",$E142="",$F142=""),$K142&lt;&gt;"نعم",$M142="نعم"),0,MAX(0,MIN($F142,EOMONTH(DATE(cfg_FY,8,1),0))-MAX($E142,DATE(cfg_FY,8,1))+1))</f>
        <v>0</v>
      </c>
      <c r="BB142" s="57" t="n">
        <f aca="false">IF(OR(OR($B142="",$E142="",$F142=""),$K142&lt;&gt;"نعم",$M142="نعم"),0,MAX(0,MIN($F142,EOMONTH(DATE(cfg_FY,9,1),0))-MAX($E142,DATE(cfg_FY,9,1))+1))</f>
        <v>0</v>
      </c>
      <c r="BC142" s="57" t="n">
        <f aca="false">IF(OR(OR($B142="",$E142="",$F142=""),$K142&lt;&gt;"نعم",$M142="نعم"),0,MAX(0,MIN($F142,EOMONTH(DATE(cfg_FY,10,1),0))-MAX($E142,DATE(cfg_FY,10,1))+1))</f>
        <v>0</v>
      </c>
      <c r="BD142" s="57" t="n">
        <f aca="false">IF(OR(OR($B142="",$E142="",$F142=""),$K142&lt;&gt;"نعم",$M142="نعم"),0,MAX(0,MIN($F142,EOMONTH(DATE(cfg_FY,11,1),0))-MAX($E142,DATE(cfg_FY,11,1))+1))</f>
        <v>0</v>
      </c>
      <c r="BE142" s="57" t="n">
        <f aca="false">IF(OR(OR($B142="",$E142="",$F142=""),$K142&lt;&gt;"نعم",$M142="نعم"),0,MAX(0,MIN($F142,EOMONTH(DATE(cfg_FY,12,1),0))-MAX($E142,DATE(cfg_FY,12,1))+1))</f>
        <v>0</v>
      </c>
    </row>
    <row r="143" customFormat="false" ht="15" hidden="false" customHeight="false" outlineLevel="0" collapsed="false">
      <c r="A143" s="100" t="str">
        <f aca="false">IF(B143="","",ROW()-5)</f>
        <v/>
      </c>
      <c r="B143" s="79"/>
      <c r="C143" s="102" t="str">
        <f aca="false">IF(B143="","",IFERROR(INDEX(الموظفون!$C$6:$C$105,MATCH(B143,الموظفون!$B$6:$B$105,0)),"✖ رقم غير موجود"))</f>
        <v/>
      </c>
      <c r="D143" s="79"/>
      <c r="E143" s="94"/>
      <c r="F143" s="94"/>
      <c r="G143" s="110" t="str">
        <f aca="false">IF(OR($B143="",$E143="",$F143=""),"",MAX(0,F143-E143+1))</f>
        <v/>
      </c>
      <c r="H143" s="111" t="str">
        <f aca="false">IF(D143="","",IFERROR(VLOOKUP(D143,cfg_LT,2,FALSE()),1))</f>
        <v/>
      </c>
      <c r="I143" s="82"/>
      <c r="J143" s="111" t="str">
        <f aca="false">IF(D143="","",IF(I143&lt;&gt;"",I143,H143))</f>
        <v/>
      </c>
      <c r="K143" s="102" t="str">
        <f aca="false">IF(D143="","",IFERROR(VLOOKUP($D143,cfg_LT,3,FALSE()),""))</f>
        <v/>
      </c>
      <c r="L143" s="102" t="str">
        <f aca="false">IF(D143="","",IFERROR(VLOOKUP($D143,cfg_LT,4,FALSE()),""))</f>
        <v/>
      </c>
      <c r="M143" s="102" t="str">
        <f aca="false">IF(D143="","",IFERROR(VLOOKUP($D143,cfg_LT,5,FALSE()),""))</f>
        <v/>
      </c>
      <c r="N143" s="101" t="n">
        <f aca="false">IF(OR(OR($B143="",$E143="",$F143=""),M143&lt;&gt;"نعم"),0,G143*J143*IFERROR(INDEX(الموظفون!$R$6:$R$105,MATCH(B143,الموظفون!$B$6:$B$105,0)),0)/cfg_DAYS_M)</f>
        <v>0</v>
      </c>
      <c r="O143" s="100" t="str">
        <f aca="false">IF(OR(OR($B143="",$E143="",$F143=""),M143&lt;&gt;"نعم"),"",IF(YEAR(E143)=cfg_FY,MONTH(E143),""))</f>
        <v/>
      </c>
      <c r="P143" s="102" t="str">
        <f aca="false">IF(B143="","",IF(OR(D143="",E143="",F143=""),"⚠ أكمل النوع والتواريخ",IF(F143&lt;E143,"✖ النهاية قبل البداية",IF(COUNTIFS($B$6:$B$505,B143,$E$6:$E$505,"&lt;="&amp;F143,$F$6:$F$505,"&gt;="&amp;E143)&gt;1,"⚠ تداخل مع سجل آخر",IF(E143&gt;cfg_VAL_DATE,"⏳ قادمة",IF(F143&lt;cfg_VAL_DATE,"✔ منتهية","✈ جارية في تاريخ التقرير"))))))</f>
        <v/>
      </c>
      <c r="Q143" s="79"/>
      <c r="R143" s="110" t="n">
        <f aca="false">IF(OR(OR($B143="",$E143="",$F143=""),L143&lt;&gt;"لا"),0,MAX(0,MIN(F143,cfg_Y_START-1)-E143+1))</f>
        <v>0</v>
      </c>
      <c r="S143" s="110" t="n">
        <f aca="false">IF(OR(OR($B143="",$E143="",$F143=""),L143&lt;&gt;"لا"),0,MAX(0,MIN(F143,cfg_VAL_DATE)-E143+1))</f>
        <v>0</v>
      </c>
      <c r="T143" s="110" t="n">
        <f aca="false">IF(OR(OR($B143="",$E143="",$F143=""),K143&lt;&gt;"نعم"),0,IF(M143="نعم",IF(AND(ISNUMBER(O143),N(O143)&lt;=cfg_VAL_M),G143,0),MAX(0,MIN(F143,cfg_VAL_DATE)-MAX(E143,cfg_Y_START)+1)))</f>
        <v>0</v>
      </c>
      <c r="V143" s="110" t="n">
        <f aca="false">IF(OR($B143="",$E143="",$F143=""),0,MAX(0,MIN($F143,EOMONTH(DATE(cfg_FY,1,1),0))-MAX($E143,DATE(cfg_FY,1,1))+1)*(1-IF($M143="نعم",0,N($J143))))</f>
        <v>0</v>
      </c>
      <c r="W143" s="110" t="n">
        <f aca="false">IF(OR($B143="",$E143="",$F143=""),0,MAX(0,MIN($F143,EOMONTH(DATE(cfg_FY,2,1),0))-MAX($E143,DATE(cfg_FY,2,1))+1)*(1-IF($M143="نعم",0,N($J143))))</f>
        <v>0</v>
      </c>
      <c r="X143" s="110" t="n">
        <f aca="false">IF(OR($B143="",$E143="",$F143=""),0,MAX(0,MIN($F143,EOMONTH(DATE(cfg_FY,3,1),0))-MAX($E143,DATE(cfg_FY,3,1))+1)*(1-IF($M143="نعم",0,N($J143))))</f>
        <v>0</v>
      </c>
      <c r="Y143" s="110" t="n">
        <f aca="false">IF(OR($B143="",$E143="",$F143=""),0,MAX(0,MIN($F143,EOMONTH(DATE(cfg_FY,4,1),0))-MAX($E143,DATE(cfg_FY,4,1))+1)*(1-IF($M143="نعم",0,N($J143))))</f>
        <v>0</v>
      </c>
      <c r="Z143" s="110" t="n">
        <f aca="false">IF(OR($B143="",$E143="",$F143=""),0,MAX(0,MIN($F143,EOMONTH(DATE(cfg_FY,5,1),0))-MAX($E143,DATE(cfg_FY,5,1))+1)*(1-IF($M143="نعم",0,N($J143))))</f>
        <v>0</v>
      </c>
      <c r="AA143" s="110" t="n">
        <f aca="false">IF(OR($B143="",$E143="",$F143=""),0,MAX(0,MIN($F143,EOMONTH(DATE(cfg_FY,6,1),0))-MAX($E143,DATE(cfg_FY,6,1))+1)*(1-IF($M143="نعم",0,N($J143))))</f>
        <v>0</v>
      </c>
      <c r="AB143" s="110" t="n">
        <f aca="false">IF(OR($B143="",$E143="",$F143=""),0,MAX(0,MIN($F143,EOMONTH(DATE(cfg_FY,7,1),0))-MAX($E143,DATE(cfg_FY,7,1))+1)*(1-IF($M143="نعم",0,N($J143))))</f>
        <v>0</v>
      </c>
      <c r="AC143" s="110" t="n">
        <f aca="false">IF(OR($B143="",$E143="",$F143=""),0,MAX(0,MIN($F143,EOMONTH(DATE(cfg_FY,8,1),0))-MAX($E143,DATE(cfg_FY,8,1))+1)*(1-IF($M143="نعم",0,N($J143))))</f>
        <v>0</v>
      </c>
      <c r="AD143" s="110" t="n">
        <f aca="false">IF(OR($B143="",$E143="",$F143=""),0,MAX(0,MIN($F143,EOMONTH(DATE(cfg_FY,9,1),0))-MAX($E143,DATE(cfg_FY,9,1))+1)*(1-IF($M143="نعم",0,N($J143))))</f>
        <v>0</v>
      </c>
      <c r="AE143" s="110" t="n">
        <f aca="false">IF(OR($B143="",$E143="",$F143=""),0,MAX(0,MIN($F143,EOMONTH(DATE(cfg_FY,10,1),0))-MAX($E143,DATE(cfg_FY,10,1))+1)*(1-IF($M143="نعم",0,N($J143))))</f>
        <v>0</v>
      </c>
      <c r="AF143" s="110" t="n">
        <f aca="false">IF(OR($B143="",$E143="",$F143=""),0,MAX(0,MIN($F143,EOMONTH(DATE(cfg_FY,11,1),0))-MAX($E143,DATE(cfg_FY,11,1))+1)*(1-IF($M143="نعم",0,N($J143))))</f>
        <v>0</v>
      </c>
      <c r="AG143" s="110" t="n">
        <f aca="false">IF(OR($B143="",$E143="",$F143=""),0,MAX(0,MIN($F143,EOMONTH(DATE(cfg_FY,12,1),0))-MAX($E143,DATE(cfg_FY,12,1))+1)*(1-IF($M143="نعم",0,N($J143))))</f>
        <v>0</v>
      </c>
      <c r="AH143" s="110" t="n">
        <f aca="false">IF(OR(OR($B143="",$E143="",$F143=""),$L143&lt;&gt;"لا"),0,MAX(0,MIN($F143,EOMONTH(DATE(cfg_FY,1,1),0))-$E143+1))</f>
        <v>0</v>
      </c>
      <c r="AI143" s="110" t="n">
        <f aca="false">IF(OR(OR($B143="",$E143="",$F143=""),$L143&lt;&gt;"لا"),0,MAX(0,MIN($F143,EOMONTH(DATE(cfg_FY,2,1),0))-$E143+1))</f>
        <v>0</v>
      </c>
      <c r="AJ143" s="110" t="n">
        <f aca="false">IF(OR(OR($B143="",$E143="",$F143=""),$L143&lt;&gt;"لا"),0,MAX(0,MIN($F143,EOMONTH(DATE(cfg_FY,3,1),0))-$E143+1))</f>
        <v>0</v>
      </c>
      <c r="AK143" s="110" t="n">
        <f aca="false">IF(OR(OR($B143="",$E143="",$F143=""),$L143&lt;&gt;"لا"),0,MAX(0,MIN($F143,EOMONTH(DATE(cfg_FY,4,1),0))-$E143+1))</f>
        <v>0</v>
      </c>
      <c r="AL143" s="110" t="n">
        <f aca="false">IF(OR(OR($B143="",$E143="",$F143=""),$L143&lt;&gt;"لا"),0,MAX(0,MIN($F143,EOMONTH(DATE(cfg_FY,5,1),0))-$E143+1))</f>
        <v>0</v>
      </c>
      <c r="AM143" s="110" t="n">
        <f aca="false">IF(OR(OR($B143="",$E143="",$F143=""),$L143&lt;&gt;"لا"),0,MAX(0,MIN($F143,EOMONTH(DATE(cfg_FY,6,1),0))-$E143+1))</f>
        <v>0</v>
      </c>
      <c r="AN143" s="110" t="n">
        <f aca="false">IF(OR(OR($B143="",$E143="",$F143=""),$L143&lt;&gt;"لا"),0,MAX(0,MIN($F143,EOMONTH(DATE(cfg_FY,7,1),0))-$E143+1))</f>
        <v>0</v>
      </c>
      <c r="AO143" s="110" t="n">
        <f aca="false">IF(OR(OR($B143="",$E143="",$F143=""),$L143&lt;&gt;"لا"),0,MAX(0,MIN($F143,EOMONTH(DATE(cfg_FY,8,1),0))-$E143+1))</f>
        <v>0</v>
      </c>
      <c r="AP143" s="110" t="n">
        <f aca="false">IF(OR(OR($B143="",$E143="",$F143=""),$L143&lt;&gt;"لا"),0,MAX(0,MIN($F143,EOMONTH(DATE(cfg_FY,9,1),0))-$E143+1))</f>
        <v>0</v>
      </c>
      <c r="AQ143" s="110" t="n">
        <f aca="false">IF(OR(OR($B143="",$E143="",$F143=""),$L143&lt;&gt;"لا"),0,MAX(0,MIN($F143,EOMONTH(DATE(cfg_FY,10,1),0))-$E143+1))</f>
        <v>0</v>
      </c>
      <c r="AR143" s="110" t="n">
        <f aca="false">IF(OR(OR($B143="",$E143="",$F143=""),$L143&lt;&gt;"لا"),0,MAX(0,MIN($F143,EOMONTH(DATE(cfg_FY,11,1),0))-$E143+1))</f>
        <v>0</v>
      </c>
      <c r="AS143" s="110" t="n">
        <f aca="false">IF(OR(OR($B143="",$E143="",$F143=""),$L143&lt;&gt;"لا"),0,MAX(0,MIN($F143,EOMONTH(DATE(cfg_FY,12,1),0))-$E143+1))</f>
        <v>0</v>
      </c>
      <c r="AT143" s="110" t="n">
        <f aca="false">IF(OR(OR($B143="",$E143="",$F143=""),$K143&lt;&gt;"نعم",$M143="نعم"),0,MAX(0,MIN($F143,EOMONTH(DATE(cfg_FY,1,1),0))-MAX($E143,DATE(cfg_FY,1,1))+1))</f>
        <v>0</v>
      </c>
      <c r="AU143" s="110" t="n">
        <f aca="false">IF(OR(OR($B143="",$E143="",$F143=""),$K143&lt;&gt;"نعم",$M143="نعم"),0,MAX(0,MIN($F143,EOMONTH(DATE(cfg_FY,2,1),0))-MAX($E143,DATE(cfg_FY,2,1))+1))</f>
        <v>0</v>
      </c>
      <c r="AV143" s="110" t="n">
        <f aca="false">IF(OR(OR($B143="",$E143="",$F143=""),$K143&lt;&gt;"نعم",$M143="نعم"),0,MAX(0,MIN($F143,EOMONTH(DATE(cfg_FY,3,1),0))-MAX($E143,DATE(cfg_FY,3,1))+1))</f>
        <v>0</v>
      </c>
      <c r="AW143" s="110" t="n">
        <f aca="false">IF(OR(OR($B143="",$E143="",$F143=""),$K143&lt;&gt;"نعم",$M143="نعم"),0,MAX(0,MIN($F143,EOMONTH(DATE(cfg_FY,4,1),0))-MAX($E143,DATE(cfg_FY,4,1))+1))</f>
        <v>0</v>
      </c>
      <c r="AX143" s="110" t="n">
        <f aca="false">IF(OR(OR($B143="",$E143="",$F143=""),$K143&lt;&gt;"نعم",$M143="نعم"),0,MAX(0,MIN($F143,EOMONTH(DATE(cfg_FY,5,1),0))-MAX($E143,DATE(cfg_FY,5,1))+1))</f>
        <v>0</v>
      </c>
      <c r="AY143" s="110" t="n">
        <f aca="false">IF(OR(OR($B143="",$E143="",$F143=""),$K143&lt;&gt;"نعم",$M143="نعم"),0,MAX(0,MIN($F143,EOMONTH(DATE(cfg_FY,6,1),0))-MAX($E143,DATE(cfg_FY,6,1))+1))</f>
        <v>0</v>
      </c>
      <c r="AZ143" s="110" t="n">
        <f aca="false">IF(OR(OR($B143="",$E143="",$F143=""),$K143&lt;&gt;"نعم",$M143="نعم"),0,MAX(0,MIN($F143,EOMONTH(DATE(cfg_FY,7,1),0))-MAX($E143,DATE(cfg_FY,7,1))+1))</f>
        <v>0</v>
      </c>
      <c r="BA143" s="110" t="n">
        <f aca="false">IF(OR(OR($B143="",$E143="",$F143=""),$K143&lt;&gt;"نعم",$M143="نعم"),0,MAX(0,MIN($F143,EOMONTH(DATE(cfg_FY,8,1),0))-MAX($E143,DATE(cfg_FY,8,1))+1))</f>
        <v>0</v>
      </c>
      <c r="BB143" s="110" t="n">
        <f aca="false">IF(OR(OR($B143="",$E143="",$F143=""),$K143&lt;&gt;"نعم",$M143="نعم"),0,MAX(0,MIN($F143,EOMONTH(DATE(cfg_FY,9,1),0))-MAX($E143,DATE(cfg_FY,9,1))+1))</f>
        <v>0</v>
      </c>
      <c r="BC143" s="110" t="n">
        <f aca="false">IF(OR(OR($B143="",$E143="",$F143=""),$K143&lt;&gt;"نعم",$M143="نعم"),0,MAX(0,MIN($F143,EOMONTH(DATE(cfg_FY,10,1),0))-MAX($E143,DATE(cfg_FY,10,1))+1))</f>
        <v>0</v>
      </c>
      <c r="BD143" s="110" t="n">
        <f aca="false">IF(OR(OR($B143="",$E143="",$F143=""),$K143&lt;&gt;"نعم",$M143="نعم"),0,MAX(0,MIN($F143,EOMONTH(DATE(cfg_FY,11,1),0))-MAX($E143,DATE(cfg_FY,11,1))+1))</f>
        <v>0</v>
      </c>
      <c r="BE143" s="110" t="n">
        <f aca="false">IF(OR(OR($B143="",$E143="",$F143=""),$K143&lt;&gt;"نعم",$M143="نعم"),0,MAX(0,MIN($F143,EOMONTH(DATE(cfg_FY,12,1),0))-MAX($E143,DATE(cfg_FY,12,1))+1))</f>
        <v>0</v>
      </c>
    </row>
    <row r="144" customFormat="false" ht="15" hidden="false" customHeight="false" outlineLevel="0" collapsed="false">
      <c r="A144" s="93" t="str">
        <f aca="false">IF(B144="","",ROW()-5)</f>
        <v/>
      </c>
      <c r="B144" s="79"/>
      <c r="C144" s="80" t="str">
        <f aca="false">IF(B144="","",IFERROR(INDEX(الموظفون!$C$6:$C$105,MATCH(B144,الموظفون!$B$6:$B$105,0)),"✖ رقم غير موجود"))</f>
        <v/>
      </c>
      <c r="D144" s="79"/>
      <c r="E144" s="94"/>
      <c r="F144" s="94"/>
      <c r="G144" s="57" t="str">
        <f aca="false">IF(OR($B144="",$E144="",$F144=""),"",MAX(0,F144-E144+1))</f>
        <v/>
      </c>
      <c r="H144" s="58" t="str">
        <f aca="false">IF(D144="","",IFERROR(VLOOKUP(D144,cfg_LT,2,FALSE()),1))</f>
        <v/>
      </c>
      <c r="I144" s="82"/>
      <c r="J144" s="58" t="str">
        <f aca="false">IF(D144="","",IF(I144&lt;&gt;"",I144,H144))</f>
        <v/>
      </c>
      <c r="K144" s="80" t="str">
        <f aca="false">IF(D144="","",IFERROR(VLOOKUP($D144,cfg_LT,3,FALSE()),""))</f>
        <v/>
      </c>
      <c r="L144" s="80" t="str">
        <f aca="false">IF(D144="","",IFERROR(VLOOKUP($D144,cfg_LT,4,FALSE()),""))</f>
        <v/>
      </c>
      <c r="M144" s="80" t="str">
        <f aca="false">IF(D144="","",IFERROR(VLOOKUP($D144,cfg_LT,5,FALSE()),""))</f>
        <v/>
      </c>
      <c r="N144" s="97" t="n">
        <f aca="false">IF(OR(OR($B144="",$E144="",$F144=""),M144&lt;&gt;"نعم"),0,G144*J144*IFERROR(INDEX(الموظفون!$R$6:$R$105,MATCH(B144,الموظفون!$B$6:$B$105,0)),0)/cfg_DAYS_M)</f>
        <v>0</v>
      </c>
      <c r="O144" s="93" t="str">
        <f aca="false">IF(OR(OR($B144="",$E144="",$F144=""),M144&lt;&gt;"نعم"),"",IF(YEAR(E144)=cfg_FY,MONTH(E144),""))</f>
        <v/>
      </c>
      <c r="P144" s="80" t="str">
        <f aca="false">IF(B144="","",IF(OR(D144="",E144="",F144=""),"⚠ أكمل النوع والتواريخ",IF(F144&lt;E144,"✖ النهاية قبل البداية",IF(COUNTIFS($B$6:$B$505,B144,$E$6:$E$505,"&lt;="&amp;F144,$F$6:$F$505,"&gt;="&amp;E144)&gt;1,"⚠ تداخل مع سجل آخر",IF(E144&gt;cfg_VAL_DATE,"⏳ قادمة",IF(F144&lt;cfg_VAL_DATE,"✔ منتهية","✈ جارية في تاريخ التقرير"))))))</f>
        <v/>
      </c>
      <c r="Q144" s="79"/>
      <c r="R144" s="57" t="n">
        <f aca="false">IF(OR(OR($B144="",$E144="",$F144=""),L144&lt;&gt;"لا"),0,MAX(0,MIN(F144,cfg_Y_START-1)-E144+1))</f>
        <v>0</v>
      </c>
      <c r="S144" s="57" t="n">
        <f aca="false">IF(OR(OR($B144="",$E144="",$F144=""),L144&lt;&gt;"لا"),0,MAX(0,MIN(F144,cfg_VAL_DATE)-E144+1))</f>
        <v>0</v>
      </c>
      <c r="T144" s="57" t="n">
        <f aca="false">IF(OR(OR($B144="",$E144="",$F144=""),K144&lt;&gt;"نعم"),0,IF(M144="نعم",IF(AND(ISNUMBER(O144),N(O144)&lt;=cfg_VAL_M),G144,0),MAX(0,MIN(F144,cfg_VAL_DATE)-MAX(E144,cfg_Y_START)+1)))</f>
        <v>0</v>
      </c>
      <c r="V144" s="57" t="n">
        <f aca="false">IF(OR($B144="",$E144="",$F144=""),0,MAX(0,MIN($F144,EOMONTH(DATE(cfg_FY,1,1),0))-MAX($E144,DATE(cfg_FY,1,1))+1)*(1-IF($M144="نعم",0,N($J144))))</f>
        <v>0</v>
      </c>
      <c r="W144" s="57" t="n">
        <f aca="false">IF(OR($B144="",$E144="",$F144=""),0,MAX(0,MIN($F144,EOMONTH(DATE(cfg_FY,2,1),0))-MAX($E144,DATE(cfg_FY,2,1))+1)*(1-IF($M144="نعم",0,N($J144))))</f>
        <v>0</v>
      </c>
      <c r="X144" s="57" t="n">
        <f aca="false">IF(OR($B144="",$E144="",$F144=""),0,MAX(0,MIN($F144,EOMONTH(DATE(cfg_FY,3,1),0))-MAX($E144,DATE(cfg_FY,3,1))+1)*(1-IF($M144="نعم",0,N($J144))))</f>
        <v>0</v>
      </c>
      <c r="Y144" s="57" t="n">
        <f aca="false">IF(OR($B144="",$E144="",$F144=""),0,MAX(0,MIN($F144,EOMONTH(DATE(cfg_FY,4,1),0))-MAX($E144,DATE(cfg_FY,4,1))+1)*(1-IF($M144="نعم",0,N($J144))))</f>
        <v>0</v>
      </c>
      <c r="Z144" s="57" t="n">
        <f aca="false">IF(OR($B144="",$E144="",$F144=""),0,MAX(0,MIN($F144,EOMONTH(DATE(cfg_FY,5,1),0))-MAX($E144,DATE(cfg_FY,5,1))+1)*(1-IF($M144="نعم",0,N($J144))))</f>
        <v>0</v>
      </c>
      <c r="AA144" s="57" t="n">
        <f aca="false">IF(OR($B144="",$E144="",$F144=""),0,MAX(0,MIN($F144,EOMONTH(DATE(cfg_FY,6,1),0))-MAX($E144,DATE(cfg_FY,6,1))+1)*(1-IF($M144="نعم",0,N($J144))))</f>
        <v>0</v>
      </c>
      <c r="AB144" s="57" t="n">
        <f aca="false">IF(OR($B144="",$E144="",$F144=""),0,MAX(0,MIN($F144,EOMONTH(DATE(cfg_FY,7,1),0))-MAX($E144,DATE(cfg_FY,7,1))+1)*(1-IF($M144="نعم",0,N($J144))))</f>
        <v>0</v>
      </c>
      <c r="AC144" s="57" t="n">
        <f aca="false">IF(OR($B144="",$E144="",$F144=""),0,MAX(0,MIN($F144,EOMONTH(DATE(cfg_FY,8,1),0))-MAX($E144,DATE(cfg_FY,8,1))+1)*(1-IF($M144="نعم",0,N($J144))))</f>
        <v>0</v>
      </c>
      <c r="AD144" s="57" t="n">
        <f aca="false">IF(OR($B144="",$E144="",$F144=""),0,MAX(0,MIN($F144,EOMONTH(DATE(cfg_FY,9,1),0))-MAX($E144,DATE(cfg_FY,9,1))+1)*(1-IF($M144="نعم",0,N($J144))))</f>
        <v>0</v>
      </c>
      <c r="AE144" s="57" t="n">
        <f aca="false">IF(OR($B144="",$E144="",$F144=""),0,MAX(0,MIN($F144,EOMONTH(DATE(cfg_FY,10,1),0))-MAX($E144,DATE(cfg_FY,10,1))+1)*(1-IF($M144="نعم",0,N($J144))))</f>
        <v>0</v>
      </c>
      <c r="AF144" s="57" t="n">
        <f aca="false">IF(OR($B144="",$E144="",$F144=""),0,MAX(0,MIN($F144,EOMONTH(DATE(cfg_FY,11,1),0))-MAX($E144,DATE(cfg_FY,11,1))+1)*(1-IF($M144="نعم",0,N($J144))))</f>
        <v>0</v>
      </c>
      <c r="AG144" s="57" t="n">
        <f aca="false">IF(OR($B144="",$E144="",$F144=""),0,MAX(0,MIN($F144,EOMONTH(DATE(cfg_FY,12,1),0))-MAX($E144,DATE(cfg_FY,12,1))+1)*(1-IF($M144="نعم",0,N($J144))))</f>
        <v>0</v>
      </c>
      <c r="AH144" s="57" t="n">
        <f aca="false">IF(OR(OR($B144="",$E144="",$F144=""),$L144&lt;&gt;"لا"),0,MAX(0,MIN($F144,EOMONTH(DATE(cfg_FY,1,1),0))-$E144+1))</f>
        <v>0</v>
      </c>
      <c r="AI144" s="57" t="n">
        <f aca="false">IF(OR(OR($B144="",$E144="",$F144=""),$L144&lt;&gt;"لا"),0,MAX(0,MIN($F144,EOMONTH(DATE(cfg_FY,2,1),0))-$E144+1))</f>
        <v>0</v>
      </c>
      <c r="AJ144" s="57" t="n">
        <f aca="false">IF(OR(OR($B144="",$E144="",$F144=""),$L144&lt;&gt;"لا"),0,MAX(0,MIN($F144,EOMONTH(DATE(cfg_FY,3,1),0))-$E144+1))</f>
        <v>0</v>
      </c>
      <c r="AK144" s="57" t="n">
        <f aca="false">IF(OR(OR($B144="",$E144="",$F144=""),$L144&lt;&gt;"لا"),0,MAX(0,MIN($F144,EOMONTH(DATE(cfg_FY,4,1),0))-$E144+1))</f>
        <v>0</v>
      </c>
      <c r="AL144" s="57" t="n">
        <f aca="false">IF(OR(OR($B144="",$E144="",$F144=""),$L144&lt;&gt;"لا"),0,MAX(0,MIN($F144,EOMONTH(DATE(cfg_FY,5,1),0))-$E144+1))</f>
        <v>0</v>
      </c>
      <c r="AM144" s="57" t="n">
        <f aca="false">IF(OR(OR($B144="",$E144="",$F144=""),$L144&lt;&gt;"لا"),0,MAX(0,MIN($F144,EOMONTH(DATE(cfg_FY,6,1),0))-$E144+1))</f>
        <v>0</v>
      </c>
      <c r="AN144" s="57" t="n">
        <f aca="false">IF(OR(OR($B144="",$E144="",$F144=""),$L144&lt;&gt;"لا"),0,MAX(0,MIN($F144,EOMONTH(DATE(cfg_FY,7,1),0))-$E144+1))</f>
        <v>0</v>
      </c>
      <c r="AO144" s="57" t="n">
        <f aca="false">IF(OR(OR($B144="",$E144="",$F144=""),$L144&lt;&gt;"لا"),0,MAX(0,MIN($F144,EOMONTH(DATE(cfg_FY,8,1),0))-$E144+1))</f>
        <v>0</v>
      </c>
      <c r="AP144" s="57" t="n">
        <f aca="false">IF(OR(OR($B144="",$E144="",$F144=""),$L144&lt;&gt;"لا"),0,MAX(0,MIN($F144,EOMONTH(DATE(cfg_FY,9,1),0))-$E144+1))</f>
        <v>0</v>
      </c>
      <c r="AQ144" s="57" t="n">
        <f aca="false">IF(OR(OR($B144="",$E144="",$F144=""),$L144&lt;&gt;"لا"),0,MAX(0,MIN($F144,EOMONTH(DATE(cfg_FY,10,1),0))-$E144+1))</f>
        <v>0</v>
      </c>
      <c r="AR144" s="57" t="n">
        <f aca="false">IF(OR(OR($B144="",$E144="",$F144=""),$L144&lt;&gt;"لا"),0,MAX(0,MIN($F144,EOMONTH(DATE(cfg_FY,11,1),0))-$E144+1))</f>
        <v>0</v>
      </c>
      <c r="AS144" s="57" t="n">
        <f aca="false">IF(OR(OR($B144="",$E144="",$F144=""),$L144&lt;&gt;"لا"),0,MAX(0,MIN($F144,EOMONTH(DATE(cfg_FY,12,1),0))-$E144+1))</f>
        <v>0</v>
      </c>
      <c r="AT144" s="57" t="n">
        <f aca="false">IF(OR(OR($B144="",$E144="",$F144=""),$K144&lt;&gt;"نعم",$M144="نعم"),0,MAX(0,MIN($F144,EOMONTH(DATE(cfg_FY,1,1),0))-MAX($E144,DATE(cfg_FY,1,1))+1))</f>
        <v>0</v>
      </c>
      <c r="AU144" s="57" t="n">
        <f aca="false">IF(OR(OR($B144="",$E144="",$F144=""),$K144&lt;&gt;"نعم",$M144="نعم"),0,MAX(0,MIN($F144,EOMONTH(DATE(cfg_FY,2,1),0))-MAX($E144,DATE(cfg_FY,2,1))+1))</f>
        <v>0</v>
      </c>
      <c r="AV144" s="57" t="n">
        <f aca="false">IF(OR(OR($B144="",$E144="",$F144=""),$K144&lt;&gt;"نعم",$M144="نعم"),0,MAX(0,MIN($F144,EOMONTH(DATE(cfg_FY,3,1),0))-MAX($E144,DATE(cfg_FY,3,1))+1))</f>
        <v>0</v>
      </c>
      <c r="AW144" s="57" t="n">
        <f aca="false">IF(OR(OR($B144="",$E144="",$F144=""),$K144&lt;&gt;"نعم",$M144="نعم"),0,MAX(0,MIN($F144,EOMONTH(DATE(cfg_FY,4,1),0))-MAX($E144,DATE(cfg_FY,4,1))+1))</f>
        <v>0</v>
      </c>
      <c r="AX144" s="57" t="n">
        <f aca="false">IF(OR(OR($B144="",$E144="",$F144=""),$K144&lt;&gt;"نعم",$M144="نعم"),0,MAX(0,MIN($F144,EOMONTH(DATE(cfg_FY,5,1),0))-MAX($E144,DATE(cfg_FY,5,1))+1))</f>
        <v>0</v>
      </c>
      <c r="AY144" s="57" t="n">
        <f aca="false">IF(OR(OR($B144="",$E144="",$F144=""),$K144&lt;&gt;"نعم",$M144="نعم"),0,MAX(0,MIN($F144,EOMONTH(DATE(cfg_FY,6,1),0))-MAX($E144,DATE(cfg_FY,6,1))+1))</f>
        <v>0</v>
      </c>
      <c r="AZ144" s="57" t="n">
        <f aca="false">IF(OR(OR($B144="",$E144="",$F144=""),$K144&lt;&gt;"نعم",$M144="نعم"),0,MAX(0,MIN($F144,EOMONTH(DATE(cfg_FY,7,1),0))-MAX($E144,DATE(cfg_FY,7,1))+1))</f>
        <v>0</v>
      </c>
      <c r="BA144" s="57" t="n">
        <f aca="false">IF(OR(OR($B144="",$E144="",$F144=""),$K144&lt;&gt;"نعم",$M144="نعم"),0,MAX(0,MIN($F144,EOMONTH(DATE(cfg_FY,8,1),0))-MAX($E144,DATE(cfg_FY,8,1))+1))</f>
        <v>0</v>
      </c>
      <c r="BB144" s="57" t="n">
        <f aca="false">IF(OR(OR($B144="",$E144="",$F144=""),$K144&lt;&gt;"نعم",$M144="نعم"),0,MAX(0,MIN($F144,EOMONTH(DATE(cfg_FY,9,1),0))-MAX($E144,DATE(cfg_FY,9,1))+1))</f>
        <v>0</v>
      </c>
      <c r="BC144" s="57" t="n">
        <f aca="false">IF(OR(OR($B144="",$E144="",$F144=""),$K144&lt;&gt;"نعم",$M144="نعم"),0,MAX(0,MIN($F144,EOMONTH(DATE(cfg_FY,10,1),0))-MAX($E144,DATE(cfg_FY,10,1))+1))</f>
        <v>0</v>
      </c>
      <c r="BD144" s="57" t="n">
        <f aca="false">IF(OR(OR($B144="",$E144="",$F144=""),$K144&lt;&gt;"نعم",$M144="نعم"),0,MAX(0,MIN($F144,EOMONTH(DATE(cfg_FY,11,1),0))-MAX($E144,DATE(cfg_FY,11,1))+1))</f>
        <v>0</v>
      </c>
      <c r="BE144" s="57" t="n">
        <f aca="false">IF(OR(OR($B144="",$E144="",$F144=""),$K144&lt;&gt;"نعم",$M144="نعم"),0,MAX(0,MIN($F144,EOMONTH(DATE(cfg_FY,12,1),0))-MAX($E144,DATE(cfg_FY,12,1))+1))</f>
        <v>0</v>
      </c>
    </row>
    <row r="145" customFormat="false" ht="15" hidden="false" customHeight="false" outlineLevel="0" collapsed="false">
      <c r="A145" s="100" t="str">
        <f aca="false">IF(B145="","",ROW()-5)</f>
        <v/>
      </c>
      <c r="B145" s="79"/>
      <c r="C145" s="102" t="str">
        <f aca="false">IF(B145="","",IFERROR(INDEX(الموظفون!$C$6:$C$105,MATCH(B145,الموظفون!$B$6:$B$105,0)),"✖ رقم غير موجود"))</f>
        <v/>
      </c>
      <c r="D145" s="79"/>
      <c r="E145" s="94"/>
      <c r="F145" s="94"/>
      <c r="G145" s="110" t="str">
        <f aca="false">IF(OR($B145="",$E145="",$F145=""),"",MAX(0,F145-E145+1))</f>
        <v/>
      </c>
      <c r="H145" s="111" t="str">
        <f aca="false">IF(D145="","",IFERROR(VLOOKUP(D145,cfg_LT,2,FALSE()),1))</f>
        <v/>
      </c>
      <c r="I145" s="82"/>
      <c r="J145" s="111" t="str">
        <f aca="false">IF(D145="","",IF(I145&lt;&gt;"",I145,H145))</f>
        <v/>
      </c>
      <c r="K145" s="102" t="str">
        <f aca="false">IF(D145="","",IFERROR(VLOOKUP($D145,cfg_LT,3,FALSE()),""))</f>
        <v/>
      </c>
      <c r="L145" s="102" t="str">
        <f aca="false">IF(D145="","",IFERROR(VLOOKUP($D145,cfg_LT,4,FALSE()),""))</f>
        <v/>
      </c>
      <c r="M145" s="102" t="str">
        <f aca="false">IF(D145="","",IFERROR(VLOOKUP($D145,cfg_LT,5,FALSE()),""))</f>
        <v/>
      </c>
      <c r="N145" s="101" t="n">
        <f aca="false">IF(OR(OR($B145="",$E145="",$F145=""),M145&lt;&gt;"نعم"),0,G145*J145*IFERROR(INDEX(الموظفون!$R$6:$R$105,MATCH(B145,الموظفون!$B$6:$B$105,0)),0)/cfg_DAYS_M)</f>
        <v>0</v>
      </c>
      <c r="O145" s="100" t="str">
        <f aca="false">IF(OR(OR($B145="",$E145="",$F145=""),M145&lt;&gt;"نعم"),"",IF(YEAR(E145)=cfg_FY,MONTH(E145),""))</f>
        <v/>
      </c>
      <c r="P145" s="102" t="str">
        <f aca="false">IF(B145="","",IF(OR(D145="",E145="",F145=""),"⚠ أكمل النوع والتواريخ",IF(F145&lt;E145,"✖ النهاية قبل البداية",IF(COUNTIFS($B$6:$B$505,B145,$E$6:$E$505,"&lt;="&amp;F145,$F$6:$F$505,"&gt;="&amp;E145)&gt;1,"⚠ تداخل مع سجل آخر",IF(E145&gt;cfg_VAL_DATE,"⏳ قادمة",IF(F145&lt;cfg_VAL_DATE,"✔ منتهية","✈ جارية في تاريخ التقرير"))))))</f>
        <v/>
      </c>
      <c r="Q145" s="79"/>
      <c r="R145" s="110" t="n">
        <f aca="false">IF(OR(OR($B145="",$E145="",$F145=""),L145&lt;&gt;"لا"),0,MAX(0,MIN(F145,cfg_Y_START-1)-E145+1))</f>
        <v>0</v>
      </c>
      <c r="S145" s="110" t="n">
        <f aca="false">IF(OR(OR($B145="",$E145="",$F145=""),L145&lt;&gt;"لا"),0,MAX(0,MIN(F145,cfg_VAL_DATE)-E145+1))</f>
        <v>0</v>
      </c>
      <c r="T145" s="110" t="n">
        <f aca="false">IF(OR(OR($B145="",$E145="",$F145=""),K145&lt;&gt;"نعم"),0,IF(M145="نعم",IF(AND(ISNUMBER(O145),N(O145)&lt;=cfg_VAL_M),G145,0),MAX(0,MIN(F145,cfg_VAL_DATE)-MAX(E145,cfg_Y_START)+1)))</f>
        <v>0</v>
      </c>
      <c r="V145" s="110" t="n">
        <f aca="false">IF(OR($B145="",$E145="",$F145=""),0,MAX(0,MIN($F145,EOMONTH(DATE(cfg_FY,1,1),0))-MAX($E145,DATE(cfg_FY,1,1))+1)*(1-IF($M145="نعم",0,N($J145))))</f>
        <v>0</v>
      </c>
      <c r="W145" s="110" t="n">
        <f aca="false">IF(OR($B145="",$E145="",$F145=""),0,MAX(0,MIN($F145,EOMONTH(DATE(cfg_FY,2,1),0))-MAX($E145,DATE(cfg_FY,2,1))+1)*(1-IF($M145="نعم",0,N($J145))))</f>
        <v>0</v>
      </c>
      <c r="X145" s="110" t="n">
        <f aca="false">IF(OR($B145="",$E145="",$F145=""),0,MAX(0,MIN($F145,EOMONTH(DATE(cfg_FY,3,1),0))-MAX($E145,DATE(cfg_FY,3,1))+1)*(1-IF($M145="نعم",0,N($J145))))</f>
        <v>0</v>
      </c>
      <c r="Y145" s="110" t="n">
        <f aca="false">IF(OR($B145="",$E145="",$F145=""),0,MAX(0,MIN($F145,EOMONTH(DATE(cfg_FY,4,1),0))-MAX($E145,DATE(cfg_FY,4,1))+1)*(1-IF($M145="نعم",0,N($J145))))</f>
        <v>0</v>
      </c>
      <c r="Z145" s="110" t="n">
        <f aca="false">IF(OR($B145="",$E145="",$F145=""),0,MAX(0,MIN($F145,EOMONTH(DATE(cfg_FY,5,1),0))-MAX($E145,DATE(cfg_FY,5,1))+1)*(1-IF($M145="نعم",0,N($J145))))</f>
        <v>0</v>
      </c>
      <c r="AA145" s="110" t="n">
        <f aca="false">IF(OR($B145="",$E145="",$F145=""),0,MAX(0,MIN($F145,EOMONTH(DATE(cfg_FY,6,1),0))-MAX($E145,DATE(cfg_FY,6,1))+1)*(1-IF($M145="نعم",0,N($J145))))</f>
        <v>0</v>
      </c>
      <c r="AB145" s="110" t="n">
        <f aca="false">IF(OR($B145="",$E145="",$F145=""),0,MAX(0,MIN($F145,EOMONTH(DATE(cfg_FY,7,1),0))-MAX($E145,DATE(cfg_FY,7,1))+1)*(1-IF($M145="نعم",0,N($J145))))</f>
        <v>0</v>
      </c>
      <c r="AC145" s="110" t="n">
        <f aca="false">IF(OR($B145="",$E145="",$F145=""),0,MAX(0,MIN($F145,EOMONTH(DATE(cfg_FY,8,1),0))-MAX($E145,DATE(cfg_FY,8,1))+1)*(1-IF($M145="نعم",0,N($J145))))</f>
        <v>0</v>
      </c>
      <c r="AD145" s="110" t="n">
        <f aca="false">IF(OR($B145="",$E145="",$F145=""),0,MAX(0,MIN($F145,EOMONTH(DATE(cfg_FY,9,1),0))-MAX($E145,DATE(cfg_FY,9,1))+1)*(1-IF($M145="نعم",0,N($J145))))</f>
        <v>0</v>
      </c>
      <c r="AE145" s="110" t="n">
        <f aca="false">IF(OR($B145="",$E145="",$F145=""),0,MAX(0,MIN($F145,EOMONTH(DATE(cfg_FY,10,1),0))-MAX($E145,DATE(cfg_FY,10,1))+1)*(1-IF($M145="نعم",0,N($J145))))</f>
        <v>0</v>
      </c>
      <c r="AF145" s="110" t="n">
        <f aca="false">IF(OR($B145="",$E145="",$F145=""),0,MAX(0,MIN($F145,EOMONTH(DATE(cfg_FY,11,1),0))-MAX($E145,DATE(cfg_FY,11,1))+1)*(1-IF($M145="نعم",0,N($J145))))</f>
        <v>0</v>
      </c>
      <c r="AG145" s="110" t="n">
        <f aca="false">IF(OR($B145="",$E145="",$F145=""),0,MAX(0,MIN($F145,EOMONTH(DATE(cfg_FY,12,1),0))-MAX($E145,DATE(cfg_FY,12,1))+1)*(1-IF($M145="نعم",0,N($J145))))</f>
        <v>0</v>
      </c>
      <c r="AH145" s="110" t="n">
        <f aca="false">IF(OR(OR($B145="",$E145="",$F145=""),$L145&lt;&gt;"لا"),0,MAX(0,MIN($F145,EOMONTH(DATE(cfg_FY,1,1),0))-$E145+1))</f>
        <v>0</v>
      </c>
      <c r="AI145" s="110" t="n">
        <f aca="false">IF(OR(OR($B145="",$E145="",$F145=""),$L145&lt;&gt;"لا"),0,MAX(0,MIN($F145,EOMONTH(DATE(cfg_FY,2,1),0))-$E145+1))</f>
        <v>0</v>
      </c>
      <c r="AJ145" s="110" t="n">
        <f aca="false">IF(OR(OR($B145="",$E145="",$F145=""),$L145&lt;&gt;"لا"),0,MAX(0,MIN($F145,EOMONTH(DATE(cfg_FY,3,1),0))-$E145+1))</f>
        <v>0</v>
      </c>
      <c r="AK145" s="110" t="n">
        <f aca="false">IF(OR(OR($B145="",$E145="",$F145=""),$L145&lt;&gt;"لا"),0,MAX(0,MIN($F145,EOMONTH(DATE(cfg_FY,4,1),0))-$E145+1))</f>
        <v>0</v>
      </c>
      <c r="AL145" s="110" t="n">
        <f aca="false">IF(OR(OR($B145="",$E145="",$F145=""),$L145&lt;&gt;"لا"),0,MAX(0,MIN($F145,EOMONTH(DATE(cfg_FY,5,1),0))-$E145+1))</f>
        <v>0</v>
      </c>
      <c r="AM145" s="110" t="n">
        <f aca="false">IF(OR(OR($B145="",$E145="",$F145=""),$L145&lt;&gt;"لا"),0,MAX(0,MIN($F145,EOMONTH(DATE(cfg_FY,6,1),0))-$E145+1))</f>
        <v>0</v>
      </c>
      <c r="AN145" s="110" t="n">
        <f aca="false">IF(OR(OR($B145="",$E145="",$F145=""),$L145&lt;&gt;"لا"),0,MAX(0,MIN($F145,EOMONTH(DATE(cfg_FY,7,1),0))-$E145+1))</f>
        <v>0</v>
      </c>
      <c r="AO145" s="110" t="n">
        <f aca="false">IF(OR(OR($B145="",$E145="",$F145=""),$L145&lt;&gt;"لا"),0,MAX(0,MIN($F145,EOMONTH(DATE(cfg_FY,8,1),0))-$E145+1))</f>
        <v>0</v>
      </c>
      <c r="AP145" s="110" t="n">
        <f aca="false">IF(OR(OR($B145="",$E145="",$F145=""),$L145&lt;&gt;"لا"),0,MAX(0,MIN($F145,EOMONTH(DATE(cfg_FY,9,1),0))-$E145+1))</f>
        <v>0</v>
      </c>
      <c r="AQ145" s="110" t="n">
        <f aca="false">IF(OR(OR($B145="",$E145="",$F145=""),$L145&lt;&gt;"لا"),0,MAX(0,MIN($F145,EOMONTH(DATE(cfg_FY,10,1),0))-$E145+1))</f>
        <v>0</v>
      </c>
      <c r="AR145" s="110" t="n">
        <f aca="false">IF(OR(OR($B145="",$E145="",$F145=""),$L145&lt;&gt;"لا"),0,MAX(0,MIN($F145,EOMONTH(DATE(cfg_FY,11,1),0))-$E145+1))</f>
        <v>0</v>
      </c>
      <c r="AS145" s="110" t="n">
        <f aca="false">IF(OR(OR($B145="",$E145="",$F145=""),$L145&lt;&gt;"لا"),0,MAX(0,MIN($F145,EOMONTH(DATE(cfg_FY,12,1),0))-$E145+1))</f>
        <v>0</v>
      </c>
      <c r="AT145" s="110" t="n">
        <f aca="false">IF(OR(OR($B145="",$E145="",$F145=""),$K145&lt;&gt;"نعم",$M145="نعم"),0,MAX(0,MIN($F145,EOMONTH(DATE(cfg_FY,1,1),0))-MAX($E145,DATE(cfg_FY,1,1))+1))</f>
        <v>0</v>
      </c>
      <c r="AU145" s="110" t="n">
        <f aca="false">IF(OR(OR($B145="",$E145="",$F145=""),$K145&lt;&gt;"نعم",$M145="نعم"),0,MAX(0,MIN($F145,EOMONTH(DATE(cfg_FY,2,1),0))-MAX($E145,DATE(cfg_FY,2,1))+1))</f>
        <v>0</v>
      </c>
      <c r="AV145" s="110" t="n">
        <f aca="false">IF(OR(OR($B145="",$E145="",$F145=""),$K145&lt;&gt;"نعم",$M145="نعم"),0,MAX(0,MIN($F145,EOMONTH(DATE(cfg_FY,3,1),0))-MAX($E145,DATE(cfg_FY,3,1))+1))</f>
        <v>0</v>
      </c>
      <c r="AW145" s="110" t="n">
        <f aca="false">IF(OR(OR($B145="",$E145="",$F145=""),$K145&lt;&gt;"نعم",$M145="نعم"),0,MAX(0,MIN($F145,EOMONTH(DATE(cfg_FY,4,1),0))-MAX($E145,DATE(cfg_FY,4,1))+1))</f>
        <v>0</v>
      </c>
      <c r="AX145" s="110" t="n">
        <f aca="false">IF(OR(OR($B145="",$E145="",$F145=""),$K145&lt;&gt;"نعم",$M145="نعم"),0,MAX(0,MIN($F145,EOMONTH(DATE(cfg_FY,5,1),0))-MAX($E145,DATE(cfg_FY,5,1))+1))</f>
        <v>0</v>
      </c>
      <c r="AY145" s="110" t="n">
        <f aca="false">IF(OR(OR($B145="",$E145="",$F145=""),$K145&lt;&gt;"نعم",$M145="نعم"),0,MAX(0,MIN($F145,EOMONTH(DATE(cfg_FY,6,1),0))-MAX($E145,DATE(cfg_FY,6,1))+1))</f>
        <v>0</v>
      </c>
      <c r="AZ145" s="110" t="n">
        <f aca="false">IF(OR(OR($B145="",$E145="",$F145=""),$K145&lt;&gt;"نعم",$M145="نعم"),0,MAX(0,MIN($F145,EOMONTH(DATE(cfg_FY,7,1),0))-MAX($E145,DATE(cfg_FY,7,1))+1))</f>
        <v>0</v>
      </c>
      <c r="BA145" s="110" t="n">
        <f aca="false">IF(OR(OR($B145="",$E145="",$F145=""),$K145&lt;&gt;"نعم",$M145="نعم"),0,MAX(0,MIN($F145,EOMONTH(DATE(cfg_FY,8,1),0))-MAX($E145,DATE(cfg_FY,8,1))+1))</f>
        <v>0</v>
      </c>
      <c r="BB145" s="110" t="n">
        <f aca="false">IF(OR(OR($B145="",$E145="",$F145=""),$K145&lt;&gt;"نعم",$M145="نعم"),0,MAX(0,MIN($F145,EOMONTH(DATE(cfg_FY,9,1),0))-MAX($E145,DATE(cfg_FY,9,1))+1))</f>
        <v>0</v>
      </c>
      <c r="BC145" s="110" t="n">
        <f aca="false">IF(OR(OR($B145="",$E145="",$F145=""),$K145&lt;&gt;"نعم",$M145="نعم"),0,MAX(0,MIN($F145,EOMONTH(DATE(cfg_FY,10,1),0))-MAX($E145,DATE(cfg_FY,10,1))+1))</f>
        <v>0</v>
      </c>
      <c r="BD145" s="110" t="n">
        <f aca="false">IF(OR(OR($B145="",$E145="",$F145=""),$K145&lt;&gt;"نعم",$M145="نعم"),0,MAX(0,MIN($F145,EOMONTH(DATE(cfg_FY,11,1),0))-MAX($E145,DATE(cfg_FY,11,1))+1))</f>
        <v>0</v>
      </c>
      <c r="BE145" s="110" t="n">
        <f aca="false">IF(OR(OR($B145="",$E145="",$F145=""),$K145&lt;&gt;"نعم",$M145="نعم"),0,MAX(0,MIN($F145,EOMONTH(DATE(cfg_FY,12,1),0))-MAX($E145,DATE(cfg_FY,12,1))+1))</f>
        <v>0</v>
      </c>
    </row>
    <row r="146" customFormat="false" ht="15" hidden="false" customHeight="false" outlineLevel="0" collapsed="false">
      <c r="A146" s="93" t="str">
        <f aca="false">IF(B146="","",ROW()-5)</f>
        <v/>
      </c>
      <c r="B146" s="79"/>
      <c r="C146" s="80" t="str">
        <f aca="false">IF(B146="","",IFERROR(INDEX(الموظفون!$C$6:$C$105,MATCH(B146,الموظفون!$B$6:$B$105,0)),"✖ رقم غير موجود"))</f>
        <v/>
      </c>
      <c r="D146" s="79"/>
      <c r="E146" s="94"/>
      <c r="F146" s="94"/>
      <c r="G146" s="57" t="str">
        <f aca="false">IF(OR($B146="",$E146="",$F146=""),"",MAX(0,F146-E146+1))</f>
        <v/>
      </c>
      <c r="H146" s="58" t="str">
        <f aca="false">IF(D146="","",IFERROR(VLOOKUP(D146,cfg_LT,2,FALSE()),1))</f>
        <v/>
      </c>
      <c r="I146" s="82"/>
      <c r="J146" s="58" t="str">
        <f aca="false">IF(D146="","",IF(I146&lt;&gt;"",I146,H146))</f>
        <v/>
      </c>
      <c r="K146" s="80" t="str">
        <f aca="false">IF(D146="","",IFERROR(VLOOKUP($D146,cfg_LT,3,FALSE()),""))</f>
        <v/>
      </c>
      <c r="L146" s="80" t="str">
        <f aca="false">IF(D146="","",IFERROR(VLOOKUP($D146,cfg_LT,4,FALSE()),""))</f>
        <v/>
      </c>
      <c r="M146" s="80" t="str">
        <f aca="false">IF(D146="","",IFERROR(VLOOKUP($D146,cfg_LT,5,FALSE()),""))</f>
        <v/>
      </c>
      <c r="N146" s="97" t="n">
        <f aca="false">IF(OR(OR($B146="",$E146="",$F146=""),M146&lt;&gt;"نعم"),0,G146*J146*IFERROR(INDEX(الموظفون!$R$6:$R$105,MATCH(B146,الموظفون!$B$6:$B$105,0)),0)/cfg_DAYS_M)</f>
        <v>0</v>
      </c>
      <c r="O146" s="93" t="str">
        <f aca="false">IF(OR(OR($B146="",$E146="",$F146=""),M146&lt;&gt;"نعم"),"",IF(YEAR(E146)=cfg_FY,MONTH(E146),""))</f>
        <v/>
      </c>
      <c r="P146" s="80" t="str">
        <f aca="false">IF(B146="","",IF(OR(D146="",E146="",F146=""),"⚠ أكمل النوع والتواريخ",IF(F146&lt;E146,"✖ النهاية قبل البداية",IF(COUNTIFS($B$6:$B$505,B146,$E$6:$E$505,"&lt;="&amp;F146,$F$6:$F$505,"&gt;="&amp;E146)&gt;1,"⚠ تداخل مع سجل آخر",IF(E146&gt;cfg_VAL_DATE,"⏳ قادمة",IF(F146&lt;cfg_VAL_DATE,"✔ منتهية","✈ جارية في تاريخ التقرير"))))))</f>
        <v/>
      </c>
      <c r="Q146" s="79"/>
      <c r="R146" s="57" t="n">
        <f aca="false">IF(OR(OR($B146="",$E146="",$F146=""),L146&lt;&gt;"لا"),0,MAX(0,MIN(F146,cfg_Y_START-1)-E146+1))</f>
        <v>0</v>
      </c>
      <c r="S146" s="57" t="n">
        <f aca="false">IF(OR(OR($B146="",$E146="",$F146=""),L146&lt;&gt;"لا"),0,MAX(0,MIN(F146,cfg_VAL_DATE)-E146+1))</f>
        <v>0</v>
      </c>
      <c r="T146" s="57" t="n">
        <f aca="false">IF(OR(OR($B146="",$E146="",$F146=""),K146&lt;&gt;"نعم"),0,IF(M146="نعم",IF(AND(ISNUMBER(O146),N(O146)&lt;=cfg_VAL_M),G146,0),MAX(0,MIN(F146,cfg_VAL_DATE)-MAX(E146,cfg_Y_START)+1)))</f>
        <v>0</v>
      </c>
      <c r="V146" s="57" t="n">
        <f aca="false">IF(OR($B146="",$E146="",$F146=""),0,MAX(0,MIN($F146,EOMONTH(DATE(cfg_FY,1,1),0))-MAX($E146,DATE(cfg_FY,1,1))+1)*(1-IF($M146="نعم",0,N($J146))))</f>
        <v>0</v>
      </c>
      <c r="W146" s="57" t="n">
        <f aca="false">IF(OR($B146="",$E146="",$F146=""),0,MAX(0,MIN($F146,EOMONTH(DATE(cfg_FY,2,1),0))-MAX($E146,DATE(cfg_FY,2,1))+1)*(1-IF($M146="نعم",0,N($J146))))</f>
        <v>0</v>
      </c>
      <c r="X146" s="57" t="n">
        <f aca="false">IF(OR($B146="",$E146="",$F146=""),0,MAX(0,MIN($F146,EOMONTH(DATE(cfg_FY,3,1),0))-MAX($E146,DATE(cfg_FY,3,1))+1)*(1-IF($M146="نعم",0,N($J146))))</f>
        <v>0</v>
      </c>
      <c r="Y146" s="57" t="n">
        <f aca="false">IF(OR($B146="",$E146="",$F146=""),0,MAX(0,MIN($F146,EOMONTH(DATE(cfg_FY,4,1),0))-MAX($E146,DATE(cfg_FY,4,1))+1)*(1-IF($M146="نعم",0,N($J146))))</f>
        <v>0</v>
      </c>
      <c r="Z146" s="57" t="n">
        <f aca="false">IF(OR($B146="",$E146="",$F146=""),0,MAX(0,MIN($F146,EOMONTH(DATE(cfg_FY,5,1),0))-MAX($E146,DATE(cfg_FY,5,1))+1)*(1-IF($M146="نعم",0,N($J146))))</f>
        <v>0</v>
      </c>
      <c r="AA146" s="57" t="n">
        <f aca="false">IF(OR($B146="",$E146="",$F146=""),0,MAX(0,MIN($F146,EOMONTH(DATE(cfg_FY,6,1),0))-MAX($E146,DATE(cfg_FY,6,1))+1)*(1-IF($M146="نعم",0,N($J146))))</f>
        <v>0</v>
      </c>
      <c r="AB146" s="57" t="n">
        <f aca="false">IF(OR($B146="",$E146="",$F146=""),0,MAX(0,MIN($F146,EOMONTH(DATE(cfg_FY,7,1),0))-MAX($E146,DATE(cfg_FY,7,1))+1)*(1-IF($M146="نعم",0,N($J146))))</f>
        <v>0</v>
      </c>
      <c r="AC146" s="57" t="n">
        <f aca="false">IF(OR($B146="",$E146="",$F146=""),0,MAX(0,MIN($F146,EOMONTH(DATE(cfg_FY,8,1),0))-MAX($E146,DATE(cfg_FY,8,1))+1)*(1-IF($M146="نعم",0,N($J146))))</f>
        <v>0</v>
      </c>
      <c r="AD146" s="57" t="n">
        <f aca="false">IF(OR($B146="",$E146="",$F146=""),0,MAX(0,MIN($F146,EOMONTH(DATE(cfg_FY,9,1),0))-MAX($E146,DATE(cfg_FY,9,1))+1)*(1-IF($M146="نعم",0,N($J146))))</f>
        <v>0</v>
      </c>
      <c r="AE146" s="57" t="n">
        <f aca="false">IF(OR($B146="",$E146="",$F146=""),0,MAX(0,MIN($F146,EOMONTH(DATE(cfg_FY,10,1),0))-MAX($E146,DATE(cfg_FY,10,1))+1)*(1-IF($M146="نعم",0,N($J146))))</f>
        <v>0</v>
      </c>
      <c r="AF146" s="57" t="n">
        <f aca="false">IF(OR($B146="",$E146="",$F146=""),0,MAX(0,MIN($F146,EOMONTH(DATE(cfg_FY,11,1),0))-MAX($E146,DATE(cfg_FY,11,1))+1)*(1-IF($M146="نعم",0,N($J146))))</f>
        <v>0</v>
      </c>
      <c r="AG146" s="57" t="n">
        <f aca="false">IF(OR($B146="",$E146="",$F146=""),0,MAX(0,MIN($F146,EOMONTH(DATE(cfg_FY,12,1),0))-MAX($E146,DATE(cfg_FY,12,1))+1)*(1-IF($M146="نعم",0,N($J146))))</f>
        <v>0</v>
      </c>
      <c r="AH146" s="57" t="n">
        <f aca="false">IF(OR(OR($B146="",$E146="",$F146=""),$L146&lt;&gt;"لا"),0,MAX(0,MIN($F146,EOMONTH(DATE(cfg_FY,1,1),0))-$E146+1))</f>
        <v>0</v>
      </c>
      <c r="AI146" s="57" t="n">
        <f aca="false">IF(OR(OR($B146="",$E146="",$F146=""),$L146&lt;&gt;"لا"),0,MAX(0,MIN($F146,EOMONTH(DATE(cfg_FY,2,1),0))-$E146+1))</f>
        <v>0</v>
      </c>
      <c r="AJ146" s="57" t="n">
        <f aca="false">IF(OR(OR($B146="",$E146="",$F146=""),$L146&lt;&gt;"لا"),0,MAX(0,MIN($F146,EOMONTH(DATE(cfg_FY,3,1),0))-$E146+1))</f>
        <v>0</v>
      </c>
      <c r="AK146" s="57" t="n">
        <f aca="false">IF(OR(OR($B146="",$E146="",$F146=""),$L146&lt;&gt;"لا"),0,MAX(0,MIN($F146,EOMONTH(DATE(cfg_FY,4,1),0))-$E146+1))</f>
        <v>0</v>
      </c>
      <c r="AL146" s="57" t="n">
        <f aca="false">IF(OR(OR($B146="",$E146="",$F146=""),$L146&lt;&gt;"لا"),0,MAX(0,MIN($F146,EOMONTH(DATE(cfg_FY,5,1),0))-$E146+1))</f>
        <v>0</v>
      </c>
      <c r="AM146" s="57" t="n">
        <f aca="false">IF(OR(OR($B146="",$E146="",$F146=""),$L146&lt;&gt;"لا"),0,MAX(0,MIN($F146,EOMONTH(DATE(cfg_FY,6,1),0))-$E146+1))</f>
        <v>0</v>
      </c>
      <c r="AN146" s="57" t="n">
        <f aca="false">IF(OR(OR($B146="",$E146="",$F146=""),$L146&lt;&gt;"لا"),0,MAX(0,MIN($F146,EOMONTH(DATE(cfg_FY,7,1),0))-$E146+1))</f>
        <v>0</v>
      </c>
      <c r="AO146" s="57" t="n">
        <f aca="false">IF(OR(OR($B146="",$E146="",$F146=""),$L146&lt;&gt;"لا"),0,MAX(0,MIN($F146,EOMONTH(DATE(cfg_FY,8,1),0))-$E146+1))</f>
        <v>0</v>
      </c>
      <c r="AP146" s="57" t="n">
        <f aca="false">IF(OR(OR($B146="",$E146="",$F146=""),$L146&lt;&gt;"لا"),0,MAX(0,MIN($F146,EOMONTH(DATE(cfg_FY,9,1),0))-$E146+1))</f>
        <v>0</v>
      </c>
      <c r="AQ146" s="57" t="n">
        <f aca="false">IF(OR(OR($B146="",$E146="",$F146=""),$L146&lt;&gt;"لا"),0,MAX(0,MIN($F146,EOMONTH(DATE(cfg_FY,10,1),0))-$E146+1))</f>
        <v>0</v>
      </c>
      <c r="AR146" s="57" t="n">
        <f aca="false">IF(OR(OR($B146="",$E146="",$F146=""),$L146&lt;&gt;"لا"),0,MAX(0,MIN($F146,EOMONTH(DATE(cfg_FY,11,1),0))-$E146+1))</f>
        <v>0</v>
      </c>
      <c r="AS146" s="57" t="n">
        <f aca="false">IF(OR(OR($B146="",$E146="",$F146=""),$L146&lt;&gt;"لا"),0,MAX(0,MIN($F146,EOMONTH(DATE(cfg_FY,12,1),0))-$E146+1))</f>
        <v>0</v>
      </c>
      <c r="AT146" s="57" t="n">
        <f aca="false">IF(OR(OR($B146="",$E146="",$F146=""),$K146&lt;&gt;"نعم",$M146="نعم"),0,MAX(0,MIN($F146,EOMONTH(DATE(cfg_FY,1,1),0))-MAX($E146,DATE(cfg_FY,1,1))+1))</f>
        <v>0</v>
      </c>
      <c r="AU146" s="57" t="n">
        <f aca="false">IF(OR(OR($B146="",$E146="",$F146=""),$K146&lt;&gt;"نعم",$M146="نعم"),0,MAX(0,MIN($F146,EOMONTH(DATE(cfg_FY,2,1),0))-MAX($E146,DATE(cfg_FY,2,1))+1))</f>
        <v>0</v>
      </c>
      <c r="AV146" s="57" t="n">
        <f aca="false">IF(OR(OR($B146="",$E146="",$F146=""),$K146&lt;&gt;"نعم",$M146="نعم"),0,MAX(0,MIN($F146,EOMONTH(DATE(cfg_FY,3,1),0))-MAX($E146,DATE(cfg_FY,3,1))+1))</f>
        <v>0</v>
      </c>
      <c r="AW146" s="57" t="n">
        <f aca="false">IF(OR(OR($B146="",$E146="",$F146=""),$K146&lt;&gt;"نعم",$M146="نعم"),0,MAX(0,MIN($F146,EOMONTH(DATE(cfg_FY,4,1),0))-MAX($E146,DATE(cfg_FY,4,1))+1))</f>
        <v>0</v>
      </c>
      <c r="AX146" s="57" t="n">
        <f aca="false">IF(OR(OR($B146="",$E146="",$F146=""),$K146&lt;&gt;"نعم",$M146="نعم"),0,MAX(0,MIN($F146,EOMONTH(DATE(cfg_FY,5,1),0))-MAX($E146,DATE(cfg_FY,5,1))+1))</f>
        <v>0</v>
      </c>
      <c r="AY146" s="57" t="n">
        <f aca="false">IF(OR(OR($B146="",$E146="",$F146=""),$K146&lt;&gt;"نعم",$M146="نعم"),0,MAX(0,MIN($F146,EOMONTH(DATE(cfg_FY,6,1),0))-MAX($E146,DATE(cfg_FY,6,1))+1))</f>
        <v>0</v>
      </c>
      <c r="AZ146" s="57" t="n">
        <f aca="false">IF(OR(OR($B146="",$E146="",$F146=""),$K146&lt;&gt;"نعم",$M146="نعم"),0,MAX(0,MIN($F146,EOMONTH(DATE(cfg_FY,7,1),0))-MAX($E146,DATE(cfg_FY,7,1))+1))</f>
        <v>0</v>
      </c>
      <c r="BA146" s="57" t="n">
        <f aca="false">IF(OR(OR($B146="",$E146="",$F146=""),$K146&lt;&gt;"نعم",$M146="نعم"),0,MAX(0,MIN($F146,EOMONTH(DATE(cfg_FY,8,1),0))-MAX($E146,DATE(cfg_FY,8,1))+1))</f>
        <v>0</v>
      </c>
      <c r="BB146" s="57" t="n">
        <f aca="false">IF(OR(OR($B146="",$E146="",$F146=""),$K146&lt;&gt;"نعم",$M146="نعم"),0,MAX(0,MIN($F146,EOMONTH(DATE(cfg_FY,9,1),0))-MAX($E146,DATE(cfg_FY,9,1))+1))</f>
        <v>0</v>
      </c>
      <c r="BC146" s="57" t="n">
        <f aca="false">IF(OR(OR($B146="",$E146="",$F146=""),$K146&lt;&gt;"نعم",$M146="نعم"),0,MAX(0,MIN($F146,EOMONTH(DATE(cfg_FY,10,1),0))-MAX($E146,DATE(cfg_FY,10,1))+1))</f>
        <v>0</v>
      </c>
      <c r="BD146" s="57" t="n">
        <f aca="false">IF(OR(OR($B146="",$E146="",$F146=""),$K146&lt;&gt;"نعم",$M146="نعم"),0,MAX(0,MIN($F146,EOMONTH(DATE(cfg_FY,11,1),0))-MAX($E146,DATE(cfg_FY,11,1))+1))</f>
        <v>0</v>
      </c>
      <c r="BE146" s="57" t="n">
        <f aca="false">IF(OR(OR($B146="",$E146="",$F146=""),$K146&lt;&gt;"نعم",$M146="نعم"),0,MAX(0,MIN($F146,EOMONTH(DATE(cfg_FY,12,1),0))-MAX($E146,DATE(cfg_FY,12,1))+1))</f>
        <v>0</v>
      </c>
    </row>
    <row r="147" customFormat="false" ht="15" hidden="false" customHeight="false" outlineLevel="0" collapsed="false">
      <c r="A147" s="100" t="str">
        <f aca="false">IF(B147="","",ROW()-5)</f>
        <v/>
      </c>
      <c r="B147" s="79"/>
      <c r="C147" s="102" t="str">
        <f aca="false">IF(B147="","",IFERROR(INDEX(الموظفون!$C$6:$C$105,MATCH(B147,الموظفون!$B$6:$B$105,0)),"✖ رقم غير موجود"))</f>
        <v/>
      </c>
      <c r="D147" s="79"/>
      <c r="E147" s="94"/>
      <c r="F147" s="94"/>
      <c r="G147" s="110" t="str">
        <f aca="false">IF(OR($B147="",$E147="",$F147=""),"",MAX(0,F147-E147+1))</f>
        <v/>
      </c>
      <c r="H147" s="111" t="str">
        <f aca="false">IF(D147="","",IFERROR(VLOOKUP(D147,cfg_LT,2,FALSE()),1))</f>
        <v/>
      </c>
      <c r="I147" s="82"/>
      <c r="J147" s="111" t="str">
        <f aca="false">IF(D147="","",IF(I147&lt;&gt;"",I147,H147))</f>
        <v/>
      </c>
      <c r="K147" s="102" t="str">
        <f aca="false">IF(D147="","",IFERROR(VLOOKUP($D147,cfg_LT,3,FALSE()),""))</f>
        <v/>
      </c>
      <c r="L147" s="102" t="str">
        <f aca="false">IF(D147="","",IFERROR(VLOOKUP($D147,cfg_LT,4,FALSE()),""))</f>
        <v/>
      </c>
      <c r="M147" s="102" t="str">
        <f aca="false">IF(D147="","",IFERROR(VLOOKUP($D147,cfg_LT,5,FALSE()),""))</f>
        <v/>
      </c>
      <c r="N147" s="101" t="n">
        <f aca="false">IF(OR(OR($B147="",$E147="",$F147=""),M147&lt;&gt;"نعم"),0,G147*J147*IFERROR(INDEX(الموظفون!$R$6:$R$105,MATCH(B147,الموظفون!$B$6:$B$105,0)),0)/cfg_DAYS_M)</f>
        <v>0</v>
      </c>
      <c r="O147" s="100" t="str">
        <f aca="false">IF(OR(OR($B147="",$E147="",$F147=""),M147&lt;&gt;"نعم"),"",IF(YEAR(E147)=cfg_FY,MONTH(E147),""))</f>
        <v/>
      </c>
      <c r="P147" s="102" t="str">
        <f aca="false">IF(B147="","",IF(OR(D147="",E147="",F147=""),"⚠ أكمل النوع والتواريخ",IF(F147&lt;E147,"✖ النهاية قبل البداية",IF(COUNTIFS($B$6:$B$505,B147,$E$6:$E$505,"&lt;="&amp;F147,$F$6:$F$505,"&gt;="&amp;E147)&gt;1,"⚠ تداخل مع سجل آخر",IF(E147&gt;cfg_VAL_DATE,"⏳ قادمة",IF(F147&lt;cfg_VAL_DATE,"✔ منتهية","✈ جارية في تاريخ التقرير"))))))</f>
        <v/>
      </c>
      <c r="Q147" s="79"/>
      <c r="R147" s="110" t="n">
        <f aca="false">IF(OR(OR($B147="",$E147="",$F147=""),L147&lt;&gt;"لا"),0,MAX(0,MIN(F147,cfg_Y_START-1)-E147+1))</f>
        <v>0</v>
      </c>
      <c r="S147" s="110" t="n">
        <f aca="false">IF(OR(OR($B147="",$E147="",$F147=""),L147&lt;&gt;"لا"),0,MAX(0,MIN(F147,cfg_VAL_DATE)-E147+1))</f>
        <v>0</v>
      </c>
      <c r="T147" s="110" t="n">
        <f aca="false">IF(OR(OR($B147="",$E147="",$F147=""),K147&lt;&gt;"نعم"),0,IF(M147="نعم",IF(AND(ISNUMBER(O147),N(O147)&lt;=cfg_VAL_M),G147,0),MAX(0,MIN(F147,cfg_VAL_DATE)-MAX(E147,cfg_Y_START)+1)))</f>
        <v>0</v>
      </c>
      <c r="V147" s="110" t="n">
        <f aca="false">IF(OR($B147="",$E147="",$F147=""),0,MAX(0,MIN($F147,EOMONTH(DATE(cfg_FY,1,1),0))-MAX($E147,DATE(cfg_FY,1,1))+1)*(1-IF($M147="نعم",0,N($J147))))</f>
        <v>0</v>
      </c>
      <c r="W147" s="110" t="n">
        <f aca="false">IF(OR($B147="",$E147="",$F147=""),0,MAX(0,MIN($F147,EOMONTH(DATE(cfg_FY,2,1),0))-MAX($E147,DATE(cfg_FY,2,1))+1)*(1-IF($M147="نعم",0,N($J147))))</f>
        <v>0</v>
      </c>
      <c r="X147" s="110" t="n">
        <f aca="false">IF(OR($B147="",$E147="",$F147=""),0,MAX(0,MIN($F147,EOMONTH(DATE(cfg_FY,3,1),0))-MAX($E147,DATE(cfg_FY,3,1))+1)*(1-IF($M147="نعم",0,N($J147))))</f>
        <v>0</v>
      </c>
      <c r="Y147" s="110" t="n">
        <f aca="false">IF(OR($B147="",$E147="",$F147=""),0,MAX(0,MIN($F147,EOMONTH(DATE(cfg_FY,4,1),0))-MAX($E147,DATE(cfg_FY,4,1))+1)*(1-IF($M147="نعم",0,N($J147))))</f>
        <v>0</v>
      </c>
      <c r="Z147" s="110" t="n">
        <f aca="false">IF(OR($B147="",$E147="",$F147=""),0,MAX(0,MIN($F147,EOMONTH(DATE(cfg_FY,5,1),0))-MAX($E147,DATE(cfg_FY,5,1))+1)*(1-IF($M147="نعم",0,N($J147))))</f>
        <v>0</v>
      </c>
      <c r="AA147" s="110" t="n">
        <f aca="false">IF(OR($B147="",$E147="",$F147=""),0,MAX(0,MIN($F147,EOMONTH(DATE(cfg_FY,6,1),0))-MAX($E147,DATE(cfg_FY,6,1))+1)*(1-IF($M147="نعم",0,N($J147))))</f>
        <v>0</v>
      </c>
      <c r="AB147" s="110" t="n">
        <f aca="false">IF(OR($B147="",$E147="",$F147=""),0,MAX(0,MIN($F147,EOMONTH(DATE(cfg_FY,7,1),0))-MAX($E147,DATE(cfg_FY,7,1))+1)*(1-IF($M147="نعم",0,N($J147))))</f>
        <v>0</v>
      </c>
      <c r="AC147" s="110" t="n">
        <f aca="false">IF(OR($B147="",$E147="",$F147=""),0,MAX(0,MIN($F147,EOMONTH(DATE(cfg_FY,8,1),0))-MAX($E147,DATE(cfg_FY,8,1))+1)*(1-IF($M147="نعم",0,N($J147))))</f>
        <v>0</v>
      </c>
      <c r="AD147" s="110" t="n">
        <f aca="false">IF(OR($B147="",$E147="",$F147=""),0,MAX(0,MIN($F147,EOMONTH(DATE(cfg_FY,9,1),0))-MAX($E147,DATE(cfg_FY,9,1))+1)*(1-IF($M147="نعم",0,N($J147))))</f>
        <v>0</v>
      </c>
      <c r="AE147" s="110" t="n">
        <f aca="false">IF(OR($B147="",$E147="",$F147=""),0,MAX(0,MIN($F147,EOMONTH(DATE(cfg_FY,10,1),0))-MAX($E147,DATE(cfg_FY,10,1))+1)*(1-IF($M147="نعم",0,N($J147))))</f>
        <v>0</v>
      </c>
      <c r="AF147" s="110" t="n">
        <f aca="false">IF(OR($B147="",$E147="",$F147=""),0,MAX(0,MIN($F147,EOMONTH(DATE(cfg_FY,11,1),0))-MAX($E147,DATE(cfg_FY,11,1))+1)*(1-IF($M147="نعم",0,N($J147))))</f>
        <v>0</v>
      </c>
      <c r="AG147" s="110" t="n">
        <f aca="false">IF(OR($B147="",$E147="",$F147=""),0,MAX(0,MIN($F147,EOMONTH(DATE(cfg_FY,12,1),0))-MAX($E147,DATE(cfg_FY,12,1))+1)*(1-IF($M147="نعم",0,N($J147))))</f>
        <v>0</v>
      </c>
      <c r="AH147" s="110" t="n">
        <f aca="false">IF(OR(OR($B147="",$E147="",$F147=""),$L147&lt;&gt;"لا"),0,MAX(0,MIN($F147,EOMONTH(DATE(cfg_FY,1,1),0))-$E147+1))</f>
        <v>0</v>
      </c>
      <c r="AI147" s="110" t="n">
        <f aca="false">IF(OR(OR($B147="",$E147="",$F147=""),$L147&lt;&gt;"لا"),0,MAX(0,MIN($F147,EOMONTH(DATE(cfg_FY,2,1),0))-$E147+1))</f>
        <v>0</v>
      </c>
      <c r="AJ147" s="110" t="n">
        <f aca="false">IF(OR(OR($B147="",$E147="",$F147=""),$L147&lt;&gt;"لا"),0,MAX(0,MIN($F147,EOMONTH(DATE(cfg_FY,3,1),0))-$E147+1))</f>
        <v>0</v>
      </c>
      <c r="AK147" s="110" t="n">
        <f aca="false">IF(OR(OR($B147="",$E147="",$F147=""),$L147&lt;&gt;"لا"),0,MAX(0,MIN($F147,EOMONTH(DATE(cfg_FY,4,1),0))-$E147+1))</f>
        <v>0</v>
      </c>
      <c r="AL147" s="110" t="n">
        <f aca="false">IF(OR(OR($B147="",$E147="",$F147=""),$L147&lt;&gt;"لا"),0,MAX(0,MIN($F147,EOMONTH(DATE(cfg_FY,5,1),0))-$E147+1))</f>
        <v>0</v>
      </c>
      <c r="AM147" s="110" t="n">
        <f aca="false">IF(OR(OR($B147="",$E147="",$F147=""),$L147&lt;&gt;"لا"),0,MAX(0,MIN($F147,EOMONTH(DATE(cfg_FY,6,1),0))-$E147+1))</f>
        <v>0</v>
      </c>
      <c r="AN147" s="110" t="n">
        <f aca="false">IF(OR(OR($B147="",$E147="",$F147=""),$L147&lt;&gt;"لا"),0,MAX(0,MIN($F147,EOMONTH(DATE(cfg_FY,7,1),0))-$E147+1))</f>
        <v>0</v>
      </c>
      <c r="AO147" s="110" t="n">
        <f aca="false">IF(OR(OR($B147="",$E147="",$F147=""),$L147&lt;&gt;"لا"),0,MAX(0,MIN($F147,EOMONTH(DATE(cfg_FY,8,1),0))-$E147+1))</f>
        <v>0</v>
      </c>
      <c r="AP147" s="110" t="n">
        <f aca="false">IF(OR(OR($B147="",$E147="",$F147=""),$L147&lt;&gt;"لا"),0,MAX(0,MIN($F147,EOMONTH(DATE(cfg_FY,9,1),0))-$E147+1))</f>
        <v>0</v>
      </c>
      <c r="AQ147" s="110" t="n">
        <f aca="false">IF(OR(OR($B147="",$E147="",$F147=""),$L147&lt;&gt;"لا"),0,MAX(0,MIN($F147,EOMONTH(DATE(cfg_FY,10,1),0))-$E147+1))</f>
        <v>0</v>
      </c>
      <c r="AR147" s="110" t="n">
        <f aca="false">IF(OR(OR($B147="",$E147="",$F147=""),$L147&lt;&gt;"لا"),0,MAX(0,MIN($F147,EOMONTH(DATE(cfg_FY,11,1),0))-$E147+1))</f>
        <v>0</v>
      </c>
      <c r="AS147" s="110" t="n">
        <f aca="false">IF(OR(OR($B147="",$E147="",$F147=""),$L147&lt;&gt;"لا"),0,MAX(0,MIN($F147,EOMONTH(DATE(cfg_FY,12,1),0))-$E147+1))</f>
        <v>0</v>
      </c>
      <c r="AT147" s="110" t="n">
        <f aca="false">IF(OR(OR($B147="",$E147="",$F147=""),$K147&lt;&gt;"نعم",$M147="نعم"),0,MAX(0,MIN($F147,EOMONTH(DATE(cfg_FY,1,1),0))-MAX($E147,DATE(cfg_FY,1,1))+1))</f>
        <v>0</v>
      </c>
      <c r="AU147" s="110" t="n">
        <f aca="false">IF(OR(OR($B147="",$E147="",$F147=""),$K147&lt;&gt;"نعم",$M147="نعم"),0,MAX(0,MIN($F147,EOMONTH(DATE(cfg_FY,2,1),0))-MAX($E147,DATE(cfg_FY,2,1))+1))</f>
        <v>0</v>
      </c>
      <c r="AV147" s="110" t="n">
        <f aca="false">IF(OR(OR($B147="",$E147="",$F147=""),$K147&lt;&gt;"نعم",$M147="نعم"),0,MAX(0,MIN($F147,EOMONTH(DATE(cfg_FY,3,1),0))-MAX($E147,DATE(cfg_FY,3,1))+1))</f>
        <v>0</v>
      </c>
      <c r="AW147" s="110" t="n">
        <f aca="false">IF(OR(OR($B147="",$E147="",$F147=""),$K147&lt;&gt;"نعم",$M147="نعم"),0,MAX(0,MIN($F147,EOMONTH(DATE(cfg_FY,4,1),0))-MAX($E147,DATE(cfg_FY,4,1))+1))</f>
        <v>0</v>
      </c>
      <c r="AX147" s="110" t="n">
        <f aca="false">IF(OR(OR($B147="",$E147="",$F147=""),$K147&lt;&gt;"نعم",$M147="نعم"),0,MAX(0,MIN($F147,EOMONTH(DATE(cfg_FY,5,1),0))-MAX($E147,DATE(cfg_FY,5,1))+1))</f>
        <v>0</v>
      </c>
      <c r="AY147" s="110" t="n">
        <f aca="false">IF(OR(OR($B147="",$E147="",$F147=""),$K147&lt;&gt;"نعم",$M147="نعم"),0,MAX(0,MIN($F147,EOMONTH(DATE(cfg_FY,6,1),0))-MAX($E147,DATE(cfg_FY,6,1))+1))</f>
        <v>0</v>
      </c>
      <c r="AZ147" s="110" t="n">
        <f aca="false">IF(OR(OR($B147="",$E147="",$F147=""),$K147&lt;&gt;"نعم",$M147="نعم"),0,MAX(0,MIN($F147,EOMONTH(DATE(cfg_FY,7,1),0))-MAX($E147,DATE(cfg_FY,7,1))+1))</f>
        <v>0</v>
      </c>
      <c r="BA147" s="110" t="n">
        <f aca="false">IF(OR(OR($B147="",$E147="",$F147=""),$K147&lt;&gt;"نعم",$M147="نعم"),0,MAX(0,MIN($F147,EOMONTH(DATE(cfg_FY,8,1),0))-MAX($E147,DATE(cfg_FY,8,1))+1))</f>
        <v>0</v>
      </c>
      <c r="BB147" s="110" t="n">
        <f aca="false">IF(OR(OR($B147="",$E147="",$F147=""),$K147&lt;&gt;"نعم",$M147="نعم"),0,MAX(0,MIN($F147,EOMONTH(DATE(cfg_FY,9,1),0))-MAX($E147,DATE(cfg_FY,9,1))+1))</f>
        <v>0</v>
      </c>
      <c r="BC147" s="110" t="n">
        <f aca="false">IF(OR(OR($B147="",$E147="",$F147=""),$K147&lt;&gt;"نعم",$M147="نعم"),0,MAX(0,MIN($F147,EOMONTH(DATE(cfg_FY,10,1),0))-MAX($E147,DATE(cfg_FY,10,1))+1))</f>
        <v>0</v>
      </c>
      <c r="BD147" s="110" t="n">
        <f aca="false">IF(OR(OR($B147="",$E147="",$F147=""),$K147&lt;&gt;"نعم",$M147="نعم"),0,MAX(0,MIN($F147,EOMONTH(DATE(cfg_FY,11,1),0))-MAX($E147,DATE(cfg_FY,11,1))+1))</f>
        <v>0</v>
      </c>
      <c r="BE147" s="110" t="n">
        <f aca="false">IF(OR(OR($B147="",$E147="",$F147=""),$K147&lt;&gt;"نعم",$M147="نعم"),0,MAX(0,MIN($F147,EOMONTH(DATE(cfg_FY,12,1),0))-MAX($E147,DATE(cfg_FY,12,1))+1))</f>
        <v>0</v>
      </c>
    </row>
    <row r="148" customFormat="false" ht="15" hidden="false" customHeight="false" outlineLevel="0" collapsed="false">
      <c r="A148" s="93" t="str">
        <f aca="false">IF(B148="","",ROW()-5)</f>
        <v/>
      </c>
      <c r="B148" s="79"/>
      <c r="C148" s="80" t="str">
        <f aca="false">IF(B148="","",IFERROR(INDEX(الموظفون!$C$6:$C$105,MATCH(B148,الموظفون!$B$6:$B$105,0)),"✖ رقم غير موجود"))</f>
        <v/>
      </c>
      <c r="D148" s="79"/>
      <c r="E148" s="94"/>
      <c r="F148" s="94"/>
      <c r="G148" s="57" t="str">
        <f aca="false">IF(OR($B148="",$E148="",$F148=""),"",MAX(0,F148-E148+1))</f>
        <v/>
      </c>
      <c r="H148" s="58" t="str">
        <f aca="false">IF(D148="","",IFERROR(VLOOKUP(D148,cfg_LT,2,FALSE()),1))</f>
        <v/>
      </c>
      <c r="I148" s="82"/>
      <c r="J148" s="58" t="str">
        <f aca="false">IF(D148="","",IF(I148&lt;&gt;"",I148,H148))</f>
        <v/>
      </c>
      <c r="K148" s="80" t="str">
        <f aca="false">IF(D148="","",IFERROR(VLOOKUP($D148,cfg_LT,3,FALSE()),""))</f>
        <v/>
      </c>
      <c r="L148" s="80" t="str">
        <f aca="false">IF(D148="","",IFERROR(VLOOKUP($D148,cfg_LT,4,FALSE()),""))</f>
        <v/>
      </c>
      <c r="M148" s="80" t="str">
        <f aca="false">IF(D148="","",IFERROR(VLOOKUP($D148,cfg_LT,5,FALSE()),""))</f>
        <v/>
      </c>
      <c r="N148" s="97" t="n">
        <f aca="false">IF(OR(OR($B148="",$E148="",$F148=""),M148&lt;&gt;"نعم"),0,G148*J148*IFERROR(INDEX(الموظفون!$R$6:$R$105,MATCH(B148,الموظفون!$B$6:$B$105,0)),0)/cfg_DAYS_M)</f>
        <v>0</v>
      </c>
      <c r="O148" s="93" t="str">
        <f aca="false">IF(OR(OR($B148="",$E148="",$F148=""),M148&lt;&gt;"نعم"),"",IF(YEAR(E148)=cfg_FY,MONTH(E148),""))</f>
        <v/>
      </c>
      <c r="P148" s="80" t="str">
        <f aca="false">IF(B148="","",IF(OR(D148="",E148="",F148=""),"⚠ أكمل النوع والتواريخ",IF(F148&lt;E148,"✖ النهاية قبل البداية",IF(COUNTIFS($B$6:$B$505,B148,$E$6:$E$505,"&lt;="&amp;F148,$F$6:$F$505,"&gt;="&amp;E148)&gt;1,"⚠ تداخل مع سجل آخر",IF(E148&gt;cfg_VAL_DATE,"⏳ قادمة",IF(F148&lt;cfg_VAL_DATE,"✔ منتهية","✈ جارية في تاريخ التقرير"))))))</f>
        <v/>
      </c>
      <c r="Q148" s="79"/>
      <c r="R148" s="57" t="n">
        <f aca="false">IF(OR(OR($B148="",$E148="",$F148=""),L148&lt;&gt;"لا"),0,MAX(0,MIN(F148,cfg_Y_START-1)-E148+1))</f>
        <v>0</v>
      </c>
      <c r="S148" s="57" t="n">
        <f aca="false">IF(OR(OR($B148="",$E148="",$F148=""),L148&lt;&gt;"لا"),0,MAX(0,MIN(F148,cfg_VAL_DATE)-E148+1))</f>
        <v>0</v>
      </c>
      <c r="T148" s="57" t="n">
        <f aca="false">IF(OR(OR($B148="",$E148="",$F148=""),K148&lt;&gt;"نعم"),0,IF(M148="نعم",IF(AND(ISNUMBER(O148),N(O148)&lt;=cfg_VAL_M),G148,0),MAX(0,MIN(F148,cfg_VAL_DATE)-MAX(E148,cfg_Y_START)+1)))</f>
        <v>0</v>
      </c>
      <c r="V148" s="57" t="n">
        <f aca="false">IF(OR($B148="",$E148="",$F148=""),0,MAX(0,MIN($F148,EOMONTH(DATE(cfg_FY,1,1),0))-MAX($E148,DATE(cfg_FY,1,1))+1)*(1-IF($M148="نعم",0,N($J148))))</f>
        <v>0</v>
      </c>
      <c r="W148" s="57" t="n">
        <f aca="false">IF(OR($B148="",$E148="",$F148=""),0,MAX(0,MIN($F148,EOMONTH(DATE(cfg_FY,2,1),0))-MAX($E148,DATE(cfg_FY,2,1))+1)*(1-IF($M148="نعم",0,N($J148))))</f>
        <v>0</v>
      </c>
      <c r="X148" s="57" t="n">
        <f aca="false">IF(OR($B148="",$E148="",$F148=""),0,MAX(0,MIN($F148,EOMONTH(DATE(cfg_FY,3,1),0))-MAX($E148,DATE(cfg_FY,3,1))+1)*(1-IF($M148="نعم",0,N($J148))))</f>
        <v>0</v>
      </c>
      <c r="Y148" s="57" t="n">
        <f aca="false">IF(OR($B148="",$E148="",$F148=""),0,MAX(0,MIN($F148,EOMONTH(DATE(cfg_FY,4,1),0))-MAX($E148,DATE(cfg_FY,4,1))+1)*(1-IF($M148="نعم",0,N($J148))))</f>
        <v>0</v>
      </c>
      <c r="Z148" s="57" t="n">
        <f aca="false">IF(OR($B148="",$E148="",$F148=""),0,MAX(0,MIN($F148,EOMONTH(DATE(cfg_FY,5,1),0))-MAX($E148,DATE(cfg_FY,5,1))+1)*(1-IF($M148="نعم",0,N($J148))))</f>
        <v>0</v>
      </c>
      <c r="AA148" s="57" t="n">
        <f aca="false">IF(OR($B148="",$E148="",$F148=""),0,MAX(0,MIN($F148,EOMONTH(DATE(cfg_FY,6,1),0))-MAX($E148,DATE(cfg_FY,6,1))+1)*(1-IF($M148="نعم",0,N($J148))))</f>
        <v>0</v>
      </c>
      <c r="AB148" s="57" t="n">
        <f aca="false">IF(OR($B148="",$E148="",$F148=""),0,MAX(0,MIN($F148,EOMONTH(DATE(cfg_FY,7,1),0))-MAX($E148,DATE(cfg_FY,7,1))+1)*(1-IF($M148="نعم",0,N($J148))))</f>
        <v>0</v>
      </c>
      <c r="AC148" s="57" t="n">
        <f aca="false">IF(OR($B148="",$E148="",$F148=""),0,MAX(0,MIN($F148,EOMONTH(DATE(cfg_FY,8,1),0))-MAX($E148,DATE(cfg_FY,8,1))+1)*(1-IF($M148="نعم",0,N($J148))))</f>
        <v>0</v>
      </c>
      <c r="AD148" s="57" t="n">
        <f aca="false">IF(OR($B148="",$E148="",$F148=""),0,MAX(0,MIN($F148,EOMONTH(DATE(cfg_FY,9,1),0))-MAX($E148,DATE(cfg_FY,9,1))+1)*(1-IF($M148="نعم",0,N($J148))))</f>
        <v>0</v>
      </c>
      <c r="AE148" s="57" t="n">
        <f aca="false">IF(OR($B148="",$E148="",$F148=""),0,MAX(0,MIN($F148,EOMONTH(DATE(cfg_FY,10,1),0))-MAX($E148,DATE(cfg_FY,10,1))+1)*(1-IF($M148="نعم",0,N($J148))))</f>
        <v>0</v>
      </c>
      <c r="AF148" s="57" t="n">
        <f aca="false">IF(OR($B148="",$E148="",$F148=""),0,MAX(0,MIN($F148,EOMONTH(DATE(cfg_FY,11,1),0))-MAX($E148,DATE(cfg_FY,11,1))+1)*(1-IF($M148="نعم",0,N($J148))))</f>
        <v>0</v>
      </c>
      <c r="AG148" s="57" t="n">
        <f aca="false">IF(OR($B148="",$E148="",$F148=""),0,MAX(0,MIN($F148,EOMONTH(DATE(cfg_FY,12,1),0))-MAX($E148,DATE(cfg_FY,12,1))+1)*(1-IF($M148="نعم",0,N($J148))))</f>
        <v>0</v>
      </c>
      <c r="AH148" s="57" t="n">
        <f aca="false">IF(OR(OR($B148="",$E148="",$F148=""),$L148&lt;&gt;"لا"),0,MAX(0,MIN($F148,EOMONTH(DATE(cfg_FY,1,1),0))-$E148+1))</f>
        <v>0</v>
      </c>
      <c r="AI148" s="57" t="n">
        <f aca="false">IF(OR(OR($B148="",$E148="",$F148=""),$L148&lt;&gt;"لا"),0,MAX(0,MIN($F148,EOMONTH(DATE(cfg_FY,2,1),0))-$E148+1))</f>
        <v>0</v>
      </c>
      <c r="AJ148" s="57" t="n">
        <f aca="false">IF(OR(OR($B148="",$E148="",$F148=""),$L148&lt;&gt;"لا"),0,MAX(0,MIN($F148,EOMONTH(DATE(cfg_FY,3,1),0))-$E148+1))</f>
        <v>0</v>
      </c>
      <c r="AK148" s="57" t="n">
        <f aca="false">IF(OR(OR($B148="",$E148="",$F148=""),$L148&lt;&gt;"لا"),0,MAX(0,MIN($F148,EOMONTH(DATE(cfg_FY,4,1),0))-$E148+1))</f>
        <v>0</v>
      </c>
      <c r="AL148" s="57" t="n">
        <f aca="false">IF(OR(OR($B148="",$E148="",$F148=""),$L148&lt;&gt;"لا"),0,MAX(0,MIN($F148,EOMONTH(DATE(cfg_FY,5,1),0))-$E148+1))</f>
        <v>0</v>
      </c>
      <c r="AM148" s="57" t="n">
        <f aca="false">IF(OR(OR($B148="",$E148="",$F148=""),$L148&lt;&gt;"لا"),0,MAX(0,MIN($F148,EOMONTH(DATE(cfg_FY,6,1),0))-$E148+1))</f>
        <v>0</v>
      </c>
      <c r="AN148" s="57" t="n">
        <f aca="false">IF(OR(OR($B148="",$E148="",$F148=""),$L148&lt;&gt;"لا"),0,MAX(0,MIN($F148,EOMONTH(DATE(cfg_FY,7,1),0))-$E148+1))</f>
        <v>0</v>
      </c>
      <c r="AO148" s="57" t="n">
        <f aca="false">IF(OR(OR($B148="",$E148="",$F148=""),$L148&lt;&gt;"لا"),0,MAX(0,MIN($F148,EOMONTH(DATE(cfg_FY,8,1),0))-$E148+1))</f>
        <v>0</v>
      </c>
      <c r="AP148" s="57" t="n">
        <f aca="false">IF(OR(OR($B148="",$E148="",$F148=""),$L148&lt;&gt;"لا"),0,MAX(0,MIN($F148,EOMONTH(DATE(cfg_FY,9,1),0))-$E148+1))</f>
        <v>0</v>
      </c>
      <c r="AQ148" s="57" t="n">
        <f aca="false">IF(OR(OR($B148="",$E148="",$F148=""),$L148&lt;&gt;"لا"),0,MAX(0,MIN($F148,EOMONTH(DATE(cfg_FY,10,1),0))-$E148+1))</f>
        <v>0</v>
      </c>
      <c r="AR148" s="57" t="n">
        <f aca="false">IF(OR(OR($B148="",$E148="",$F148=""),$L148&lt;&gt;"لا"),0,MAX(0,MIN($F148,EOMONTH(DATE(cfg_FY,11,1),0))-$E148+1))</f>
        <v>0</v>
      </c>
      <c r="AS148" s="57" t="n">
        <f aca="false">IF(OR(OR($B148="",$E148="",$F148=""),$L148&lt;&gt;"لا"),0,MAX(0,MIN($F148,EOMONTH(DATE(cfg_FY,12,1),0))-$E148+1))</f>
        <v>0</v>
      </c>
      <c r="AT148" s="57" t="n">
        <f aca="false">IF(OR(OR($B148="",$E148="",$F148=""),$K148&lt;&gt;"نعم",$M148="نعم"),0,MAX(0,MIN($F148,EOMONTH(DATE(cfg_FY,1,1),0))-MAX($E148,DATE(cfg_FY,1,1))+1))</f>
        <v>0</v>
      </c>
      <c r="AU148" s="57" t="n">
        <f aca="false">IF(OR(OR($B148="",$E148="",$F148=""),$K148&lt;&gt;"نعم",$M148="نعم"),0,MAX(0,MIN($F148,EOMONTH(DATE(cfg_FY,2,1),0))-MAX($E148,DATE(cfg_FY,2,1))+1))</f>
        <v>0</v>
      </c>
      <c r="AV148" s="57" t="n">
        <f aca="false">IF(OR(OR($B148="",$E148="",$F148=""),$K148&lt;&gt;"نعم",$M148="نعم"),0,MAX(0,MIN($F148,EOMONTH(DATE(cfg_FY,3,1),0))-MAX($E148,DATE(cfg_FY,3,1))+1))</f>
        <v>0</v>
      </c>
      <c r="AW148" s="57" t="n">
        <f aca="false">IF(OR(OR($B148="",$E148="",$F148=""),$K148&lt;&gt;"نعم",$M148="نعم"),0,MAX(0,MIN($F148,EOMONTH(DATE(cfg_FY,4,1),0))-MAX($E148,DATE(cfg_FY,4,1))+1))</f>
        <v>0</v>
      </c>
      <c r="AX148" s="57" t="n">
        <f aca="false">IF(OR(OR($B148="",$E148="",$F148=""),$K148&lt;&gt;"نعم",$M148="نعم"),0,MAX(0,MIN($F148,EOMONTH(DATE(cfg_FY,5,1),0))-MAX($E148,DATE(cfg_FY,5,1))+1))</f>
        <v>0</v>
      </c>
      <c r="AY148" s="57" t="n">
        <f aca="false">IF(OR(OR($B148="",$E148="",$F148=""),$K148&lt;&gt;"نعم",$M148="نعم"),0,MAX(0,MIN($F148,EOMONTH(DATE(cfg_FY,6,1),0))-MAX($E148,DATE(cfg_FY,6,1))+1))</f>
        <v>0</v>
      </c>
      <c r="AZ148" s="57" t="n">
        <f aca="false">IF(OR(OR($B148="",$E148="",$F148=""),$K148&lt;&gt;"نعم",$M148="نعم"),0,MAX(0,MIN($F148,EOMONTH(DATE(cfg_FY,7,1),0))-MAX($E148,DATE(cfg_FY,7,1))+1))</f>
        <v>0</v>
      </c>
      <c r="BA148" s="57" t="n">
        <f aca="false">IF(OR(OR($B148="",$E148="",$F148=""),$K148&lt;&gt;"نعم",$M148="نعم"),0,MAX(0,MIN($F148,EOMONTH(DATE(cfg_FY,8,1),0))-MAX($E148,DATE(cfg_FY,8,1))+1))</f>
        <v>0</v>
      </c>
      <c r="BB148" s="57" t="n">
        <f aca="false">IF(OR(OR($B148="",$E148="",$F148=""),$K148&lt;&gt;"نعم",$M148="نعم"),0,MAX(0,MIN($F148,EOMONTH(DATE(cfg_FY,9,1),0))-MAX($E148,DATE(cfg_FY,9,1))+1))</f>
        <v>0</v>
      </c>
      <c r="BC148" s="57" t="n">
        <f aca="false">IF(OR(OR($B148="",$E148="",$F148=""),$K148&lt;&gt;"نعم",$M148="نعم"),0,MAX(0,MIN($F148,EOMONTH(DATE(cfg_FY,10,1),0))-MAX($E148,DATE(cfg_FY,10,1))+1))</f>
        <v>0</v>
      </c>
      <c r="BD148" s="57" t="n">
        <f aca="false">IF(OR(OR($B148="",$E148="",$F148=""),$K148&lt;&gt;"نعم",$M148="نعم"),0,MAX(0,MIN($F148,EOMONTH(DATE(cfg_FY,11,1),0))-MAX($E148,DATE(cfg_FY,11,1))+1))</f>
        <v>0</v>
      </c>
      <c r="BE148" s="57" t="n">
        <f aca="false">IF(OR(OR($B148="",$E148="",$F148=""),$K148&lt;&gt;"نعم",$M148="نعم"),0,MAX(0,MIN($F148,EOMONTH(DATE(cfg_FY,12,1),0))-MAX($E148,DATE(cfg_FY,12,1))+1))</f>
        <v>0</v>
      </c>
    </row>
    <row r="149" customFormat="false" ht="15" hidden="false" customHeight="false" outlineLevel="0" collapsed="false">
      <c r="A149" s="100" t="str">
        <f aca="false">IF(B149="","",ROW()-5)</f>
        <v/>
      </c>
      <c r="B149" s="79"/>
      <c r="C149" s="102" t="str">
        <f aca="false">IF(B149="","",IFERROR(INDEX(الموظفون!$C$6:$C$105,MATCH(B149,الموظفون!$B$6:$B$105,0)),"✖ رقم غير موجود"))</f>
        <v/>
      </c>
      <c r="D149" s="79"/>
      <c r="E149" s="94"/>
      <c r="F149" s="94"/>
      <c r="G149" s="110" t="str">
        <f aca="false">IF(OR($B149="",$E149="",$F149=""),"",MAX(0,F149-E149+1))</f>
        <v/>
      </c>
      <c r="H149" s="111" t="str">
        <f aca="false">IF(D149="","",IFERROR(VLOOKUP(D149,cfg_LT,2,FALSE()),1))</f>
        <v/>
      </c>
      <c r="I149" s="82"/>
      <c r="J149" s="111" t="str">
        <f aca="false">IF(D149="","",IF(I149&lt;&gt;"",I149,H149))</f>
        <v/>
      </c>
      <c r="K149" s="102" t="str">
        <f aca="false">IF(D149="","",IFERROR(VLOOKUP($D149,cfg_LT,3,FALSE()),""))</f>
        <v/>
      </c>
      <c r="L149" s="102" t="str">
        <f aca="false">IF(D149="","",IFERROR(VLOOKUP($D149,cfg_LT,4,FALSE()),""))</f>
        <v/>
      </c>
      <c r="M149" s="102" t="str">
        <f aca="false">IF(D149="","",IFERROR(VLOOKUP($D149,cfg_LT,5,FALSE()),""))</f>
        <v/>
      </c>
      <c r="N149" s="101" t="n">
        <f aca="false">IF(OR(OR($B149="",$E149="",$F149=""),M149&lt;&gt;"نعم"),0,G149*J149*IFERROR(INDEX(الموظفون!$R$6:$R$105,MATCH(B149,الموظفون!$B$6:$B$105,0)),0)/cfg_DAYS_M)</f>
        <v>0</v>
      </c>
      <c r="O149" s="100" t="str">
        <f aca="false">IF(OR(OR($B149="",$E149="",$F149=""),M149&lt;&gt;"نعم"),"",IF(YEAR(E149)=cfg_FY,MONTH(E149),""))</f>
        <v/>
      </c>
      <c r="P149" s="102" t="str">
        <f aca="false">IF(B149="","",IF(OR(D149="",E149="",F149=""),"⚠ أكمل النوع والتواريخ",IF(F149&lt;E149,"✖ النهاية قبل البداية",IF(COUNTIFS($B$6:$B$505,B149,$E$6:$E$505,"&lt;="&amp;F149,$F$6:$F$505,"&gt;="&amp;E149)&gt;1,"⚠ تداخل مع سجل آخر",IF(E149&gt;cfg_VAL_DATE,"⏳ قادمة",IF(F149&lt;cfg_VAL_DATE,"✔ منتهية","✈ جارية في تاريخ التقرير"))))))</f>
        <v/>
      </c>
      <c r="Q149" s="79"/>
      <c r="R149" s="110" t="n">
        <f aca="false">IF(OR(OR($B149="",$E149="",$F149=""),L149&lt;&gt;"لا"),0,MAX(0,MIN(F149,cfg_Y_START-1)-E149+1))</f>
        <v>0</v>
      </c>
      <c r="S149" s="110" t="n">
        <f aca="false">IF(OR(OR($B149="",$E149="",$F149=""),L149&lt;&gt;"لا"),0,MAX(0,MIN(F149,cfg_VAL_DATE)-E149+1))</f>
        <v>0</v>
      </c>
      <c r="T149" s="110" t="n">
        <f aca="false">IF(OR(OR($B149="",$E149="",$F149=""),K149&lt;&gt;"نعم"),0,IF(M149="نعم",IF(AND(ISNUMBER(O149),N(O149)&lt;=cfg_VAL_M),G149,0),MAX(0,MIN(F149,cfg_VAL_DATE)-MAX(E149,cfg_Y_START)+1)))</f>
        <v>0</v>
      </c>
      <c r="V149" s="110" t="n">
        <f aca="false">IF(OR($B149="",$E149="",$F149=""),0,MAX(0,MIN($F149,EOMONTH(DATE(cfg_FY,1,1),0))-MAX($E149,DATE(cfg_FY,1,1))+1)*(1-IF($M149="نعم",0,N($J149))))</f>
        <v>0</v>
      </c>
      <c r="W149" s="110" t="n">
        <f aca="false">IF(OR($B149="",$E149="",$F149=""),0,MAX(0,MIN($F149,EOMONTH(DATE(cfg_FY,2,1),0))-MAX($E149,DATE(cfg_FY,2,1))+1)*(1-IF($M149="نعم",0,N($J149))))</f>
        <v>0</v>
      </c>
      <c r="X149" s="110" t="n">
        <f aca="false">IF(OR($B149="",$E149="",$F149=""),0,MAX(0,MIN($F149,EOMONTH(DATE(cfg_FY,3,1),0))-MAX($E149,DATE(cfg_FY,3,1))+1)*(1-IF($M149="نعم",0,N($J149))))</f>
        <v>0</v>
      </c>
      <c r="Y149" s="110" t="n">
        <f aca="false">IF(OR($B149="",$E149="",$F149=""),0,MAX(0,MIN($F149,EOMONTH(DATE(cfg_FY,4,1),0))-MAX($E149,DATE(cfg_FY,4,1))+1)*(1-IF($M149="نعم",0,N($J149))))</f>
        <v>0</v>
      </c>
      <c r="Z149" s="110" t="n">
        <f aca="false">IF(OR($B149="",$E149="",$F149=""),0,MAX(0,MIN($F149,EOMONTH(DATE(cfg_FY,5,1),0))-MAX($E149,DATE(cfg_FY,5,1))+1)*(1-IF($M149="نعم",0,N($J149))))</f>
        <v>0</v>
      </c>
      <c r="AA149" s="110" t="n">
        <f aca="false">IF(OR($B149="",$E149="",$F149=""),0,MAX(0,MIN($F149,EOMONTH(DATE(cfg_FY,6,1),0))-MAX($E149,DATE(cfg_FY,6,1))+1)*(1-IF($M149="نعم",0,N($J149))))</f>
        <v>0</v>
      </c>
      <c r="AB149" s="110" t="n">
        <f aca="false">IF(OR($B149="",$E149="",$F149=""),0,MAX(0,MIN($F149,EOMONTH(DATE(cfg_FY,7,1),0))-MAX($E149,DATE(cfg_FY,7,1))+1)*(1-IF($M149="نعم",0,N($J149))))</f>
        <v>0</v>
      </c>
      <c r="AC149" s="110" t="n">
        <f aca="false">IF(OR($B149="",$E149="",$F149=""),0,MAX(0,MIN($F149,EOMONTH(DATE(cfg_FY,8,1),0))-MAX($E149,DATE(cfg_FY,8,1))+1)*(1-IF($M149="نعم",0,N($J149))))</f>
        <v>0</v>
      </c>
      <c r="AD149" s="110" t="n">
        <f aca="false">IF(OR($B149="",$E149="",$F149=""),0,MAX(0,MIN($F149,EOMONTH(DATE(cfg_FY,9,1),0))-MAX($E149,DATE(cfg_FY,9,1))+1)*(1-IF($M149="نعم",0,N($J149))))</f>
        <v>0</v>
      </c>
      <c r="AE149" s="110" t="n">
        <f aca="false">IF(OR($B149="",$E149="",$F149=""),0,MAX(0,MIN($F149,EOMONTH(DATE(cfg_FY,10,1),0))-MAX($E149,DATE(cfg_FY,10,1))+1)*(1-IF($M149="نعم",0,N($J149))))</f>
        <v>0</v>
      </c>
      <c r="AF149" s="110" t="n">
        <f aca="false">IF(OR($B149="",$E149="",$F149=""),0,MAX(0,MIN($F149,EOMONTH(DATE(cfg_FY,11,1),0))-MAX($E149,DATE(cfg_FY,11,1))+1)*(1-IF($M149="نعم",0,N($J149))))</f>
        <v>0</v>
      </c>
      <c r="AG149" s="110" t="n">
        <f aca="false">IF(OR($B149="",$E149="",$F149=""),0,MAX(0,MIN($F149,EOMONTH(DATE(cfg_FY,12,1),0))-MAX($E149,DATE(cfg_FY,12,1))+1)*(1-IF($M149="نعم",0,N($J149))))</f>
        <v>0</v>
      </c>
      <c r="AH149" s="110" t="n">
        <f aca="false">IF(OR(OR($B149="",$E149="",$F149=""),$L149&lt;&gt;"لا"),0,MAX(0,MIN($F149,EOMONTH(DATE(cfg_FY,1,1),0))-$E149+1))</f>
        <v>0</v>
      </c>
      <c r="AI149" s="110" t="n">
        <f aca="false">IF(OR(OR($B149="",$E149="",$F149=""),$L149&lt;&gt;"لا"),0,MAX(0,MIN($F149,EOMONTH(DATE(cfg_FY,2,1),0))-$E149+1))</f>
        <v>0</v>
      </c>
      <c r="AJ149" s="110" t="n">
        <f aca="false">IF(OR(OR($B149="",$E149="",$F149=""),$L149&lt;&gt;"لا"),0,MAX(0,MIN($F149,EOMONTH(DATE(cfg_FY,3,1),0))-$E149+1))</f>
        <v>0</v>
      </c>
      <c r="AK149" s="110" t="n">
        <f aca="false">IF(OR(OR($B149="",$E149="",$F149=""),$L149&lt;&gt;"لا"),0,MAX(0,MIN($F149,EOMONTH(DATE(cfg_FY,4,1),0))-$E149+1))</f>
        <v>0</v>
      </c>
      <c r="AL149" s="110" t="n">
        <f aca="false">IF(OR(OR($B149="",$E149="",$F149=""),$L149&lt;&gt;"لا"),0,MAX(0,MIN($F149,EOMONTH(DATE(cfg_FY,5,1),0))-$E149+1))</f>
        <v>0</v>
      </c>
      <c r="AM149" s="110" t="n">
        <f aca="false">IF(OR(OR($B149="",$E149="",$F149=""),$L149&lt;&gt;"لا"),0,MAX(0,MIN($F149,EOMONTH(DATE(cfg_FY,6,1),0))-$E149+1))</f>
        <v>0</v>
      </c>
      <c r="AN149" s="110" t="n">
        <f aca="false">IF(OR(OR($B149="",$E149="",$F149=""),$L149&lt;&gt;"لا"),0,MAX(0,MIN($F149,EOMONTH(DATE(cfg_FY,7,1),0))-$E149+1))</f>
        <v>0</v>
      </c>
      <c r="AO149" s="110" t="n">
        <f aca="false">IF(OR(OR($B149="",$E149="",$F149=""),$L149&lt;&gt;"لا"),0,MAX(0,MIN($F149,EOMONTH(DATE(cfg_FY,8,1),0))-$E149+1))</f>
        <v>0</v>
      </c>
      <c r="AP149" s="110" t="n">
        <f aca="false">IF(OR(OR($B149="",$E149="",$F149=""),$L149&lt;&gt;"لا"),0,MAX(0,MIN($F149,EOMONTH(DATE(cfg_FY,9,1),0))-$E149+1))</f>
        <v>0</v>
      </c>
      <c r="AQ149" s="110" t="n">
        <f aca="false">IF(OR(OR($B149="",$E149="",$F149=""),$L149&lt;&gt;"لا"),0,MAX(0,MIN($F149,EOMONTH(DATE(cfg_FY,10,1),0))-$E149+1))</f>
        <v>0</v>
      </c>
      <c r="AR149" s="110" t="n">
        <f aca="false">IF(OR(OR($B149="",$E149="",$F149=""),$L149&lt;&gt;"لا"),0,MAX(0,MIN($F149,EOMONTH(DATE(cfg_FY,11,1),0))-$E149+1))</f>
        <v>0</v>
      </c>
      <c r="AS149" s="110" t="n">
        <f aca="false">IF(OR(OR($B149="",$E149="",$F149=""),$L149&lt;&gt;"لا"),0,MAX(0,MIN($F149,EOMONTH(DATE(cfg_FY,12,1),0))-$E149+1))</f>
        <v>0</v>
      </c>
      <c r="AT149" s="110" t="n">
        <f aca="false">IF(OR(OR($B149="",$E149="",$F149=""),$K149&lt;&gt;"نعم",$M149="نعم"),0,MAX(0,MIN($F149,EOMONTH(DATE(cfg_FY,1,1),0))-MAX($E149,DATE(cfg_FY,1,1))+1))</f>
        <v>0</v>
      </c>
      <c r="AU149" s="110" t="n">
        <f aca="false">IF(OR(OR($B149="",$E149="",$F149=""),$K149&lt;&gt;"نعم",$M149="نعم"),0,MAX(0,MIN($F149,EOMONTH(DATE(cfg_FY,2,1),0))-MAX($E149,DATE(cfg_FY,2,1))+1))</f>
        <v>0</v>
      </c>
      <c r="AV149" s="110" t="n">
        <f aca="false">IF(OR(OR($B149="",$E149="",$F149=""),$K149&lt;&gt;"نعم",$M149="نعم"),0,MAX(0,MIN($F149,EOMONTH(DATE(cfg_FY,3,1),0))-MAX($E149,DATE(cfg_FY,3,1))+1))</f>
        <v>0</v>
      </c>
      <c r="AW149" s="110" t="n">
        <f aca="false">IF(OR(OR($B149="",$E149="",$F149=""),$K149&lt;&gt;"نعم",$M149="نعم"),0,MAX(0,MIN($F149,EOMONTH(DATE(cfg_FY,4,1),0))-MAX($E149,DATE(cfg_FY,4,1))+1))</f>
        <v>0</v>
      </c>
      <c r="AX149" s="110" t="n">
        <f aca="false">IF(OR(OR($B149="",$E149="",$F149=""),$K149&lt;&gt;"نعم",$M149="نعم"),0,MAX(0,MIN($F149,EOMONTH(DATE(cfg_FY,5,1),0))-MAX($E149,DATE(cfg_FY,5,1))+1))</f>
        <v>0</v>
      </c>
      <c r="AY149" s="110" t="n">
        <f aca="false">IF(OR(OR($B149="",$E149="",$F149=""),$K149&lt;&gt;"نعم",$M149="نعم"),0,MAX(0,MIN($F149,EOMONTH(DATE(cfg_FY,6,1),0))-MAX($E149,DATE(cfg_FY,6,1))+1))</f>
        <v>0</v>
      </c>
      <c r="AZ149" s="110" t="n">
        <f aca="false">IF(OR(OR($B149="",$E149="",$F149=""),$K149&lt;&gt;"نعم",$M149="نعم"),0,MAX(0,MIN($F149,EOMONTH(DATE(cfg_FY,7,1),0))-MAX($E149,DATE(cfg_FY,7,1))+1))</f>
        <v>0</v>
      </c>
      <c r="BA149" s="110" t="n">
        <f aca="false">IF(OR(OR($B149="",$E149="",$F149=""),$K149&lt;&gt;"نعم",$M149="نعم"),0,MAX(0,MIN($F149,EOMONTH(DATE(cfg_FY,8,1),0))-MAX($E149,DATE(cfg_FY,8,1))+1))</f>
        <v>0</v>
      </c>
      <c r="BB149" s="110" t="n">
        <f aca="false">IF(OR(OR($B149="",$E149="",$F149=""),$K149&lt;&gt;"نعم",$M149="نعم"),0,MAX(0,MIN($F149,EOMONTH(DATE(cfg_FY,9,1),0))-MAX($E149,DATE(cfg_FY,9,1))+1))</f>
        <v>0</v>
      </c>
      <c r="BC149" s="110" t="n">
        <f aca="false">IF(OR(OR($B149="",$E149="",$F149=""),$K149&lt;&gt;"نعم",$M149="نعم"),0,MAX(0,MIN($F149,EOMONTH(DATE(cfg_FY,10,1),0))-MAX($E149,DATE(cfg_FY,10,1))+1))</f>
        <v>0</v>
      </c>
      <c r="BD149" s="110" t="n">
        <f aca="false">IF(OR(OR($B149="",$E149="",$F149=""),$K149&lt;&gt;"نعم",$M149="نعم"),0,MAX(0,MIN($F149,EOMONTH(DATE(cfg_FY,11,1),0))-MAX($E149,DATE(cfg_FY,11,1))+1))</f>
        <v>0</v>
      </c>
      <c r="BE149" s="110" t="n">
        <f aca="false">IF(OR(OR($B149="",$E149="",$F149=""),$K149&lt;&gt;"نعم",$M149="نعم"),0,MAX(0,MIN($F149,EOMONTH(DATE(cfg_FY,12,1),0))-MAX($E149,DATE(cfg_FY,12,1))+1))</f>
        <v>0</v>
      </c>
    </row>
    <row r="150" customFormat="false" ht="15" hidden="false" customHeight="false" outlineLevel="0" collapsed="false">
      <c r="A150" s="93" t="str">
        <f aca="false">IF(B150="","",ROW()-5)</f>
        <v/>
      </c>
      <c r="B150" s="79"/>
      <c r="C150" s="80" t="str">
        <f aca="false">IF(B150="","",IFERROR(INDEX(الموظفون!$C$6:$C$105,MATCH(B150,الموظفون!$B$6:$B$105,0)),"✖ رقم غير موجود"))</f>
        <v/>
      </c>
      <c r="D150" s="79"/>
      <c r="E150" s="94"/>
      <c r="F150" s="94"/>
      <c r="G150" s="57" t="str">
        <f aca="false">IF(OR($B150="",$E150="",$F150=""),"",MAX(0,F150-E150+1))</f>
        <v/>
      </c>
      <c r="H150" s="58" t="str">
        <f aca="false">IF(D150="","",IFERROR(VLOOKUP(D150,cfg_LT,2,FALSE()),1))</f>
        <v/>
      </c>
      <c r="I150" s="82"/>
      <c r="J150" s="58" t="str">
        <f aca="false">IF(D150="","",IF(I150&lt;&gt;"",I150,H150))</f>
        <v/>
      </c>
      <c r="K150" s="80" t="str">
        <f aca="false">IF(D150="","",IFERROR(VLOOKUP($D150,cfg_LT,3,FALSE()),""))</f>
        <v/>
      </c>
      <c r="L150" s="80" t="str">
        <f aca="false">IF(D150="","",IFERROR(VLOOKUP($D150,cfg_LT,4,FALSE()),""))</f>
        <v/>
      </c>
      <c r="M150" s="80" t="str">
        <f aca="false">IF(D150="","",IFERROR(VLOOKUP($D150,cfg_LT,5,FALSE()),""))</f>
        <v/>
      </c>
      <c r="N150" s="97" t="n">
        <f aca="false">IF(OR(OR($B150="",$E150="",$F150=""),M150&lt;&gt;"نعم"),0,G150*J150*IFERROR(INDEX(الموظفون!$R$6:$R$105,MATCH(B150,الموظفون!$B$6:$B$105,0)),0)/cfg_DAYS_M)</f>
        <v>0</v>
      </c>
      <c r="O150" s="93" t="str">
        <f aca="false">IF(OR(OR($B150="",$E150="",$F150=""),M150&lt;&gt;"نعم"),"",IF(YEAR(E150)=cfg_FY,MONTH(E150),""))</f>
        <v/>
      </c>
      <c r="P150" s="80" t="str">
        <f aca="false">IF(B150="","",IF(OR(D150="",E150="",F150=""),"⚠ أكمل النوع والتواريخ",IF(F150&lt;E150,"✖ النهاية قبل البداية",IF(COUNTIFS($B$6:$B$505,B150,$E$6:$E$505,"&lt;="&amp;F150,$F$6:$F$505,"&gt;="&amp;E150)&gt;1,"⚠ تداخل مع سجل آخر",IF(E150&gt;cfg_VAL_DATE,"⏳ قادمة",IF(F150&lt;cfg_VAL_DATE,"✔ منتهية","✈ جارية في تاريخ التقرير"))))))</f>
        <v/>
      </c>
      <c r="Q150" s="79"/>
      <c r="R150" s="57" t="n">
        <f aca="false">IF(OR(OR($B150="",$E150="",$F150=""),L150&lt;&gt;"لا"),0,MAX(0,MIN(F150,cfg_Y_START-1)-E150+1))</f>
        <v>0</v>
      </c>
      <c r="S150" s="57" t="n">
        <f aca="false">IF(OR(OR($B150="",$E150="",$F150=""),L150&lt;&gt;"لا"),0,MAX(0,MIN(F150,cfg_VAL_DATE)-E150+1))</f>
        <v>0</v>
      </c>
      <c r="T150" s="57" t="n">
        <f aca="false">IF(OR(OR($B150="",$E150="",$F150=""),K150&lt;&gt;"نعم"),0,IF(M150="نعم",IF(AND(ISNUMBER(O150),N(O150)&lt;=cfg_VAL_M),G150,0),MAX(0,MIN(F150,cfg_VAL_DATE)-MAX(E150,cfg_Y_START)+1)))</f>
        <v>0</v>
      </c>
      <c r="V150" s="57" t="n">
        <f aca="false">IF(OR($B150="",$E150="",$F150=""),0,MAX(0,MIN($F150,EOMONTH(DATE(cfg_FY,1,1),0))-MAX($E150,DATE(cfg_FY,1,1))+1)*(1-IF($M150="نعم",0,N($J150))))</f>
        <v>0</v>
      </c>
      <c r="W150" s="57" t="n">
        <f aca="false">IF(OR($B150="",$E150="",$F150=""),0,MAX(0,MIN($F150,EOMONTH(DATE(cfg_FY,2,1),0))-MAX($E150,DATE(cfg_FY,2,1))+1)*(1-IF($M150="نعم",0,N($J150))))</f>
        <v>0</v>
      </c>
      <c r="X150" s="57" t="n">
        <f aca="false">IF(OR($B150="",$E150="",$F150=""),0,MAX(0,MIN($F150,EOMONTH(DATE(cfg_FY,3,1),0))-MAX($E150,DATE(cfg_FY,3,1))+1)*(1-IF($M150="نعم",0,N($J150))))</f>
        <v>0</v>
      </c>
      <c r="Y150" s="57" t="n">
        <f aca="false">IF(OR($B150="",$E150="",$F150=""),0,MAX(0,MIN($F150,EOMONTH(DATE(cfg_FY,4,1),0))-MAX($E150,DATE(cfg_FY,4,1))+1)*(1-IF($M150="نعم",0,N($J150))))</f>
        <v>0</v>
      </c>
      <c r="Z150" s="57" t="n">
        <f aca="false">IF(OR($B150="",$E150="",$F150=""),0,MAX(0,MIN($F150,EOMONTH(DATE(cfg_FY,5,1),0))-MAX($E150,DATE(cfg_FY,5,1))+1)*(1-IF($M150="نعم",0,N($J150))))</f>
        <v>0</v>
      </c>
      <c r="AA150" s="57" t="n">
        <f aca="false">IF(OR($B150="",$E150="",$F150=""),0,MAX(0,MIN($F150,EOMONTH(DATE(cfg_FY,6,1),0))-MAX($E150,DATE(cfg_FY,6,1))+1)*(1-IF($M150="نعم",0,N($J150))))</f>
        <v>0</v>
      </c>
      <c r="AB150" s="57" t="n">
        <f aca="false">IF(OR($B150="",$E150="",$F150=""),0,MAX(0,MIN($F150,EOMONTH(DATE(cfg_FY,7,1),0))-MAX($E150,DATE(cfg_FY,7,1))+1)*(1-IF($M150="نعم",0,N($J150))))</f>
        <v>0</v>
      </c>
      <c r="AC150" s="57" t="n">
        <f aca="false">IF(OR($B150="",$E150="",$F150=""),0,MAX(0,MIN($F150,EOMONTH(DATE(cfg_FY,8,1),0))-MAX($E150,DATE(cfg_FY,8,1))+1)*(1-IF($M150="نعم",0,N($J150))))</f>
        <v>0</v>
      </c>
      <c r="AD150" s="57" t="n">
        <f aca="false">IF(OR($B150="",$E150="",$F150=""),0,MAX(0,MIN($F150,EOMONTH(DATE(cfg_FY,9,1),0))-MAX($E150,DATE(cfg_FY,9,1))+1)*(1-IF($M150="نعم",0,N($J150))))</f>
        <v>0</v>
      </c>
      <c r="AE150" s="57" t="n">
        <f aca="false">IF(OR($B150="",$E150="",$F150=""),0,MAX(0,MIN($F150,EOMONTH(DATE(cfg_FY,10,1),0))-MAX($E150,DATE(cfg_FY,10,1))+1)*(1-IF($M150="نعم",0,N($J150))))</f>
        <v>0</v>
      </c>
      <c r="AF150" s="57" t="n">
        <f aca="false">IF(OR($B150="",$E150="",$F150=""),0,MAX(0,MIN($F150,EOMONTH(DATE(cfg_FY,11,1),0))-MAX($E150,DATE(cfg_FY,11,1))+1)*(1-IF($M150="نعم",0,N($J150))))</f>
        <v>0</v>
      </c>
      <c r="AG150" s="57" t="n">
        <f aca="false">IF(OR($B150="",$E150="",$F150=""),0,MAX(0,MIN($F150,EOMONTH(DATE(cfg_FY,12,1),0))-MAX($E150,DATE(cfg_FY,12,1))+1)*(1-IF($M150="نعم",0,N($J150))))</f>
        <v>0</v>
      </c>
      <c r="AH150" s="57" t="n">
        <f aca="false">IF(OR(OR($B150="",$E150="",$F150=""),$L150&lt;&gt;"لا"),0,MAX(0,MIN($F150,EOMONTH(DATE(cfg_FY,1,1),0))-$E150+1))</f>
        <v>0</v>
      </c>
      <c r="AI150" s="57" t="n">
        <f aca="false">IF(OR(OR($B150="",$E150="",$F150=""),$L150&lt;&gt;"لا"),0,MAX(0,MIN($F150,EOMONTH(DATE(cfg_FY,2,1),0))-$E150+1))</f>
        <v>0</v>
      </c>
      <c r="AJ150" s="57" t="n">
        <f aca="false">IF(OR(OR($B150="",$E150="",$F150=""),$L150&lt;&gt;"لا"),0,MAX(0,MIN($F150,EOMONTH(DATE(cfg_FY,3,1),0))-$E150+1))</f>
        <v>0</v>
      </c>
      <c r="AK150" s="57" t="n">
        <f aca="false">IF(OR(OR($B150="",$E150="",$F150=""),$L150&lt;&gt;"لا"),0,MAX(0,MIN($F150,EOMONTH(DATE(cfg_FY,4,1),0))-$E150+1))</f>
        <v>0</v>
      </c>
      <c r="AL150" s="57" t="n">
        <f aca="false">IF(OR(OR($B150="",$E150="",$F150=""),$L150&lt;&gt;"لا"),0,MAX(0,MIN($F150,EOMONTH(DATE(cfg_FY,5,1),0))-$E150+1))</f>
        <v>0</v>
      </c>
      <c r="AM150" s="57" t="n">
        <f aca="false">IF(OR(OR($B150="",$E150="",$F150=""),$L150&lt;&gt;"لا"),0,MAX(0,MIN($F150,EOMONTH(DATE(cfg_FY,6,1),0))-$E150+1))</f>
        <v>0</v>
      </c>
      <c r="AN150" s="57" t="n">
        <f aca="false">IF(OR(OR($B150="",$E150="",$F150=""),$L150&lt;&gt;"لا"),0,MAX(0,MIN($F150,EOMONTH(DATE(cfg_FY,7,1),0))-$E150+1))</f>
        <v>0</v>
      </c>
      <c r="AO150" s="57" t="n">
        <f aca="false">IF(OR(OR($B150="",$E150="",$F150=""),$L150&lt;&gt;"لا"),0,MAX(0,MIN($F150,EOMONTH(DATE(cfg_FY,8,1),0))-$E150+1))</f>
        <v>0</v>
      </c>
      <c r="AP150" s="57" t="n">
        <f aca="false">IF(OR(OR($B150="",$E150="",$F150=""),$L150&lt;&gt;"لا"),0,MAX(0,MIN($F150,EOMONTH(DATE(cfg_FY,9,1),0))-$E150+1))</f>
        <v>0</v>
      </c>
      <c r="AQ150" s="57" t="n">
        <f aca="false">IF(OR(OR($B150="",$E150="",$F150=""),$L150&lt;&gt;"لا"),0,MAX(0,MIN($F150,EOMONTH(DATE(cfg_FY,10,1),0))-$E150+1))</f>
        <v>0</v>
      </c>
      <c r="AR150" s="57" t="n">
        <f aca="false">IF(OR(OR($B150="",$E150="",$F150=""),$L150&lt;&gt;"لا"),0,MAX(0,MIN($F150,EOMONTH(DATE(cfg_FY,11,1),0))-$E150+1))</f>
        <v>0</v>
      </c>
      <c r="AS150" s="57" t="n">
        <f aca="false">IF(OR(OR($B150="",$E150="",$F150=""),$L150&lt;&gt;"لا"),0,MAX(0,MIN($F150,EOMONTH(DATE(cfg_FY,12,1),0))-$E150+1))</f>
        <v>0</v>
      </c>
      <c r="AT150" s="57" t="n">
        <f aca="false">IF(OR(OR($B150="",$E150="",$F150=""),$K150&lt;&gt;"نعم",$M150="نعم"),0,MAX(0,MIN($F150,EOMONTH(DATE(cfg_FY,1,1),0))-MAX($E150,DATE(cfg_FY,1,1))+1))</f>
        <v>0</v>
      </c>
      <c r="AU150" s="57" t="n">
        <f aca="false">IF(OR(OR($B150="",$E150="",$F150=""),$K150&lt;&gt;"نعم",$M150="نعم"),0,MAX(0,MIN($F150,EOMONTH(DATE(cfg_FY,2,1),0))-MAX($E150,DATE(cfg_FY,2,1))+1))</f>
        <v>0</v>
      </c>
      <c r="AV150" s="57" t="n">
        <f aca="false">IF(OR(OR($B150="",$E150="",$F150=""),$K150&lt;&gt;"نعم",$M150="نعم"),0,MAX(0,MIN($F150,EOMONTH(DATE(cfg_FY,3,1),0))-MAX($E150,DATE(cfg_FY,3,1))+1))</f>
        <v>0</v>
      </c>
      <c r="AW150" s="57" t="n">
        <f aca="false">IF(OR(OR($B150="",$E150="",$F150=""),$K150&lt;&gt;"نعم",$M150="نعم"),0,MAX(0,MIN($F150,EOMONTH(DATE(cfg_FY,4,1),0))-MAX($E150,DATE(cfg_FY,4,1))+1))</f>
        <v>0</v>
      </c>
      <c r="AX150" s="57" t="n">
        <f aca="false">IF(OR(OR($B150="",$E150="",$F150=""),$K150&lt;&gt;"نعم",$M150="نعم"),0,MAX(0,MIN($F150,EOMONTH(DATE(cfg_FY,5,1),0))-MAX($E150,DATE(cfg_FY,5,1))+1))</f>
        <v>0</v>
      </c>
      <c r="AY150" s="57" t="n">
        <f aca="false">IF(OR(OR($B150="",$E150="",$F150=""),$K150&lt;&gt;"نعم",$M150="نعم"),0,MAX(0,MIN($F150,EOMONTH(DATE(cfg_FY,6,1),0))-MAX($E150,DATE(cfg_FY,6,1))+1))</f>
        <v>0</v>
      </c>
      <c r="AZ150" s="57" t="n">
        <f aca="false">IF(OR(OR($B150="",$E150="",$F150=""),$K150&lt;&gt;"نعم",$M150="نعم"),0,MAX(0,MIN($F150,EOMONTH(DATE(cfg_FY,7,1),0))-MAX($E150,DATE(cfg_FY,7,1))+1))</f>
        <v>0</v>
      </c>
      <c r="BA150" s="57" t="n">
        <f aca="false">IF(OR(OR($B150="",$E150="",$F150=""),$K150&lt;&gt;"نعم",$M150="نعم"),0,MAX(0,MIN($F150,EOMONTH(DATE(cfg_FY,8,1),0))-MAX($E150,DATE(cfg_FY,8,1))+1))</f>
        <v>0</v>
      </c>
      <c r="BB150" s="57" t="n">
        <f aca="false">IF(OR(OR($B150="",$E150="",$F150=""),$K150&lt;&gt;"نعم",$M150="نعم"),0,MAX(0,MIN($F150,EOMONTH(DATE(cfg_FY,9,1),0))-MAX($E150,DATE(cfg_FY,9,1))+1))</f>
        <v>0</v>
      </c>
      <c r="BC150" s="57" t="n">
        <f aca="false">IF(OR(OR($B150="",$E150="",$F150=""),$K150&lt;&gt;"نعم",$M150="نعم"),0,MAX(0,MIN($F150,EOMONTH(DATE(cfg_FY,10,1),0))-MAX($E150,DATE(cfg_FY,10,1))+1))</f>
        <v>0</v>
      </c>
      <c r="BD150" s="57" t="n">
        <f aca="false">IF(OR(OR($B150="",$E150="",$F150=""),$K150&lt;&gt;"نعم",$M150="نعم"),0,MAX(0,MIN($F150,EOMONTH(DATE(cfg_FY,11,1),0))-MAX($E150,DATE(cfg_FY,11,1))+1))</f>
        <v>0</v>
      </c>
      <c r="BE150" s="57" t="n">
        <f aca="false">IF(OR(OR($B150="",$E150="",$F150=""),$K150&lt;&gt;"نعم",$M150="نعم"),0,MAX(0,MIN($F150,EOMONTH(DATE(cfg_FY,12,1),0))-MAX($E150,DATE(cfg_FY,12,1))+1))</f>
        <v>0</v>
      </c>
    </row>
    <row r="151" customFormat="false" ht="15" hidden="false" customHeight="false" outlineLevel="0" collapsed="false">
      <c r="A151" s="100" t="str">
        <f aca="false">IF(B151="","",ROW()-5)</f>
        <v/>
      </c>
      <c r="B151" s="79"/>
      <c r="C151" s="102" t="str">
        <f aca="false">IF(B151="","",IFERROR(INDEX(الموظفون!$C$6:$C$105,MATCH(B151,الموظفون!$B$6:$B$105,0)),"✖ رقم غير موجود"))</f>
        <v/>
      </c>
      <c r="D151" s="79"/>
      <c r="E151" s="94"/>
      <c r="F151" s="94"/>
      <c r="G151" s="110" t="str">
        <f aca="false">IF(OR($B151="",$E151="",$F151=""),"",MAX(0,F151-E151+1))</f>
        <v/>
      </c>
      <c r="H151" s="111" t="str">
        <f aca="false">IF(D151="","",IFERROR(VLOOKUP(D151,cfg_LT,2,FALSE()),1))</f>
        <v/>
      </c>
      <c r="I151" s="82"/>
      <c r="J151" s="111" t="str">
        <f aca="false">IF(D151="","",IF(I151&lt;&gt;"",I151,H151))</f>
        <v/>
      </c>
      <c r="K151" s="102" t="str">
        <f aca="false">IF(D151="","",IFERROR(VLOOKUP($D151,cfg_LT,3,FALSE()),""))</f>
        <v/>
      </c>
      <c r="L151" s="102" t="str">
        <f aca="false">IF(D151="","",IFERROR(VLOOKUP($D151,cfg_LT,4,FALSE()),""))</f>
        <v/>
      </c>
      <c r="M151" s="102" t="str">
        <f aca="false">IF(D151="","",IFERROR(VLOOKUP($D151,cfg_LT,5,FALSE()),""))</f>
        <v/>
      </c>
      <c r="N151" s="101" t="n">
        <f aca="false">IF(OR(OR($B151="",$E151="",$F151=""),M151&lt;&gt;"نعم"),0,G151*J151*IFERROR(INDEX(الموظفون!$R$6:$R$105,MATCH(B151,الموظفون!$B$6:$B$105,0)),0)/cfg_DAYS_M)</f>
        <v>0</v>
      </c>
      <c r="O151" s="100" t="str">
        <f aca="false">IF(OR(OR($B151="",$E151="",$F151=""),M151&lt;&gt;"نعم"),"",IF(YEAR(E151)=cfg_FY,MONTH(E151),""))</f>
        <v/>
      </c>
      <c r="P151" s="102" t="str">
        <f aca="false">IF(B151="","",IF(OR(D151="",E151="",F151=""),"⚠ أكمل النوع والتواريخ",IF(F151&lt;E151,"✖ النهاية قبل البداية",IF(COUNTIFS($B$6:$B$505,B151,$E$6:$E$505,"&lt;="&amp;F151,$F$6:$F$505,"&gt;="&amp;E151)&gt;1,"⚠ تداخل مع سجل آخر",IF(E151&gt;cfg_VAL_DATE,"⏳ قادمة",IF(F151&lt;cfg_VAL_DATE,"✔ منتهية","✈ جارية في تاريخ التقرير"))))))</f>
        <v/>
      </c>
      <c r="Q151" s="79"/>
      <c r="R151" s="110" t="n">
        <f aca="false">IF(OR(OR($B151="",$E151="",$F151=""),L151&lt;&gt;"لا"),0,MAX(0,MIN(F151,cfg_Y_START-1)-E151+1))</f>
        <v>0</v>
      </c>
      <c r="S151" s="110" t="n">
        <f aca="false">IF(OR(OR($B151="",$E151="",$F151=""),L151&lt;&gt;"لا"),0,MAX(0,MIN(F151,cfg_VAL_DATE)-E151+1))</f>
        <v>0</v>
      </c>
      <c r="T151" s="110" t="n">
        <f aca="false">IF(OR(OR($B151="",$E151="",$F151=""),K151&lt;&gt;"نعم"),0,IF(M151="نعم",IF(AND(ISNUMBER(O151),N(O151)&lt;=cfg_VAL_M),G151,0),MAX(0,MIN(F151,cfg_VAL_DATE)-MAX(E151,cfg_Y_START)+1)))</f>
        <v>0</v>
      </c>
      <c r="V151" s="110" t="n">
        <f aca="false">IF(OR($B151="",$E151="",$F151=""),0,MAX(0,MIN($F151,EOMONTH(DATE(cfg_FY,1,1),0))-MAX($E151,DATE(cfg_FY,1,1))+1)*(1-IF($M151="نعم",0,N($J151))))</f>
        <v>0</v>
      </c>
      <c r="W151" s="110" t="n">
        <f aca="false">IF(OR($B151="",$E151="",$F151=""),0,MAX(0,MIN($F151,EOMONTH(DATE(cfg_FY,2,1),0))-MAX($E151,DATE(cfg_FY,2,1))+1)*(1-IF($M151="نعم",0,N($J151))))</f>
        <v>0</v>
      </c>
      <c r="X151" s="110" t="n">
        <f aca="false">IF(OR($B151="",$E151="",$F151=""),0,MAX(0,MIN($F151,EOMONTH(DATE(cfg_FY,3,1),0))-MAX($E151,DATE(cfg_FY,3,1))+1)*(1-IF($M151="نعم",0,N($J151))))</f>
        <v>0</v>
      </c>
      <c r="Y151" s="110" t="n">
        <f aca="false">IF(OR($B151="",$E151="",$F151=""),0,MAX(0,MIN($F151,EOMONTH(DATE(cfg_FY,4,1),0))-MAX($E151,DATE(cfg_FY,4,1))+1)*(1-IF($M151="نعم",0,N($J151))))</f>
        <v>0</v>
      </c>
      <c r="Z151" s="110" t="n">
        <f aca="false">IF(OR($B151="",$E151="",$F151=""),0,MAX(0,MIN($F151,EOMONTH(DATE(cfg_FY,5,1),0))-MAX($E151,DATE(cfg_FY,5,1))+1)*(1-IF($M151="نعم",0,N($J151))))</f>
        <v>0</v>
      </c>
      <c r="AA151" s="110" t="n">
        <f aca="false">IF(OR($B151="",$E151="",$F151=""),0,MAX(0,MIN($F151,EOMONTH(DATE(cfg_FY,6,1),0))-MAX($E151,DATE(cfg_FY,6,1))+1)*(1-IF($M151="نعم",0,N($J151))))</f>
        <v>0</v>
      </c>
      <c r="AB151" s="110" t="n">
        <f aca="false">IF(OR($B151="",$E151="",$F151=""),0,MAX(0,MIN($F151,EOMONTH(DATE(cfg_FY,7,1),0))-MAX($E151,DATE(cfg_FY,7,1))+1)*(1-IF($M151="نعم",0,N($J151))))</f>
        <v>0</v>
      </c>
      <c r="AC151" s="110" t="n">
        <f aca="false">IF(OR($B151="",$E151="",$F151=""),0,MAX(0,MIN($F151,EOMONTH(DATE(cfg_FY,8,1),0))-MAX($E151,DATE(cfg_FY,8,1))+1)*(1-IF($M151="نعم",0,N($J151))))</f>
        <v>0</v>
      </c>
      <c r="AD151" s="110" t="n">
        <f aca="false">IF(OR($B151="",$E151="",$F151=""),0,MAX(0,MIN($F151,EOMONTH(DATE(cfg_FY,9,1),0))-MAX($E151,DATE(cfg_FY,9,1))+1)*(1-IF($M151="نعم",0,N($J151))))</f>
        <v>0</v>
      </c>
      <c r="AE151" s="110" t="n">
        <f aca="false">IF(OR($B151="",$E151="",$F151=""),0,MAX(0,MIN($F151,EOMONTH(DATE(cfg_FY,10,1),0))-MAX($E151,DATE(cfg_FY,10,1))+1)*(1-IF($M151="نعم",0,N($J151))))</f>
        <v>0</v>
      </c>
      <c r="AF151" s="110" t="n">
        <f aca="false">IF(OR($B151="",$E151="",$F151=""),0,MAX(0,MIN($F151,EOMONTH(DATE(cfg_FY,11,1),0))-MAX($E151,DATE(cfg_FY,11,1))+1)*(1-IF($M151="نعم",0,N($J151))))</f>
        <v>0</v>
      </c>
      <c r="AG151" s="110" t="n">
        <f aca="false">IF(OR($B151="",$E151="",$F151=""),0,MAX(0,MIN($F151,EOMONTH(DATE(cfg_FY,12,1),0))-MAX($E151,DATE(cfg_FY,12,1))+1)*(1-IF($M151="نعم",0,N($J151))))</f>
        <v>0</v>
      </c>
      <c r="AH151" s="110" t="n">
        <f aca="false">IF(OR(OR($B151="",$E151="",$F151=""),$L151&lt;&gt;"لا"),0,MAX(0,MIN($F151,EOMONTH(DATE(cfg_FY,1,1),0))-$E151+1))</f>
        <v>0</v>
      </c>
      <c r="AI151" s="110" t="n">
        <f aca="false">IF(OR(OR($B151="",$E151="",$F151=""),$L151&lt;&gt;"لا"),0,MAX(0,MIN($F151,EOMONTH(DATE(cfg_FY,2,1),0))-$E151+1))</f>
        <v>0</v>
      </c>
      <c r="AJ151" s="110" t="n">
        <f aca="false">IF(OR(OR($B151="",$E151="",$F151=""),$L151&lt;&gt;"لا"),0,MAX(0,MIN($F151,EOMONTH(DATE(cfg_FY,3,1),0))-$E151+1))</f>
        <v>0</v>
      </c>
      <c r="AK151" s="110" t="n">
        <f aca="false">IF(OR(OR($B151="",$E151="",$F151=""),$L151&lt;&gt;"لا"),0,MAX(0,MIN($F151,EOMONTH(DATE(cfg_FY,4,1),0))-$E151+1))</f>
        <v>0</v>
      </c>
      <c r="AL151" s="110" t="n">
        <f aca="false">IF(OR(OR($B151="",$E151="",$F151=""),$L151&lt;&gt;"لا"),0,MAX(0,MIN($F151,EOMONTH(DATE(cfg_FY,5,1),0))-$E151+1))</f>
        <v>0</v>
      </c>
      <c r="AM151" s="110" t="n">
        <f aca="false">IF(OR(OR($B151="",$E151="",$F151=""),$L151&lt;&gt;"لا"),0,MAX(0,MIN($F151,EOMONTH(DATE(cfg_FY,6,1),0))-$E151+1))</f>
        <v>0</v>
      </c>
      <c r="AN151" s="110" t="n">
        <f aca="false">IF(OR(OR($B151="",$E151="",$F151=""),$L151&lt;&gt;"لا"),0,MAX(0,MIN($F151,EOMONTH(DATE(cfg_FY,7,1),0))-$E151+1))</f>
        <v>0</v>
      </c>
      <c r="AO151" s="110" t="n">
        <f aca="false">IF(OR(OR($B151="",$E151="",$F151=""),$L151&lt;&gt;"لا"),0,MAX(0,MIN($F151,EOMONTH(DATE(cfg_FY,8,1),0))-$E151+1))</f>
        <v>0</v>
      </c>
      <c r="AP151" s="110" t="n">
        <f aca="false">IF(OR(OR($B151="",$E151="",$F151=""),$L151&lt;&gt;"لا"),0,MAX(0,MIN($F151,EOMONTH(DATE(cfg_FY,9,1),0))-$E151+1))</f>
        <v>0</v>
      </c>
      <c r="AQ151" s="110" t="n">
        <f aca="false">IF(OR(OR($B151="",$E151="",$F151=""),$L151&lt;&gt;"لا"),0,MAX(0,MIN($F151,EOMONTH(DATE(cfg_FY,10,1),0))-$E151+1))</f>
        <v>0</v>
      </c>
      <c r="AR151" s="110" t="n">
        <f aca="false">IF(OR(OR($B151="",$E151="",$F151=""),$L151&lt;&gt;"لا"),0,MAX(0,MIN($F151,EOMONTH(DATE(cfg_FY,11,1),0))-$E151+1))</f>
        <v>0</v>
      </c>
      <c r="AS151" s="110" t="n">
        <f aca="false">IF(OR(OR($B151="",$E151="",$F151=""),$L151&lt;&gt;"لا"),0,MAX(0,MIN($F151,EOMONTH(DATE(cfg_FY,12,1),0))-$E151+1))</f>
        <v>0</v>
      </c>
      <c r="AT151" s="110" t="n">
        <f aca="false">IF(OR(OR($B151="",$E151="",$F151=""),$K151&lt;&gt;"نعم",$M151="نعم"),0,MAX(0,MIN($F151,EOMONTH(DATE(cfg_FY,1,1),0))-MAX($E151,DATE(cfg_FY,1,1))+1))</f>
        <v>0</v>
      </c>
      <c r="AU151" s="110" t="n">
        <f aca="false">IF(OR(OR($B151="",$E151="",$F151=""),$K151&lt;&gt;"نعم",$M151="نعم"),0,MAX(0,MIN($F151,EOMONTH(DATE(cfg_FY,2,1),0))-MAX($E151,DATE(cfg_FY,2,1))+1))</f>
        <v>0</v>
      </c>
      <c r="AV151" s="110" t="n">
        <f aca="false">IF(OR(OR($B151="",$E151="",$F151=""),$K151&lt;&gt;"نعم",$M151="نعم"),0,MAX(0,MIN($F151,EOMONTH(DATE(cfg_FY,3,1),0))-MAX($E151,DATE(cfg_FY,3,1))+1))</f>
        <v>0</v>
      </c>
      <c r="AW151" s="110" t="n">
        <f aca="false">IF(OR(OR($B151="",$E151="",$F151=""),$K151&lt;&gt;"نعم",$M151="نعم"),0,MAX(0,MIN($F151,EOMONTH(DATE(cfg_FY,4,1),0))-MAX($E151,DATE(cfg_FY,4,1))+1))</f>
        <v>0</v>
      </c>
      <c r="AX151" s="110" t="n">
        <f aca="false">IF(OR(OR($B151="",$E151="",$F151=""),$K151&lt;&gt;"نعم",$M151="نعم"),0,MAX(0,MIN($F151,EOMONTH(DATE(cfg_FY,5,1),0))-MAX($E151,DATE(cfg_FY,5,1))+1))</f>
        <v>0</v>
      </c>
      <c r="AY151" s="110" t="n">
        <f aca="false">IF(OR(OR($B151="",$E151="",$F151=""),$K151&lt;&gt;"نعم",$M151="نعم"),0,MAX(0,MIN($F151,EOMONTH(DATE(cfg_FY,6,1),0))-MAX($E151,DATE(cfg_FY,6,1))+1))</f>
        <v>0</v>
      </c>
      <c r="AZ151" s="110" t="n">
        <f aca="false">IF(OR(OR($B151="",$E151="",$F151=""),$K151&lt;&gt;"نعم",$M151="نعم"),0,MAX(0,MIN($F151,EOMONTH(DATE(cfg_FY,7,1),0))-MAX($E151,DATE(cfg_FY,7,1))+1))</f>
        <v>0</v>
      </c>
      <c r="BA151" s="110" t="n">
        <f aca="false">IF(OR(OR($B151="",$E151="",$F151=""),$K151&lt;&gt;"نعم",$M151="نعم"),0,MAX(0,MIN($F151,EOMONTH(DATE(cfg_FY,8,1),0))-MAX($E151,DATE(cfg_FY,8,1))+1))</f>
        <v>0</v>
      </c>
      <c r="BB151" s="110" t="n">
        <f aca="false">IF(OR(OR($B151="",$E151="",$F151=""),$K151&lt;&gt;"نعم",$M151="نعم"),0,MAX(0,MIN($F151,EOMONTH(DATE(cfg_FY,9,1),0))-MAX($E151,DATE(cfg_FY,9,1))+1))</f>
        <v>0</v>
      </c>
      <c r="BC151" s="110" t="n">
        <f aca="false">IF(OR(OR($B151="",$E151="",$F151=""),$K151&lt;&gt;"نعم",$M151="نعم"),0,MAX(0,MIN($F151,EOMONTH(DATE(cfg_FY,10,1),0))-MAX($E151,DATE(cfg_FY,10,1))+1))</f>
        <v>0</v>
      </c>
      <c r="BD151" s="110" t="n">
        <f aca="false">IF(OR(OR($B151="",$E151="",$F151=""),$K151&lt;&gt;"نعم",$M151="نعم"),0,MAX(0,MIN($F151,EOMONTH(DATE(cfg_FY,11,1),0))-MAX($E151,DATE(cfg_FY,11,1))+1))</f>
        <v>0</v>
      </c>
      <c r="BE151" s="110" t="n">
        <f aca="false">IF(OR(OR($B151="",$E151="",$F151=""),$K151&lt;&gt;"نعم",$M151="نعم"),0,MAX(0,MIN($F151,EOMONTH(DATE(cfg_FY,12,1),0))-MAX($E151,DATE(cfg_FY,12,1))+1))</f>
        <v>0</v>
      </c>
    </row>
    <row r="152" customFormat="false" ht="15" hidden="false" customHeight="false" outlineLevel="0" collapsed="false">
      <c r="A152" s="93" t="str">
        <f aca="false">IF(B152="","",ROW()-5)</f>
        <v/>
      </c>
      <c r="B152" s="79"/>
      <c r="C152" s="80" t="str">
        <f aca="false">IF(B152="","",IFERROR(INDEX(الموظفون!$C$6:$C$105,MATCH(B152,الموظفون!$B$6:$B$105,0)),"✖ رقم غير موجود"))</f>
        <v/>
      </c>
      <c r="D152" s="79"/>
      <c r="E152" s="94"/>
      <c r="F152" s="94"/>
      <c r="G152" s="57" t="str">
        <f aca="false">IF(OR($B152="",$E152="",$F152=""),"",MAX(0,F152-E152+1))</f>
        <v/>
      </c>
      <c r="H152" s="58" t="str">
        <f aca="false">IF(D152="","",IFERROR(VLOOKUP(D152,cfg_LT,2,FALSE()),1))</f>
        <v/>
      </c>
      <c r="I152" s="82"/>
      <c r="J152" s="58" t="str">
        <f aca="false">IF(D152="","",IF(I152&lt;&gt;"",I152,H152))</f>
        <v/>
      </c>
      <c r="K152" s="80" t="str">
        <f aca="false">IF(D152="","",IFERROR(VLOOKUP($D152,cfg_LT,3,FALSE()),""))</f>
        <v/>
      </c>
      <c r="L152" s="80" t="str">
        <f aca="false">IF(D152="","",IFERROR(VLOOKUP($D152,cfg_LT,4,FALSE()),""))</f>
        <v/>
      </c>
      <c r="M152" s="80" t="str">
        <f aca="false">IF(D152="","",IFERROR(VLOOKUP($D152,cfg_LT,5,FALSE()),""))</f>
        <v/>
      </c>
      <c r="N152" s="97" t="n">
        <f aca="false">IF(OR(OR($B152="",$E152="",$F152=""),M152&lt;&gt;"نعم"),0,G152*J152*IFERROR(INDEX(الموظفون!$R$6:$R$105,MATCH(B152,الموظفون!$B$6:$B$105,0)),0)/cfg_DAYS_M)</f>
        <v>0</v>
      </c>
      <c r="O152" s="93" t="str">
        <f aca="false">IF(OR(OR($B152="",$E152="",$F152=""),M152&lt;&gt;"نعم"),"",IF(YEAR(E152)=cfg_FY,MONTH(E152),""))</f>
        <v/>
      </c>
      <c r="P152" s="80" t="str">
        <f aca="false">IF(B152="","",IF(OR(D152="",E152="",F152=""),"⚠ أكمل النوع والتواريخ",IF(F152&lt;E152,"✖ النهاية قبل البداية",IF(COUNTIFS($B$6:$B$505,B152,$E$6:$E$505,"&lt;="&amp;F152,$F$6:$F$505,"&gt;="&amp;E152)&gt;1,"⚠ تداخل مع سجل آخر",IF(E152&gt;cfg_VAL_DATE,"⏳ قادمة",IF(F152&lt;cfg_VAL_DATE,"✔ منتهية","✈ جارية في تاريخ التقرير"))))))</f>
        <v/>
      </c>
      <c r="Q152" s="79"/>
      <c r="R152" s="57" t="n">
        <f aca="false">IF(OR(OR($B152="",$E152="",$F152=""),L152&lt;&gt;"لا"),0,MAX(0,MIN(F152,cfg_Y_START-1)-E152+1))</f>
        <v>0</v>
      </c>
      <c r="S152" s="57" t="n">
        <f aca="false">IF(OR(OR($B152="",$E152="",$F152=""),L152&lt;&gt;"لا"),0,MAX(0,MIN(F152,cfg_VAL_DATE)-E152+1))</f>
        <v>0</v>
      </c>
      <c r="T152" s="57" t="n">
        <f aca="false">IF(OR(OR($B152="",$E152="",$F152=""),K152&lt;&gt;"نعم"),0,IF(M152="نعم",IF(AND(ISNUMBER(O152),N(O152)&lt;=cfg_VAL_M),G152,0),MAX(0,MIN(F152,cfg_VAL_DATE)-MAX(E152,cfg_Y_START)+1)))</f>
        <v>0</v>
      </c>
      <c r="V152" s="57" t="n">
        <f aca="false">IF(OR($B152="",$E152="",$F152=""),0,MAX(0,MIN($F152,EOMONTH(DATE(cfg_FY,1,1),0))-MAX($E152,DATE(cfg_FY,1,1))+1)*(1-IF($M152="نعم",0,N($J152))))</f>
        <v>0</v>
      </c>
      <c r="W152" s="57" t="n">
        <f aca="false">IF(OR($B152="",$E152="",$F152=""),0,MAX(0,MIN($F152,EOMONTH(DATE(cfg_FY,2,1),0))-MAX($E152,DATE(cfg_FY,2,1))+1)*(1-IF($M152="نعم",0,N($J152))))</f>
        <v>0</v>
      </c>
      <c r="X152" s="57" t="n">
        <f aca="false">IF(OR($B152="",$E152="",$F152=""),0,MAX(0,MIN($F152,EOMONTH(DATE(cfg_FY,3,1),0))-MAX($E152,DATE(cfg_FY,3,1))+1)*(1-IF($M152="نعم",0,N($J152))))</f>
        <v>0</v>
      </c>
      <c r="Y152" s="57" t="n">
        <f aca="false">IF(OR($B152="",$E152="",$F152=""),0,MAX(0,MIN($F152,EOMONTH(DATE(cfg_FY,4,1),0))-MAX($E152,DATE(cfg_FY,4,1))+1)*(1-IF($M152="نعم",0,N($J152))))</f>
        <v>0</v>
      </c>
      <c r="Z152" s="57" t="n">
        <f aca="false">IF(OR($B152="",$E152="",$F152=""),0,MAX(0,MIN($F152,EOMONTH(DATE(cfg_FY,5,1),0))-MAX($E152,DATE(cfg_FY,5,1))+1)*(1-IF($M152="نعم",0,N($J152))))</f>
        <v>0</v>
      </c>
      <c r="AA152" s="57" t="n">
        <f aca="false">IF(OR($B152="",$E152="",$F152=""),0,MAX(0,MIN($F152,EOMONTH(DATE(cfg_FY,6,1),0))-MAX($E152,DATE(cfg_FY,6,1))+1)*(1-IF($M152="نعم",0,N($J152))))</f>
        <v>0</v>
      </c>
      <c r="AB152" s="57" t="n">
        <f aca="false">IF(OR($B152="",$E152="",$F152=""),0,MAX(0,MIN($F152,EOMONTH(DATE(cfg_FY,7,1),0))-MAX($E152,DATE(cfg_FY,7,1))+1)*(1-IF($M152="نعم",0,N($J152))))</f>
        <v>0</v>
      </c>
      <c r="AC152" s="57" t="n">
        <f aca="false">IF(OR($B152="",$E152="",$F152=""),0,MAX(0,MIN($F152,EOMONTH(DATE(cfg_FY,8,1),0))-MAX($E152,DATE(cfg_FY,8,1))+1)*(1-IF($M152="نعم",0,N($J152))))</f>
        <v>0</v>
      </c>
      <c r="AD152" s="57" t="n">
        <f aca="false">IF(OR($B152="",$E152="",$F152=""),0,MAX(0,MIN($F152,EOMONTH(DATE(cfg_FY,9,1),0))-MAX($E152,DATE(cfg_FY,9,1))+1)*(1-IF($M152="نعم",0,N($J152))))</f>
        <v>0</v>
      </c>
      <c r="AE152" s="57" t="n">
        <f aca="false">IF(OR($B152="",$E152="",$F152=""),0,MAX(0,MIN($F152,EOMONTH(DATE(cfg_FY,10,1),0))-MAX($E152,DATE(cfg_FY,10,1))+1)*(1-IF($M152="نعم",0,N($J152))))</f>
        <v>0</v>
      </c>
      <c r="AF152" s="57" t="n">
        <f aca="false">IF(OR($B152="",$E152="",$F152=""),0,MAX(0,MIN($F152,EOMONTH(DATE(cfg_FY,11,1),0))-MAX($E152,DATE(cfg_FY,11,1))+1)*(1-IF($M152="نعم",0,N($J152))))</f>
        <v>0</v>
      </c>
      <c r="AG152" s="57" t="n">
        <f aca="false">IF(OR($B152="",$E152="",$F152=""),0,MAX(0,MIN($F152,EOMONTH(DATE(cfg_FY,12,1),0))-MAX($E152,DATE(cfg_FY,12,1))+1)*(1-IF($M152="نعم",0,N($J152))))</f>
        <v>0</v>
      </c>
      <c r="AH152" s="57" t="n">
        <f aca="false">IF(OR(OR($B152="",$E152="",$F152=""),$L152&lt;&gt;"لا"),0,MAX(0,MIN($F152,EOMONTH(DATE(cfg_FY,1,1),0))-$E152+1))</f>
        <v>0</v>
      </c>
      <c r="AI152" s="57" t="n">
        <f aca="false">IF(OR(OR($B152="",$E152="",$F152=""),$L152&lt;&gt;"لا"),0,MAX(0,MIN($F152,EOMONTH(DATE(cfg_FY,2,1),0))-$E152+1))</f>
        <v>0</v>
      </c>
      <c r="AJ152" s="57" t="n">
        <f aca="false">IF(OR(OR($B152="",$E152="",$F152=""),$L152&lt;&gt;"لا"),0,MAX(0,MIN($F152,EOMONTH(DATE(cfg_FY,3,1),0))-$E152+1))</f>
        <v>0</v>
      </c>
      <c r="AK152" s="57" t="n">
        <f aca="false">IF(OR(OR($B152="",$E152="",$F152=""),$L152&lt;&gt;"لا"),0,MAX(0,MIN($F152,EOMONTH(DATE(cfg_FY,4,1),0))-$E152+1))</f>
        <v>0</v>
      </c>
      <c r="AL152" s="57" t="n">
        <f aca="false">IF(OR(OR($B152="",$E152="",$F152=""),$L152&lt;&gt;"لا"),0,MAX(0,MIN($F152,EOMONTH(DATE(cfg_FY,5,1),0))-$E152+1))</f>
        <v>0</v>
      </c>
      <c r="AM152" s="57" t="n">
        <f aca="false">IF(OR(OR($B152="",$E152="",$F152=""),$L152&lt;&gt;"لا"),0,MAX(0,MIN($F152,EOMONTH(DATE(cfg_FY,6,1),0))-$E152+1))</f>
        <v>0</v>
      </c>
      <c r="AN152" s="57" t="n">
        <f aca="false">IF(OR(OR($B152="",$E152="",$F152=""),$L152&lt;&gt;"لا"),0,MAX(0,MIN($F152,EOMONTH(DATE(cfg_FY,7,1),0))-$E152+1))</f>
        <v>0</v>
      </c>
      <c r="AO152" s="57" t="n">
        <f aca="false">IF(OR(OR($B152="",$E152="",$F152=""),$L152&lt;&gt;"لا"),0,MAX(0,MIN($F152,EOMONTH(DATE(cfg_FY,8,1),0))-$E152+1))</f>
        <v>0</v>
      </c>
      <c r="AP152" s="57" t="n">
        <f aca="false">IF(OR(OR($B152="",$E152="",$F152=""),$L152&lt;&gt;"لا"),0,MAX(0,MIN($F152,EOMONTH(DATE(cfg_FY,9,1),0))-$E152+1))</f>
        <v>0</v>
      </c>
      <c r="AQ152" s="57" t="n">
        <f aca="false">IF(OR(OR($B152="",$E152="",$F152=""),$L152&lt;&gt;"لا"),0,MAX(0,MIN($F152,EOMONTH(DATE(cfg_FY,10,1),0))-$E152+1))</f>
        <v>0</v>
      </c>
      <c r="AR152" s="57" t="n">
        <f aca="false">IF(OR(OR($B152="",$E152="",$F152=""),$L152&lt;&gt;"لا"),0,MAX(0,MIN($F152,EOMONTH(DATE(cfg_FY,11,1),0))-$E152+1))</f>
        <v>0</v>
      </c>
      <c r="AS152" s="57" t="n">
        <f aca="false">IF(OR(OR($B152="",$E152="",$F152=""),$L152&lt;&gt;"لا"),0,MAX(0,MIN($F152,EOMONTH(DATE(cfg_FY,12,1),0))-$E152+1))</f>
        <v>0</v>
      </c>
      <c r="AT152" s="57" t="n">
        <f aca="false">IF(OR(OR($B152="",$E152="",$F152=""),$K152&lt;&gt;"نعم",$M152="نعم"),0,MAX(0,MIN($F152,EOMONTH(DATE(cfg_FY,1,1),0))-MAX($E152,DATE(cfg_FY,1,1))+1))</f>
        <v>0</v>
      </c>
      <c r="AU152" s="57" t="n">
        <f aca="false">IF(OR(OR($B152="",$E152="",$F152=""),$K152&lt;&gt;"نعم",$M152="نعم"),0,MAX(0,MIN($F152,EOMONTH(DATE(cfg_FY,2,1),0))-MAX($E152,DATE(cfg_FY,2,1))+1))</f>
        <v>0</v>
      </c>
      <c r="AV152" s="57" t="n">
        <f aca="false">IF(OR(OR($B152="",$E152="",$F152=""),$K152&lt;&gt;"نعم",$M152="نعم"),0,MAX(0,MIN($F152,EOMONTH(DATE(cfg_FY,3,1),0))-MAX($E152,DATE(cfg_FY,3,1))+1))</f>
        <v>0</v>
      </c>
      <c r="AW152" s="57" t="n">
        <f aca="false">IF(OR(OR($B152="",$E152="",$F152=""),$K152&lt;&gt;"نعم",$M152="نعم"),0,MAX(0,MIN($F152,EOMONTH(DATE(cfg_FY,4,1),0))-MAX($E152,DATE(cfg_FY,4,1))+1))</f>
        <v>0</v>
      </c>
      <c r="AX152" s="57" t="n">
        <f aca="false">IF(OR(OR($B152="",$E152="",$F152=""),$K152&lt;&gt;"نعم",$M152="نعم"),0,MAX(0,MIN($F152,EOMONTH(DATE(cfg_FY,5,1),0))-MAX($E152,DATE(cfg_FY,5,1))+1))</f>
        <v>0</v>
      </c>
      <c r="AY152" s="57" t="n">
        <f aca="false">IF(OR(OR($B152="",$E152="",$F152=""),$K152&lt;&gt;"نعم",$M152="نعم"),0,MAX(0,MIN($F152,EOMONTH(DATE(cfg_FY,6,1),0))-MAX($E152,DATE(cfg_FY,6,1))+1))</f>
        <v>0</v>
      </c>
      <c r="AZ152" s="57" t="n">
        <f aca="false">IF(OR(OR($B152="",$E152="",$F152=""),$K152&lt;&gt;"نعم",$M152="نعم"),0,MAX(0,MIN($F152,EOMONTH(DATE(cfg_FY,7,1),0))-MAX($E152,DATE(cfg_FY,7,1))+1))</f>
        <v>0</v>
      </c>
      <c r="BA152" s="57" t="n">
        <f aca="false">IF(OR(OR($B152="",$E152="",$F152=""),$K152&lt;&gt;"نعم",$M152="نعم"),0,MAX(0,MIN($F152,EOMONTH(DATE(cfg_FY,8,1),0))-MAX($E152,DATE(cfg_FY,8,1))+1))</f>
        <v>0</v>
      </c>
      <c r="BB152" s="57" t="n">
        <f aca="false">IF(OR(OR($B152="",$E152="",$F152=""),$K152&lt;&gt;"نعم",$M152="نعم"),0,MAX(0,MIN($F152,EOMONTH(DATE(cfg_FY,9,1),0))-MAX($E152,DATE(cfg_FY,9,1))+1))</f>
        <v>0</v>
      </c>
      <c r="BC152" s="57" t="n">
        <f aca="false">IF(OR(OR($B152="",$E152="",$F152=""),$K152&lt;&gt;"نعم",$M152="نعم"),0,MAX(0,MIN($F152,EOMONTH(DATE(cfg_FY,10,1),0))-MAX($E152,DATE(cfg_FY,10,1))+1))</f>
        <v>0</v>
      </c>
      <c r="BD152" s="57" t="n">
        <f aca="false">IF(OR(OR($B152="",$E152="",$F152=""),$K152&lt;&gt;"نعم",$M152="نعم"),0,MAX(0,MIN($F152,EOMONTH(DATE(cfg_FY,11,1),0))-MAX($E152,DATE(cfg_FY,11,1))+1))</f>
        <v>0</v>
      </c>
      <c r="BE152" s="57" t="n">
        <f aca="false">IF(OR(OR($B152="",$E152="",$F152=""),$K152&lt;&gt;"نعم",$M152="نعم"),0,MAX(0,MIN($F152,EOMONTH(DATE(cfg_FY,12,1),0))-MAX($E152,DATE(cfg_FY,12,1))+1))</f>
        <v>0</v>
      </c>
    </row>
    <row r="153" customFormat="false" ht="15" hidden="false" customHeight="false" outlineLevel="0" collapsed="false">
      <c r="A153" s="100" t="str">
        <f aca="false">IF(B153="","",ROW()-5)</f>
        <v/>
      </c>
      <c r="B153" s="79"/>
      <c r="C153" s="102" t="str">
        <f aca="false">IF(B153="","",IFERROR(INDEX(الموظفون!$C$6:$C$105,MATCH(B153,الموظفون!$B$6:$B$105,0)),"✖ رقم غير موجود"))</f>
        <v/>
      </c>
      <c r="D153" s="79"/>
      <c r="E153" s="94"/>
      <c r="F153" s="94"/>
      <c r="G153" s="110" t="str">
        <f aca="false">IF(OR($B153="",$E153="",$F153=""),"",MAX(0,F153-E153+1))</f>
        <v/>
      </c>
      <c r="H153" s="111" t="str">
        <f aca="false">IF(D153="","",IFERROR(VLOOKUP(D153,cfg_LT,2,FALSE()),1))</f>
        <v/>
      </c>
      <c r="I153" s="82"/>
      <c r="J153" s="111" t="str">
        <f aca="false">IF(D153="","",IF(I153&lt;&gt;"",I153,H153))</f>
        <v/>
      </c>
      <c r="K153" s="102" t="str">
        <f aca="false">IF(D153="","",IFERROR(VLOOKUP($D153,cfg_LT,3,FALSE()),""))</f>
        <v/>
      </c>
      <c r="L153" s="102" t="str">
        <f aca="false">IF(D153="","",IFERROR(VLOOKUP($D153,cfg_LT,4,FALSE()),""))</f>
        <v/>
      </c>
      <c r="M153" s="102" t="str">
        <f aca="false">IF(D153="","",IFERROR(VLOOKUP($D153,cfg_LT,5,FALSE()),""))</f>
        <v/>
      </c>
      <c r="N153" s="101" t="n">
        <f aca="false">IF(OR(OR($B153="",$E153="",$F153=""),M153&lt;&gt;"نعم"),0,G153*J153*IFERROR(INDEX(الموظفون!$R$6:$R$105,MATCH(B153,الموظفون!$B$6:$B$105,0)),0)/cfg_DAYS_M)</f>
        <v>0</v>
      </c>
      <c r="O153" s="100" t="str">
        <f aca="false">IF(OR(OR($B153="",$E153="",$F153=""),M153&lt;&gt;"نعم"),"",IF(YEAR(E153)=cfg_FY,MONTH(E153),""))</f>
        <v/>
      </c>
      <c r="P153" s="102" t="str">
        <f aca="false">IF(B153="","",IF(OR(D153="",E153="",F153=""),"⚠ أكمل النوع والتواريخ",IF(F153&lt;E153,"✖ النهاية قبل البداية",IF(COUNTIFS($B$6:$B$505,B153,$E$6:$E$505,"&lt;="&amp;F153,$F$6:$F$505,"&gt;="&amp;E153)&gt;1,"⚠ تداخل مع سجل آخر",IF(E153&gt;cfg_VAL_DATE,"⏳ قادمة",IF(F153&lt;cfg_VAL_DATE,"✔ منتهية","✈ جارية في تاريخ التقرير"))))))</f>
        <v/>
      </c>
      <c r="Q153" s="79"/>
      <c r="R153" s="110" t="n">
        <f aca="false">IF(OR(OR($B153="",$E153="",$F153=""),L153&lt;&gt;"لا"),0,MAX(0,MIN(F153,cfg_Y_START-1)-E153+1))</f>
        <v>0</v>
      </c>
      <c r="S153" s="110" t="n">
        <f aca="false">IF(OR(OR($B153="",$E153="",$F153=""),L153&lt;&gt;"لا"),0,MAX(0,MIN(F153,cfg_VAL_DATE)-E153+1))</f>
        <v>0</v>
      </c>
      <c r="T153" s="110" t="n">
        <f aca="false">IF(OR(OR($B153="",$E153="",$F153=""),K153&lt;&gt;"نعم"),0,IF(M153="نعم",IF(AND(ISNUMBER(O153),N(O153)&lt;=cfg_VAL_M),G153,0),MAX(0,MIN(F153,cfg_VAL_DATE)-MAX(E153,cfg_Y_START)+1)))</f>
        <v>0</v>
      </c>
      <c r="V153" s="110" t="n">
        <f aca="false">IF(OR($B153="",$E153="",$F153=""),0,MAX(0,MIN($F153,EOMONTH(DATE(cfg_FY,1,1),0))-MAX($E153,DATE(cfg_FY,1,1))+1)*(1-IF($M153="نعم",0,N($J153))))</f>
        <v>0</v>
      </c>
      <c r="W153" s="110" t="n">
        <f aca="false">IF(OR($B153="",$E153="",$F153=""),0,MAX(0,MIN($F153,EOMONTH(DATE(cfg_FY,2,1),0))-MAX($E153,DATE(cfg_FY,2,1))+1)*(1-IF($M153="نعم",0,N($J153))))</f>
        <v>0</v>
      </c>
      <c r="X153" s="110" t="n">
        <f aca="false">IF(OR($B153="",$E153="",$F153=""),0,MAX(0,MIN($F153,EOMONTH(DATE(cfg_FY,3,1),0))-MAX($E153,DATE(cfg_FY,3,1))+1)*(1-IF($M153="نعم",0,N($J153))))</f>
        <v>0</v>
      </c>
      <c r="Y153" s="110" t="n">
        <f aca="false">IF(OR($B153="",$E153="",$F153=""),0,MAX(0,MIN($F153,EOMONTH(DATE(cfg_FY,4,1),0))-MAX($E153,DATE(cfg_FY,4,1))+1)*(1-IF($M153="نعم",0,N($J153))))</f>
        <v>0</v>
      </c>
      <c r="Z153" s="110" t="n">
        <f aca="false">IF(OR($B153="",$E153="",$F153=""),0,MAX(0,MIN($F153,EOMONTH(DATE(cfg_FY,5,1),0))-MAX($E153,DATE(cfg_FY,5,1))+1)*(1-IF($M153="نعم",0,N($J153))))</f>
        <v>0</v>
      </c>
      <c r="AA153" s="110" t="n">
        <f aca="false">IF(OR($B153="",$E153="",$F153=""),0,MAX(0,MIN($F153,EOMONTH(DATE(cfg_FY,6,1),0))-MAX($E153,DATE(cfg_FY,6,1))+1)*(1-IF($M153="نعم",0,N($J153))))</f>
        <v>0</v>
      </c>
      <c r="AB153" s="110" t="n">
        <f aca="false">IF(OR($B153="",$E153="",$F153=""),0,MAX(0,MIN($F153,EOMONTH(DATE(cfg_FY,7,1),0))-MAX($E153,DATE(cfg_FY,7,1))+1)*(1-IF($M153="نعم",0,N($J153))))</f>
        <v>0</v>
      </c>
      <c r="AC153" s="110" t="n">
        <f aca="false">IF(OR($B153="",$E153="",$F153=""),0,MAX(0,MIN($F153,EOMONTH(DATE(cfg_FY,8,1),0))-MAX($E153,DATE(cfg_FY,8,1))+1)*(1-IF($M153="نعم",0,N($J153))))</f>
        <v>0</v>
      </c>
      <c r="AD153" s="110" t="n">
        <f aca="false">IF(OR($B153="",$E153="",$F153=""),0,MAX(0,MIN($F153,EOMONTH(DATE(cfg_FY,9,1),0))-MAX($E153,DATE(cfg_FY,9,1))+1)*(1-IF($M153="نعم",0,N($J153))))</f>
        <v>0</v>
      </c>
      <c r="AE153" s="110" t="n">
        <f aca="false">IF(OR($B153="",$E153="",$F153=""),0,MAX(0,MIN($F153,EOMONTH(DATE(cfg_FY,10,1),0))-MAX($E153,DATE(cfg_FY,10,1))+1)*(1-IF($M153="نعم",0,N($J153))))</f>
        <v>0</v>
      </c>
      <c r="AF153" s="110" t="n">
        <f aca="false">IF(OR($B153="",$E153="",$F153=""),0,MAX(0,MIN($F153,EOMONTH(DATE(cfg_FY,11,1),0))-MAX($E153,DATE(cfg_FY,11,1))+1)*(1-IF($M153="نعم",0,N($J153))))</f>
        <v>0</v>
      </c>
      <c r="AG153" s="110" t="n">
        <f aca="false">IF(OR($B153="",$E153="",$F153=""),0,MAX(0,MIN($F153,EOMONTH(DATE(cfg_FY,12,1),0))-MAX($E153,DATE(cfg_FY,12,1))+1)*(1-IF($M153="نعم",0,N($J153))))</f>
        <v>0</v>
      </c>
      <c r="AH153" s="110" t="n">
        <f aca="false">IF(OR(OR($B153="",$E153="",$F153=""),$L153&lt;&gt;"لا"),0,MAX(0,MIN($F153,EOMONTH(DATE(cfg_FY,1,1),0))-$E153+1))</f>
        <v>0</v>
      </c>
      <c r="AI153" s="110" t="n">
        <f aca="false">IF(OR(OR($B153="",$E153="",$F153=""),$L153&lt;&gt;"لا"),0,MAX(0,MIN($F153,EOMONTH(DATE(cfg_FY,2,1),0))-$E153+1))</f>
        <v>0</v>
      </c>
      <c r="AJ153" s="110" t="n">
        <f aca="false">IF(OR(OR($B153="",$E153="",$F153=""),$L153&lt;&gt;"لا"),0,MAX(0,MIN($F153,EOMONTH(DATE(cfg_FY,3,1),0))-$E153+1))</f>
        <v>0</v>
      </c>
      <c r="AK153" s="110" t="n">
        <f aca="false">IF(OR(OR($B153="",$E153="",$F153=""),$L153&lt;&gt;"لا"),0,MAX(0,MIN($F153,EOMONTH(DATE(cfg_FY,4,1),0))-$E153+1))</f>
        <v>0</v>
      </c>
      <c r="AL153" s="110" t="n">
        <f aca="false">IF(OR(OR($B153="",$E153="",$F153=""),$L153&lt;&gt;"لا"),0,MAX(0,MIN($F153,EOMONTH(DATE(cfg_FY,5,1),0))-$E153+1))</f>
        <v>0</v>
      </c>
      <c r="AM153" s="110" t="n">
        <f aca="false">IF(OR(OR($B153="",$E153="",$F153=""),$L153&lt;&gt;"لا"),0,MAX(0,MIN($F153,EOMONTH(DATE(cfg_FY,6,1),0))-$E153+1))</f>
        <v>0</v>
      </c>
      <c r="AN153" s="110" t="n">
        <f aca="false">IF(OR(OR($B153="",$E153="",$F153=""),$L153&lt;&gt;"لا"),0,MAX(0,MIN($F153,EOMONTH(DATE(cfg_FY,7,1),0))-$E153+1))</f>
        <v>0</v>
      </c>
      <c r="AO153" s="110" t="n">
        <f aca="false">IF(OR(OR($B153="",$E153="",$F153=""),$L153&lt;&gt;"لا"),0,MAX(0,MIN($F153,EOMONTH(DATE(cfg_FY,8,1),0))-$E153+1))</f>
        <v>0</v>
      </c>
      <c r="AP153" s="110" t="n">
        <f aca="false">IF(OR(OR($B153="",$E153="",$F153=""),$L153&lt;&gt;"لا"),0,MAX(0,MIN($F153,EOMONTH(DATE(cfg_FY,9,1),0))-$E153+1))</f>
        <v>0</v>
      </c>
      <c r="AQ153" s="110" t="n">
        <f aca="false">IF(OR(OR($B153="",$E153="",$F153=""),$L153&lt;&gt;"لا"),0,MAX(0,MIN($F153,EOMONTH(DATE(cfg_FY,10,1),0))-$E153+1))</f>
        <v>0</v>
      </c>
      <c r="AR153" s="110" t="n">
        <f aca="false">IF(OR(OR($B153="",$E153="",$F153=""),$L153&lt;&gt;"لا"),0,MAX(0,MIN($F153,EOMONTH(DATE(cfg_FY,11,1),0))-$E153+1))</f>
        <v>0</v>
      </c>
      <c r="AS153" s="110" t="n">
        <f aca="false">IF(OR(OR($B153="",$E153="",$F153=""),$L153&lt;&gt;"لا"),0,MAX(0,MIN($F153,EOMONTH(DATE(cfg_FY,12,1),0))-$E153+1))</f>
        <v>0</v>
      </c>
      <c r="AT153" s="110" t="n">
        <f aca="false">IF(OR(OR($B153="",$E153="",$F153=""),$K153&lt;&gt;"نعم",$M153="نعم"),0,MAX(0,MIN($F153,EOMONTH(DATE(cfg_FY,1,1),0))-MAX($E153,DATE(cfg_FY,1,1))+1))</f>
        <v>0</v>
      </c>
      <c r="AU153" s="110" t="n">
        <f aca="false">IF(OR(OR($B153="",$E153="",$F153=""),$K153&lt;&gt;"نعم",$M153="نعم"),0,MAX(0,MIN($F153,EOMONTH(DATE(cfg_FY,2,1),0))-MAX($E153,DATE(cfg_FY,2,1))+1))</f>
        <v>0</v>
      </c>
      <c r="AV153" s="110" t="n">
        <f aca="false">IF(OR(OR($B153="",$E153="",$F153=""),$K153&lt;&gt;"نعم",$M153="نعم"),0,MAX(0,MIN($F153,EOMONTH(DATE(cfg_FY,3,1),0))-MAX($E153,DATE(cfg_FY,3,1))+1))</f>
        <v>0</v>
      </c>
      <c r="AW153" s="110" t="n">
        <f aca="false">IF(OR(OR($B153="",$E153="",$F153=""),$K153&lt;&gt;"نعم",$M153="نعم"),0,MAX(0,MIN($F153,EOMONTH(DATE(cfg_FY,4,1),0))-MAX($E153,DATE(cfg_FY,4,1))+1))</f>
        <v>0</v>
      </c>
      <c r="AX153" s="110" t="n">
        <f aca="false">IF(OR(OR($B153="",$E153="",$F153=""),$K153&lt;&gt;"نعم",$M153="نعم"),0,MAX(0,MIN($F153,EOMONTH(DATE(cfg_FY,5,1),0))-MAX($E153,DATE(cfg_FY,5,1))+1))</f>
        <v>0</v>
      </c>
      <c r="AY153" s="110" t="n">
        <f aca="false">IF(OR(OR($B153="",$E153="",$F153=""),$K153&lt;&gt;"نعم",$M153="نعم"),0,MAX(0,MIN($F153,EOMONTH(DATE(cfg_FY,6,1),0))-MAX($E153,DATE(cfg_FY,6,1))+1))</f>
        <v>0</v>
      </c>
      <c r="AZ153" s="110" t="n">
        <f aca="false">IF(OR(OR($B153="",$E153="",$F153=""),$K153&lt;&gt;"نعم",$M153="نعم"),0,MAX(0,MIN($F153,EOMONTH(DATE(cfg_FY,7,1),0))-MAX($E153,DATE(cfg_FY,7,1))+1))</f>
        <v>0</v>
      </c>
      <c r="BA153" s="110" t="n">
        <f aca="false">IF(OR(OR($B153="",$E153="",$F153=""),$K153&lt;&gt;"نعم",$M153="نعم"),0,MAX(0,MIN($F153,EOMONTH(DATE(cfg_FY,8,1),0))-MAX($E153,DATE(cfg_FY,8,1))+1))</f>
        <v>0</v>
      </c>
      <c r="BB153" s="110" t="n">
        <f aca="false">IF(OR(OR($B153="",$E153="",$F153=""),$K153&lt;&gt;"نعم",$M153="نعم"),0,MAX(0,MIN($F153,EOMONTH(DATE(cfg_FY,9,1),0))-MAX($E153,DATE(cfg_FY,9,1))+1))</f>
        <v>0</v>
      </c>
      <c r="BC153" s="110" t="n">
        <f aca="false">IF(OR(OR($B153="",$E153="",$F153=""),$K153&lt;&gt;"نعم",$M153="نعم"),0,MAX(0,MIN($F153,EOMONTH(DATE(cfg_FY,10,1),0))-MAX($E153,DATE(cfg_FY,10,1))+1))</f>
        <v>0</v>
      </c>
      <c r="BD153" s="110" t="n">
        <f aca="false">IF(OR(OR($B153="",$E153="",$F153=""),$K153&lt;&gt;"نعم",$M153="نعم"),0,MAX(0,MIN($F153,EOMONTH(DATE(cfg_FY,11,1),0))-MAX($E153,DATE(cfg_FY,11,1))+1))</f>
        <v>0</v>
      </c>
      <c r="BE153" s="110" t="n">
        <f aca="false">IF(OR(OR($B153="",$E153="",$F153=""),$K153&lt;&gt;"نعم",$M153="نعم"),0,MAX(0,MIN($F153,EOMONTH(DATE(cfg_FY,12,1),0))-MAX($E153,DATE(cfg_FY,12,1))+1))</f>
        <v>0</v>
      </c>
    </row>
    <row r="154" customFormat="false" ht="15" hidden="false" customHeight="false" outlineLevel="0" collapsed="false">
      <c r="A154" s="93" t="str">
        <f aca="false">IF(B154="","",ROW()-5)</f>
        <v/>
      </c>
      <c r="B154" s="79"/>
      <c r="C154" s="80" t="str">
        <f aca="false">IF(B154="","",IFERROR(INDEX(الموظفون!$C$6:$C$105,MATCH(B154,الموظفون!$B$6:$B$105,0)),"✖ رقم غير موجود"))</f>
        <v/>
      </c>
      <c r="D154" s="79"/>
      <c r="E154" s="94"/>
      <c r="F154" s="94"/>
      <c r="G154" s="57" t="str">
        <f aca="false">IF(OR($B154="",$E154="",$F154=""),"",MAX(0,F154-E154+1))</f>
        <v/>
      </c>
      <c r="H154" s="58" t="str">
        <f aca="false">IF(D154="","",IFERROR(VLOOKUP(D154,cfg_LT,2,FALSE()),1))</f>
        <v/>
      </c>
      <c r="I154" s="82"/>
      <c r="J154" s="58" t="str">
        <f aca="false">IF(D154="","",IF(I154&lt;&gt;"",I154,H154))</f>
        <v/>
      </c>
      <c r="K154" s="80" t="str">
        <f aca="false">IF(D154="","",IFERROR(VLOOKUP($D154,cfg_LT,3,FALSE()),""))</f>
        <v/>
      </c>
      <c r="L154" s="80" t="str">
        <f aca="false">IF(D154="","",IFERROR(VLOOKUP($D154,cfg_LT,4,FALSE()),""))</f>
        <v/>
      </c>
      <c r="M154" s="80" t="str">
        <f aca="false">IF(D154="","",IFERROR(VLOOKUP($D154,cfg_LT,5,FALSE()),""))</f>
        <v/>
      </c>
      <c r="N154" s="97" t="n">
        <f aca="false">IF(OR(OR($B154="",$E154="",$F154=""),M154&lt;&gt;"نعم"),0,G154*J154*IFERROR(INDEX(الموظفون!$R$6:$R$105,MATCH(B154,الموظفون!$B$6:$B$105,0)),0)/cfg_DAYS_M)</f>
        <v>0</v>
      </c>
      <c r="O154" s="93" t="str">
        <f aca="false">IF(OR(OR($B154="",$E154="",$F154=""),M154&lt;&gt;"نعم"),"",IF(YEAR(E154)=cfg_FY,MONTH(E154),""))</f>
        <v/>
      </c>
      <c r="P154" s="80" t="str">
        <f aca="false">IF(B154="","",IF(OR(D154="",E154="",F154=""),"⚠ أكمل النوع والتواريخ",IF(F154&lt;E154,"✖ النهاية قبل البداية",IF(COUNTIFS($B$6:$B$505,B154,$E$6:$E$505,"&lt;="&amp;F154,$F$6:$F$505,"&gt;="&amp;E154)&gt;1,"⚠ تداخل مع سجل آخر",IF(E154&gt;cfg_VAL_DATE,"⏳ قادمة",IF(F154&lt;cfg_VAL_DATE,"✔ منتهية","✈ جارية في تاريخ التقرير"))))))</f>
        <v/>
      </c>
      <c r="Q154" s="79"/>
      <c r="R154" s="57" t="n">
        <f aca="false">IF(OR(OR($B154="",$E154="",$F154=""),L154&lt;&gt;"لا"),0,MAX(0,MIN(F154,cfg_Y_START-1)-E154+1))</f>
        <v>0</v>
      </c>
      <c r="S154" s="57" t="n">
        <f aca="false">IF(OR(OR($B154="",$E154="",$F154=""),L154&lt;&gt;"لا"),0,MAX(0,MIN(F154,cfg_VAL_DATE)-E154+1))</f>
        <v>0</v>
      </c>
      <c r="T154" s="57" t="n">
        <f aca="false">IF(OR(OR($B154="",$E154="",$F154=""),K154&lt;&gt;"نعم"),0,IF(M154="نعم",IF(AND(ISNUMBER(O154),N(O154)&lt;=cfg_VAL_M),G154,0),MAX(0,MIN(F154,cfg_VAL_DATE)-MAX(E154,cfg_Y_START)+1)))</f>
        <v>0</v>
      </c>
      <c r="V154" s="57" t="n">
        <f aca="false">IF(OR($B154="",$E154="",$F154=""),0,MAX(0,MIN($F154,EOMONTH(DATE(cfg_FY,1,1),0))-MAX($E154,DATE(cfg_FY,1,1))+1)*(1-IF($M154="نعم",0,N($J154))))</f>
        <v>0</v>
      </c>
      <c r="W154" s="57" t="n">
        <f aca="false">IF(OR($B154="",$E154="",$F154=""),0,MAX(0,MIN($F154,EOMONTH(DATE(cfg_FY,2,1),0))-MAX($E154,DATE(cfg_FY,2,1))+1)*(1-IF($M154="نعم",0,N($J154))))</f>
        <v>0</v>
      </c>
      <c r="X154" s="57" t="n">
        <f aca="false">IF(OR($B154="",$E154="",$F154=""),0,MAX(0,MIN($F154,EOMONTH(DATE(cfg_FY,3,1),0))-MAX($E154,DATE(cfg_FY,3,1))+1)*(1-IF($M154="نعم",0,N($J154))))</f>
        <v>0</v>
      </c>
      <c r="Y154" s="57" t="n">
        <f aca="false">IF(OR($B154="",$E154="",$F154=""),0,MAX(0,MIN($F154,EOMONTH(DATE(cfg_FY,4,1),0))-MAX($E154,DATE(cfg_FY,4,1))+1)*(1-IF($M154="نعم",0,N($J154))))</f>
        <v>0</v>
      </c>
      <c r="Z154" s="57" t="n">
        <f aca="false">IF(OR($B154="",$E154="",$F154=""),0,MAX(0,MIN($F154,EOMONTH(DATE(cfg_FY,5,1),0))-MAX($E154,DATE(cfg_FY,5,1))+1)*(1-IF($M154="نعم",0,N($J154))))</f>
        <v>0</v>
      </c>
      <c r="AA154" s="57" t="n">
        <f aca="false">IF(OR($B154="",$E154="",$F154=""),0,MAX(0,MIN($F154,EOMONTH(DATE(cfg_FY,6,1),0))-MAX($E154,DATE(cfg_FY,6,1))+1)*(1-IF($M154="نعم",0,N($J154))))</f>
        <v>0</v>
      </c>
      <c r="AB154" s="57" t="n">
        <f aca="false">IF(OR($B154="",$E154="",$F154=""),0,MAX(0,MIN($F154,EOMONTH(DATE(cfg_FY,7,1),0))-MAX($E154,DATE(cfg_FY,7,1))+1)*(1-IF($M154="نعم",0,N($J154))))</f>
        <v>0</v>
      </c>
      <c r="AC154" s="57" t="n">
        <f aca="false">IF(OR($B154="",$E154="",$F154=""),0,MAX(0,MIN($F154,EOMONTH(DATE(cfg_FY,8,1),0))-MAX($E154,DATE(cfg_FY,8,1))+1)*(1-IF($M154="نعم",0,N($J154))))</f>
        <v>0</v>
      </c>
      <c r="AD154" s="57" t="n">
        <f aca="false">IF(OR($B154="",$E154="",$F154=""),0,MAX(0,MIN($F154,EOMONTH(DATE(cfg_FY,9,1),0))-MAX($E154,DATE(cfg_FY,9,1))+1)*(1-IF($M154="نعم",0,N($J154))))</f>
        <v>0</v>
      </c>
      <c r="AE154" s="57" t="n">
        <f aca="false">IF(OR($B154="",$E154="",$F154=""),0,MAX(0,MIN($F154,EOMONTH(DATE(cfg_FY,10,1),0))-MAX($E154,DATE(cfg_FY,10,1))+1)*(1-IF($M154="نعم",0,N($J154))))</f>
        <v>0</v>
      </c>
      <c r="AF154" s="57" t="n">
        <f aca="false">IF(OR($B154="",$E154="",$F154=""),0,MAX(0,MIN($F154,EOMONTH(DATE(cfg_FY,11,1),0))-MAX($E154,DATE(cfg_FY,11,1))+1)*(1-IF($M154="نعم",0,N($J154))))</f>
        <v>0</v>
      </c>
      <c r="AG154" s="57" t="n">
        <f aca="false">IF(OR($B154="",$E154="",$F154=""),0,MAX(0,MIN($F154,EOMONTH(DATE(cfg_FY,12,1),0))-MAX($E154,DATE(cfg_FY,12,1))+1)*(1-IF($M154="نعم",0,N($J154))))</f>
        <v>0</v>
      </c>
      <c r="AH154" s="57" t="n">
        <f aca="false">IF(OR(OR($B154="",$E154="",$F154=""),$L154&lt;&gt;"لا"),0,MAX(0,MIN($F154,EOMONTH(DATE(cfg_FY,1,1),0))-$E154+1))</f>
        <v>0</v>
      </c>
      <c r="AI154" s="57" t="n">
        <f aca="false">IF(OR(OR($B154="",$E154="",$F154=""),$L154&lt;&gt;"لا"),0,MAX(0,MIN($F154,EOMONTH(DATE(cfg_FY,2,1),0))-$E154+1))</f>
        <v>0</v>
      </c>
      <c r="AJ154" s="57" t="n">
        <f aca="false">IF(OR(OR($B154="",$E154="",$F154=""),$L154&lt;&gt;"لا"),0,MAX(0,MIN($F154,EOMONTH(DATE(cfg_FY,3,1),0))-$E154+1))</f>
        <v>0</v>
      </c>
      <c r="AK154" s="57" t="n">
        <f aca="false">IF(OR(OR($B154="",$E154="",$F154=""),$L154&lt;&gt;"لا"),0,MAX(0,MIN($F154,EOMONTH(DATE(cfg_FY,4,1),0))-$E154+1))</f>
        <v>0</v>
      </c>
      <c r="AL154" s="57" t="n">
        <f aca="false">IF(OR(OR($B154="",$E154="",$F154=""),$L154&lt;&gt;"لا"),0,MAX(0,MIN($F154,EOMONTH(DATE(cfg_FY,5,1),0))-$E154+1))</f>
        <v>0</v>
      </c>
      <c r="AM154" s="57" t="n">
        <f aca="false">IF(OR(OR($B154="",$E154="",$F154=""),$L154&lt;&gt;"لا"),0,MAX(0,MIN($F154,EOMONTH(DATE(cfg_FY,6,1),0))-$E154+1))</f>
        <v>0</v>
      </c>
      <c r="AN154" s="57" t="n">
        <f aca="false">IF(OR(OR($B154="",$E154="",$F154=""),$L154&lt;&gt;"لا"),0,MAX(0,MIN($F154,EOMONTH(DATE(cfg_FY,7,1),0))-$E154+1))</f>
        <v>0</v>
      </c>
      <c r="AO154" s="57" t="n">
        <f aca="false">IF(OR(OR($B154="",$E154="",$F154=""),$L154&lt;&gt;"لا"),0,MAX(0,MIN($F154,EOMONTH(DATE(cfg_FY,8,1),0))-$E154+1))</f>
        <v>0</v>
      </c>
      <c r="AP154" s="57" t="n">
        <f aca="false">IF(OR(OR($B154="",$E154="",$F154=""),$L154&lt;&gt;"لا"),0,MAX(0,MIN($F154,EOMONTH(DATE(cfg_FY,9,1),0))-$E154+1))</f>
        <v>0</v>
      </c>
      <c r="AQ154" s="57" t="n">
        <f aca="false">IF(OR(OR($B154="",$E154="",$F154=""),$L154&lt;&gt;"لا"),0,MAX(0,MIN($F154,EOMONTH(DATE(cfg_FY,10,1),0))-$E154+1))</f>
        <v>0</v>
      </c>
      <c r="AR154" s="57" t="n">
        <f aca="false">IF(OR(OR($B154="",$E154="",$F154=""),$L154&lt;&gt;"لا"),0,MAX(0,MIN($F154,EOMONTH(DATE(cfg_FY,11,1),0))-$E154+1))</f>
        <v>0</v>
      </c>
      <c r="AS154" s="57" t="n">
        <f aca="false">IF(OR(OR($B154="",$E154="",$F154=""),$L154&lt;&gt;"لا"),0,MAX(0,MIN($F154,EOMONTH(DATE(cfg_FY,12,1),0))-$E154+1))</f>
        <v>0</v>
      </c>
      <c r="AT154" s="57" t="n">
        <f aca="false">IF(OR(OR($B154="",$E154="",$F154=""),$K154&lt;&gt;"نعم",$M154="نعم"),0,MAX(0,MIN($F154,EOMONTH(DATE(cfg_FY,1,1),0))-MAX($E154,DATE(cfg_FY,1,1))+1))</f>
        <v>0</v>
      </c>
      <c r="AU154" s="57" t="n">
        <f aca="false">IF(OR(OR($B154="",$E154="",$F154=""),$K154&lt;&gt;"نعم",$M154="نعم"),0,MAX(0,MIN($F154,EOMONTH(DATE(cfg_FY,2,1),0))-MAX($E154,DATE(cfg_FY,2,1))+1))</f>
        <v>0</v>
      </c>
      <c r="AV154" s="57" t="n">
        <f aca="false">IF(OR(OR($B154="",$E154="",$F154=""),$K154&lt;&gt;"نعم",$M154="نعم"),0,MAX(0,MIN($F154,EOMONTH(DATE(cfg_FY,3,1),0))-MAX($E154,DATE(cfg_FY,3,1))+1))</f>
        <v>0</v>
      </c>
      <c r="AW154" s="57" t="n">
        <f aca="false">IF(OR(OR($B154="",$E154="",$F154=""),$K154&lt;&gt;"نعم",$M154="نعم"),0,MAX(0,MIN($F154,EOMONTH(DATE(cfg_FY,4,1),0))-MAX($E154,DATE(cfg_FY,4,1))+1))</f>
        <v>0</v>
      </c>
      <c r="AX154" s="57" t="n">
        <f aca="false">IF(OR(OR($B154="",$E154="",$F154=""),$K154&lt;&gt;"نعم",$M154="نعم"),0,MAX(0,MIN($F154,EOMONTH(DATE(cfg_FY,5,1),0))-MAX($E154,DATE(cfg_FY,5,1))+1))</f>
        <v>0</v>
      </c>
      <c r="AY154" s="57" t="n">
        <f aca="false">IF(OR(OR($B154="",$E154="",$F154=""),$K154&lt;&gt;"نعم",$M154="نعم"),0,MAX(0,MIN($F154,EOMONTH(DATE(cfg_FY,6,1),0))-MAX($E154,DATE(cfg_FY,6,1))+1))</f>
        <v>0</v>
      </c>
      <c r="AZ154" s="57" t="n">
        <f aca="false">IF(OR(OR($B154="",$E154="",$F154=""),$K154&lt;&gt;"نعم",$M154="نعم"),0,MAX(0,MIN($F154,EOMONTH(DATE(cfg_FY,7,1),0))-MAX($E154,DATE(cfg_FY,7,1))+1))</f>
        <v>0</v>
      </c>
      <c r="BA154" s="57" t="n">
        <f aca="false">IF(OR(OR($B154="",$E154="",$F154=""),$K154&lt;&gt;"نعم",$M154="نعم"),0,MAX(0,MIN($F154,EOMONTH(DATE(cfg_FY,8,1),0))-MAX($E154,DATE(cfg_FY,8,1))+1))</f>
        <v>0</v>
      </c>
      <c r="BB154" s="57" t="n">
        <f aca="false">IF(OR(OR($B154="",$E154="",$F154=""),$K154&lt;&gt;"نعم",$M154="نعم"),0,MAX(0,MIN($F154,EOMONTH(DATE(cfg_FY,9,1),0))-MAX($E154,DATE(cfg_FY,9,1))+1))</f>
        <v>0</v>
      </c>
      <c r="BC154" s="57" t="n">
        <f aca="false">IF(OR(OR($B154="",$E154="",$F154=""),$K154&lt;&gt;"نعم",$M154="نعم"),0,MAX(0,MIN($F154,EOMONTH(DATE(cfg_FY,10,1),0))-MAX($E154,DATE(cfg_FY,10,1))+1))</f>
        <v>0</v>
      </c>
      <c r="BD154" s="57" t="n">
        <f aca="false">IF(OR(OR($B154="",$E154="",$F154=""),$K154&lt;&gt;"نعم",$M154="نعم"),0,MAX(0,MIN($F154,EOMONTH(DATE(cfg_FY,11,1),0))-MAX($E154,DATE(cfg_FY,11,1))+1))</f>
        <v>0</v>
      </c>
      <c r="BE154" s="57" t="n">
        <f aca="false">IF(OR(OR($B154="",$E154="",$F154=""),$K154&lt;&gt;"نعم",$M154="نعم"),0,MAX(0,MIN($F154,EOMONTH(DATE(cfg_FY,12,1),0))-MAX($E154,DATE(cfg_FY,12,1))+1))</f>
        <v>0</v>
      </c>
    </row>
    <row r="155" customFormat="false" ht="15" hidden="false" customHeight="false" outlineLevel="0" collapsed="false">
      <c r="A155" s="100" t="str">
        <f aca="false">IF(B155="","",ROW()-5)</f>
        <v/>
      </c>
      <c r="B155" s="79"/>
      <c r="C155" s="102" t="str">
        <f aca="false">IF(B155="","",IFERROR(INDEX(الموظفون!$C$6:$C$105,MATCH(B155,الموظفون!$B$6:$B$105,0)),"✖ رقم غير موجود"))</f>
        <v/>
      </c>
      <c r="D155" s="79"/>
      <c r="E155" s="94"/>
      <c r="F155" s="94"/>
      <c r="G155" s="110" t="str">
        <f aca="false">IF(OR($B155="",$E155="",$F155=""),"",MAX(0,F155-E155+1))</f>
        <v/>
      </c>
      <c r="H155" s="111" t="str">
        <f aca="false">IF(D155="","",IFERROR(VLOOKUP(D155,cfg_LT,2,FALSE()),1))</f>
        <v/>
      </c>
      <c r="I155" s="82"/>
      <c r="J155" s="111" t="str">
        <f aca="false">IF(D155="","",IF(I155&lt;&gt;"",I155,H155))</f>
        <v/>
      </c>
      <c r="K155" s="102" t="str">
        <f aca="false">IF(D155="","",IFERROR(VLOOKUP($D155,cfg_LT,3,FALSE()),""))</f>
        <v/>
      </c>
      <c r="L155" s="102" t="str">
        <f aca="false">IF(D155="","",IFERROR(VLOOKUP($D155,cfg_LT,4,FALSE()),""))</f>
        <v/>
      </c>
      <c r="M155" s="102" t="str">
        <f aca="false">IF(D155="","",IFERROR(VLOOKUP($D155,cfg_LT,5,FALSE()),""))</f>
        <v/>
      </c>
      <c r="N155" s="101" t="n">
        <f aca="false">IF(OR(OR($B155="",$E155="",$F155=""),M155&lt;&gt;"نعم"),0,G155*J155*IFERROR(INDEX(الموظفون!$R$6:$R$105,MATCH(B155,الموظفون!$B$6:$B$105,0)),0)/cfg_DAYS_M)</f>
        <v>0</v>
      </c>
      <c r="O155" s="100" t="str">
        <f aca="false">IF(OR(OR($B155="",$E155="",$F155=""),M155&lt;&gt;"نعم"),"",IF(YEAR(E155)=cfg_FY,MONTH(E155),""))</f>
        <v/>
      </c>
      <c r="P155" s="102" t="str">
        <f aca="false">IF(B155="","",IF(OR(D155="",E155="",F155=""),"⚠ أكمل النوع والتواريخ",IF(F155&lt;E155,"✖ النهاية قبل البداية",IF(COUNTIFS($B$6:$B$505,B155,$E$6:$E$505,"&lt;="&amp;F155,$F$6:$F$505,"&gt;="&amp;E155)&gt;1,"⚠ تداخل مع سجل آخر",IF(E155&gt;cfg_VAL_DATE,"⏳ قادمة",IF(F155&lt;cfg_VAL_DATE,"✔ منتهية","✈ جارية في تاريخ التقرير"))))))</f>
        <v/>
      </c>
      <c r="Q155" s="79"/>
      <c r="R155" s="110" t="n">
        <f aca="false">IF(OR(OR($B155="",$E155="",$F155=""),L155&lt;&gt;"لا"),0,MAX(0,MIN(F155,cfg_Y_START-1)-E155+1))</f>
        <v>0</v>
      </c>
      <c r="S155" s="110" t="n">
        <f aca="false">IF(OR(OR($B155="",$E155="",$F155=""),L155&lt;&gt;"لا"),0,MAX(0,MIN(F155,cfg_VAL_DATE)-E155+1))</f>
        <v>0</v>
      </c>
      <c r="T155" s="110" t="n">
        <f aca="false">IF(OR(OR($B155="",$E155="",$F155=""),K155&lt;&gt;"نعم"),0,IF(M155="نعم",IF(AND(ISNUMBER(O155),N(O155)&lt;=cfg_VAL_M),G155,0),MAX(0,MIN(F155,cfg_VAL_DATE)-MAX(E155,cfg_Y_START)+1)))</f>
        <v>0</v>
      </c>
      <c r="V155" s="110" t="n">
        <f aca="false">IF(OR($B155="",$E155="",$F155=""),0,MAX(0,MIN($F155,EOMONTH(DATE(cfg_FY,1,1),0))-MAX($E155,DATE(cfg_FY,1,1))+1)*(1-IF($M155="نعم",0,N($J155))))</f>
        <v>0</v>
      </c>
      <c r="W155" s="110" t="n">
        <f aca="false">IF(OR($B155="",$E155="",$F155=""),0,MAX(0,MIN($F155,EOMONTH(DATE(cfg_FY,2,1),0))-MAX($E155,DATE(cfg_FY,2,1))+1)*(1-IF($M155="نعم",0,N($J155))))</f>
        <v>0</v>
      </c>
      <c r="X155" s="110" t="n">
        <f aca="false">IF(OR($B155="",$E155="",$F155=""),0,MAX(0,MIN($F155,EOMONTH(DATE(cfg_FY,3,1),0))-MAX($E155,DATE(cfg_FY,3,1))+1)*(1-IF($M155="نعم",0,N($J155))))</f>
        <v>0</v>
      </c>
      <c r="Y155" s="110" t="n">
        <f aca="false">IF(OR($B155="",$E155="",$F155=""),0,MAX(0,MIN($F155,EOMONTH(DATE(cfg_FY,4,1),0))-MAX($E155,DATE(cfg_FY,4,1))+1)*(1-IF($M155="نعم",0,N($J155))))</f>
        <v>0</v>
      </c>
      <c r="Z155" s="110" t="n">
        <f aca="false">IF(OR($B155="",$E155="",$F155=""),0,MAX(0,MIN($F155,EOMONTH(DATE(cfg_FY,5,1),0))-MAX($E155,DATE(cfg_FY,5,1))+1)*(1-IF($M155="نعم",0,N($J155))))</f>
        <v>0</v>
      </c>
      <c r="AA155" s="110" t="n">
        <f aca="false">IF(OR($B155="",$E155="",$F155=""),0,MAX(0,MIN($F155,EOMONTH(DATE(cfg_FY,6,1),0))-MAX($E155,DATE(cfg_FY,6,1))+1)*(1-IF($M155="نعم",0,N($J155))))</f>
        <v>0</v>
      </c>
      <c r="AB155" s="110" t="n">
        <f aca="false">IF(OR($B155="",$E155="",$F155=""),0,MAX(0,MIN($F155,EOMONTH(DATE(cfg_FY,7,1),0))-MAX($E155,DATE(cfg_FY,7,1))+1)*(1-IF($M155="نعم",0,N($J155))))</f>
        <v>0</v>
      </c>
      <c r="AC155" s="110" t="n">
        <f aca="false">IF(OR($B155="",$E155="",$F155=""),0,MAX(0,MIN($F155,EOMONTH(DATE(cfg_FY,8,1),0))-MAX($E155,DATE(cfg_FY,8,1))+1)*(1-IF($M155="نعم",0,N($J155))))</f>
        <v>0</v>
      </c>
      <c r="AD155" s="110" t="n">
        <f aca="false">IF(OR($B155="",$E155="",$F155=""),0,MAX(0,MIN($F155,EOMONTH(DATE(cfg_FY,9,1),0))-MAX($E155,DATE(cfg_FY,9,1))+1)*(1-IF($M155="نعم",0,N($J155))))</f>
        <v>0</v>
      </c>
      <c r="AE155" s="110" t="n">
        <f aca="false">IF(OR($B155="",$E155="",$F155=""),0,MAX(0,MIN($F155,EOMONTH(DATE(cfg_FY,10,1),0))-MAX($E155,DATE(cfg_FY,10,1))+1)*(1-IF($M155="نعم",0,N($J155))))</f>
        <v>0</v>
      </c>
      <c r="AF155" s="110" t="n">
        <f aca="false">IF(OR($B155="",$E155="",$F155=""),0,MAX(0,MIN($F155,EOMONTH(DATE(cfg_FY,11,1),0))-MAX($E155,DATE(cfg_FY,11,1))+1)*(1-IF($M155="نعم",0,N($J155))))</f>
        <v>0</v>
      </c>
      <c r="AG155" s="110" t="n">
        <f aca="false">IF(OR($B155="",$E155="",$F155=""),0,MAX(0,MIN($F155,EOMONTH(DATE(cfg_FY,12,1),0))-MAX($E155,DATE(cfg_FY,12,1))+1)*(1-IF($M155="نعم",0,N($J155))))</f>
        <v>0</v>
      </c>
      <c r="AH155" s="110" t="n">
        <f aca="false">IF(OR(OR($B155="",$E155="",$F155=""),$L155&lt;&gt;"لا"),0,MAX(0,MIN($F155,EOMONTH(DATE(cfg_FY,1,1),0))-$E155+1))</f>
        <v>0</v>
      </c>
      <c r="AI155" s="110" t="n">
        <f aca="false">IF(OR(OR($B155="",$E155="",$F155=""),$L155&lt;&gt;"لا"),0,MAX(0,MIN($F155,EOMONTH(DATE(cfg_FY,2,1),0))-$E155+1))</f>
        <v>0</v>
      </c>
      <c r="AJ155" s="110" t="n">
        <f aca="false">IF(OR(OR($B155="",$E155="",$F155=""),$L155&lt;&gt;"لا"),0,MAX(0,MIN($F155,EOMONTH(DATE(cfg_FY,3,1),0))-$E155+1))</f>
        <v>0</v>
      </c>
      <c r="AK155" s="110" t="n">
        <f aca="false">IF(OR(OR($B155="",$E155="",$F155=""),$L155&lt;&gt;"لا"),0,MAX(0,MIN($F155,EOMONTH(DATE(cfg_FY,4,1),0))-$E155+1))</f>
        <v>0</v>
      </c>
      <c r="AL155" s="110" t="n">
        <f aca="false">IF(OR(OR($B155="",$E155="",$F155=""),$L155&lt;&gt;"لا"),0,MAX(0,MIN($F155,EOMONTH(DATE(cfg_FY,5,1),0))-$E155+1))</f>
        <v>0</v>
      </c>
      <c r="AM155" s="110" t="n">
        <f aca="false">IF(OR(OR($B155="",$E155="",$F155=""),$L155&lt;&gt;"لا"),0,MAX(0,MIN($F155,EOMONTH(DATE(cfg_FY,6,1),0))-$E155+1))</f>
        <v>0</v>
      </c>
      <c r="AN155" s="110" t="n">
        <f aca="false">IF(OR(OR($B155="",$E155="",$F155=""),$L155&lt;&gt;"لا"),0,MAX(0,MIN($F155,EOMONTH(DATE(cfg_FY,7,1),0))-$E155+1))</f>
        <v>0</v>
      </c>
      <c r="AO155" s="110" t="n">
        <f aca="false">IF(OR(OR($B155="",$E155="",$F155=""),$L155&lt;&gt;"لا"),0,MAX(0,MIN($F155,EOMONTH(DATE(cfg_FY,8,1),0))-$E155+1))</f>
        <v>0</v>
      </c>
      <c r="AP155" s="110" t="n">
        <f aca="false">IF(OR(OR($B155="",$E155="",$F155=""),$L155&lt;&gt;"لا"),0,MAX(0,MIN($F155,EOMONTH(DATE(cfg_FY,9,1),0))-$E155+1))</f>
        <v>0</v>
      </c>
      <c r="AQ155" s="110" t="n">
        <f aca="false">IF(OR(OR($B155="",$E155="",$F155=""),$L155&lt;&gt;"لا"),0,MAX(0,MIN($F155,EOMONTH(DATE(cfg_FY,10,1),0))-$E155+1))</f>
        <v>0</v>
      </c>
      <c r="AR155" s="110" t="n">
        <f aca="false">IF(OR(OR($B155="",$E155="",$F155=""),$L155&lt;&gt;"لا"),0,MAX(0,MIN($F155,EOMONTH(DATE(cfg_FY,11,1),0))-$E155+1))</f>
        <v>0</v>
      </c>
      <c r="AS155" s="110" t="n">
        <f aca="false">IF(OR(OR($B155="",$E155="",$F155=""),$L155&lt;&gt;"لا"),0,MAX(0,MIN($F155,EOMONTH(DATE(cfg_FY,12,1),0))-$E155+1))</f>
        <v>0</v>
      </c>
      <c r="AT155" s="110" t="n">
        <f aca="false">IF(OR(OR($B155="",$E155="",$F155=""),$K155&lt;&gt;"نعم",$M155="نعم"),0,MAX(0,MIN($F155,EOMONTH(DATE(cfg_FY,1,1),0))-MAX($E155,DATE(cfg_FY,1,1))+1))</f>
        <v>0</v>
      </c>
      <c r="AU155" s="110" t="n">
        <f aca="false">IF(OR(OR($B155="",$E155="",$F155=""),$K155&lt;&gt;"نعم",$M155="نعم"),0,MAX(0,MIN($F155,EOMONTH(DATE(cfg_FY,2,1),0))-MAX($E155,DATE(cfg_FY,2,1))+1))</f>
        <v>0</v>
      </c>
      <c r="AV155" s="110" t="n">
        <f aca="false">IF(OR(OR($B155="",$E155="",$F155=""),$K155&lt;&gt;"نعم",$M155="نعم"),0,MAX(0,MIN($F155,EOMONTH(DATE(cfg_FY,3,1),0))-MAX($E155,DATE(cfg_FY,3,1))+1))</f>
        <v>0</v>
      </c>
      <c r="AW155" s="110" t="n">
        <f aca="false">IF(OR(OR($B155="",$E155="",$F155=""),$K155&lt;&gt;"نعم",$M155="نعم"),0,MAX(0,MIN($F155,EOMONTH(DATE(cfg_FY,4,1),0))-MAX($E155,DATE(cfg_FY,4,1))+1))</f>
        <v>0</v>
      </c>
      <c r="AX155" s="110" t="n">
        <f aca="false">IF(OR(OR($B155="",$E155="",$F155=""),$K155&lt;&gt;"نعم",$M155="نعم"),0,MAX(0,MIN($F155,EOMONTH(DATE(cfg_FY,5,1),0))-MAX($E155,DATE(cfg_FY,5,1))+1))</f>
        <v>0</v>
      </c>
      <c r="AY155" s="110" t="n">
        <f aca="false">IF(OR(OR($B155="",$E155="",$F155=""),$K155&lt;&gt;"نعم",$M155="نعم"),0,MAX(0,MIN($F155,EOMONTH(DATE(cfg_FY,6,1),0))-MAX($E155,DATE(cfg_FY,6,1))+1))</f>
        <v>0</v>
      </c>
      <c r="AZ155" s="110" t="n">
        <f aca="false">IF(OR(OR($B155="",$E155="",$F155=""),$K155&lt;&gt;"نعم",$M155="نعم"),0,MAX(0,MIN($F155,EOMONTH(DATE(cfg_FY,7,1),0))-MAX($E155,DATE(cfg_FY,7,1))+1))</f>
        <v>0</v>
      </c>
      <c r="BA155" s="110" t="n">
        <f aca="false">IF(OR(OR($B155="",$E155="",$F155=""),$K155&lt;&gt;"نعم",$M155="نعم"),0,MAX(0,MIN($F155,EOMONTH(DATE(cfg_FY,8,1),0))-MAX($E155,DATE(cfg_FY,8,1))+1))</f>
        <v>0</v>
      </c>
      <c r="BB155" s="110" t="n">
        <f aca="false">IF(OR(OR($B155="",$E155="",$F155=""),$K155&lt;&gt;"نعم",$M155="نعم"),0,MAX(0,MIN($F155,EOMONTH(DATE(cfg_FY,9,1),0))-MAX($E155,DATE(cfg_FY,9,1))+1))</f>
        <v>0</v>
      </c>
      <c r="BC155" s="110" t="n">
        <f aca="false">IF(OR(OR($B155="",$E155="",$F155=""),$K155&lt;&gt;"نعم",$M155="نعم"),0,MAX(0,MIN($F155,EOMONTH(DATE(cfg_FY,10,1),0))-MAX($E155,DATE(cfg_FY,10,1))+1))</f>
        <v>0</v>
      </c>
      <c r="BD155" s="110" t="n">
        <f aca="false">IF(OR(OR($B155="",$E155="",$F155=""),$K155&lt;&gt;"نعم",$M155="نعم"),0,MAX(0,MIN($F155,EOMONTH(DATE(cfg_FY,11,1),0))-MAX($E155,DATE(cfg_FY,11,1))+1))</f>
        <v>0</v>
      </c>
      <c r="BE155" s="110" t="n">
        <f aca="false">IF(OR(OR($B155="",$E155="",$F155=""),$K155&lt;&gt;"نعم",$M155="نعم"),0,MAX(0,MIN($F155,EOMONTH(DATE(cfg_FY,12,1),0))-MAX($E155,DATE(cfg_FY,12,1))+1))</f>
        <v>0</v>
      </c>
    </row>
    <row r="156" customFormat="false" ht="15" hidden="false" customHeight="false" outlineLevel="0" collapsed="false">
      <c r="A156" s="93" t="str">
        <f aca="false">IF(B156="","",ROW()-5)</f>
        <v/>
      </c>
      <c r="B156" s="79"/>
      <c r="C156" s="80" t="str">
        <f aca="false">IF(B156="","",IFERROR(INDEX(الموظفون!$C$6:$C$105,MATCH(B156,الموظفون!$B$6:$B$105,0)),"✖ رقم غير موجود"))</f>
        <v/>
      </c>
      <c r="D156" s="79"/>
      <c r="E156" s="94"/>
      <c r="F156" s="94"/>
      <c r="G156" s="57" t="str">
        <f aca="false">IF(OR($B156="",$E156="",$F156=""),"",MAX(0,F156-E156+1))</f>
        <v/>
      </c>
      <c r="H156" s="58" t="str">
        <f aca="false">IF(D156="","",IFERROR(VLOOKUP(D156,cfg_LT,2,FALSE()),1))</f>
        <v/>
      </c>
      <c r="I156" s="82"/>
      <c r="J156" s="58" t="str">
        <f aca="false">IF(D156="","",IF(I156&lt;&gt;"",I156,H156))</f>
        <v/>
      </c>
      <c r="K156" s="80" t="str">
        <f aca="false">IF(D156="","",IFERROR(VLOOKUP($D156,cfg_LT,3,FALSE()),""))</f>
        <v/>
      </c>
      <c r="L156" s="80" t="str">
        <f aca="false">IF(D156="","",IFERROR(VLOOKUP($D156,cfg_LT,4,FALSE()),""))</f>
        <v/>
      </c>
      <c r="M156" s="80" t="str">
        <f aca="false">IF(D156="","",IFERROR(VLOOKUP($D156,cfg_LT,5,FALSE()),""))</f>
        <v/>
      </c>
      <c r="N156" s="97" t="n">
        <f aca="false">IF(OR(OR($B156="",$E156="",$F156=""),M156&lt;&gt;"نعم"),0,G156*J156*IFERROR(INDEX(الموظفون!$R$6:$R$105,MATCH(B156,الموظفون!$B$6:$B$105,0)),0)/cfg_DAYS_M)</f>
        <v>0</v>
      </c>
      <c r="O156" s="93" t="str">
        <f aca="false">IF(OR(OR($B156="",$E156="",$F156=""),M156&lt;&gt;"نعم"),"",IF(YEAR(E156)=cfg_FY,MONTH(E156),""))</f>
        <v/>
      </c>
      <c r="P156" s="80" t="str">
        <f aca="false">IF(B156="","",IF(OR(D156="",E156="",F156=""),"⚠ أكمل النوع والتواريخ",IF(F156&lt;E156,"✖ النهاية قبل البداية",IF(COUNTIFS($B$6:$B$505,B156,$E$6:$E$505,"&lt;="&amp;F156,$F$6:$F$505,"&gt;="&amp;E156)&gt;1,"⚠ تداخل مع سجل آخر",IF(E156&gt;cfg_VAL_DATE,"⏳ قادمة",IF(F156&lt;cfg_VAL_DATE,"✔ منتهية","✈ جارية في تاريخ التقرير"))))))</f>
        <v/>
      </c>
      <c r="Q156" s="79"/>
      <c r="R156" s="57" t="n">
        <f aca="false">IF(OR(OR($B156="",$E156="",$F156=""),L156&lt;&gt;"لا"),0,MAX(0,MIN(F156,cfg_Y_START-1)-E156+1))</f>
        <v>0</v>
      </c>
      <c r="S156" s="57" t="n">
        <f aca="false">IF(OR(OR($B156="",$E156="",$F156=""),L156&lt;&gt;"لا"),0,MAX(0,MIN(F156,cfg_VAL_DATE)-E156+1))</f>
        <v>0</v>
      </c>
      <c r="T156" s="57" t="n">
        <f aca="false">IF(OR(OR($B156="",$E156="",$F156=""),K156&lt;&gt;"نعم"),0,IF(M156="نعم",IF(AND(ISNUMBER(O156),N(O156)&lt;=cfg_VAL_M),G156,0),MAX(0,MIN(F156,cfg_VAL_DATE)-MAX(E156,cfg_Y_START)+1)))</f>
        <v>0</v>
      </c>
      <c r="V156" s="57" t="n">
        <f aca="false">IF(OR($B156="",$E156="",$F156=""),0,MAX(0,MIN($F156,EOMONTH(DATE(cfg_FY,1,1),0))-MAX($E156,DATE(cfg_FY,1,1))+1)*(1-IF($M156="نعم",0,N($J156))))</f>
        <v>0</v>
      </c>
      <c r="W156" s="57" t="n">
        <f aca="false">IF(OR($B156="",$E156="",$F156=""),0,MAX(0,MIN($F156,EOMONTH(DATE(cfg_FY,2,1),0))-MAX($E156,DATE(cfg_FY,2,1))+1)*(1-IF($M156="نعم",0,N($J156))))</f>
        <v>0</v>
      </c>
      <c r="X156" s="57" t="n">
        <f aca="false">IF(OR($B156="",$E156="",$F156=""),0,MAX(0,MIN($F156,EOMONTH(DATE(cfg_FY,3,1),0))-MAX($E156,DATE(cfg_FY,3,1))+1)*(1-IF($M156="نعم",0,N($J156))))</f>
        <v>0</v>
      </c>
      <c r="Y156" s="57" t="n">
        <f aca="false">IF(OR($B156="",$E156="",$F156=""),0,MAX(0,MIN($F156,EOMONTH(DATE(cfg_FY,4,1),0))-MAX($E156,DATE(cfg_FY,4,1))+1)*(1-IF($M156="نعم",0,N($J156))))</f>
        <v>0</v>
      </c>
      <c r="Z156" s="57" t="n">
        <f aca="false">IF(OR($B156="",$E156="",$F156=""),0,MAX(0,MIN($F156,EOMONTH(DATE(cfg_FY,5,1),0))-MAX($E156,DATE(cfg_FY,5,1))+1)*(1-IF($M156="نعم",0,N($J156))))</f>
        <v>0</v>
      </c>
      <c r="AA156" s="57" t="n">
        <f aca="false">IF(OR($B156="",$E156="",$F156=""),0,MAX(0,MIN($F156,EOMONTH(DATE(cfg_FY,6,1),0))-MAX($E156,DATE(cfg_FY,6,1))+1)*(1-IF($M156="نعم",0,N($J156))))</f>
        <v>0</v>
      </c>
      <c r="AB156" s="57" t="n">
        <f aca="false">IF(OR($B156="",$E156="",$F156=""),0,MAX(0,MIN($F156,EOMONTH(DATE(cfg_FY,7,1),0))-MAX($E156,DATE(cfg_FY,7,1))+1)*(1-IF($M156="نعم",0,N($J156))))</f>
        <v>0</v>
      </c>
      <c r="AC156" s="57" t="n">
        <f aca="false">IF(OR($B156="",$E156="",$F156=""),0,MAX(0,MIN($F156,EOMONTH(DATE(cfg_FY,8,1),0))-MAX($E156,DATE(cfg_FY,8,1))+1)*(1-IF($M156="نعم",0,N($J156))))</f>
        <v>0</v>
      </c>
      <c r="AD156" s="57" t="n">
        <f aca="false">IF(OR($B156="",$E156="",$F156=""),0,MAX(0,MIN($F156,EOMONTH(DATE(cfg_FY,9,1),0))-MAX($E156,DATE(cfg_FY,9,1))+1)*(1-IF($M156="نعم",0,N($J156))))</f>
        <v>0</v>
      </c>
      <c r="AE156" s="57" t="n">
        <f aca="false">IF(OR($B156="",$E156="",$F156=""),0,MAX(0,MIN($F156,EOMONTH(DATE(cfg_FY,10,1),0))-MAX($E156,DATE(cfg_FY,10,1))+1)*(1-IF($M156="نعم",0,N($J156))))</f>
        <v>0</v>
      </c>
      <c r="AF156" s="57" t="n">
        <f aca="false">IF(OR($B156="",$E156="",$F156=""),0,MAX(0,MIN($F156,EOMONTH(DATE(cfg_FY,11,1),0))-MAX($E156,DATE(cfg_FY,11,1))+1)*(1-IF($M156="نعم",0,N($J156))))</f>
        <v>0</v>
      </c>
      <c r="AG156" s="57" t="n">
        <f aca="false">IF(OR($B156="",$E156="",$F156=""),0,MAX(0,MIN($F156,EOMONTH(DATE(cfg_FY,12,1),0))-MAX($E156,DATE(cfg_FY,12,1))+1)*(1-IF($M156="نعم",0,N($J156))))</f>
        <v>0</v>
      </c>
      <c r="AH156" s="57" t="n">
        <f aca="false">IF(OR(OR($B156="",$E156="",$F156=""),$L156&lt;&gt;"لا"),0,MAX(0,MIN($F156,EOMONTH(DATE(cfg_FY,1,1),0))-$E156+1))</f>
        <v>0</v>
      </c>
      <c r="AI156" s="57" t="n">
        <f aca="false">IF(OR(OR($B156="",$E156="",$F156=""),$L156&lt;&gt;"لا"),0,MAX(0,MIN($F156,EOMONTH(DATE(cfg_FY,2,1),0))-$E156+1))</f>
        <v>0</v>
      </c>
      <c r="AJ156" s="57" t="n">
        <f aca="false">IF(OR(OR($B156="",$E156="",$F156=""),$L156&lt;&gt;"لا"),0,MAX(0,MIN($F156,EOMONTH(DATE(cfg_FY,3,1),0))-$E156+1))</f>
        <v>0</v>
      </c>
      <c r="AK156" s="57" t="n">
        <f aca="false">IF(OR(OR($B156="",$E156="",$F156=""),$L156&lt;&gt;"لا"),0,MAX(0,MIN($F156,EOMONTH(DATE(cfg_FY,4,1),0))-$E156+1))</f>
        <v>0</v>
      </c>
      <c r="AL156" s="57" t="n">
        <f aca="false">IF(OR(OR($B156="",$E156="",$F156=""),$L156&lt;&gt;"لا"),0,MAX(0,MIN($F156,EOMONTH(DATE(cfg_FY,5,1),0))-$E156+1))</f>
        <v>0</v>
      </c>
      <c r="AM156" s="57" t="n">
        <f aca="false">IF(OR(OR($B156="",$E156="",$F156=""),$L156&lt;&gt;"لا"),0,MAX(0,MIN($F156,EOMONTH(DATE(cfg_FY,6,1),0))-$E156+1))</f>
        <v>0</v>
      </c>
      <c r="AN156" s="57" t="n">
        <f aca="false">IF(OR(OR($B156="",$E156="",$F156=""),$L156&lt;&gt;"لا"),0,MAX(0,MIN($F156,EOMONTH(DATE(cfg_FY,7,1),0))-$E156+1))</f>
        <v>0</v>
      </c>
      <c r="AO156" s="57" t="n">
        <f aca="false">IF(OR(OR($B156="",$E156="",$F156=""),$L156&lt;&gt;"لا"),0,MAX(0,MIN($F156,EOMONTH(DATE(cfg_FY,8,1),0))-$E156+1))</f>
        <v>0</v>
      </c>
      <c r="AP156" s="57" t="n">
        <f aca="false">IF(OR(OR($B156="",$E156="",$F156=""),$L156&lt;&gt;"لا"),0,MAX(0,MIN($F156,EOMONTH(DATE(cfg_FY,9,1),0))-$E156+1))</f>
        <v>0</v>
      </c>
      <c r="AQ156" s="57" t="n">
        <f aca="false">IF(OR(OR($B156="",$E156="",$F156=""),$L156&lt;&gt;"لا"),0,MAX(0,MIN($F156,EOMONTH(DATE(cfg_FY,10,1),0))-$E156+1))</f>
        <v>0</v>
      </c>
      <c r="AR156" s="57" t="n">
        <f aca="false">IF(OR(OR($B156="",$E156="",$F156=""),$L156&lt;&gt;"لا"),0,MAX(0,MIN($F156,EOMONTH(DATE(cfg_FY,11,1),0))-$E156+1))</f>
        <v>0</v>
      </c>
      <c r="AS156" s="57" t="n">
        <f aca="false">IF(OR(OR($B156="",$E156="",$F156=""),$L156&lt;&gt;"لا"),0,MAX(0,MIN($F156,EOMONTH(DATE(cfg_FY,12,1),0))-$E156+1))</f>
        <v>0</v>
      </c>
      <c r="AT156" s="57" t="n">
        <f aca="false">IF(OR(OR($B156="",$E156="",$F156=""),$K156&lt;&gt;"نعم",$M156="نعم"),0,MAX(0,MIN($F156,EOMONTH(DATE(cfg_FY,1,1),0))-MAX($E156,DATE(cfg_FY,1,1))+1))</f>
        <v>0</v>
      </c>
      <c r="AU156" s="57" t="n">
        <f aca="false">IF(OR(OR($B156="",$E156="",$F156=""),$K156&lt;&gt;"نعم",$M156="نعم"),0,MAX(0,MIN($F156,EOMONTH(DATE(cfg_FY,2,1),0))-MAX($E156,DATE(cfg_FY,2,1))+1))</f>
        <v>0</v>
      </c>
      <c r="AV156" s="57" t="n">
        <f aca="false">IF(OR(OR($B156="",$E156="",$F156=""),$K156&lt;&gt;"نعم",$M156="نعم"),0,MAX(0,MIN($F156,EOMONTH(DATE(cfg_FY,3,1),0))-MAX($E156,DATE(cfg_FY,3,1))+1))</f>
        <v>0</v>
      </c>
      <c r="AW156" s="57" t="n">
        <f aca="false">IF(OR(OR($B156="",$E156="",$F156=""),$K156&lt;&gt;"نعم",$M156="نعم"),0,MAX(0,MIN($F156,EOMONTH(DATE(cfg_FY,4,1),0))-MAX($E156,DATE(cfg_FY,4,1))+1))</f>
        <v>0</v>
      </c>
      <c r="AX156" s="57" t="n">
        <f aca="false">IF(OR(OR($B156="",$E156="",$F156=""),$K156&lt;&gt;"نعم",$M156="نعم"),0,MAX(0,MIN($F156,EOMONTH(DATE(cfg_FY,5,1),0))-MAX($E156,DATE(cfg_FY,5,1))+1))</f>
        <v>0</v>
      </c>
      <c r="AY156" s="57" t="n">
        <f aca="false">IF(OR(OR($B156="",$E156="",$F156=""),$K156&lt;&gt;"نعم",$M156="نعم"),0,MAX(0,MIN($F156,EOMONTH(DATE(cfg_FY,6,1),0))-MAX($E156,DATE(cfg_FY,6,1))+1))</f>
        <v>0</v>
      </c>
      <c r="AZ156" s="57" t="n">
        <f aca="false">IF(OR(OR($B156="",$E156="",$F156=""),$K156&lt;&gt;"نعم",$M156="نعم"),0,MAX(0,MIN($F156,EOMONTH(DATE(cfg_FY,7,1),0))-MAX($E156,DATE(cfg_FY,7,1))+1))</f>
        <v>0</v>
      </c>
      <c r="BA156" s="57" t="n">
        <f aca="false">IF(OR(OR($B156="",$E156="",$F156=""),$K156&lt;&gt;"نعم",$M156="نعم"),0,MAX(0,MIN($F156,EOMONTH(DATE(cfg_FY,8,1),0))-MAX($E156,DATE(cfg_FY,8,1))+1))</f>
        <v>0</v>
      </c>
      <c r="BB156" s="57" t="n">
        <f aca="false">IF(OR(OR($B156="",$E156="",$F156=""),$K156&lt;&gt;"نعم",$M156="نعم"),0,MAX(0,MIN($F156,EOMONTH(DATE(cfg_FY,9,1),0))-MAX($E156,DATE(cfg_FY,9,1))+1))</f>
        <v>0</v>
      </c>
      <c r="BC156" s="57" t="n">
        <f aca="false">IF(OR(OR($B156="",$E156="",$F156=""),$K156&lt;&gt;"نعم",$M156="نعم"),0,MAX(0,MIN($F156,EOMONTH(DATE(cfg_FY,10,1),0))-MAX($E156,DATE(cfg_FY,10,1))+1))</f>
        <v>0</v>
      </c>
      <c r="BD156" s="57" t="n">
        <f aca="false">IF(OR(OR($B156="",$E156="",$F156=""),$K156&lt;&gt;"نعم",$M156="نعم"),0,MAX(0,MIN($F156,EOMONTH(DATE(cfg_FY,11,1),0))-MAX($E156,DATE(cfg_FY,11,1))+1))</f>
        <v>0</v>
      </c>
      <c r="BE156" s="57" t="n">
        <f aca="false">IF(OR(OR($B156="",$E156="",$F156=""),$K156&lt;&gt;"نعم",$M156="نعم"),0,MAX(0,MIN($F156,EOMONTH(DATE(cfg_FY,12,1),0))-MAX($E156,DATE(cfg_FY,12,1))+1))</f>
        <v>0</v>
      </c>
    </row>
    <row r="157" customFormat="false" ht="15" hidden="false" customHeight="false" outlineLevel="0" collapsed="false">
      <c r="A157" s="100" t="str">
        <f aca="false">IF(B157="","",ROW()-5)</f>
        <v/>
      </c>
      <c r="B157" s="79"/>
      <c r="C157" s="102" t="str">
        <f aca="false">IF(B157="","",IFERROR(INDEX(الموظفون!$C$6:$C$105,MATCH(B157,الموظفون!$B$6:$B$105,0)),"✖ رقم غير موجود"))</f>
        <v/>
      </c>
      <c r="D157" s="79"/>
      <c r="E157" s="94"/>
      <c r="F157" s="94"/>
      <c r="G157" s="110" t="str">
        <f aca="false">IF(OR($B157="",$E157="",$F157=""),"",MAX(0,F157-E157+1))</f>
        <v/>
      </c>
      <c r="H157" s="111" t="str">
        <f aca="false">IF(D157="","",IFERROR(VLOOKUP(D157,cfg_LT,2,FALSE()),1))</f>
        <v/>
      </c>
      <c r="I157" s="82"/>
      <c r="J157" s="111" t="str">
        <f aca="false">IF(D157="","",IF(I157&lt;&gt;"",I157,H157))</f>
        <v/>
      </c>
      <c r="K157" s="102" t="str">
        <f aca="false">IF(D157="","",IFERROR(VLOOKUP($D157,cfg_LT,3,FALSE()),""))</f>
        <v/>
      </c>
      <c r="L157" s="102" t="str">
        <f aca="false">IF(D157="","",IFERROR(VLOOKUP($D157,cfg_LT,4,FALSE()),""))</f>
        <v/>
      </c>
      <c r="M157" s="102" t="str">
        <f aca="false">IF(D157="","",IFERROR(VLOOKUP($D157,cfg_LT,5,FALSE()),""))</f>
        <v/>
      </c>
      <c r="N157" s="101" t="n">
        <f aca="false">IF(OR(OR($B157="",$E157="",$F157=""),M157&lt;&gt;"نعم"),0,G157*J157*IFERROR(INDEX(الموظفون!$R$6:$R$105,MATCH(B157,الموظفون!$B$6:$B$105,0)),0)/cfg_DAYS_M)</f>
        <v>0</v>
      </c>
      <c r="O157" s="100" t="str">
        <f aca="false">IF(OR(OR($B157="",$E157="",$F157=""),M157&lt;&gt;"نعم"),"",IF(YEAR(E157)=cfg_FY,MONTH(E157),""))</f>
        <v/>
      </c>
      <c r="P157" s="102" t="str">
        <f aca="false">IF(B157="","",IF(OR(D157="",E157="",F157=""),"⚠ أكمل النوع والتواريخ",IF(F157&lt;E157,"✖ النهاية قبل البداية",IF(COUNTIFS($B$6:$B$505,B157,$E$6:$E$505,"&lt;="&amp;F157,$F$6:$F$505,"&gt;="&amp;E157)&gt;1,"⚠ تداخل مع سجل آخر",IF(E157&gt;cfg_VAL_DATE,"⏳ قادمة",IF(F157&lt;cfg_VAL_DATE,"✔ منتهية","✈ جارية في تاريخ التقرير"))))))</f>
        <v/>
      </c>
      <c r="Q157" s="79"/>
      <c r="R157" s="110" t="n">
        <f aca="false">IF(OR(OR($B157="",$E157="",$F157=""),L157&lt;&gt;"لا"),0,MAX(0,MIN(F157,cfg_Y_START-1)-E157+1))</f>
        <v>0</v>
      </c>
      <c r="S157" s="110" t="n">
        <f aca="false">IF(OR(OR($B157="",$E157="",$F157=""),L157&lt;&gt;"لا"),0,MAX(0,MIN(F157,cfg_VAL_DATE)-E157+1))</f>
        <v>0</v>
      </c>
      <c r="T157" s="110" t="n">
        <f aca="false">IF(OR(OR($B157="",$E157="",$F157=""),K157&lt;&gt;"نعم"),0,IF(M157="نعم",IF(AND(ISNUMBER(O157),N(O157)&lt;=cfg_VAL_M),G157,0),MAX(0,MIN(F157,cfg_VAL_DATE)-MAX(E157,cfg_Y_START)+1)))</f>
        <v>0</v>
      </c>
      <c r="V157" s="110" t="n">
        <f aca="false">IF(OR($B157="",$E157="",$F157=""),0,MAX(0,MIN($F157,EOMONTH(DATE(cfg_FY,1,1),0))-MAX($E157,DATE(cfg_FY,1,1))+1)*(1-IF($M157="نعم",0,N($J157))))</f>
        <v>0</v>
      </c>
      <c r="W157" s="110" t="n">
        <f aca="false">IF(OR($B157="",$E157="",$F157=""),0,MAX(0,MIN($F157,EOMONTH(DATE(cfg_FY,2,1),0))-MAX($E157,DATE(cfg_FY,2,1))+1)*(1-IF($M157="نعم",0,N($J157))))</f>
        <v>0</v>
      </c>
      <c r="X157" s="110" t="n">
        <f aca="false">IF(OR($B157="",$E157="",$F157=""),0,MAX(0,MIN($F157,EOMONTH(DATE(cfg_FY,3,1),0))-MAX($E157,DATE(cfg_FY,3,1))+1)*(1-IF($M157="نعم",0,N($J157))))</f>
        <v>0</v>
      </c>
      <c r="Y157" s="110" t="n">
        <f aca="false">IF(OR($B157="",$E157="",$F157=""),0,MAX(0,MIN($F157,EOMONTH(DATE(cfg_FY,4,1),0))-MAX($E157,DATE(cfg_FY,4,1))+1)*(1-IF($M157="نعم",0,N($J157))))</f>
        <v>0</v>
      </c>
      <c r="Z157" s="110" t="n">
        <f aca="false">IF(OR($B157="",$E157="",$F157=""),0,MAX(0,MIN($F157,EOMONTH(DATE(cfg_FY,5,1),0))-MAX($E157,DATE(cfg_FY,5,1))+1)*(1-IF($M157="نعم",0,N($J157))))</f>
        <v>0</v>
      </c>
      <c r="AA157" s="110" t="n">
        <f aca="false">IF(OR($B157="",$E157="",$F157=""),0,MAX(0,MIN($F157,EOMONTH(DATE(cfg_FY,6,1),0))-MAX($E157,DATE(cfg_FY,6,1))+1)*(1-IF($M157="نعم",0,N($J157))))</f>
        <v>0</v>
      </c>
      <c r="AB157" s="110" t="n">
        <f aca="false">IF(OR($B157="",$E157="",$F157=""),0,MAX(0,MIN($F157,EOMONTH(DATE(cfg_FY,7,1),0))-MAX($E157,DATE(cfg_FY,7,1))+1)*(1-IF($M157="نعم",0,N($J157))))</f>
        <v>0</v>
      </c>
      <c r="AC157" s="110" t="n">
        <f aca="false">IF(OR($B157="",$E157="",$F157=""),0,MAX(0,MIN($F157,EOMONTH(DATE(cfg_FY,8,1),0))-MAX($E157,DATE(cfg_FY,8,1))+1)*(1-IF($M157="نعم",0,N($J157))))</f>
        <v>0</v>
      </c>
      <c r="AD157" s="110" t="n">
        <f aca="false">IF(OR($B157="",$E157="",$F157=""),0,MAX(0,MIN($F157,EOMONTH(DATE(cfg_FY,9,1),0))-MAX($E157,DATE(cfg_FY,9,1))+1)*(1-IF($M157="نعم",0,N($J157))))</f>
        <v>0</v>
      </c>
      <c r="AE157" s="110" t="n">
        <f aca="false">IF(OR($B157="",$E157="",$F157=""),0,MAX(0,MIN($F157,EOMONTH(DATE(cfg_FY,10,1),0))-MAX($E157,DATE(cfg_FY,10,1))+1)*(1-IF($M157="نعم",0,N($J157))))</f>
        <v>0</v>
      </c>
      <c r="AF157" s="110" t="n">
        <f aca="false">IF(OR($B157="",$E157="",$F157=""),0,MAX(0,MIN($F157,EOMONTH(DATE(cfg_FY,11,1),0))-MAX($E157,DATE(cfg_FY,11,1))+1)*(1-IF($M157="نعم",0,N($J157))))</f>
        <v>0</v>
      </c>
      <c r="AG157" s="110" t="n">
        <f aca="false">IF(OR($B157="",$E157="",$F157=""),0,MAX(0,MIN($F157,EOMONTH(DATE(cfg_FY,12,1),0))-MAX($E157,DATE(cfg_FY,12,1))+1)*(1-IF($M157="نعم",0,N($J157))))</f>
        <v>0</v>
      </c>
      <c r="AH157" s="110" t="n">
        <f aca="false">IF(OR(OR($B157="",$E157="",$F157=""),$L157&lt;&gt;"لا"),0,MAX(0,MIN($F157,EOMONTH(DATE(cfg_FY,1,1),0))-$E157+1))</f>
        <v>0</v>
      </c>
      <c r="AI157" s="110" t="n">
        <f aca="false">IF(OR(OR($B157="",$E157="",$F157=""),$L157&lt;&gt;"لا"),0,MAX(0,MIN($F157,EOMONTH(DATE(cfg_FY,2,1),0))-$E157+1))</f>
        <v>0</v>
      </c>
      <c r="AJ157" s="110" t="n">
        <f aca="false">IF(OR(OR($B157="",$E157="",$F157=""),$L157&lt;&gt;"لا"),0,MAX(0,MIN($F157,EOMONTH(DATE(cfg_FY,3,1),0))-$E157+1))</f>
        <v>0</v>
      </c>
      <c r="AK157" s="110" t="n">
        <f aca="false">IF(OR(OR($B157="",$E157="",$F157=""),$L157&lt;&gt;"لا"),0,MAX(0,MIN($F157,EOMONTH(DATE(cfg_FY,4,1),0))-$E157+1))</f>
        <v>0</v>
      </c>
      <c r="AL157" s="110" t="n">
        <f aca="false">IF(OR(OR($B157="",$E157="",$F157=""),$L157&lt;&gt;"لا"),0,MAX(0,MIN($F157,EOMONTH(DATE(cfg_FY,5,1),0))-$E157+1))</f>
        <v>0</v>
      </c>
      <c r="AM157" s="110" t="n">
        <f aca="false">IF(OR(OR($B157="",$E157="",$F157=""),$L157&lt;&gt;"لا"),0,MAX(0,MIN($F157,EOMONTH(DATE(cfg_FY,6,1),0))-$E157+1))</f>
        <v>0</v>
      </c>
      <c r="AN157" s="110" t="n">
        <f aca="false">IF(OR(OR($B157="",$E157="",$F157=""),$L157&lt;&gt;"لا"),0,MAX(0,MIN($F157,EOMONTH(DATE(cfg_FY,7,1),0))-$E157+1))</f>
        <v>0</v>
      </c>
      <c r="AO157" s="110" t="n">
        <f aca="false">IF(OR(OR($B157="",$E157="",$F157=""),$L157&lt;&gt;"لا"),0,MAX(0,MIN($F157,EOMONTH(DATE(cfg_FY,8,1),0))-$E157+1))</f>
        <v>0</v>
      </c>
      <c r="AP157" s="110" t="n">
        <f aca="false">IF(OR(OR($B157="",$E157="",$F157=""),$L157&lt;&gt;"لا"),0,MAX(0,MIN($F157,EOMONTH(DATE(cfg_FY,9,1),0))-$E157+1))</f>
        <v>0</v>
      </c>
      <c r="AQ157" s="110" t="n">
        <f aca="false">IF(OR(OR($B157="",$E157="",$F157=""),$L157&lt;&gt;"لا"),0,MAX(0,MIN($F157,EOMONTH(DATE(cfg_FY,10,1),0))-$E157+1))</f>
        <v>0</v>
      </c>
      <c r="AR157" s="110" t="n">
        <f aca="false">IF(OR(OR($B157="",$E157="",$F157=""),$L157&lt;&gt;"لا"),0,MAX(0,MIN($F157,EOMONTH(DATE(cfg_FY,11,1),0))-$E157+1))</f>
        <v>0</v>
      </c>
      <c r="AS157" s="110" t="n">
        <f aca="false">IF(OR(OR($B157="",$E157="",$F157=""),$L157&lt;&gt;"لا"),0,MAX(0,MIN($F157,EOMONTH(DATE(cfg_FY,12,1),0))-$E157+1))</f>
        <v>0</v>
      </c>
      <c r="AT157" s="110" t="n">
        <f aca="false">IF(OR(OR($B157="",$E157="",$F157=""),$K157&lt;&gt;"نعم",$M157="نعم"),0,MAX(0,MIN($F157,EOMONTH(DATE(cfg_FY,1,1),0))-MAX($E157,DATE(cfg_FY,1,1))+1))</f>
        <v>0</v>
      </c>
      <c r="AU157" s="110" t="n">
        <f aca="false">IF(OR(OR($B157="",$E157="",$F157=""),$K157&lt;&gt;"نعم",$M157="نعم"),0,MAX(0,MIN($F157,EOMONTH(DATE(cfg_FY,2,1),0))-MAX($E157,DATE(cfg_FY,2,1))+1))</f>
        <v>0</v>
      </c>
      <c r="AV157" s="110" t="n">
        <f aca="false">IF(OR(OR($B157="",$E157="",$F157=""),$K157&lt;&gt;"نعم",$M157="نعم"),0,MAX(0,MIN($F157,EOMONTH(DATE(cfg_FY,3,1),0))-MAX($E157,DATE(cfg_FY,3,1))+1))</f>
        <v>0</v>
      </c>
      <c r="AW157" s="110" t="n">
        <f aca="false">IF(OR(OR($B157="",$E157="",$F157=""),$K157&lt;&gt;"نعم",$M157="نعم"),0,MAX(0,MIN($F157,EOMONTH(DATE(cfg_FY,4,1),0))-MAX($E157,DATE(cfg_FY,4,1))+1))</f>
        <v>0</v>
      </c>
      <c r="AX157" s="110" t="n">
        <f aca="false">IF(OR(OR($B157="",$E157="",$F157=""),$K157&lt;&gt;"نعم",$M157="نعم"),0,MAX(0,MIN($F157,EOMONTH(DATE(cfg_FY,5,1),0))-MAX($E157,DATE(cfg_FY,5,1))+1))</f>
        <v>0</v>
      </c>
      <c r="AY157" s="110" t="n">
        <f aca="false">IF(OR(OR($B157="",$E157="",$F157=""),$K157&lt;&gt;"نعم",$M157="نعم"),0,MAX(0,MIN($F157,EOMONTH(DATE(cfg_FY,6,1),0))-MAX($E157,DATE(cfg_FY,6,1))+1))</f>
        <v>0</v>
      </c>
      <c r="AZ157" s="110" t="n">
        <f aca="false">IF(OR(OR($B157="",$E157="",$F157=""),$K157&lt;&gt;"نعم",$M157="نعم"),0,MAX(0,MIN($F157,EOMONTH(DATE(cfg_FY,7,1),0))-MAX($E157,DATE(cfg_FY,7,1))+1))</f>
        <v>0</v>
      </c>
      <c r="BA157" s="110" t="n">
        <f aca="false">IF(OR(OR($B157="",$E157="",$F157=""),$K157&lt;&gt;"نعم",$M157="نعم"),0,MAX(0,MIN($F157,EOMONTH(DATE(cfg_FY,8,1),0))-MAX($E157,DATE(cfg_FY,8,1))+1))</f>
        <v>0</v>
      </c>
      <c r="BB157" s="110" t="n">
        <f aca="false">IF(OR(OR($B157="",$E157="",$F157=""),$K157&lt;&gt;"نعم",$M157="نعم"),0,MAX(0,MIN($F157,EOMONTH(DATE(cfg_FY,9,1),0))-MAX($E157,DATE(cfg_FY,9,1))+1))</f>
        <v>0</v>
      </c>
      <c r="BC157" s="110" t="n">
        <f aca="false">IF(OR(OR($B157="",$E157="",$F157=""),$K157&lt;&gt;"نعم",$M157="نعم"),0,MAX(0,MIN($F157,EOMONTH(DATE(cfg_FY,10,1),0))-MAX($E157,DATE(cfg_FY,10,1))+1))</f>
        <v>0</v>
      </c>
      <c r="BD157" s="110" t="n">
        <f aca="false">IF(OR(OR($B157="",$E157="",$F157=""),$K157&lt;&gt;"نعم",$M157="نعم"),0,MAX(0,MIN($F157,EOMONTH(DATE(cfg_FY,11,1),0))-MAX($E157,DATE(cfg_FY,11,1))+1))</f>
        <v>0</v>
      </c>
      <c r="BE157" s="110" t="n">
        <f aca="false">IF(OR(OR($B157="",$E157="",$F157=""),$K157&lt;&gt;"نعم",$M157="نعم"),0,MAX(0,MIN($F157,EOMONTH(DATE(cfg_FY,12,1),0))-MAX($E157,DATE(cfg_FY,12,1))+1))</f>
        <v>0</v>
      </c>
    </row>
    <row r="158" customFormat="false" ht="15" hidden="false" customHeight="false" outlineLevel="0" collapsed="false">
      <c r="A158" s="93" t="str">
        <f aca="false">IF(B158="","",ROW()-5)</f>
        <v/>
      </c>
      <c r="B158" s="79"/>
      <c r="C158" s="80" t="str">
        <f aca="false">IF(B158="","",IFERROR(INDEX(الموظفون!$C$6:$C$105,MATCH(B158,الموظفون!$B$6:$B$105,0)),"✖ رقم غير موجود"))</f>
        <v/>
      </c>
      <c r="D158" s="79"/>
      <c r="E158" s="94"/>
      <c r="F158" s="94"/>
      <c r="G158" s="57" t="str">
        <f aca="false">IF(OR($B158="",$E158="",$F158=""),"",MAX(0,F158-E158+1))</f>
        <v/>
      </c>
      <c r="H158" s="58" t="str">
        <f aca="false">IF(D158="","",IFERROR(VLOOKUP(D158,cfg_LT,2,FALSE()),1))</f>
        <v/>
      </c>
      <c r="I158" s="82"/>
      <c r="J158" s="58" t="str">
        <f aca="false">IF(D158="","",IF(I158&lt;&gt;"",I158,H158))</f>
        <v/>
      </c>
      <c r="K158" s="80" t="str">
        <f aca="false">IF(D158="","",IFERROR(VLOOKUP($D158,cfg_LT,3,FALSE()),""))</f>
        <v/>
      </c>
      <c r="L158" s="80" t="str">
        <f aca="false">IF(D158="","",IFERROR(VLOOKUP($D158,cfg_LT,4,FALSE()),""))</f>
        <v/>
      </c>
      <c r="M158" s="80" t="str">
        <f aca="false">IF(D158="","",IFERROR(VLOOKUP($D158,cfg_LT,5,FALSE()),""))</f>
        <v/>
      </c>
      <c r="N158" s="97" t="n">
        <f aca="false">IF(OR(OR($B158="",$E158="",$F158=""),M158&lt;&gt;"نعم"),0,G158*J158*IFERROR(INDEX(الموظفون!$R$6:$R$105,MATCH(B158,الموظفون!$B$6:$B$105,0)),0)/cfg_DAYS_M)</f>
        <v>0</v>
      </c>
      <c r="O158" s="93" t="str">
        <f aca="false">IF(OR(OR($B158="",$E158="",$F158=""),M158&lt;&gt;"نعم"),"",IF(YEAR(E158)=cfg_FY,MONTH(E158),""))</f>
        <v/>
      </c>
      <c r="P158" s="80" t="str">
        <f aca="false">IF(B158="","",IF(OR(D158="",E158="",F158=""),"⚠ أكمل النوع والتواريخ",IF(F158&lt;E158,"✖ النهاية قبل البداية",IF(COUNTIFS($B$6:$B$505,B158,$E$6:$E$505,"&lt;="&amp;F158,$F$6:$F$505,"&gt;="&amp;E158)&gt;1,"⚠ تداخل مع سجل آخر",IF(E158&gt;cfg_VAL_DATE,"⏳ قادمة",IF(F158&lt;cfg_VAL_DATE,"✔ منتهية","✈ جارية في تاريخ التقرير"))))))</f>
        <v/>
      </c>
      <c r="Q158" s="79"/>
      <c r="R158" s="57" t="n">
        <f aca="false">IF(OR(OR($B158="",$E158="",$F158=""),L158&lt;&gt;"لا"),0,MAX(0,MIN(F158,cfg_Y_START-1)-E158+1))</f>
        <v>0</v>
      </c>
      <c r="S158" s="57" t="n">
        <f aca="false">IF(OR(OR($B158="",$E158="",$F158=""),L158&lt;&gt;"لا"),0,MAX(0,MIN(F158,cfg_VAL_DATE)-E158+1))</f>
        <v>0</v>
      </c>
      <c r="T158" s="57" t="n">
        <f aca="false">IF(OR(OR($B158="",$E158="",$F158=""),K158&lt;&gt;"نعم"),0,IF(M158="نعم",IF(AND(ISNUMBER(O158),N(O158)&lt;=cfg_VAL_M),G158,0),MAX(0,MIN(F158,cfg_VAL_DATE)-MAX(E158,cfg_Y_START)+1)))</f>
        <v>0</v>
      </c>
      <c r="V158" s="57" t="n">
        <f aca="false">IF(OR($B158="",$E158="",$F158=""),0,MAX(0,MIN($F158,EOMONTH(DATE(cfg_FY,1,1),0))-MAX($E158,DATE(cfg_FY,1,1))+1)*(1-IF($M158="نعم",0,N($J158))))</f>
        <v>0</v>
      </c>
      <c r="W158" s="57" t="n">
        <f aca="false">IF(OR($B158="",$E158="",$F158=""),0,MAX(0,MIN($F158,EOMONTH(DATE(cfg_FY,2,1),0))-MAX($E158,DATE(cfg_FY,2,1))+1)*(1-IF($M158="نعم",0,N($J158))))</f>
        <v>0</v>
      </c>
      <c r="X158" s="57" t="n">
        <f aca="false">IF(OR($B158="",$E158="",$F158=""),0,MAX(0,MIN($F158,EOMONTH(DATE(cfg_FY,3,1),0))-MAX($E158,DATE(cfg_FY,3,1))+1)*(1-IF($M158="نعم",0,N($J158))))</f>
        <v>0</v>
      </c>
      <c r="Y158" s="57" t="n">
        <f aca="false">IF(OR($B158="",$E158="",$F158=""),0,MAX(0,MIN($F158,EOMONTH(DATE(cfg_FY,4,1),0))-MAX($E158,DATE(cfg_FY,4,1))+1)*(1-IF($M158="نعم",0,N($J158))))</f>
        <v>0</v>
      </c>
      <c r="Z158" s="57" t="n">
        <f aca="false">IF(OR($B158="",$E158="",$F158=""),0,MAX(0,MIN($F158,EOMONTH(DATE(cfg_FY,5,1),0))-MAX($E158,DATE(cfg_FY,5,1))+1)*(1-IF($M158="نعم",0,N($J158))))</f>
        <v>0</v>
      </c>
      <c r="AA158" s="57" t="n">
        <f aca="false">IF(OR($B158="",$E158="",$F158=""),0,MAX(0,MIN($F158,EOMONTH(DATE(cfg_FY,6,1),0))-MAX($E158,DATE(cfg_FY,6,1))+1)*(1-IF($M158="نعم",0,N($J158))))</f>
        <v>0</v>
      </c>
      <c r="AB158" s="57" t="n">
        <f aca="false">IF(OR($B158="",$E158="",$F158=""),0,MAX(0,MIN($F158,EOMONTH(DATE(cfg_FY,7,1),0))-MAX($E158,DATE(cfg_FY,7,1))+1)*(1-IF($M158="نعم",0,N($J158))))</f>
        <v>0</v>
      </c>
      <c r="AC158" s="57" t="n">
        <f aca="false">IF(OR($B158="",$E158="",$F158=""),0,MAX(0,MIN($F158,EOMONTH(DATE(cfg_FY,8,1),0))-MAX($E158,DATE(cfg_FY,8,1))+1)*(1-IF($M158="نعم",0,N($J158))))</f>
        <v>0</v>
      </c>
      <c r="AD158" s="57" t="n">
        <f aca="false">IF(OR($B158="",$E158="",$F158=""),0,MAX(0,MIN($F158,EOMONTH(DATE(cfg_FY,9,1),0))-MAX($E158,DATE(cfg_FY,9,1))+1)*(1-IF($M158="نعم",0,N($J158))))</f>
        <v>0</v>
      </c>
      <c r="AE158" s="57" t="n">
        <f aca="false">IF(OR($B158="",$E158="",$F158=""),0,MAX(0,MIN($F158,EOMONTH(DATE(cfg_FY,10,1),0))-MAX($E158,DATE(cfg_FY,10,1))+1)*(1-IF($M158="نعم",0,N($J158))))</f>
        <v>0</v>
      </c>
      <c r="AF158" s="57" t="n">
        <f aca="false">IF(OR($B158="",$E158="",$F158=""),0,MAX(0,MIN($F158,EOMONTH(DATE(cfg_FY,11,1),0))-MAX($E158,DATE(cfg_FY,11,1))+1)*(1-IF($M158="نعم",0,N($J158))))</f>
        <v>0</v>
      </c>
      <c r="AG158" s="57" t="n">
        <f aca="false">IF(OR($B158="",$E158="",$F158=""),0,MAX(0,MIN($F158,EOMONTH(DATE(cfg_FY,12,1),0))-MAX($E158,DATE(cfg_FY,12,1))+1)*(1-IF($M158="نعم",0,N($J158))))</f>
        <v>0</v>
      </c>
      <c r="AH158" s="57" t="n">
        <f aca="false">IF(OR(OR($B158="",$E158="",$F158=""),$L158&lt;&gt;"لا"),0,MAX(0,MIN($F158,EOMONTH(DATE(cfg_FY,1,1),0))-$E158+1))</f>
        <v>0</v>
      </c>
      <c r="AI158" s="57" t="n">
        <f aca="false">IF(OR(OR($B158="",$E158="",$F158=""),$L158&lt;&gt;"لا"),0,MAX(0,MIN($F158,EOMONTH(DATE(cfg_FY,2,1),0))-$E158+1))</f>
        <v>0</v>
      </c>
      <c r="AJ158" s="57" t="n">
        <f aca="false">IF(OR(OR($B158="",$E158="",$F158=""),$L158&lt;&gt;"لا"),0,MAX(0,MIN($F158,EOMONTH(DATE(cfg_FY,3,1),0))-$E158+1))</f>
        <v>0</v>
      </c>
      <c r="AK158" s="57" t="n">
        <f aca="false">IF(OR(OR($B158="",$E158="",$F158=""),$L158&lt;&gt;"لا"),0,MAX(0,MIN($F158,EOMONTH(DATE(cfg_FY,4,1),0))-$E158+1))</f>
        <v>0</v>
      </c>
      <c r="AL158" s="57" t="n">
        <f aca="false">IF(OR(OR($B158="",$E158="",$F158=""),$L158&lt;&gt;"لا"),0,MAX(0,MIN($F158,EOMONTH(DATE(cfg_FY,5,1),0))-$E158+1))</f>
        <v>0</v>
      </c>
      <c r="AM158" s="57" t="n">
        <f aca="false">IF(OR(OR($B158="",$E158="",$F158=""),$L158&lt;&gt;"لا"),0,MAX(0,MIN($F158,EOMONTH(DATE(cfg_FY,6,1),0))-$E158+1))</f>
        <v>0</v>
      </c>
      <c r="AN158" s="57" t="n">
        <f aca="false">IF(OR(OR($B158="",$E158="",$F158=""),$L158&lt;&gt;"لا"),0,MAX(0,MIN($F158,EOMONTH(DATE(cfg_FY,7,1),0))-$E158+1))</f>
        <v>0</v>
      </c>
      <c r="AO158" s="57" t="n">
        <f aca="false">IF(OR(OR($B158="",$E158="",$F158=""),$L158&lt;&gt;"لا"),0,MAX(0,MIN($F158,EOMONTH(DATE(cfg_FY,8,1),0))-$E158+1))</f>
        <v>0</v>
      </c>
      <c r="AP158" s="57" t="n">
        <f aca="false">IF(OR(OR($B158="",$E158="",$F158=""),$L158&lt;&gt;"لا"),0,MAX(0,MIN($F158,EOMONTH(DATE(cfg_FY,9,1),0))-$E158+1))</f>
        <v>0</v>
      </c>
      <c r="AQ158" s="57" t="n">
        <f aca="false">IF(OR(OR($B158="",$E158="",$F158=""),$L158&lt;&gt;"لا"),0,MAX(0,MIN($F158,EOMONTH(DATE(cfg_FY,10,1),0))-$E158+1))</f>
        <v>0</v>
      </c>
      <c r="AR158" s="57" t="n">
        <f aca="false">IF(OR(OR($B158="",$E158="",$F158=""),$L158&lt;&gt;"لا"),0,MAX(0,MIN($F158,EOMONTH(DATE(cfg_FY,11,1),0))-$E158+1))</f>
        <v>0</v>
      </c>
      <c r="AS158" s="57" t="n">
        <f aca="false">IF(OR(OR($B158="",$E158="",$F158=""),$L158&lt;&gt;"لا"),0,MAX(0,MIN($F158,EOMONTH(DATE(cfg_FY,12,1),0))-$E158+1))</f>
        <v>0</v>
      </c>
      <c r="AT158" s="57" t="n">
        <f aca="false">IF(OR(OR($B158="",$E158="",$F158=""),$K158&lt;&gt;"نعم",$M158="نعم"),0,MAX(0,MIN($F158,EOMONTH(DATE(cfg_FY,1,1),0))-MAX($E158,DATE(cfg_FY,1,1))+1))</f>
        <v>0</v>
      </c>
      <c r="AU158" s="57" t="n">
        <f aca="false">IF(OR(OR($B158="",$E158="",$F158=""),$K158&lt;&gt;"نعم",$M158="نعم"),0,MAX(0,MIN($F158,EOMONTH(DATE(cfg_FY,2,1),0))-MAX($E158,DATE(cfg_FY,2,1))+1))</f>
        <v>0</v>
      </c>
      <c r="AV158" s="57" t="n">
        <f aca="false">IF(OR(OR($B158="",$E158="",$F158=""),$K158&lt;&gt;"نعم",$M158="نعم"),0,MAX(0,MIN($F158,EOMONTH(DATE(cfg_FY,3,1),0))-MAX($E158,DATE(cfg_FY,3,1))+1))</f>
        <v>0</v>
      </c>
      <c r="AW158" s="57" t="n">
        <f aca="false">IF(OR(OR($B158="",$E158="",$F158=""),$K158&lt;&gt;"نعم",$M158="نعم"),0,MAX(0,MIN($F158,EOMONTH(DATE(cfg_FY,4,1),0))-MAX($E158,DATE(cfg_FY,4,1))+1))</f>
        <v>0</v>
      </c>
      <c r="AX158" s="57" t="n">
        <f aca="false">IF(OR(OR($B158="",$E158="",$F158=""),$K158&lt;&gt;"نعم",$M158="نعم"),0,MAX(0,MIN($F158,EOMONTH(DATE(cfg_FY,5,1),0))-MAX($E158,DATE(cfg_FY,5,1))+1))</f>
        <v>0</v>
      </c>
      <c r="AY158" s="57" t="n">
        <f aca="false">IF(OR(OR($B158="",$E158="",$F158=""),$K158&lt;&gt;"نعم",$M158="نعم"),0,MAX(0,MIN($F158,EOMONTH(DATE(cfg_FY,6,1),0))-MAX($E158,DATE(cfg_FY,6,1))+1))</f>
        <v>0</v>
      </c>
      <c r="AZ158" s="57" t="n">
        <f aca="false">IF(OR(OR($B158="",$E158="",$F158=""),$K158&lt;&gt;"نعم",$M158="نعم"),0,MAX(0,MIN($F158,EOMONTH(DATE(cfg_FY,7,1),0))-MAX($E158,DATE(cfg_FY,7,1))+1))</f>
        <v>0</v>
      </c>
      <c r="BA158" s="57" t="n">
        <f aca="false">IF(OR(OR($B158="",$E158="",$F158=""),$K158&lt;&gt;"نعم",$M158="نعم"),0,MAX(0,MIN($F158,EOMONTH(DATE(cfg_FY,8,1),0))-MAX($E158,DATE(cfg_FY,8,1))+1))</f>
        <v>0</v>
      </c>
      <c r="BB158" s="57" t="n">
        <f aca="false">IF(OR(OR($B158="",$E158="",$F158=""),$K158&lt;&gt;"نعم",$M158="نعم"),0,MAX(0,MIN($F158,EOMONTH(DATE(cfg_FY,9,1),0))-MAX($E158,DATE(cfg_FY,9,1))+1))</f>
        <v>0</v>
      </c>
      <c r="BC158" s="57" t="n">
        <f aca="false">IF(OR(OR($B158="",$E158="",$F158=""),$K158&lt;&gt;"نعم",$M158="نعم"),0,MAX(0,MIN($F158,EOMONTH(DATE(cfg_FY,10,1),0))-MAX($E158,DATE(cfg_FY,10,1))+1))</f>
        <v>0</v>
      </c>
      <c r="BD158" s="57" t="n">
        <f aca="false">IF(OR(OR($B158="",$E158="",$F158=""),$K158&lt;&gt;"نعم",$M158="نعم"),0,MAX(0,MIN($F158,EOMONTH(DATE(cfg_FY,11,1),0))-MAX($E158,DATE(cfg_FY,11,1))+1))</f>
        <v>0</v>
      </c>
      <c r="BE158" s="57" t="n">
        <f aca="false">IF(OR(OR($B158="",$E158="",$F158=""),$K158&lt;&gt;"نعم",$M158="نعم"),0,MAX(0,MIN($F158,EOMONTH(DATE(cfg_FY,12,1),0))-MAX($E158,DATE(cfg_FY,12,1))+1))</f>
        <v>0</v>
      </c>
    </row>
    <row r="159" customFormat="false" ht="15" hidden="false" customHeight="false" outlineLevel="0" collapsed="false">
      <c r="A159" s="100" t="str">
        <f aca="false">IF(B159="","",ROW()-5)</f>
        <v/>
      </c>
      <c r="B159" s="79"/>
      <c r="C159" s="102" t="str">
        <f aca="false">IF(B159="","",IFERROR(INDEX(الموظفون!$C$6:$C$105,MATCH(B159,الموظفون!$B$6:$B$105,0)),"✖ رقم غير موجود"))</f>
        <v/>
      </c>
      <c r="D159" s="79"/>
      <c r="E159" s="94"/>
      <c r="F159" s="94"/>
      <c r="G159" s="110" t="str">
        <f aca="false">IF(OR($B159="",$E159="",$F159=""),"",MAX(0,F159-E159+1))</f>
        <v/>
      </c>
      <c r="H159" s="111" t="str">
        <f aca="false">IF(D159="","",IFERROR(VLOOKUP(D159,cfg_LT,2,FALSE()),1))</f>
        <v/>
      </c>
      <c r="I159" s="82"/>
      <c r="J159" s="111" t="str">
        <f aca="false">IF(D159="","",IF(I159&lt;&gt;"",I159,H159))</f>
        <v/>
      </c>
      <c r="K159" s="102" t="str">
        <f aca="false">IF(D159="","",IFERROR(VLOOKUP($D159,cfg_LT,3,FALSE()),""))</f>
        <v/>
      </c>
      <c r="L159" s="102" t="str">
        <f aca="false">IF(D159="","",IFERROR(VLOOKUP($D159,cfg_LT,4,FALSE()),""))</f>
        <v/>
      </c>
      <c r="M159" s="102" t="str">
        <f aca="false">IF(D159="","",IFERROR(VLOOKUP($D159,cfg_LT,5,FALSE()),""))</f>
        <v/>
      </c>
      <c r="N159" s="101" t="n">
        <f aca="false">IF(OR(OR($B159="",$E159="",$F159=""),M159&lt;&gt;"نعم"),0,G159*J159*IFERROR(INDEX(الموظفون!$R$6:$R$105,MATCH(B159,الموظفون!$B$6:$B$105,0)),0)/cfg_DAYS_M)</f>
        <v>0</v>
      </c>
      <c r="O159" s="100" t="str">
        <f aca="false">IF(OR(OR($B159="",$E159="",$F159=""),M159&lt;&gt;"نعم"),"",IF(YEAR(E159)=cfg_FY,MONTH(E159),""))</f>
        <v/>
      </c>
      <c r="P159" s="102" t="str">
        <f aca="false">IF(B159="","",IF(OR(D159="",E159="",F159=""),"⚠ أكمل النوع والتواريخ",IF(F159&lt;E159,"✖ النهاية قبل البداية",IF(COUNTIFS($B$6:$B$505,B159,$E$6:$E$505,"&lt;="&amp;F159,$F$6:$F$505,"&gt;="&amp;E159)&gt;1,"⚠ تداخل مع سجل آخر",IF(E159&gt;cfg_VAL_DATE,"⏳ قادمة",IF(F159&lt;cfg_VAL_DATE,"✔ منتهية","✈ جارية في تاريخ التقرير"))))))</f>
        <v/>
      </c>
      <c r="Q159" s="79"/>
      <c r="R159" s="110" t="n">
        <f aca="false">IF(OR(OR($B159="",$E159="",$F159=""),L159&lt;&gt;"لا"),0,MAX(0,MIN(F159,cfg_Y_START-1)-E159+1))</f>
        <v>0</v>
      </c>
      <c r="S159" s="110" t="n">
        <f aca="false">IF(OR(OR($B159="",$E159="",$F159=""),L159&lt;&gt;"لا"),0,MAX(0,MIN(F159,cfg_VAL_DATE)-E159+1))</f>
        <v>0</v>
      </c>
      <c r="T159" s="110" t="n">
        <f aca="false">IF(OR(OR($B159="",$E159="",$F159=""),K159&lt;&gt;"نعم"),0,IF(M159="نعم",IF(AND(ISNUMBER(O159),N(O159)&lt;=cfg_VAL_M),G159,0),MAX(0,MIN(F159,cfg_VAL_DATE)-MAX(E159,cfg_Y_START)+1)))</f>
        <v>0</v>
      </c>
      <c r="V159" s="110" t="n">
        <f aca="false">IF(OR($B159="",$E159="",$F159=""),0,MAX(0,MIN($F159,EOMONTH(DATE(cfg_FY,1,1),0))-MAX($E159,DATE(cfg_FY,1,1))+1)*(1-IF($M159="نعم",0,N($J159))))</f>
        <v>0</v>
      </c>
      <c r="W159" s="110" t="n">
        <f aca="false">IF(OR($B159="",$E159="",$F159=""),0,MAX(0,MIN($F159,EOMONTH(DATE(cfg_FY,2,1),0))-MAX($E159,DATE(cfg_FY,2,1))+1)*(1-IF($M159="نعم",0,N($J159))))</f>
        <v>0</v>
      </c>
      <c r="X159" s="110" t="n">
        <f aca="false">IF(OR($B159="",$E159="",$F159=""),0,MAX(0,MIN($F159,EOMONTH(DATE(cfg_FY,3,1),0))-MAX($E159,DATE(cfg_FY,3,1))+1)*(1-IF($M159="نعم",0,N($J159))))</f>
        <v>0</v>
      </c>
      <c r="Y159" s="110" t="n">
        <f aca="false">IF(OR($B159="",$E159="",$F159=""),0,MAX(0,MIN($F159,EOMONTH(DATE(cfg_FY,4,1),0))-MAX($E159,DATE(cfg_FY,4,1))+1)*(1-IF($M159="نعم",0,N($J159))))</f>
        <v>0</v>
      </c>
      <c r="Z159" s="110" t="n">
        <f aca="false">IF(OR($B159="",$E159="",$F159=""),0,MAX(0,MIN($F159,EOMONTH(DATE(cfg_FY,5,1),0))-MAX($E159,DATE(cfg_FY,5,1))+1)*(1-IF($M159="نعم",0,N($J159))))</f>
        <v>0</v>
      </c>
      <c r="AA159" s="110" t="n">
        <f aca="false">IF(OR($B159="",$E159="",$F159=""),0,MAX(0,MIN($F159,EOMONTH(DATE(cfg_FY,6,1),0))-MAX($E159,DATE(cfg_FY,6,1))+1)*(1-IF($M159="نعم",0,N($J159))))</f>
        <v>0</v>
      </c>
      <c r="AB159" s="110" t="n">
        <f aca="false">IF(OR($B159="",$E159="",$F159=""),0,MAX(0,MIN($F159,EOMONTH(DATE(cfg_FY,7,1),0))-MAX($E159,DATE(cfg_FY,7,1))+1)*(1-IF($M159="نعم",0,N($J159))))</f>
        <v>0</v>
      </c>
      <c r="AC159" s="110" t="n">
        <f aca="false">IF(OR($B159="",$E159="",$F159=""),0,MAX(0,MIN($F159,EOMONTH(DATE(cfg_FY,8,1),0))-MAX($E159,DATE(cfg_FY,8,1))+1)*(1-IF($M159="نعم",0,N($J159))))</f>
        <v>0</v>
      </c>
      <c r="AD159" s="110" t="n">
        <f aca="false">IF(OR($B159="",$E159="",$F159=""),0,MAX(0,MIN($F159,EOMONTH(DATE(cfg_FY,9,1),0))-MAX($E159,DATE(cfg_FY,9,1))+1)*(1-IF($M159="نعم",0,N($J159))))</f>
        <v>0</v>
      </c>
      <c r="AE159" s="110" t="n">
        <f aca="false">IF(OR($B159="",$E159="",$F159=""),0,MAX(0,MIN($F159,EOMONTH(DATE(cfg_FY,10,1),0))-MAX($E159,DATE(cfg_FY,10,1))+1)*(1-IF($M159="نعم",0,N($J159))))</f>
        <v>0</v>
      </c>
      <c r="AF159" s="110" t="n">
        <f aca="false">IF(OR($B159="",$E159="",$F159=""),0,MAX(0,MIN($F159,EOMONTH(DATE(cfg_FY,11,1),0))-MAX($E159,DATE(cfg_FY,11,1))+1)*(1-IF($M159="نعم",0,N($J159))))</f>
        <v>0</v>
      </c>
      <c r="AG159" s="110" t="n">
        <f aca="false">IF(OR($B159="",$E159="",$F159=""),0,MAX(0,MIN($F159,EOMONTH(DATE(cfg_FY,12,1),0))-MAX($E159,DATE(cfg_FY,12,1))+1)*(1-IF($M159="نعم",0,N($J159))))</f>
        <v>0</v>
      </c>
      <c r="AH159" s="110" t="n">
        <f aca="false">IF(OR(OR($B159="",$E159="",$F159=""),$L159&lt;&gt;"لا"),0,MAX(0,MIN($F159,EOMONTH(DATE(cfg_FY,1,1),0))-$E159+1))</f>
        <v>0</v>
      </c>
      <c r="AI159" s="110" t="n">
        <f aca="false">IF(OR(OR($B159="",$E159="",$F159=""),$L159&lt;&gt;"لا"),0,MAX(0,MIN($F159,EOMONTH(DATE(cfg_FY,2,1),0))-$E159+1))</f>
        <v>0</v>
      </c>
      <c r="AJ159" s="110" t="n">
        <f aca="false">IF(OR(OR($B159="",$E159="",$F159=""),$L159&lt;&gt;"لا"),0,MAX(0,MIN($F159,EOMONTH(DATE(cfg_FY,3,1),0))-$E159+1))</f>
        <v>0</v>
      </c>
      <c r="AK159" s="110" t="n">
        <f aca="false">IF(OR(OR($B159="",$E159="",$F159=""),$L159&lt;&gt;"لا"),0,MAX(0,MIN($F159,EOMONTH(DATE(cfg_FY,4,1),0))-$E159+1))</f>
        <v>0</v>
      </c>
      <c r="AL159" s="110" t="n">
        <f aca="false">IF(OR(OR($B159="",$E159="",$F159=""),$L159&lt;&gt;"لا"),0,MAX(0,MIN($F159,EOMONTH(DATE(cfg_FY,5,1),0))-$E159+1))</f>
        <v>0</v>
      </c>
      <c r="AM159" s="110" t="n">
        <f aca="false">IF(OR(OR($B159="",$E159="",$F159=""),$L159&lt;&gt;"لا"),0,MAX(0,MIN($F159,EOMONTH(DATE(cfg_FY,6,1),0))-$E159+1))</f>
        <v>0</v>
      </c>
      <c r="AN159" s="110" t="n">
        <f aca="false">IF(OR(OR($B159="",$E159="",$F159=""),$L159&lt;&gt;"لا"),0,MAX(0,MIN($F159,EOMONTH(DATE(cfg_FY,7,1),0))-$E159+1))</f>
        <v>0</v>
      </c>
      <c r="AO159" s="110" t="n">
        <f aca="false">IF(OR(OR($B159="",$E159="",$F159=""),$L159&lt;&gt;"لا"),0,MAX(0,MIN($F159,EOMONTH(DATE(cfg_FY,8,1),0))-$E159+1))</f>
        <v>0</v>
      </c>
      <c r="AP159" s="110" t="n">
        <f aca="false">IF(OR(OR($B159="",$E159="",$F159=""),$L159&lt;&gt;"لا"),0,MAX(0,MIN($F159,EOMONTH(DATE(cfg_FY,9,1),0))-$E159+1))</f>
        <v>0</v>
      </c>
      <c r="AQ159" s="110" t="n">
        <f aca="false">IF(OR(OR($B159="",$E159="",$F159=""),$L159&lt;&gt;"لا"),0,MAX(0,MIN($F159,EOMONTH(DATE(cfg_FY,10,1),0))-$E159+1))</f>
        <v>0</v>
      </c>
      <c r="AR159" s="110" t="n">
        <f aca="false">IF(OR(OR($B159="",$E159="",$F159=""),$L159&lt;&gt;"لا"),0,MAX(0,MIN($F159,EOMONTH(DATE(cfg_FY,11,1),0))-$E159+1))</f>
        <v>0</v>
      </c>
      <c r="AS159" s="110" t="n">
        <f aca="false">IF(OR(OR($B159="",$E159="",$F159=""),$L159&lt;&gt;"لا"),0,MAX(0,MIN($F159,EOMONTH(DATE(cfg_FY,12,1),0))-$E159+1))</f>
        <v>0</v>
      </c>
      <c r="AT159" s="110" t="n">
        <f aca="false">IF(OR(OR($B159="",$E159="",$F159=""),$K159&lt;&gt;"نعم",$M159="نعم"),0,MAX(0,MIN($F159,EOMONTH(DATE(cfg_FY,1,1),0))-MAX($E159,DATE(cfg_FY,1,1))+1))</f>
        <v>0</v>
      </c>
      <c r="AU159" s="110" t="n">
        <f aca="false">IF(OR(OR($B159="",$E159="",$F159=""),$K159&lt;&gt;"نعم",$M159="نعم"),0,MAX(0,MIN($F159,EOMONTH(DATE(cfg_FY,2,1),0))-MAX($E159,DATE(cfg_FY,2,1))+1))</f>
        <v>0</v>
      </c>
      <c r="AV159" s="110" t="n">
        <f aca="false">IF(OR(OR($B159="",$E159="",$F159=""),$K159&lt;&gt;"نعم",$M159="نعم"),0,MAX(0,MIN($F159,EOMONTH(DATE(cfg_FY,3,1),0))-MAX($E159,DATE(cfg_FY,3,1))+1))</f>
        <v>0</v>
      </c>
      <c r="AW159" s="110" t="n">
        <f aca="false">IF(OR(OR($B159="",$E159="",$F159=""),$K159&lt;&gt;"نعم",$M159="نعم"),0,MAX(0,MIN($F159,EOMONTH(DATE(cfg_FY,4,1),0))-MAX($E159,DATE(cfg_FY,4,1))+1))</f>
        <v>0</v>
      </c>
      <c r="AX159" s="110" t="n">
        <f aca="false">IF(OR(OR($B159="",$E159="",$F159=""),$K159&lt;&gt;"نعم",$M159="نعم"),0,MAX(0,MIN($F159,EOMONTH(DATE(cfg_FY,5,1),0))-MAX($E159,DATE(cfg_FY,5,1))+1))</f>
        <v>0</v>
      </c>
      <c r="AY159" s="110" t="n">
        <f aca="false">IF(OR(OR($B159="",$E159="",$F159=""),$K159&lt;&gt;"نعم",$M159="نعم"),0,MAX(0,MIN($F159,EOMONTH(DATE(cfg_FY,6,1),0))-MAX($E159,DATE(cfg_FY,6,1))+1))</f>
        <v>0</v>
      </c>
      <c r="AZ159" s="110" t="n">
        <f aca="false">IF(OR(OR($B159="",$E159="",$F159=""),$K159&lt;&gt;"نعم",$M159="نعم"),0,MAX(0,MIN($F159,EOMONTH(DATE(cfg_FY,7,1),0))-MAX($E159,DATE(cfg_FY,7,1))+1))</f>
        <v>0</v>
      </c>
      <c r="BA159" s="110" t="n">
        <f aca="false">IF(OR(OR($B159="",$E159="",$F159=""),$K159&lt;&gt;"نعم",$M159="نعم"),0,MAX(0,MIN($F159,EOMONTH(DATE(cfg_FY,8,1),0))-MAX($E159,DATE(cfg_FY,8,1))+1))</f>
        <v>0</v>
      </c>
      <c r="BB159" s="110" t="n">
        <f aca="false">IF(OR(OR($B159="",$E159="",$F159=""),$K159&lt;&gt;"نعم",$M159="نعم"),0,MAX(0,MIN($F159,EOMONTH(DATE(cfg_FY,9,1),0))-MAX($E159,DATE(cfg_FY,9,1))+1))</f>
        <v>0</v>
      </c>
      <c r="BC159" s="110" t="n">
        <f aca="false">IF(OR(OR($B159="",$E159="",$F159=""),$K159&lt;&gt;"نعم",$M159="نعم"),0,MAX(0,MIN($F159,EOMONTH(DATE(cfg_FY,10,1),0))-MAX($E159,DATE(cfg_FY,10,1))+1))</f>
        <v>0</v>
      </c>
      <c r="BD159" s="110" t="n">
        <f aca="false">IF(OR(OR($B159="",$E159="",$F159=""),$K159&lt;&gt;"نعم",$M159="نعم"),0,MAX(0,MIN($F159,EOMONTH(DATE(cfg_FY,11,1),0))-MAX($E159,DATE(cfg_FY,11,1))+1))</f>
        <v>0</v>
      </c>
      <c r="BE159" s="110" t="n">
        <f aca="false">IF(OR(OR($B159="",$E159="",$F159=""),$K159&lt;&gt;"نعم",$M159="نعم"),0,MAX(0,MIN($F159,EOMONTH(DATE(cfg_FY,12,1),0))-MAX($E159,DATE(cfg_FY,12,1))+1))</f>
        <v>0</v>
      </c>
    </row>
    <row r="160" customFormat="false" ht="15" hidden="false" customHeight="false" outlineLevel="0" collapsed="false">
      <c r="A160" s="93" t="str">
        <f aca="false">IF(B160="","",ROW()-5)</f>
        <v/>
      </c>
      <c r="B160" s="79"/>
      <c r="C160" s="80" t="str">
        <f aca="false">IF(B160="","",IFERROR(INDEX(الموظفون!$C$6:$C$105,MATCH(B160,الموظفون!$B$6:$B$105,0)),"✖ رقم غير موجود"))</f>
        <v/>
      </c>
      <c r="D160" s="79"/>
      <c r="E160" s="94"/>
      <c r="F160" s="94"/>
      <c r="G160" s="57" t="str">
        <f aca="false">IF(OR($B160="",$E160="",$F160=""),"",MAX(0,F160-E160+1))</f>
        <v/>
      </c>
      <c r="H160" s="58" t="str">
        <f aca="false">IF(D160="","",IFERROR(VLOOKUP(D160,cfg_LT,2,FALSE()),1))</f>
        <v/>
      </c>
      <c r="I160" s="82"/>
      <c r="J160" s="58" t="str">
        <f aca="false">IF(D160="","",IF(I160&lt;&gt;"",I160,H160))</f>
        <v/>
      </c>
      <c r="K160" s="80" t="str">
        <f aca="false">IF(D160="","",IFERROR(VLOOKUP($D160,cfg_LT,3,FALSE()),""))</f>
        <v/>
      </c>
      <c r="L160" s="80" t="str">
        <f aca="false">IF(D160="","",IFERROR(VLOOKUP($D160,cfg_LT,4,FALSE()),""))</f>
        <v/>
      </c>
      <c r="M160" s="80" t="str">
        <f aca="false">IF(D160="","",IFERROR(VLOOKUP($D160,cfg_LT,5,FALSE()),""))</f>
        <v/>
      </c>
      <c r="N160" s="97" t="n">
        <f aca="false">IF(OR(OR($B160="",$E160="",$F160=""),M160&lt;&gt;"نعم"),0,G160*J160*IFERROR(INDEX(الموظفون!$R$6:$R$105,MATCH(B160,الموظفون!$B$6:$B$105,0)),0)/cfg_DAYS_M)</f>
        <v>0</v>
      </c>
      <c r="O160" s="93" t="str">
        <f aca="false">IF(OR(OR($B160="",$E160="",$F160=""),M160&lt;&gt;"نعم"),"",IF(YEAR(E160)=cfg_FY,MONTH(E160),""))</f>
        <v/>
      </c>
      <c r="P160" s="80" t="str">
        <f aca="false">IF(B160="","",IF(OR(D160="",E160="",F160=""),"⚠ أكمل النوع والتواريخ",IF(F160&lt;E160,"✖ النهاية قبل البداية",IF(COUNTIFS($B$6:$B$505,B160,$E$6:$E$505,"&lt;="&amp;F160,$F$6:$F$505,"&gt;="&amp;E160)&gt;1,"⚠ تداخل مع سجل آخر",IF(E160&gt;cfg_VAL_DATE,"⏳ قادمة",IF(F160&lt;cfg_VAL_DATE,"✔ منتهية","✈ جارية في تاريخ التقرير"))))))</f>
        <v/>
      </c>
      <c r="Q160" s="79"/>
      <c r="R160" s="57" t="n">
        <f aca="false">IF(OR(OR($B160="",$E160="",$F160=""),L160&lt;&gt;"لا"),0,MAX(0,MIN(F160,cfg_Y_START-1)-E160+1))</f>
        <v>0</v>
      </c>
      <c r="S160" s="57" t="n">
        <f aca="false">IF(OR(OR($B160="",$E160="",$F160=""),L160&lt;&gt;"لا"),0,MAX(0,MIN(F160,cfg_VAL_DATE)-E160+1))</f>
        <v>0</v>
      </c>
      <c r="T160" s="57" t="n">
        <f aca="false">IF(OR(OR($B160="",$E160="",$F160=""),K160&lt;&gt;"نعم"),0,IF(M160="نعم",IF(AND(ISNUMBER(O160),N(O160)&lt;=cfg_VAL_M),G160,0),MAX(0,MIN(F160,cfg_VAL_DATE)-MAX(E160,cfg_Y_START)+1)))</f>
        <v>0</v>
      </c>
      <c r="V160" s="57" t="n">
        <f aca="false">IF(OR($B160="",$E160="",$F160=""),0,MAX(0,MIN($F160,EOMONTH(DATE(cfg_FY,1,1),0))-MAX($E160,DATE(cfg_FY,1,1))+1)*(1-IF($M160="نعم",0,N($J160))))</f>
        <v>0</v>
      </c>
      <c r="W160" s="57" t="n">
        <f aca="false">IF(OR($B160="",$E160="",$F160=""),0,MAX(0,MIN($F160,EOMONTH(DATE(cfg_FY,2,1),0))-MAX($E160,DATE(cfg_FY,2,1))+1)*(1-IF($M160="نعم",0,N($J160))))</f>
        <v>0</v>
      </c>
      <c r="X160" s="57" t="n">
        <f aca="false">IF(OR($B160="",$E160="",$F160=""),0,MAX(0,MIN($F160,EOMONTH(DATE(cfg_FY,3,1),0))-MAX($E160,DATE(cfg_FY,3,1))+1)*(1-IF($M160="نعم",0,N($J160))))</f>
        <v>0</v>
      </c>
      <c r="Y160" s="57" t="n">
        <f aca="false">IF(OR($B160="",$E160="",$F160=""),0,MAX(0,MIN($F160,EOMONTH(DATE(cfg_FY,4,1),0))-MAX($E160,DATE(cfg_FY,4,1))+1)*(1-IF($M160="نعم",0,N($J160))))</f>
        <v>0</v>
      </c>
      <c r="Z160" s="57" t="n">
        <f aca="false">IF(OR($B160="",$E160="",$F160=""),0,MAX(0,MIN($F160,EOMONTH(DATE(cfg_FY,5,1),0))-MAX($E160,DATE(cfg_FY,5,1))+1)*(1-IF($M160="نعم",0,N($J160))))</f>
        <v>0</v>
      </c>
      <c r="AA160" s="57" t="n">
        <f aca="false">IF(OR($B160="",$E160="",$F160=""),0,MAX(0,MIN($F160,EOMONTH(DATE(cfg_FY,6,1),0))-MAX($E160,DATE(cfg_FY,6,1))+1)*(1-IF($M160="نعم",0,N($J160))))</f>
        <v>0</v>
      </c>
      <c r="AB160" s="57" t="n">
        <f aca="false">IF(OR($B160="",$E160="",$F160=""),0,MAX(0,MIN($F160,EOMONTH(DATE(cfg_FY,7,1),0))-MAX($E160,DATE(cfg_FY,7,1))+1)*(1-IF($M160="نعم",0,N($J160))))</f>
        <v>0</v>
      </c>
      <c r="AC160" s="57" t="n">
        <f aca="false">IF(OR($B160="",$E160="",$F160=""),0,MAX(0,MIN($F160,EOMONTH(DATE(cfg_FY,8,1),0))-MAX($E160,DATE(cfg_FY,8,1))+1)*(1-IF($M160="نعم",0,N($J160))))</f>
        <v>0</v>
      </c>
      <c r="AD160" s="57" t="n">
        <f aca="false">IF(OR($B160="",$E160="",$F160=""),0,MAX(0,MIN($F160,EOMONTH(DATE(cfg_FY,9,1),0))-MAX($E160,DATE(cfg_FY,9,1))+1)*(1-IF($M160="نعم",0,N($J160))))</f>
        <v>0</v>
      </c>
      <c r="AE160" s="57" t="n">
        <f aca="false">IF(OR($B160="",$E160="",$F160=""),0,MAX(0,MIN($F160,EOMONTH(DATE(cfg_FY,10,1),0))-MAX($E160,DATE(cfg_FY,10,1))+1)*(1-IF($M160="نعم",0,N($J160))))</f>
        <v>0</v>
      </c>
      <c r="AF160" s="57" t="n">
        <f aca="false">IF(OR($B160="",$E160="",$F160=""),0,MAX(0,MIN($F160,EOMONTH(DATE(cfg_FY,11,1),0))-MAX($E160,DATE(cfg_FY,11,1))+1)*(1-IF($M160="نعم",0,N($J160))))</f>
        <v>0</v>
      </c>
      <c r="AG160" s="57" t="n">
        <f aca="false">IF(OR($B160="",$E160="",$F160=""),0,MAX(0,MIN($F160,EOMONTH(DATE(cfg_FY,12,1),0))-MAX($E160,DATE(cfg_FY,12,1))+1)*(1-IF($M160="نعم",0,N($J160))))</f>
        <v>0</v>
      </c>
      <c r="AH160" s="57" t="n">
        <f aca="false">IF(OR(OR($B160="",$E160="",$F160=""),$L160&lt;&gt;"لا"),0,MAX(0,MIN($F160,EOMONTH(DATE(cfg_FY,1,1),0))-$E160+1))</f>
        <v>0</v>
      </c>
      <c r="AI160" s="57" t="n">
        <f aca="false">IF(OR(OR($B160="",$E160="",$F160=""),$L160&lt;&gt;"لا"),0,MAX(0,MIN($F160,EOMONTH(DATE(cfg_FY,2,1),0))-$E160+1))</f>
        <v>0</v>
      </c>
      <c r="AJ160" s="57" t="n">
        <f aca="false">IF(OR(OR($B160="",$E160="",$F160=""),$L160&lt;&gt;"لا"),0,MAX(0,MIN($F160,EOMONTH(DATE(cfg_FY,3,1),0))-$E160+1))</f>
        <v>0</v>
      </c>
      <c r="AK160" s="57" t="n">
        <f aca="false">IF(OR(OR($B160="",$E160="",$F160=""),$L160&lt;&gt;"لا"),0,MAX(0,MIN($F160,EOMONTH(DATE(cfg_FY,4,1),0))-$E160+1))</f>
        <v>0</v>
      </c>
      <c r="AL160" s="57" t="n">
        <f aca="false">IF(OR(OR($B160="",$E160="",$F160=""),$L160&lt;&gt;"لا"),0,MAX(0,MIN($F160,EOMONTH(DATE(cfg_FY,5,1),0))-$E160+1))</f>
        <v>0</v>
      </c>
      <c r="AM160" s="57" t="n">
        <f aca="false">IF(OR(OR($B160="",$E160="",$F160=""),$L160&lt;&gt;"لا"),0,MAX(0,MIN($F160,EOMONTH(DATE(cfg_FY,6,1),0))-$E160+1))</f>
        <v>0</v>
      </c>
      <c r="AN160" s="57" t="n">
        <f aca="false">IF(OR(OR($B160="",$E160="",$F160=""),$L160&lt;&gt;"لا"),0,MAX(0,MIN($F160,EOMONTH(DATE(cfg_FY,7,1),0))-$E160+1))</f>
        <v>0</v>
      </c>
      <c r="AO160" s="57" t="n">
        <f aca="false">IF(OR(OR($B160="",$E160="",$F160=""),$L160&lt;&gt;"لا"),0,MAX(0,MIN($F160,EOMONTH(DATE(cfg_FY,8,1),0))-$E160+1))</f>
        <v>0</v>
      </c>
      <c r="AP160" s="57" t="n">
        <f aca="false">IF(OR(OR($B160="",$E160="",$F160=""),$L160&lt;&gt;"لا"),0,MAX(0,MIN($F160,EOMONTH(DATE(cfg_FY,9,1),0))-$E160+1))</f>
        <v>0</v>
      </c>
      <c r="AQ160" s="57" t="n">
        <f aca="false">IF(OR(OR($B160="",$E160="",$F160=""),$L160&lt;&gt;"لا"),0,MAX(0,MIN($F160,EOMONTH(DATE(cfg_FY,10,1),0))-$E160+1))</f>
        <v>0</v>
      </c>
      <c r="AR160" s="57" t="n">
        <f aca="false">IF(OR(OR($B160="",$E160="",$F160=""),$L160&lt;&gt;"لا"),0,MAX(0,MIN($F160,EOMONTH(DATE(cfg_FY,11,1),0))-$E160+1))</f>
        <v>0</v>
      </c>
      <c r="AS160" s="57" t="n">
        <f aca="false">IF(OR(OR($B160="",$E160="",$F160=""),$L160&lt;&gt;"لا"),0,MAX(0,MIN($F160,EOMONTH(DATE(cfg_FY,12,1),0))-$E160+1))</f>
        <v>0</v>
      </c>
      <c r="AT160" s="57" t="n">
        <f aca="false">IF(OR(OR($B160="",$E160="",$F160=""),$K160&lt;&gt;"نعم",$M160="نعم"),0,MAX(0,MIN($F160,EOMONTH(DATE(cfg_FY,1,1),0))-MAX($E160,DATE(cfg_FY,1,1))+1))</f>
        <v>0</v>
      </c>
      <c r="AU160" s="57" t="n">
        <f aca="false">IF(OR(OR($B160="",$E160="",$F160=""),$K160&lt;&gt;"نعم",$M160="نعم"),0,MAX(0,MIN($F160,EOMONTH(DATE(cfg_FY,2,1),0))-MAX($E160,DATE(cfg_FY,2,1))+1))</f>
        <v>0</v>
      </c>
      <c r="AV160" s="57" t="n">
        <f aca="false">IF(OR(OR($B160="",$E160="",$F160=""),$K160&lt;&gt;"نعم",$M160="نعم"),0,MAX(0,MIN($F160,EOMONTH(DATE(cfg_FY,3,1),0))-MAX($E160,DATE(cfg_FY,3,1))+1))</f>
        <v>0</v>
      </c>
      <c r="AW160" s="57" t="n">
        <f aca="false">IF(OR(OR($B160="",$E160="",$F160=""),$K160&lt;&gt;"نعم",$M160="نعم"),0,MAX(0,MIN($F160,EOMONTH(DATE(cfg_FY,4,1),0))-MAX($E160,DATE(cfg_FY,4,1))+1))</f>
        <v>0</v>
      </c>
      <c r="AX160" s="57" t="n">
        <f aca="false">IF(OR(OR($B160="",$E160="",$F160=""),$K160&lt;&gt;"نعم",$M160="نعم"),0,MAX(0,MIN($F160,EOMONTH(DATE(cfg_FY,5,1),0))-MAX($E160,DATE(cfg_FY,5,1))+1))</f>
        <v>0</v>
      </c>
      <c r="AY160" s="57" t="n">
        <f aca="false">IF(OR(OR($B160="",$E160="",$F160=""),$K160&lt;&gt;"نعم",$M160="نعم"),0,MAX(0,MIN($F160,EOMONTH(DATE(cfg_FY,6,1),0))-MAX($E160,DATE(cfg_FY,6,1))+1))</f>
        <v>0</v>
      </c>
      <c r="AZ160" s="57" t="n">
        <f aca="false">IF(OR(OR($B160="",$E160="",$F160=""),$K160&lt;&gt;"نعم",$M160="نعم"),0,MAX(0,MIN($F160,EOMONTH(DATE(cfg_FY,7,1),0))-MAX($E160,DATE(cfg_FY,7,1))+1))</f>
        <v>0</v>
      </c>
      <c r="BA160" s="57" t="n">
        <f aca="false">IF(OR(OR($B160="",$E160="",$F160=""),$K160&lt;&gt;"نعم",$M160="نعم"),0,MAX(0,MIN($F160,EOMONTH(DATE(cfg_FY,8,1),0))-MAX($E160,DATE(cfg_FY,8,1))+1))</f>
        <v>0</v>
      </c>
      <c r="BB160" s="57" t="n">
        <f aca="false">IF(OR(OR($B160="",$E160="",$F160=""),$K160&lt;&gt;"نعم",$M160="نعم"),0,MAX(0,MIN($F160,EOMONTH(DATE(cfg_FY,9,1),0))-MAX($E160,DATE(cfg_FY,9,1))+1))</f>
        <v>0</v>
      </c>
      <c r="BC160" s="57" t="n">
        <f aca="false">IF(OR(OR($B160="",$E160="",$F160=""),$K160&lt;&gt;"نعم",$M160="نعم"),0,MAX(0,MIN($F160,EOMONTH(DATE(cfg_FY,10,1),0))-MAX($E160,DATE(cfg_FY,10,1))+1))</f>
        <v>0</v>
      </c>
      <c r="BD160" s="57" t="n">
        <f aca="false">IF(OR(OR($B160="",$E160="",$F160=""),$K160&lt;&gt;"نعم",$M160="نعم"),0,MAX(0,MIN($F160,EOMONTH(DATE(cfg_FY,11,1),0))-MAX($E160,DATE(cfg_FY,11,1))+1))</f>
        <v>0</v>
      </c>
      <c r="BE160" s="57" t="n">
        <f aca="false">IF(OR(OR($B160="",$E160="",$F160=""),$K160&lt;&gt;"نعم",$M160="نعم"),0,MAX(0,MIN($F160,EOMONTH(DATE(cfg_FY,12,1),0))-MAX($E160,DATE(cfg_FY,12,1))+1))</f>
        <v>0</v>
      </c>
    </row>
    <row r="161" customFormat="false" ht="15" hidden="false" customHeight="false" outlineLevel="0" collapsed="false">
      <c r="A161" s="100" t="str">
        <f aca="false">IF(B161="","",ROW()-5)</f>
        <v/>
      </c>
      <c r="B161" s="79"/>
      <c r="C161" s="102" t="str">
        <f aca="false">IF(B161="","",IFERROR(INDEX(الموظفون!$C$6:$C$105,MATCH(B161,الموظفون!$B$6:$B$105,0)),"✖ رقم غير موجود"))</f>
        <v/>
      </c>
      <c r="D161" s="79"/>
      <c r="E161" s="94"/>
      <c r="F161" s="94"/>
      <c r="G161" s="110" t="str">
        <f aca="false">IF(OR($B161="",$E161="",$F161=""),"",MAX(0,F161-E161+1))</f>
        <v/>
      </c>
      <c r="H161" s="111" t="str">
        <f aca="false">IF(D161="","",IFERROR(VLOOKUP(D161,cfg_LT,2,FALSE()),1))</f>
        <v/>
      </c>
      <c r="I161" s="82"/>
      <c r="J161" s="111" t="str">
        <f aca="false">IF(D161="","",IF(I161&lt;&gt;"",I161,H161))</f>
        <v/>
      </c>
      <c r="K161" s="102" t="str">
        <f aca="false">IF(D161="","",IFERROR(VLOOKUP($D161,cfg_LT,3,FALSE()),""))</f>
        <v/>
      </c>
      <c r="L161" s="102" t="str">
        <f aca="false">IF(D161="","",IFERROR(VLOOKUP($D161,cfg_LT,4,FALSE()),""))</f>
        <v/>
      </c>
      <c r="M161" s="102" t="str">
        <f aca="false">IF(D161="","",IFERROR(VLOOKUP($D161,cfg_LT,5,FALSE()),""))</f>
        <v/>
      </c>
      <c r="N161" s="101" t="n">
        <f aca="false">IF(OR(OR($B161="",$E161="",$F161=""),M161&lt;&gt;"نعم"),0,G161*J161*IFERROR(INDEX(الموظفون!$R$6:$R$105,MATCH(B161,الموظفون!$B$6:$B$105,0)),0)/cfg_DAYS_M)</f>
        <v>0</v>
      </c>
      <c r="O161" s="100" t="str">
        <f aca="false">IF(OR(OR($B161="",$E161="",$F161=""),M161&lt;&gt;"نعم"),"",IF(YEAR(E161)=cfg_FY,MONTH(E161),""))</f>
        <v/>
      </c>
      <c r="P161" s="102" t="str">
        <f aca="false">IF(B161="","",IF(OR(D161="",E161="",F161=""),"⚠ أكمل النوع والتواريخ",IF(F161&lt;E161,"✖ النهاية قبل البداية",IF(COUNTIFS($B$6:$B$505,B161,$E$6:$E$505,"&lt;="&amp;F161,$F$6:$F$505,"&gt;="&amp;E161)&gt;1,"⚠ تداخل مع سجل آخر",IF(E161&gt;cfg_VAL_DATE,"⏳ قادمة",IF(F161&lt;cfg_VAL_DATE,"✔ منتهية","✈ جارية في تاريخ التقرير"))))))</f>
        <v/>
      </c>
      <c r="Q161" s="79"/>
      <c r="R161" s="110" t="n">
        <f aca="false">IF(OR(OR($B161="",$E161="",$F161=""),L161&lt;&gt;"لا"),0,MAX(0,MIN(F161,cfg_Y_START-1)-E161+1))</f>
        <v>0</v>
      </c>
      <c r="S161" s="110" t="n">
        <f aca="false">IF(OR(OR($B161="",$E161="",$F161=""),L161&lt;&gt;"لا"),0,MAX(0,MIN(F161,cfg_VAL_DATE)-E161+1))</f>
        <v>0</v>
      </c>
      <c r="T161" s="110" t="n">
        <f aca="false">IF(OR(OR($B161="",$E161="",$F161=""),K161&lt;&gt;"نعم"),0,IF(M161="نعم",IF(AND(ISNUMBER(O161),N(O161)&lt;=cfg_VAL_M),G161,0),MAX(0,MIN(F161,cfg_VAL_DATE)-MAX(E161,cfg_Y_START)+1)))</f>
        <v>0</v>
      </c>
      <c r="V161" s="110" t="n">
        <f aca="false">IF(OR($B161="",$E161="",$F161=""),0,MAX(0,MIN($F161,EOMONTH(DATE(cfg_FY,1,1),0))-MAX($E161,DATE(cfg_FY,1,1))+1)*(1-IF($M161="نعم",0,N($J161))))</f>
        <v>0</v>
      </c>
      <c r="W161" s="110" t="n">
        <f aca="false">IF(OR($B161="",$E161="",$F161=""),0,MAX(0,MIN($F161,EOMONTH(DATE(cfg_FY,2,1),0))-MAX($E161,DATE(cfg_FY,2,1))+1)*(1-IF($M161="نعم",0,N($J161))))</f>
        <v>0</v>
      </c>
      <c r="X161" s="110" t="n">
        <f aca="false">IF(OR($B161="",$E161="",$F161=""),0,MAX(0,MIN($F161,EOMONTH(DATE(cfg_FY,3,1),0))-MAX($E161,DATE(cfg_FY,3,1))+1)*(1-IF($M161="نعم",0,N($J161))))</f>
        <v>0</v>
      </c>
      <c r="Y161" s="110" t="n">
        <f aca="false">IF(OR($B161="",$E161="",$F161=""),0,MAX(0,MIN($F161,EOMONTH(DATE(cfg_FY,4,1),0))-MAX($E161,DATE(cfg_FY,4,1))+1)*(1-IF($M161="نعم",0,N($J161))))</f>
        <v>0</v>
      </c>
      <c r="Z161" s="110" t="n">
        <f aca="false">IF(OR($B161="",$E161="",$F161=""),0,MAX(0,MIN($F161,EOMONTH(DATE(cfg_FY,5,1),0))-MAX($E161,DATE(cfg_FY,5,1))+1)*(1-IF($M161="نعم",0,N($J161))))</f>
        <v>0</v>
      </c>
      <c r="AA161" s="110" t="n">
        <f aca="false">IF(OR($B161="",$E161="",$F161=""),0,MAX(0,MIN($F161,EOMONTH(DATE(cfg_FY,6,1),0))-MAX($E161,DATE(cfg_FY,6,1))+1)*(1-IF($M161="نعم",0,N($J161))))</f>
        <v>0</v>
      </c>
      <c r="AB161" s="110" t="n">
        <f aca="false">IF(OR($B161="",$E161="",$F161=""),0,MAX(0,MIN($F161,EOMONTH(DATE(cfg_FY,7,1),0))-MAX($E161,DATE(cfg_FY,7,1))+1)*(1-IF($M161="نعم",0,N($J161))))</f>
        <v>0</v>
      </c>
      <c r="AC161" s="110" t="n">
        <f aca="false">IF(OR($B161="",$E161="",$F161=""),0,MAX(0,MIN($F161,EOMONTH(DATE(cfg_FY,8,1),0))-MAX($E161,DATE(cfg_FY,8,1))+1)*(1-IF($M161="نعم",0,N($J161))))</f>
        <v>0</v>
      </c>
      <c r="AD161" s="110" t="n">
        <f aca="false">IF(OR($B161="",$E161="",$F161=""),0,MAX(0,MIN($F161,EOMONTH(DATE(cfg_FY,9,1),0))-MAX($E161,DATE(cfg_FY,9,1))+1)*(1-IF($M161="نعم",0,N($J161))))</f>
        <v>0</v>
      </c>
      <c r="AE161" s="110" t="n">
        <f aca="false">IF(OR($B161="",$E161="",$F161=""),0,MAX(0,MIN($F161,EOMONTH(DATE(cfg_FY,10,1),0))-MAX($E161,DATE(cfg_FY,10,1))+1)*(1-IF($M161="نعم",0,N($J161))))</f>
        <v>0</v>
      </c>
      <c r="AF161" s="110" t="n">
        <f aca="false">IF(OR($B161="",$E161="",$F161=""),0,MAX(0,MIN($F161,EOMONTH(DATE(cfg_FY,11,1),0))-MAX($E161,DATE(cfg_FY,11,1))+1)*(1-IF($M161="نعم",0,N($J161))))</f>
        <v>0</v>
      </c>
      <c r="AG161" s="110" t="n">
        <f aca="false">IF(OR($B161="",$E161="",$F161=""),0,MAX(0,MIN($F161,EOMONTH(DATE(cfg_FY,12,1),0))-MAX($E161,DATE(cfg_FY,12,1))+1)*(1-IF($M161="نعم",0,N($J161))))</f>
        <v>0</v>
      </c>
      <c r="AH161" s="110" t="n">
        <f aca="false">IF(OR(OR($B161="",$E161="",$F161=""),$L161&lt;&gt;"لا"),0,MAX(0,MIN($F161,EOMONTH(DATE(cfg_FY,1,1),0))-$E161+1))</f>
        <v>0</v>
      </c>
      <c r="AI161" s="110" t="n">
        <f aca="false">IF(OR(OR($B161="",$E161="",$F161=""),$L161&lt;&gt;"لا"),0,MAX(0,MIN($F161,EOMONTH(DATE(cfg_FY,2,1),0))-$E161+1))</f>
        <v>0</v>
      </c>
      <c r="AJ161" s="110" t="n">
        <f aca="false">IF(OR(OR($B161="",$E161="",$F161=""),$L161&lt;&gt;"لا"),0,MAX(0,MIN($F161,EOMONTH(DATE(cfg_FY,3,1),0))-$E161+1))</f>
        <v>0</v>
      </c>
      <c r="AK161" s="110" t="n">
        <f aca="false">IF(OR(OR($B161="",$E161="",$F161=""),$L161&lt;&gt;"لا"),0,MAX(0,MIN($F161,EOMONTH(DATE(cfg_FY,4,1),0))-$E161+1))</f>
        <v>0</v>
      </c>
      <c r="AL161" s="110" t="n">
        <f aca="false">IF(OR(OR($B161="",$E161="",$F161=""),$L161&lt;&gt;"لا"),0,MAX(0,MIN($F161,EOMONTH(DATE(cfg_FY,5,1),0))-$E161+1))</f>
        <v>0</v>
      </c>
      <c r="AM161" s="110" t="n">
        <f aca="false">IF(OR(OR($B161="",$E161="",$F161=""),$L161&lt;&gt;"لا"),0,MAX(0,MIN($F161,EOMONTH(DATE(cfg_FY,6,1),0))-$E161+1))</f>
        <v>0</v>
      </c>
      <c r="AN161" s="110" t="n">
        <f aca="false">IF(OR(OR($B161="",$E161="",$F161=""),$L161&lt;&gt;"لا"),0,MAX(0,MIN($F161,EOMONTH(DATE(cfg_FY,7,1),0))-$E161+1))</f>
        <v>0</v>
      </c>
      <c r="AO161" s="110" t="n">
        <f aca="false">IF(OR(OR($B161="",$E161="",$F161=""),$L161&lt;&gt;"لا"),0,MAX(0,MIN($F161,EOMONTH(DATE(cfg_FY,8,1),0))-$E161+1))</f>
        <v>0</v>
      </c>
      <c r="AP161" s="110" t="n">
        <f aca="false">IF(OR(OR($B161="",$E161="",$F161=""),$L161&lt;&gt;"لا"),0,MAX(0,MIN($F161,EOMONTH(DATE(cfg_FY,9,1),0))-$E161+1))</f>
        <v>0</v>
      </c>
      <c r="AQ161" s="110" t="n">
        <f aca="false">IF(OR(OR($B161="",$E161="",$F161=""),$L161&lt;&gt;"لا"),0,MAX(0,MIN($F161,EOMONTH(DATE(cfg_FY,10,1),0))-$E161+1))</f>
        <v>0</v>
      </c>
      <c r="AR161" s="110" t="n">
        <f aca="false">IF(OR(OR($B161="",$E161="",$F161=""),$L161&lt;&gt;"لا"),0,MAX(0,MIN($F161,EOMONTH(DATE(cfg_FY,11,1),0))-$E161+1))</f>
        <v>0</v>
      </c>
      <c r="AS161" s="110" t="n">
        <f aca="false">IF(OR(OR($B161="",$E161="",$F161=""),$L161&lt;&gt;"لا"),0,MAX(0,MIN($F161,EOMONTH(DATE(cfg_FY,12,1),0))-$E161+1))</f>
        <v>0</v>
      </c>
      <c r="AT161" s="110" t="n">
        <f aca="false">IF(OR(OR($B161="",$E161="",$F161=""),$K161&lt;&gt;"نعم",$M161="نعم"),0,MAX(0,MIN($F161,EOMONTH(DATE(cfg_FY,1,1),0))-MAX($E161,DATE(cfg_FY,1,1))+1))</f>
        <v>0</v>
      </c>
      <c r="AU161" s="110" t="n">
        <f aca="false">IF(OR(OR($B161="",$E161="",$F161=""),$K161&lt;&gt;"نعم",$M161="نعم"),0,MAX(0,MIN($F161,EOMONTH(DATE(cfg_FY,2,1),0))-MAX($E161,DATE(cfg_FY,2,1))+1))</f>
        <v>0</v>
      </c>
      <c r="AV161" s="110" t="n">
        <f aca="false">IF(OR(OR($B161="",$E161="",$F161=""),$K161&lt;&gt;"نعم",$M161="نعم"),0,MAX(0,MIN($F161,EOMONTH(DATE(cfg_FY,3,1),0))-MAX($E161,DATE(cfg_FY,3,1))+1))</f>
        <v>0</v>
      </c>
      <c r="AW161" s="110" t="n">
        <f aca="false">IF(OR(OR($B161="",$E161="",$F161=""),$K161&lt;&gt;"نعم",$M161="نعم"),0,MAX(0,MIN($F161,EOMONTH(DATE(cfg_FY,4,1),0))-MAX($E161,DATE(cfg_FY,4,1))+1))</f>
        <v>0</v>
      </c>
      <c r="AX161" s="110" t="n">
        <f aca="false">IF(OR(OR($B161="",$E161="",$F161=""),$K161&lt;&gt;"نعم",$M161="نعم"),0,MAX(0,MIN($F161,EOMONTH(DATE(cfg_FY,5,1),0))-MAX($E161,DATE(cfg_FY,5,1))+1))</f>
        <v>0</v>
      </c>
      <c r="AY161" s="110" t="n">
        <f aca="false">IF(OR(OR($B161="",$E161="",$F161=""),$K161&lt;&gt;"نعم",$M161="نعم"),0,MAX(0,MIN($F161,EOMONTH(DATE(cfg_FY,6,1),0))-MAX($E161,DATE(cfg_FY,6,1))+1))</f>
        <v>0</v>
      </c>
      <c r="AZ161" s="110" t="n">
        <f aca="false">IF(OR(OR($B161="",$E161="",$F161=""),$K161&lt;&gt;"نعم",$M161="نعم"),0,MAX(0,MIN($F161,EOMONTH(DATE(cfg_FY,7,1),0))-MAX($E161,DATE(cfg_FY,7,1))+1))</f>
        <v>0</v>
      </c>
      <c r="BA161" s="110" t="n">
        <f aca="false">IF(OR(OR($B161="",$E161="",$F161=""),$K161&lt;&gt;"نعم",$M161="نعم"),0,MAX(0,MIN($F161,EOMONTH(DATE(cfg_FY,8,1),0))-MAX($E161,DATE(cfg_FY,8,1))+1))</f>
        <v>0</v>
      </c>
      <c r="BB161" s="110" t="n">
        <f aca="false">IF(OR(OR($B161="",$E161="",$F161=""),$K161&lt;&gt;"نعم",$M161="نعم"),0,MAX(0,MIN($F161,EOMONTH(DATE(cfg_FY,9,1),0))-MAX($E161,DATE(cfg_FY,9,1))+1))</f>
        <v>0</v>
      </c>
      <c r="BC161" s="110" t="n">
        <f aca="false">IF(OR(OR($B161="",$E161="",$F161=""),$K161&lt;&gt;"نعم",$M161="نعم"),0,MAX(0,MIN($F161,EOMONTH(DATE(cfg_FY,10,1),0))-MAX($E161,DATE(cfg_FY,10,1))+1))</f>
        <v>0</v>
      </c>
      <c r="BD161" s="110" t="n">
        <f aca="false">IF(OR(OR($B161="",$E161="",$F161=""),$K161&lt;&gt;"نعم",$M161="نعم"),0,MAX(0,MIN($F161,EOMONTH(DATE(cfg_FY,11,1),0))-MAX($E161,DATE(cfg_FY,11,1))+1))</f>
        <v>0</v>
      </c>
      <c r="BE161" s="110" t="n">
        <f aca="false">IF(OR(OR($B161="",$E161="",$F161=""),$K161&lt;&gt;"نعم",$M161="نعم"),0,MAX(0,MIN($F161,EOMONTH(DATE(cfg_FY,12,1),0))-MAX($E161,DATE(cfg_FY,12,1))+1))</f>
        <v>0</v>
      </c>
    </row>
    <row r="162" customFormat="false" ht="15" hidden="false" customHeight="false" outlineLevel="0" collapsed="false">
      <c r="A162" s="93" t="str">
        <f aca="false">IF(B162="","",ROW()-5)</f>
        <v/>
      </c>
      <c r="B162" s="79"/>
      <c r="C162" s="80" t="str">
        <f aca="false">IF(B162="","",IFERROR(INDEX(الموظفون!$C$6:$C$105,MATCH(B162,الموظفون!$B$6:$B$105,0)),"✖ رقم غير موجود"))</f>
        <v/>
      </c>
      <c r="D162" s="79"/>
      <c r="E162" s="94"/>
      <c r="F162" s="94"/>
      <c r="G162" s="57" t="str">
        <f aca="false">IF(OR($B162="",$E162="",$F162=""),"",MAX(0,F162-E162+1))</f>
        <v/>
      </c>
      <c r="H162" s="58" t="str">
        <f aca="false">IF(D162="","",IFERROR(VLOOKUP(D162,cfg_LT,2,FALSE()),1))</f>
        <v/>
      </c>
      <c r="I162" s="82"/>
      <c r="J162" s="58" t="str">
        <f aca="false">IF(D162="","",IF(I162&lt;&gt;"",I162,H162))</f>
        <v/>
      </c>
      <c r="K162" s="80" t="str">
        <f aca="false">IF(D162="","",IFERROR(VLOOKUP($D162,cfg_LT,3,FALSE()),""))</f>
        <v/>
      </c>
      <c r="L162" s="80" t="str">
        <f aca="false">IF(D162="","",IFERROR(VLOOKUP($D162,cfg_LT,4,FALSE()),""))</f>
        <v/>
      </c>
      <c r="M162" s="80" t="str">
        <f aca="false">IF(D162="","",IFERROR(VLOOKUP($D162,cfg_LT,5,FALSE()),""))</f>
        <v/>
      </c>
      <c r="N162" s="97" t="n">
        <f aca="false">IF(OR(OR($B162="",$E162="",$F162=""),M162&lt;&gt;"نعم"),0,G162*J162*IFERROR(INDEX(الموظفون!$R$6:$R$105,MATCH(B162,الموظفون!$B$6:$B$105,0)),0)/cfg_DAYS_M)</f>
        <v>0</v>
      </c>
      <c r="O162" s="93" t="str">
        <f aca="false">IF(OR(OR($B162="",$E162="",$F162=""),M162&lt;&gt;"نعم"),"",IF(YEAR(E162)=cfg_FY,MONTH(E162),""))</f>
        <v/>
      </c>
      <c r="P162" s="80" t="str">
        <f aca="false">IF(B162="","",IF(OR(D162="",E162="",F162=""),"⚠ أكمل النوع والتواريخ",IF(F162&lt;E162,"✖ النهاية قبل البداية",IF(COUNTIFS($B$6:$B$505,B162,$E$6:$E$505,"&lt;="&amp;F162,$F$6:$F$505,"&gt;="&amp;E162)&gt;1,"⚠ تداخل مع سجل آخر",IF(E162&gt;cfg_VAL_DATE,"⏳ قادمة",IF(F162&lt;cfg_VAL_DATE,"✔ منتهية","✈ جارية في تاريخ التقرير"))))))</f>
        <v/>
      </c>
      <c r="Q162" s="79"/>
      <c r="R162" s="57" t="n">
        <f aca="false">IF(OR(OR($B162="",$E162="",$F162=""),L162&lt;&gt;"لا"),0,MAX(0,MIN(F162,cfg_Y_START-1)-E162+1))</f>
        <v>0</v>
      </c>
      <c r="S162" s="57" t="n">
        <f aca="false">IF(OR(OR($B162="",$E162="",$F162=""),L162&lt;&gt;"لا"),0,MAX(0,MIN(F162,cfg_VAL_DATE)-E162+1))</f>
        <v>0</v>
      </c>
      <c r="T162" s="57" t="n">
        <f aca="false">IF(OR(OR($B162="",$E162="",$F162=""),K162&lt;&gt;"نعم"),0,IF(M162="نعم",IF(AND(ISNUMBER(O162),N(O162)&lt;=cfg_VAL_M),G162,0),MAX(0,MIN(F162,cfg_VAL_DATE)-MAX(E162,cfg_Y_START)+1)))</f>
        <v>0</v>
      </c>
      <c r="V162" s="57" t="n">
        <f aca="false">IF(OR($B162="",$E162="",$F162=""),0,MAX(0,MIN($F162,EOMONTH(DATE(cfg_FY,1,1),0))-MAX($E162,DATE(cfg_FY,1,1))+1)*(1-IF($M162="نعم",0,N($J162))))</f>
        <v>0</v>
      </c>
      <c r="W162" s="57" t="n">
        <f aca="false">IF(OR($B162="",$E162="",$F162=""),0,MAX(0,MIN($F162,EOMONTH(DATE(cfg_FY,2,1),0))-MAX($E162,DATE(cfg_FY,2,1))+1)*(1-IF($M162="نعم",0,N($J162))))</f>
        <v>0</v>
      </c>
      <c r="X162" s="57" t="n">
        <f aca="false">IF(OR($B162="",$E162="",$F162=""),0,MAX(0,MIN($F162,EOMONTH(DATE(cfg_FY,3,1),0))-MAX($E162,DATE(cfg_FY,3,1))+1)*(1-IF($M162="نعم",0,N($J162))))</f>
        <v>0</v>
      </c>
      <c r="Y162" s="57" t="n">
        <f aca="false">IF(OR($B162="",$E162="",$F162=""),0,MAX(0,MIN($F162,EOMONTH(DATE(cfg_FY,4,1),0))-MAX($E162,DATE(cfg_FY,4,1))+1)*(1-IF($M162="نعم",0,N($J162))))</f>
        <v>0</v>
      </c>
      <c r="Z162" s="57" t="n">
        <f aca="false">IF(OR($B162="",$E162="",$F162=""),0,MAX(0,MIN($F162,EOMONTH(DATE(cfg_FY,5,1),0))-MAX($E162,DATE(cfg_FY,5,1))+1)*(1-IF($M162="نعم",0,N($J162))))</f>
        <v>0</v>
      </c>
      <c r="AA162" s="57" t="n">
        <f aca="false">IF(OR($B162="",$E162="",$F162=""),0,MAX(0,MIN($F162,EOMONTH(DATE(cfg_FY,6,1),0))-MAX($E162,DATE(cfg_FY,6,1))+1)*(1-IF($M162="نعم",0,N($J162))))</f>
        <v>0</v>
      </c>
      <c r="AB162" s="57" t="n">
        <f aca="false">IF(OR($B162="",$E162="",$F162=""),0,MAX(0,MIN($F162,EOMONTH(DATE(cfg_FY,7,1),0))-MAX($E162,DATE(cfg_FY,7,1))+1)*(1-IF($M162="نعم",0,N($J162))))</f>
        <v>0</v>
      </c>
      <c r="AC162" s="57" t="n">
        <f aca="false">IF(OR($B162="",$E162="",$F162=""),0,MAX(0,MIN($F162,EOMONTH(DATE(cfg_FY,8,1),0))-MAX($E162,DATE(cfg_FY,8,1))+1)*(1-IF($M162="نعم",0,N($J162))))</f>
        <v>0</v>
      </c>
      <c r="AD162" s="57" t="n">
        <f aca="false">IF(OR($B162="",$E162="",$F162=""),0,MAX(0,MIN($F162,EOMONTH(DATE(cfg_FY,9,1),0))-MAX($E162,DATE(cfg_FY,9,1))+1)*(1-IF($M162="نعم",0,N($J162))))</f>
        <v>0</v>
      </c>
      <c r="AE162" s="57" t="n">
        <f aca="false">IF(OR($B162="",$E162="",$F162=""),0,MAX(0,MIN($F162,EOMONTH(DATE(cfg_FY,10,1),0))-MAX($E162,DATE(cfg_FY,10,1))+1)*(1-IF($M162="نعم",0,N($J162))))</f>
        <v>0</v>
      </c>
      <c r="AF162" s="57" t="n">
        <f aca="false">IF(OR($B162="",$E162="",$F162=""),0,MAX(0,MIN($F162,EOMONTH(DATE(cfg_FY,11,1),0))-MAX($E162,DATE(cfg_FY,11,1))+1)*(1-IF($M162="نعم",0,N($J162))))</f>
        <v>0</v>
      </c>
      <c r="AG162" s="57" t="n">
        <f aca="false">IF(OR($B162="",$E162="",$F162=""),0,MAX(0,MIN($F162,EOMONTH(DATE(cfg_FY,12,1),0))-MAX($E162,DATE(cfg_FY,12,1))+1)*(1-IF($M162="نعم",0,N($J162))))</f>
        <v>0</v>
      </c>
      <c r="AH162" s="57" t="n">
        <f aca="false">IF(OR(OR($B162="",$E162="",$F162=""),$L162&lt;&gt;"لا"),0,MAX(0,MIN($F162,EOMONTH(DATE(cfg_FY,1,1),0))-$E162+1))</f>
        <v>0</v>
      </c>
      <c r="AI162" s="57" t="n">
        <f aca="false">IF(OR(OR($B162="",$E162="",$F162=""),$L162&lt;&gt;"لا"),0,MAX(0,MIN($F162,EOMONTH(DATE(cfg_FY,2,1),0))-$E162+1))</f>
        <v>0</v>
      </c>
      <c r="AJ162" s="57" t="n">
        <f aca="false">IF(OR(OR($B162="",$E162="",$F162=""),$L162&lt;&gt;"لا"),0,MAX(0,MIN($F162,EOMONTH(DATE(cfg_FY,3,1),0))-$E162+1))</f>
        <v>0</v>
      </c>
      <c r="AK162" s="57" t="n">
        <f aca="false">IF(OR(OR($B162="",$E162="",$F162=""),$L162&lt;&gt;"لا"),0,MAX(0,MIN($F162,EOMONTH(DATE(cfg_FY,4,1),0))-$E162+1))</f>
        <v>0</v>
      </c>
      <c r="AL162" s="57" t="n">
        <f aca="false">IF(OR(OR($B162="",$E162="",$F162=""),$L162&lt;&gt;"لا"),0,MAX(0,MIN($F162,EOMONTH(DATE(cfg_FY,5,1),0))-$E162+1))</f>
        <v>0</v>
      </c>
      <c r="AM162" s="57" t="n">
        <f aca="false">IF(OR(OR($B162="",$E162="",$F162=""),$L162&lt;&gt;"لا"),0,MAX(0,MIN($F162,EOMONTH(DATE(cfg_FY,6,1),0))-$E162+1))</f>
        <v>0</v>
      </c>
      <c r="AN162" s="57" t="n">
        <f aca="false">IF(OR(OR($B162="",$E162="",$F162=""),$L162&lt;&gt;"لا"),0,MAX(0,MIN($F162,EOMONTH(DATE(cfg_FY,7,1),0))-$E162+1))</f>
        <v>0</v>
      </c>
      <c r="AO162" s="57" t="n">
        <f aca="false">IF(OR(OR($B162="",$E162="",$F162=""),$L162&lt;&gt;"لا"),0,MAX(0,MIN($F162,EOMONTH(DATE(cfg_FY,8,1),0))-$E162+1))</f>
        <v>0</v>
      </c>
      <c r="AP162" s="57" t="n">
        <f aca="false">IF(OR(OR($B162="",$E162="",$F162=""),$L162&lt;&gt;"لا"),0,MAX(0,MIN($F162,EOMONTH(DATE(cfg_FY,9,1),0))-$E162+1))</f>
        <v>0</v>
      </c>
      <c r="AQ162" s="57" t="n">
        <f aca="false">IF(OR(OR($B162="",$E162="",$F162=""),$L162&lt;&gt;"لا"),0,MAX(0,MIN($F162,EOMONTH(DATE(cfg_FY,10,1),0))-$E162+1))</f>
        <v>0</v>
      </c>
      <c r="AR162" s="57" t="n">
        <f aca="false">IF(OR(OR($B162="",$E162="",$F162=""),$L162&lt;&gt;"لا"),0,MAX(0,MIN($F162,EOMONTH(DATE(cfg_FY,11,1),0))-$E162+1))</f>
        <v>0</v>
      </c>
      <c r="AS162" s="57" t="n">
        <f aca="false">IF(OR(OR($B162="",$E162="",$F162=""),$L162&lt;&gt;"لا"),0,MAX(0,MIN($F162,EOMONTH(DATE(cfg_FY,12,1),0))-$E162+1))</f>
        <v>0</v>
      </c>
      <c r="AT162" s="57" t="n">
        <f aca="false">IF(OR(OR($B162="",$E162="",$F162=""),$K162&lt;&gt;"نعم",$M162="نعم"),0,MAX(0,MIN($F162,EOMONTH(DATE(cfg_FY,1,1),0))-MAX($E162,DATE(cfg_FY,1,1))+1))</f>
        <v>0</v>
      </c>
      <c r="AU162" s="57" t="n">
        <f aca="false">IF(OR(OR($B162="",$E162="",$F162=""),$K162&lt;&gt;"نعم",$M162="نعم"),0,MAX(0,MIN($F162,EOMONTH(DATE(cfg_FY,2,1),0))-MAX($E162,DATE(cfg_FY,2,1))+1))</f>
        <v>0</v>
      </c>
      <c r="AV162" s="57" t="n">
        <f aca="false">IF(OR(OR($B162="",$E162="",$F162=""),$K162&lt;&gt;"نعم",$M162="نعم"),0,MAX(0,MIN($F162,EOMONTH(DATE(cfg_FY,3,1),0))-MAX($E162,DATE(cfg_FY,3,1))+1))</f>
        <v>0</v>
      </c>
      <c r="AW162" s="57" t="n">
        <f aca="false">IF(OR(OR($B162="",$E162="",$F162=""),$K162&lt;&gt;"نعم",$M162="نعم"),0,MAX(0,MIN($F162,EOMONTH(DATE(cfg_FY,4,1),0))-MAX($E162,DATE(cfg_FY,4,1))+1))</f>
        <v>0</v>
      </c>
      <c r="AX162" s="57" t="n">
        <f aca="false">IF(OR(OR($B162="",$E162="",$F162=""),$K162&lt;&gt;"نعم",$M162="نعم"),0,MAX(0,MIN($F162,EOMONTH(DATE(cfg_FY,5,1),0))-MAX($E162,DATE(cfg_FY,5,1))+1))</f>
        <v>0</v>
      </c>
      <c r="AY162" s="57" t="n">
        <f aca="false">IF(OR(OR($B162="",$E162="",$F162=""),$K162&lt;&gt;"نعم",$M162="نعم"),0,MAX(0,MIN($F162,EOMONTH(DATE(cfg_FY,6,1),0))-MAX($E162,DATE(cfg_FY,6,1))+1))</f>
        <v>0</v>
      </c>
      <c r="AZ162" s="57" t="n">
        <f aca="false">IF(OR(OR($B162="",$E162="",$F162=""),$K162&lt;&gt;"نعم",$M162="نعم"),0,MAX(0,MIN($F162,EOMONTH(DATE(cfg_FY,7,1),0))-MAX($E162,DATE(cfg_FY,7,1))+1))</f>
        <v>0</v>
      </c>
      <c r="BA162" s="57" t="n">
        <f aca="false">IF(OR(OR($B162="",$E162="",$F162=""),$K162&lt;&gt;"نعم",$M162="نعم"),0,MAX(0,MIN($F162,EOMONTH(DATE(cfg_FY,8,1),0))-MAX($E162,DATE(cfg_FY,8,1))+1))</f>
        <v>0</v>
      </c>
      <c r="BB162" s="57" t="n">
        <f aca="false">IF(OR(OR($B162="",$E162="",$F162=""),$K162&lt;&gt;"نعم",$M162="نعم"),0,MAX(0,MIN($F162,EOMONTH(DATE(cfg_FY,9,1),0))-MAX($E162,DATE(cfg_FY,9,1))+1))</f>
        <v>0</v>
      </c>
      <c r="BC162" s="57" t="n">
        <f aca="false">IF(OR(OR($B162="",$E162="",$F162=""),$K162&lt;&gt;"نعم",$M162="نعم"),0,MAX(0,MIN($F162,EOMONTH(DATE(cfg_FY,10,1),0))-MAX($E162,DATE(cfg_FY,10,1))+1))</f>
        <v>0</v>
      </c>
      <c r="BD162" s="57" t="n">
        <f aca="false">IF(OR(OR($B162="",$E162="",$F162=""),$K162&lt;&gt;"نعم",$M162="نعم"),0,MAX(0,MIN($F162,EOMONTH(DATE(cfg_FY,11,1),0))-MAX($E162,DATE(cfg_FY,11,1))+1))</f>
        <v>0</v>
      </c>
      <c r="BE162" s="57" t="n">
        <f aca="false">IF(OR(OR($B162="",$E162="",$F162=""),$K162&lt;&gt;"نعم",$M162="نعم"),0,MAX(0,MIN($F162,EOMONTH(DATE(cfg_FY,12,1),0))-MAX($E162,DATE(cfg_FY,12,1))+1))</f>
        <v>0</v>
      </c>
    </row>
    <row r="163" customFormat="false" ht="15" hidden="false" customHeight="false" outlineLevel="0" collapsed="false">
      <c r="A163" s="100" t="str">
        <f aca="false">IF(B163="","",ROW()-5)</f>
        <v/>
      </c>
      <c r="B163" s="79"/>
      <c r="C163" s="102" t="str">
        <f aca="false">IF(B163="","",IFERROR(INDEX(الموظفون!$C$6:$C$105,MATCH(B163,الموظفون!$B$6:$B$105,0)),"✖ رقم غير موجود"))</f>
        <v/>
      </c>
      <c r="D163" s="79"/>
      <c r="E163" s="94"/>
      <c r="F163" s="94"/>
      <c r="G163" s="110" t="str">
        <f aca="false">IF(OR($B163="",$E163="",$F163=""),"",MAX(0,F163-E163+1))</f>
        <v/>
      </c>
      <c r="H163" s="111" t="str">
        <f aca="false">IF(D163="","",IFERROR(VLOOKUP(D163,cfg_LT,2,FALSE()),1))</f>
        <v/>
      </c>
      <c r="I163" s="82"/>
      <c r="J163" s="111" t="str">
        <f aca="false">IF(D163="","",IF(I163&lt;&gt;"",I163,H163))</f>
        <v/>
      </c>
      <c r="K163" s="102" t="str">
        <f aca="false">IF(D163="","",IFERROR(VLOOKUP($D163,cfg_LT,3,FALSE()),""))</f>
        <v/>
      </c>
      <c r="L163" s="102" t="str">
        <f aca="false">IF(D163="","",IFERROR(VLOOKUP($D163,cfg_LT,4,FALSE()),""))</f>
        <v/>
      </c>
      <c r="M163" s="102" t="str">
        <f aca="false">IF(D163="","",IFERROR(VLOOKUP($D163,cfg_LT,5,FALSE()),""))</f>
        <v/>
      </c>
      <c r="N163" s="101" t="n">
        <f aca="false">IF(OR(OR($B163="",$E163="",$F163=""),M163&lt;&gt;"نعم"),0,G163*J163*IFERROR(INDEX(الموظفون!$R$6:$R$105,MATCH(B163,الموظفون!$B$6:$B$105,0)),0)/cfg_DAYS_M)</f>
        <v>0</v>
      </c>
      <c r="O163" s="100" t="str">
        <f aca="false">IF(OR(OR($B163="",$E163="",$F163=""),M163&lt;&gt;"نعم"),"",IF(YEAR(E163)=cfg_FY,MONTH(E163),""))</f>
        <v/>
      </c>
      <c r="P163" s="102" t="str">
        <f aca="false">IF(B163="","",IF(OR(D163="",E163="",F163=""),"⚠ أكمل النوع والتواريخ",IF(F163&lt;E163,"✖ النهاية قبل البداية",IF(COUNTIFS($B$6:$B$505,B163,$E$6:$E$505,"&lt;="&amp;F163,$F$6:$F$505,"&gt;="&amp;E163)&gt;1,"⚠ تداخل مع سجل آخر",IF(E163&gt;cfg_VAL_DATE,"⏳ قادمة",IF(F163&lt;cfg_VAL_DATE,"✔ منتهية","✈ جارية في تاريخ التقرير"))))))</f>
        <v/>
      </c>
      <c r="Q163" s="79"/>
      <c r="R163" s="110" t="n">
        <f aca="false">IF(OR(OR($B163="",$E163="",$F163=""),L163&lt;&gt;"لا"),0,MAX(0,MIN(F163,cfg_Y_START-1)-E163+1))</f>
        <v>0</v>
      </c>
      <c r="S163" s="110" t="n">
        <f aca="false">IF(OR(OR($B163="",$E163="",$F163=""),L163&lt;&gt;"لا"),0,MAX(0,MIN(F163,cfg_VAL_DATE)-E163+1))</f>
        <v>0</v>
      </c>
      <c r="T163" s="110" t="n">
        <f aca="false">IF(OR(OR($B163="",$E163="",$F163=""),K163&lt;&gt;"نعم"),0,IF(M163="نعم",IF(AND(ISNUMBER(O163),N(O163)&lt;=cfg_VAL_M),G163,0),MAX(0,MIN(F163,cfg_VAL_DATE)-MAX(E163,cfg_Y_START)+1)))</f>
        <v>0</v>
      </c>
      <c r="V163" s="110" t="n">
        <f aca="false">IF(OR($B163="",$E163="",$F163=""),0,MAX(0,MIN($F163,EOMONTH(DATE(cfg_FY,1,1),0))-MAX($E163,DATE(cfg_FY,1,1))+1)*(1-IF($M163="نعم",0,N($J163))))</f>
        <v>0</v>
      </c>
      <c r="W163" s="110" t="n">
        <f aca="false">IF(OR($B163="",$E163="",$F163=""),0,MAX(0,MIN($F163,EOMONTH(DATE(cfg_FY,2,1),0))-MAX($E163,DATE(cfg_FY,2,1))+1)*(1-IF($M163="نعم",0,N($J163))))</f>
        <v>0</v>
      </c>
      <c r="X163" s="110" t="n">
        <f aca="false">IF(OR($B163="",$E163="",$F163=""),0,MAX(0,MIN($F163,EOMONTH(DATE(cfg_FY,3,1),0))-MAX($E163,DATE(cfg_FY,3,1))+1)*(1-IF($M163="نعم",0,N($J163))))</f>
        <v>0</v>
      </c>
      <c r="Y163" s="110" t="n">
        <f aca="false">IF(OR($B163="",$E163="",$F163=""),0,MAX(0,MIN($F163,EOMONTH(DATE(cfg_FY,4,1),0))-MAX($E163,DATE(cfg_FY,4,1))+1)*(1-IF($M163="نعم",0,N($J163))))</f>
        <v>0</v>
      </c>
      <c r="Z163" s="110" t="n">
        <f aca="false">IF(OR($B163="",$E163="",$F163=""),0,MAX(0,MIN($F163,EOMONTH(DATE(cfg_FY,5,1),0))-MAX($E163,DATE(cfg_FY,5,1))+1)*(1-IF($M163="نعم",0,N($J163))))</f>
        <v>0</v>
      </c>
      <c r="AA163" s="110" t="n">
        <f aca="false">IF(OR($B163="",$E163="",$F163=""),0,MAX(0,MIN($F163,EOMONTH(DATE(cfg_FY,6,1),0))-MAX($E163,DATE(cfg_FY,6,1))+1)*(1-IF($M163="نعم",0,N($J163))))</f>
        <v>0</v>
      </c>
      <c r="AB163" s="110" t="n">
        <f aca="false">IF(OR($B163="",$E163="",$F163=""),0,MAX(0,MIN($F163,EOMONTH(DATE(cfg_FY,7,1),0))-MAX($E163,DATE(cfg_FY,7,1))+1)*(1-IF($M163="نعم",0,N($J163))))</f>
        <v>0</v>
      </c>
      <c r="AC163" s="110" t="n">
        <f aca="false">IF(OR($B163="",$E163="",$F163=""),0,MAX(0,MIN($F163,EOMONTH(DATE(cfg_FY,8,1),0))-MAX($E163,DATE(cfg_FY,8,1))+1)*(1-IF($M163="نعم",0,N($J163))))</f>
        <v>0</v>
      </c>
      <c r="AD163" s="110" t="n">
        <f aca="false">IF(OR($B163="",$E163="",$F163=""),0,MAX(0,MIN($F163,EOMONTH(DATE(cfg_FY,9,1),0))-MAX($E163,DATE(cfg_FY,9,1))+1)*(1-IF($M163="نعم",0,N($J163))))</f>
        <v>0</v>
      </c>
      <c r="AE163" s="110" t="n">
        <f aca="false">IF(OR($B163="",$E163="",$F163=""),0,MAX(0,MIN($F163,EOMONTH(DATE(cfg_FY,10,1),0))-MAX($E163,DATE(cfg_FY,10,1))+1)*(1-IF($M163="نعم",0,N($J163))))</f>
        <v>0</v>
      </c>
      <c r="AF163" s="110" t="n">
        <f aca="false">IF(OR($B163="",$E163="",$F163=""),0,MAX(0,MIN($F163,EOMONTH(DATE(cfg_FY,11,1),0))-MAX($E163,DATE(cfg_FY,11,1))+1)*(1-IF($M163="نعم",0,N($J163))))</f>
        <v>0</v>
      </c>
      <c r="AG163" s="110" t="n">
        <f aca="false">IF(OR($B163="",$E163="",$F163=""),0,MAX(0,MIN($F163,EOMONTH(DATE(cfg_FY,12,1),0))-MAX($E163,DATE(cfg_FY,12,1))+1)*(1-IF($M163="نعم",0,N($J163))))</f>
        <v>0</v>
      </c>
      <c r="AH163" s="110" t="n">
        <f aca="false">IF(OR(OR($B163="",$E163="",$F163=""),$L163&lt;&gt;"لا"),0,MAX(0,MIN($F163,EOMONTH(DATE(cfg_FY,1,1),0))-$E163+1))</f>
        <v>0</v>
      </c>
      <c r="AI163" s="110" t="n">
        <f aca="false">IF(OR(OR($B163="",$E163="",$F163=""),$L163&lt;&gt;"لا"),0,MAX(0,MIN($F163,EOMONTH(DATE(cfg_FY,2,1),0))-$E163+1))</f>
        <v>0</v>
      </c>
      <c r="AJ163" s="110" t="n">
        <f aca="false">IF(OR(OR($B163="",$E163="",$F163=""),$L163&lt;&gt;"لا"),0,MAX(0,MIN($F163,EOMONTH(DATE(cfg_FY,3,1),0))-$E163+1))</f>
        <v>0</v>
      </c>
      <c r="AK163" s="110" t="n">
        <f aca="false">IF(OR(OR($B163="",$E163="",$F163=""),$L163&lt;&gt;"لا"),0,MAX(0,MIN($F163,EOMONTH(DATE(cfg_FY,4,1),0))-$E163+1))</f>
        <v>0</v>
      </c>
      <c r="AL163" s="110" t="n">
        <f aca="false">IF(OR(OR($B163="",$E163="",$F163=""),$L163&lt;&gt;"لا"),0,MAX(0,MIN($F163,EOMONTH(DATE(cfg_FY,5,1),0))-$E163+1))</f>
        <v>0</v>
      </c>
      <c r="AM163" s="110" t="n">
        <f aca="false">IF(OR(OR($B163="",$E163="",$F163=""),$L163&lt;&gt;"لا"),0,MAX(0,MIN($F163,EOMONTH(DATE(cfg_FY,6,1),0))-$E163+1))</f>
        <v>0</v>
      </c>
      <c r="AN163" s="110" t="n">
        <f aca="false">IF(OR(OR($B163="",$E163="",$F163=""),$L163&lt;&gt;"لا"),0,MAX(0,MIN($F163,EOMONTH(DATE(cfg_FY,7,1),0))-$E163+1))</f>
        <v>0</v>
      </c>
      <c r="AO163" s="110" t="n">
        <f aca="false">IF(OR(OR($B163="",$E163="",$F163=""),$L163&lt;&gt;"لا"),0,MAX(0,MIN($F163,EOMONTH(DATE(cfg_FY,8,1),0))-$E163+1))</f>
        <v>0</v>
      </c>
      <c r="AP163" s="110" t="n">
        <f aca="false">IF(OR(OR($B163="",$E163="",$F163=""),$L163&lt;&gt;"لا"),0,MAX(0,MIN($F163,EOMONTH(DATE(cfg_FY,9,1),0))-$E163+1))</f>
        <v>0</v>
      </c>
      <c r="AQ163" s="110" t="n">
        <f aca="false">IF(OR(OR($B163="",$E163="",$F163=""),$L163&lt;&gt;"لا"),0,MAX(0,MIN($F163,EOMONTH(DATE(cfg_FY,10,1),0))-$E163+1))</f>
        <v>0</v>
      </c>
      <c r="AR163" s="110" t="n">
        <f aca="false">IF(OR(OR($B163="",$E163="",$F163=""),$L163&lt;&gt;"لا"),0,MAX(0,MIN($F163,EOMONTH(DATE(cfg_FY,11,1),0))-$E163+1))</f>
        <v>0</v>
      </c>
      <c r="AS163" s="110" t="n">
        <f aca="false">IF(OR(OR($B163="",$E163="",$F163=""),$L163&lt;&gt;"لا"),0,MAX(0,MIN($F163,EOMONTH(DATE(cfg_FY,12,1),0))-$E163+1))</f>
        <v>0</v>
      </c>
      <c r="AT163" s="110" t="n">
        <f aca="false">IF(OR(OR($B163="",$E163="",$F163=""),$K163&lt;&gt;"نعم",$M163="نعم"),0,MAX(0,MIN($F163,EOMONTH(DATE(cfg_FY,1,1),0))-MAX($E163,DATE(cfg_FY,1,1))+1))</f>
        <v>0</v>
      </c>
      <c r="AU163" s="110" t="n">
        <f aca="false">IF(OR(OR($B163="",$E163="",$F163=""),$K163&lt;&gt;"نعم",$M163="نعم"),0,MAX(0,MIN($F163,EOMONTH(DATE(cfg_FY,2,1),0))-MAX($E163,DATE(cfg_FY,2,1))+1))</f>
        <v>0</v>
      </c>
      <c r="AV163" s="110" t="n">
        <f aca="false">IF(OR(OR($B163="",$E163="",$F163=""),$K163&lt;&gt;"نعم",$M163="نعم"),0,MAX(0,MIN($F163,EOMONTH(DATE(cfg_FY,3,1),0))-MAX($E163,DATE(cfg_FY,3,1))+1))</f>
        <v>0</v>
      </c>
      <c r="AW163" s="110" t="n">
        <f aca="false">IF(OR(OR($B163="",$E163="",$F163=""),$K163&lt;&gt;"نعم",$M163="نعم"),0,MAX(0,MIN($F163,EOMONTH(DATE(cfg_FY,4,1),0))-MAX($E163,DATE(cfg_FY,4,1))+1))</f>
        <v>0</v>
      </c>
      <c r="AX163" s="110" t="n">
        <f aca="false">IF(OR(OR($B163="",$E163="",$F163=""),$K163&lt;&gt;"نعم",$M163="نعم"),0,MAX(0,MIN($F163,EOMONTH(DATE(cfg_FY,5,1),0))-MAX($E163,DATE(cfg_FY,5,1))+1))</f>
        <v>0</v>
      </c>
      <c r="AY163" s="110" t="n">
        <f aca="false">IF(OR(OR($B163="",$E163="",$F163=""),$K163&lt;&gt;"نعم",$M163="نعم"),0,MAX(0,MIN($F163,EOMONTH(DATE(cfg_FY,6,1),0))-MAX($E163,DATE(cfg_FY,6,1))+1))</f>
        <v>0</v>
      </c>
      <c r="AZ163" s="110" t="n">
        <f aca="false">IF(OR(OR($B163="",$E163="",$F163=""),$K163&lt;&gt;"نعم",$M163="نعم"),0,MAX(0,MIN($F163,EOMONTH(DATE(cfg_FY,7,1),0))-MAX($E163,DATE(cfg_FY,7,1))+1))</f>
        <v>0</v>
      </c>
      <c r="BA163" s="110" t="n">
        <f aca="false">IF(OR(OR($B163="",$E163="",$F163=""),$K163&lt;&gt;"نعم",$M163="نعم"),0,MAX(0,MIN($F163,EOMONTH(DATE(cfg_FY,8,1),0))-MAX($E163,DATE(cfg_FY,8,1))+1))</f>
        <v>0</v>
      </c>
      <c r="BB163" s="110" t="n">
        <f aca="false">IF(OR(OR($B163="",$E163="",$F163=""),$K163&lt;&gt;"نعم",$M163="نعم"),0,MAX(0,MIN($F163,EOMONTH(DATE(cfg_FY,9,1),0))-MAX($E163,DATE(cfg_FY,9,1))+1))</f>
        <v>0</v>
      </c>
      <c r="BC163" s="110" t="n">
        <f aca="false">IF(OR(OR($B163="",$E163="",$F163=""),$K163&lt;&gt;"نعم",$M163="نعم"),0,MAX(0,MIN($F163,EOMONTH(DATE(cfg_FY,10,1),0))-MAX($E163,DATE(cfg_FY,10,1))+1))</f>
        <v>0</v>
      </c>
      <c r="BD163" s="110" t="n">
        <f aca="false">IF(OR(OR($B163="",$E163="",$F163=""),$K163&lt;&gt;"نعم",$M163="نعم"),0,MAX(0,MIN($F163,EOMONTH(DATE(cfg_FY,11,1),0))-MAX($E163,DATE(cfg_FY,11,1))+1))</f>
        <v>0</v>
      </c>
      <c r="BE163" s="110" t="n">
        <f aca="false">IF(OR(OR($B163="",$E163="",$F163=""),$K163&lt;&gt;"نعم",$M163="نعم"),0,MAX(0,MIN($F163,EOMONTH(DATE(cfg_FY,12,1),0))-MAX($E163,DATE(cfg_FY,12,1))+1))</f>
        <v>0</v>
      </c>
    </row>
    <row r="164" customFormat="false" ht="15" hidden="false" customHeight="false" outlineLevel="0" collapsed="false">
      <c r="A164" s="93" t="str">
        <f aca="false">IF(B164="","",ROW()-5)</f>
        <v/>
      </c>
      <c r="B164" s="79"/>
      <c r="C164" s="80" t="str">
        <f aca="false">IF(B164="","",IFERROR(INDEX(الموظفون!$C$6:$C$105,MATCH(B164,الموظفون!$B$6:$B$105,0)),"✖ رقم غير موجود"))</f>
        <v/>
      </c>
      <c r="D164" s="79"/>
      <c r="E164" s="94"/>
      <c r="F164" s="94"/>
      <c r="G164" s="57" t="str">
        <f aca="false">IF(OR($B164="",$E164="",$F164=""),"",MAX(0,F164-E164+1))</f>
        <v/>
      </c>
      <c r="H164" s="58" t="str">
        <f aca="false">IF(D164="","",IFERROR(VLOOKUP(D164,cfg_LT,2,FALSE()),1))</f>
        <v/>
      </c>
      <c r="I164" s="82"/>
      <c r="J164" s="58" t="str">
        <f aca="false">IF(D164="","",IF(I164&lt;&gt;"",I164,H164))</f>
        <v/>
      </c>
      <c r="K164" s="80" t="str">
        <f aca="false">IF(D164="","",IFERROR(VLOOKUP($D164,cfg_LT,3,FALSE()),""))</f>
        <v/>
      </c>
      <c r="L164" s="80" t="str">
        <f aca="false">IF(D164="","",IFERROR(VLOOKUP($D164,cfg_LT,4,FALSE()),""))</f>
        <v/>
      </c>
      <c r="M164" s="80" t="str">
        <f aca="false">IF(D164="","",IFERROR(VLOOKUP($D164,cfg_LT,5,FALSE()),""))</f>
        <v/>
      </c>
      <c r="N164" s="97" t="n">
        <f aca="false">IF(OR(OR($B164="",$E164="",$F164=""),M164&lt;&gt;"نعم"),0,G164*J164*IFERROR(INDEX(الموظفون!$R$6:$R$105,MATCH(B164,الموظفون!$B$6:$B$105,0)),0)/cfg_DAYS_M)</f>
        <v>0</v>
      </c>
      <c r="O164" s="93" t="str">
        <f aca="false">IF(OR(OR($B164="",$E164="",$F164=""),M164&lt;&gt;"نعم"),"",IF(YEAR(E164)=cfg_FY,MONTH(E164),""))</f>
        <v/>
      </c>
      <c r="P164" s="80" t="str">
        <f aca="false">IF(B164="","",IF(OR(D164="",E164="",F164=""),"⚠ أكمل النوع والتواريخ",IF(F164&lt;E164,"✖ النهاية قبل البداية",IF(COUNTIFS($B$6:$B$505,B164,$E$6:$E$505,"&lt;="&amp;F164,$F$6:$F$505,"&gt;="&amp;E164)&gt;1,"⚠ تداخل مع سجل آخر",IF(E164&gt;cfg_VAL_DATE,"⏳ قادمة",IF(F164&lt;cfg_VAL_DATE,"✔ منتهية","✈ جارية في تاريخ التقرير"))))))</f>
        <v/>
      </c>
      <c r="Q164" s="79"/>
      <c r="R164" s="57" t="n">
        <f aca="false">IF(OR(OR($B164="",$E164="",$F164=""),L164&lt;&gt;"لا"),0,MAX(0,MIN(F164,cfg_Y_START-1)-E164+1))</f>
        <v>0</v>
      </c>
      <c r="S164" s="57" t="n">
        <f aca="false">IF(OR(OR($B164="",$E164="",$F164=""),L164&lt;&gt;"لا"),0,MAX(0,MIN(F164,cfg_VAL_DATE)-E164+1))</f>
        <v>0</v>
      </c>
      <c r="T164" s="57" t="n">
        <f aca="false">IF(OR(OR($B164="",$E164="",$F164=""),K164&lt;&gt;"نعم"),0,IF(M164="نعم",IF(AND(ISNUMBER(O164),N(O164)&lt;=cfg_VAL_M),G164,0),MAX(0,MIN(F164,cfg_VAL_DATE)-MAX(E164,cfg_Y_START)+1)))</f>
        <v>0</v>
      </c>
      <c r="V164" s="57" t="n">
        <f aca="false">IF(OR($B164="",$E164="",$F164=""),0,MAX(0,MIN($F164,EOMONTH(DATE(cfg_FY,1,1),0))-MAX($E164,DATE(cfg_FY,1,1))+1)*(1-IF($M164="نعم",0,N($J164))))</f>
        <v>0</v>
      </c>
      <c r="W164" s="57" t="n">
        <f aca="false">IF(OR($B164="",$E164="",$F164=""),0,MAX(0,MIN($F164,EOMONTH(DATE(cfg_FY,2,1),0))-MAX($E164,DATE(cfg_FY,2,1))+1)*(1-IF($M164="نعم",0,N($J164))))</f>
        <v>0</v>
      </c>
      <c r="X164" s="57" t="n">
        <f aca="false">IF(OR($B164="",$E164="",$F164=""),0,MAX(0,MIN($F164,EOMONTH(DATE(cfg_FY,3,1),0))-MAX($E164,DATE(cfg_FY,3,1))+1)*(1-IF($M164="نعم",0,N($J164))))</f>
        <v>0</v>
      </c>
      <c r="Y164" s="57" t="n">
        <f aca="false">IF(OR($B164="",$E164="",$F164=""),0,MAX(0,MIN($F164,EOMONTH(DATE(cfg_FY,4,1),0))-MAX($E164,DATE(cfg_FY,4,1))+1)*(1-IF($M164="نعم",0,N($J164))))</f>
        <v>0</v>
      </c>
      <c r="Z164" s="57" t="n">
        <f aca="false">IF(OR($B164="",$E164="",$F164=""),0,MAX(0,MIN($F164,EOMONTH(DATE(cfg_FY,5,1),0))-MAX($E164,DATE(cfg_FY,5,1))+1)*(1-IF($M164="نعم",0,N($J164))))</f>
        <v>0</v>
      </c>
      <c r="AA164" s="57" t="n">
        <f aca="false">IF(OR($B164="",$E164="",$F164=""),0,MAX(0,MIN($F164,EOMONTH(DATE(cfg_FY,6,1),0))-MAX($E164,DATE(cfg_FY,6,1))+1)*(1-IF($M164="نعم",0,N($J164))))</f>
        <v>0</v>
      </c>
      <c r="AB164" s="57" t="n">
        <f aca="false">IF(OR($B164="",$E164="",$F164=""),0,MAX(0,MIN($F164,EOMONTH(DATE(cfg_FY,7,1),0))-MAX($E164,DATE(cfg_FY,7,1))+1)*(1-IF($M164="نعم",0,N($J164))))</f>
        <v>0</v>
      </c>
      <c r="AC164" s="57" t="n">
        <f aca="false">IF(OR($B164="",$E164="",$F164=""),0,MAX(0,MIN($F164,EOMONTH(DATE(cfg_FY,8,1),0))-MAX($E164,DATE(cfg_FY,8,1))+1)*(1-IF($M164="نعم",0,N($J164))))</f>
        <v>0</v>
      </c>
      <c r="AD164" s="57" t="n">
        <f aca="false">IF(OR($B164="",$E164="",$F164=""),0,MAX(0,MIN($F164,EOMONTH(DATE(cfg_FY,9,1),0))-MAX($E164,DATE(cfg_FY,9,1))+1)*(1-IF($M164="نعم",0,N($J164))))</f>
        <v>0</v>
      </c>
      <c r="AE164" s="57" t="n">
        <f aca="false">IF(OR($B164="",$E164="",$F164=""),0,MAX(0,MIN($F164,EOMONTH(DATE(cfg_FY,10,1),0))-MAX($E164,DATE(cfg_FY,10,1))+1)*(1-IF($M164="نعم",0,N($J164))))</f>
        <v>0</v>
      </c>
      <c r="AF164" s="57" t="n">
        <f aca="false">IF(OR($B164="",$E164="",$F164=""),0,MAX(0,MIN($F164,EOMONTH(DATE(cfg_FY,11,1),0))-MAX($E164,DATE(cfg_FY,11,1))+1)*(1-IF($M164="نعم",0,N($J164))))</f>
        <v>0</v>
      </c>
      <c r="AG164" s="57" t="n">
        <f aca="false">IF(OR($B164="",$E164="",$F164=""),0,MAX(0,MIN($F164,EOMONTH(DATE(cfg_FY,12,1),0))-MAX($E164,DATE(cfg_FY,12,1))+1)*(1-IF($M164="نعم",0,N($J164))))</f>
        <v>0</v>
      </c>
      <c r="AH164" s="57" t="n">
        <f aca="false">IF(OR(OR($B164="",$E164="",$F164=""),$L164&lt;&gt;"لا"),0,MAX(0,MIN($F164,EOMONTH(DATE(cfg_FY,1,1),0))-$E164+1))</f>
        <v>0</v>
      </c>
      <c r="AI164" s="57" t="n">
        <f aca="false">IF(OR(OR($B164="",$E164="",$F164=""),$L164&lt;&gt;"لا"),0,MAX(0,MIN($F164,EOMONTH(DATE(cfg_FY,2,1),0))-$E164+1))</f>
        <v>0</v>
      </c>
      <c r="AJ164" s="57" t="n">
        <f aca="false">IF(OR(OR($B164="",$E164="",$F164=""),$L164&lt;&gt;"لا"),0,MAX(0,MIN($F164,EOMONTH(DATE(cfg_FY,3,1),0))-$E164+1))</f>
        <v>0</v>
      </c>
      <c r="AK164" s="57" t="n">
        <f aca="false">IF(OR(OR($B164="",$E164="",$F164=""),$L164&lt;&gt;"لا"),0,MAX(0,MIN($F164,EOMONTH(DATE(cfg_FY,4,1),0))-$E164+1))</f>
        <v>0</v>
      </c>
      <c r="AL164" s="57" t="n">
        <f aca="false">IF(OR(OR($B164="",$E164="",$F164=""),$L164&lt;&gt;"لا"),0,MAX(0,MIN($F164,EOMONTH(DATE(cfg_FY,5,1),0))-$E164+1))</f>
        <v>0</v>
      </c>
      <c r="AM164" s="57" t="n">
        <f aca="false">IF(OR(OR($B164="",$E164="",$F164=""),$L164&lt;&gt;"لا"),0,MAX(0,MIN($F164,EOMONTH(DATE(cfg_FY,6,1),0))-$E164+1))</f>
        <v>0</v>
      </c>
      <c r="AN164" s="57" t="n">
        <f aca="false">IF(OR(OR($B164="",$E164="",$F164=""),$L164&lt;&gt;"لا"),0,MAX(0,MIN($F164,EOMONTH(DATE(cfg_FY,7,1),0))-$E164+1))</f>
        <v>0</v>
      </c>
      <c r="AO164" s="57" t="n">
        <f aca="false">IF(OR(OR($B164="",$E164="",$F164=""),$L164&lt;&gt;"لا"),0,MAX(0,MIN($F164,EOMONTH(DATE(cfg_FY,8,1),0))-$E164+1))</f>
        <v>0</v>
      </c>
      <c r="AP164" s="57" t="n">
        <f aca="false">IF(OR(OR($B164="",$E164="",$F164=""),$L164&lt;&gt;"لا"),0,MAX(0,MIN($F164,EOMONTH(DATE(cfg_FY,9,1),0))-$E164+1))</f>
        <v>0</v>
      </c>
      <c r="AQ164" s="57" t="n">
        <f aca="false">IF(OR(OR($B164="",$E164="",$F164=""),$L164&lt;&gt;"لا"),0,MAX(0,MIN($F164,EOMONTH(DATE(cfg_FY,10,1),0))-$E164+1))</f>
        <v>0</v>
      </c>
      <c r="AR164" s="57" t="n">
        <f aca="false">IF(OR(OR($B164="",$E164="",$F164=""),$L164&lt;&gt;"لا"),0,MAX(0,MIN($F164,EOMONTH(DATE(cfg_FY,11,1),0))-$E164+1))</f>
        <v>0</v>
      </c>
      <c r="AS164" s="57" t="n">
        <f aca="false">IF(OR(OR($B164="",$E164="",$F164=""),$L164&lt;&gt;"لا"),0,MAX(0,MIN($F164,EOMONTH(DATE(cfg_FY,12,1),0))-$E164+1))</f>
        <v>0</v>
      </c>
      <c r="AT164" s="57" t="n">
        <f aca="false">IF(OR(OR($B164="",$E164="",$F164=""),$K164&lt;&gt;"نعم",$M164="نعم"),0,MAX(0,MIN($F164,EOMONTH(DATE(cfg_FY,1,1),0))-MAX($E164,DATE(cfg_FY,1,1))+1))</f>
        <v>0</v>
      </c>
      <c r="AU164" s="57" t="n">
        <f aca="false">IF(OR(OR($B164="",$E164="",$F164=""),$K164&lt;&gt;"نعم",$M164="نعم"),0,MAX(0,MIN($F164,EOMONTH(DATE(cfg_FY,2,1),0))-MAX($E164,DATE(cfg_FY,2,1))+1))</f>
        <v>0</v>
      </c>
      <c r="AV164" s="57" t="n">
        <f aca="false">IF(OR(OR($B164="",$E164="",$F164=""),$K164&lt;&gt;"نعم",$M164="نعم"),0,MAX(0,MIN($F164,EOMONTH(DATE(cfg_FY,3,1),0))-MAX($E164,DATE(cfg_FY,3,1))+1))</f>
        <v>0</v>
      </c>
      <c r="AW164" s="57" t="n">
        <f aca="false">IF(OR(OR($B164="",$E164="",$F164=""),$K164&lt;&gt;"نعم",$M164="نعم"),0,MAX(0,MIN($F164,EOMONTH(DATE(cfg_FY,4,1),0))-MAX($E164,DATE(cfg_FY,4,1))+1))</f>
        <v>0</v>
      </c>
      <c r="AX164" s="57" t="n">
        <f aca="false">IF(OR(OR($B164="",$E164="",$F164=""),$K164&lt;&gt;"نعم",$M164="نعم"),0,MAX(0,MIN($F164,EOMONTH(DATE(cfg_FY,5,1),0))-MAX($E164,DATE(cfg_FY,5,1))+1))</f>
        <v>0</v>
      </c>
      <c r="AY164" s="57" t="n">
        <f aca="false">IF(OR(OR($B164="",$E164="",$F164=""),$K164&lt;&gt;"نعم",$M164="نعم"),0,MAX(0,MIN($F164,EOMONTH(DATE(cfg_FY,6,1),0))-MAX($E164,DATE(cfg_FY,6,1))+1))</f>
        <v>0</v>
      </c>
      <c r="AZ164" s="57" t="n">
        <f aca="false">IF(OR(OR($B164="",$E164="",$F164=""),$K164&lt;&gt;"نعم",$M164="نعم"),0,MAX(0,MIN($F164,EOMONTH(DATE(cfg_FY,7,1),0))-MAX($E164,DATE(cfg_FY,7,1))+1))</f>
        <v>0</v>
      </c>
      <c r="BA164" s="57" t="n">
        <f aca="false">IF(OR(OR($B164="",$E164="",$F164=""),$K164&lt;&gt;"نعم",$M164="نعم"),0,MAX(0,MIN($F164,EOMONTH(DATE(cfg_FY,8,1),0))-MAX($E164,DATE(cfg_FY,8,1))+1))</f>
        <v>0</v>
      </c>
      <c r="BB164" s="57" t="n">
        <f aca="false">IF(OR(OR($B164="",$E164="",$F164=""),$K164&lt;&gt;"نعم",$M164="نعم"),0,MAX(0,MIN($F164,EOMONTH(DATE(cfg_FY,9,1),0))-MAX($E164,DATE(cfg_FY,9,1))+1))</f>
        <v>0</v>
      </c>
      <c r="BC164" s="57" t="n">
        <f aca="false">IF(OR(OR($B164="",$E164="",$F164=""),$K164&lt;&gt;"نعم",$M164="نعم"),0,MAX(0,MIN($F164,EOMONTH(DATE(cfg_FY,10,1),0))-MAX($E164,DATE(cfg_FY,10,1))+1))</f>
        <v>0</v>
      </c>
      <c r="BD164" s="57" t="n">
        <f aca="false">IF(OR(OR($B164="",$E164="",$F164=""),$K164&lt;&gt;"نعم",$M164="نعم"),0,MAX(0,MIN($F164,EOMONTH(DATE(cfg_FY,11,1),0))-MAX($E164,DATE(cfg_FY,11,1))+1))</f>
        <v>0</v>
      </c>
      <c r="BE164" s="57" t="n">
        <f aca="false">IF(OR(OR($B164="",$E164="",$F164=""),$K164&lt;&gt;"نعم",$M164="نعم"),0,MAX(0,MIN($F164,EOMONTH(DATE(cfg_FY,12,1),0))-MAX($E164,DATE(cfg_FY,12,1))+1))</f>
        <v>0</v>
      </c>
    </row>
    <row r="165" customFormat="false" ht="15" hidden="false" customHeight="false" outlineLevel="0" collapsed="false">
      <c r="A165" s="100" t="str">
        <f aca="false">IF(B165="","",ROW()-5)</f>
        <v/>
      </c>
      <c r="B165" s="79"/>
      <c r="C165" s="102" t="str">
        <f aca="false">IF(B165="","",IFERROR(INDEX(الموظفون!$C$6:$C$105,MATCH(B165,الموظفون!$B$6:$B$105,0)),"✖ رقم غير موجود"))</f>
        <v/>
      </c>
      <c r="D165" s="79"/>
      <c r="E165" s="94"/>
      <c r="F165" s="94"/>
      <c r="G165" s="110" t="str">
        <f aca="false">IF(OR($B165="",$E165="",$F165=""),"",MAX(0,F165-E165+1))</f>
        <v/>
      </c>
      <c r="H165" s="111" t="str">
        <f aca="false">IF(D165="","",IFERROR(VLOOKUP(D165,cfg_LT,2,FALSE()),1))</f>
        <v/>
      </c>
      <c r="I165" s="82"/>
      <c r="J165" s="111" t="str">
        <f aca="false">IF(D165="","",IF(I165&lt;&gt;"",I165,H165))</f>
        <v/>
      </c>
      <c r="K165" s="102" t="str">
        <f aca="false">IF(D165="","",IFERROR(VLOOKUP($D165,cfg_LT,3,FALSE()),""))</f>
        <v/>
      </c>
      <c r="L165" s="102" t="str">
        <f aca="false">IF(D165="","",IFERROR(VLOOKUP($D165,cfg_LT,4,FALSE()),""))</f>
        <v/>
      </c>
      <c r="M165" s="102" t="str">
        <f aca="false">IF(D165="","",IFERROR(VLOOKUP($D165,cfg_LT,5,FALSE()),""))</f>
        <v/>
      </c>
      <c r="N165" s="101" t="n">
        <f aca="false">IF(OR(OR($B165="",$E165="",$F165=""),M165&lt;&gt;"نعم"),0,G165*J165*IFERROR(INDEX(الموظفون!$R$6:$R$105,MATCH(B165,الموظفون!$B$6:$B$105,0)),0)/cfg_DAYS_M)</f>
        <v>0</v>
      </c>
      <c r="O165" s="100" t="str">
        <f aca="false">IF(OR(OR($B165="",$E165="",$F165=""),M165&lt;&gt;"نعم"),"",IF(YEAR(E165)=cfg_FY,MONTH(E165),""))</f>
        <v/>
      </c>
      <c r="P165" s="102" t="str">
        <f aca="false">IF(B165="","",IF(OR(D165="",E165="",F165=""),"⚠ أكمل النوع والتواريخ",IF(F165&lt;E165,"✖ النهاية قبل البداية",IF(COUNTIFS($B$6:$B$505,B165,$E$6:$E$505,"&lt;="&amp;F165,$F$6:$F$505,"&gt;="&amp;E165)&gt;1,"⚠ تداخل مع سجل آخر",IF(E165&gt;cfg_VAL_DATE,"⏳ قادمة",IF(F165&lt;cfg_VAL_DATE,"✔ منتهية","✈ جارية في تاريخ التقرير"))))))</f>
        <v/>
      </c>
      <c r="Q165" s="79"/>
      <c r="R165" s="110" t="n">
        <f aca="false">IF(OR(OR($B165="",$E165="",$F165=""),L165&lt;&gt;"لا"),0,MAX(0,MIN(F165,cfg_Y_START-1)-E165+1))</f>
        <v>0</v>
      </c>
      <c r="S165" s="110" t="n">
        <f aca="false">IF(OR(OR($B165="",$E165="",$F165=""),L165&lt;&gt;"لا"),0,MAX(0,MIN(F165,cfg_VAL_DATE)-E165+1))</f>
        <v>0</v>
      </c>
      <c r="T165" s="110" t="n">
        <f aca="false">IF(OR(OR($B165="",$E165="",$F165=""),K165&lt;&gt;"نعم"),0,IF(M165="نعم",IF(AND(ISNUMBER(O165),N(O165)&lt;=cfg_VAL_M),G165,0),MAX(0,MIN(F165,cfg_VAL_DATE)-MAX(E165,cfg_Y_START)+1)))</f>
        <v>0</v>
      </c>
      <c r="V165" s="110" t="n">
        <f aca="false">IF(OR($B165="",$E165="",$F165=""),0,MAX(0,MIN($F165,EOMONTH(DATE(cfg_FY,1,1),0))-MAX($E165,DATE(cfg_FY,1,1))+1)*(1-IF($M165="نعم",0,N($J165))))</f>
        <v>0</v>
      </c>
      <c r="W165" s="110" t="n">
        <f aca="false">IF(OR($B165="",$E165="",$F165=""),0,MAX(0,MIN($F165,EOMONTH(DATE(cfg_FY,2,1),0))-MAX($E165,DATE(cfg_FY,2,1))+1)*(1-IF($M165="نعم",0,N($J165))))</f>
        <v>0</v>
      </c>
      <c r="X165" s="110" t="n">
        <f aca="false">IF(OR($B165="",$E165="",$F165=""),0,MAX(0,MIN($F165,EOMONTH(DATE(cfg_FY,3,1),0))-MAX($E165,DATE(cfg_FY,3,1))+1)*(1-IF($M165="نعم",0,N($J165))))</f>
        <v>0</v>
      </c>
      <c r="Y165" s="110" t="n">
        <f aca="false">IF(OR($B165="",$E165="",$F165=""),0,MAX(0,MIN($F165,EOMONTH(DATE(cfg_FY,4,1),0))-MAX($E165,DATE(cfg_FY,4,1))+1)*(1-IF($M165="نعم",0,N($J165))))</f>
        <v>0</v>
      </c>
      <c r="Z165" s="110" t="n">
        <f aca="false">IF(OR($B165="",$E165="",$F165=""),0,MAX(0,MIN($F165,EOMONTH(DATE(cfg_FY,5,1),0))-MAX($E165,DATE(cfg_FY,5,1))+1)*(1-IF($M165="نعم",0,N($J165))))</f>
        <v>0</v>
      </c>
      <c r="AA165" s="110" t="n">
        <f aca="false">IF(OR($B165="",$E165="",$F165=""),0,MAX(0,MIN($F165,EOMONTH(DATE(cfg_FY,6,1),0))-MAX($E165,DATE(cfg_FY,6,1))+1)*(1-IF($M165="نعم",0,N($J165))))</f>
        <v>0</v>
      </c>
      <c r="AB165" s="110" t="n">
        <f aca="false">IF(OR($B165="",$E165="",$F165=""),0,MAX(0,MIN($F165,EOMONTH(DATE(cfg_FY,7,1),0))-MAX($E165,DATE(cfg_FY,7,1))+1)*(1-IF($M165="نعم",0,N($J165))))</f>
        <v>0</v>
      </c>
      <c r="AC165" s="110" t="n">
        <f aca="false">IF(OR($B165="",$E165="",$F165=""),0,MAX(0,MIN($F165,EOMONTH(DATE(cfg_FY,8,1),0))-MAX($E165,DATE(cfg_FY,8,1))+1)*(1-IF($M165="نعم",0,N($J165))))</f>
        <v>0</v>
      </c>
      <c r="AD165" s="110" t="n">
        <f aca="false">IF(OR($B165="",$E165="",$F165=""),0,MAX(0,MIN($F165,EOMONTH(DATE(cfg_FY,9,1),0))-MAX($E165,DATE(cfg_FY,9,1))+1)*(1-IF($M165="نعم",0,N($J165))))</f>
        <v>0</v>
      </c>
      <c r="AE165" s="110" t="n">
        <f aca="false">IF(OR($B165="",$E165="",$F165=""),0,MAX(0,MIN($F165,EOMONTH(DATE(cfg_FY,10,1),0))-MAX($E165,DATE(cfg_FY,10,1))+1)*(1-IF($M165="نعم",0,N($J165))))</f>
        <v>0</v>
      </c>
      <c r="AF165" s="110" t="n">
        <f aca="false">IF(OR($B165="",$E165="",$F165=""),0,MAX(0,MIN($F165,EOMONTH(DATE(cfg_FY,11,1),0))-MAX($E165,DATE(cfg_FY,11,1))+1)*(1-IF($M165="نعم",0,N($J165))))</f>
        <v>0</v>
      </c>
      <c r="AG165" s="110" t="n">
        <f aca="false">IF(OR($B165="",$E165="",$F165=""),0,MAX(0,MIN($F165,EOMONTH(DATE(cfg_FY,12,1),0))-MAX($E165,DATE(cfg_FY,12,1))+1)*(1-IF($M165="نعم",0,N($J165))))</f>
        <v>0</v>
      </c>
      <c r="AH165" s="110" t="n">
        <f aca="false">IF(OR(OR($B165="",$E165="",$F165=""),$L165&lt;&gt;"لا"),0,MAX(0,MIN($F165,EOMONTH(DATE(cfg_FY,1,1),0))-$E165+1))</f>
        <v>0</v>
      </c>
      <c r="AI165" s="110" t="n">
        <f aca="false">IF(OR(OR($B165="",$E165="",$F165=""),$L165&lt;&gt;"لا"),0,MAX(0,MIN($F165,EOMONTH(DATE(cfg_FY,2,1),0))-$E165+1))</f>
        <v>0</v>
      </c>
      <c r="AJ165" s="110" t="n">
        <f aca="false">IF(OR(OR($B165="",$E165="",$F165=""),$L165&lt;&gt;"لا"),0,MAX(0,MIN($F165,EOMONTH(DATE(cfg_FY,3,1),0))-$E165+1))</f>
        <v>0</v>
      </c>
      <c r="AK165" s="110" t="n">
        <f aca="false">IF(OR(OR($B165="",$E165="",$F165=""),$L165&lt;&gt;"لا"),0,MAX(0,MIN($F165,EOMONTH(DATE(cfg_FY,4,1),0))-$E165+1))</f>
        <v>0</v>
      </c>
      <c r="AL165" s="110" t="n">
        <f aca="false">IF(OR(OR($B165="",$E165="",$F165=""),$L165&lt;&gt;"لا"),0,MAX(0,MIN($F165,EOMONTH(DATE(cfg_FY,5,1),0))-$E165+1))</f>
        <v>0</v>
      </c>
      <c r="AM165" s="110" t="n">
        <f aca="false">IF(OR(OR($B165="",$E165="",$F165=""),$L165&lt;&gt;"لا"),0,MAX(0,MIN($F165,EOMONTH(DATE(cfg_FY,6,1),0))-$E165+1))</f>
        <v>0</v>
      </c>
      <c r="AN165" s="110" t="n">
        <f aca="false">IF(OR(OR($B165="",$E165="",$F165=""),$L165&lt;&gt;"لا"),0,MAX(0,MIN($F165,EOMONTH(DATE(cfg_FY,7,1),0))-$E165+1))</f>
        <v>0</v>
      </c>
      <c r="AO165" s="110" t="n">
        <f aca="false">IF(OR(OR($B165="",$E165="",$F165=""),$L165&lt;&gt;"لا"),0,MAX(0,MIN($F165,EOMONTH(DATE(cfg_FY,8,1),0))-$E165+1))</f>
        <v>0</v>
      </c>
      <c r="AP165" s="110" t="n">
        <f aca="false">IF(OR(OR($B165="",$E165="",$F165=""),$L165&lt;&gt;"لا"),0,MAX(0,MIN($F165,EOMONTH(DATE(cfg_FY,9,1),0))-$E165+1))</f>
        <v>0</v>
      </c>
      <c r="AQ165" s="110" t="n">
        <f aca="false">IF(OR(OR($B165="",$E165="",$F165=""),$L165&lt;&gt;"لا"),0,MAX(0,MIN($F165,EOMONTH(DATE(cfg_FY,10,1),0))-$E165+1))</f>
        <v>0</v>
      </c>
      <c r="AR165" s="110" t="n">
        <f aca="false">IF(OR(OR($B165="",$E165="",$F165=""),$L165&lt;&gt;"لا"),0,MAX(0,MIN($F165,EOMONTH(DATE(cfg_FY,11,1),0))-$E165+1))</f>
        <v>0</v>
      </c>
      <c r="AS165" s="110" t="n">
        <f aca="false">IF(OR(OR($B165="",$E165="",$F165=""),$L165&lt;&gt;"لا"),0,MAX(0,MIN($F165,EOMONTH(DATE(cfg_FY,12,1),0))-$E165+1))</f>
        <v>0</v>
      </c>
      <c r="AT165" s="110" t="n">
        <f aca="false">IF(OR(OR($B165="",$E165="",$F165=""),$K165&lt;&gt;"نعم",$M165="نعم"),0,MAX(0,MIN($F165,EOMONTH(DATE(cfg_FY,1,1),0))-MAX($E165,DATE(cfg_FY,1,1))+1))</f>
        <v>0</v>
      </c>
      <c r="AU165" s="110" t="n">
        <f aca="false">IF(OR(OR($B165="",$E165="",$F165=""),$K165&lt;&gt;"نعم",$M165="نعم"),0,MAX(0,MIN($F165,EOMONTH(DATE(cfg_FY,2,1),0))-MAX($E165,DATE(cfg_FY,2,1))+1))</f>
        <v>0</v>
      </c>
      <c r="AV165" s="110" t="n">
        <f aca="false">IF(OR(OR($B165="",$E165="",$F165=""),$K165&lt;&gt;"نعم",$M165="نعم"),0,MAX(0,MIN($F165,EOMONTH(DATE(cfg_FY,3,1),0))-MAX($E165,DATE(cfg_FY,3,1))+1))</f>
        <v>0</v>
      </c>
      <c r="AW165" s="110" t="n">
        <f aca="false">IF(OR(OR($B165="",$E165="",$F165=""),$K165&lt;&gt;"نعم",$M165="نعم"),0,MAX(0,MIN($F165,EOMONTH(DATE(cfg_FY,4,1),0))-MAX($E165,DATE(cfg_FY,4,1))+1))</f>
        <v>0</v>
      </c>
      <c r="AX165" s="110" t="n">
        <f aca="false">IF(OR(OR($B165="",$E165="",$F165=""),$K165&lt;&gt;"نعم",$M165="نعم"),0,MAX(0,MIN($F165,EOMONTH(DATE(cfg_FY,5,1),0))-MAX($E165,DATE(cfg_FY,5,1))+1))</f>
        <v>0</v>
      </c>
      <c r="AY165" s="110" t="n">
        <f aca="false">IF(OR(OR($B165="",$E165="",$F165=""),$K165&lt;&gt;"نعم",$M165="نعم"),0,MAX(0,MIN($F165,EOMONTH(DATE(cfg_FY,6,1),0))-MAX($E165,DATE(cfg_FY,6,1))+1))</f>
        <v>0</v>
      </c>
      <c r="AZ165" s="110" t="n">
        <f aca="false">IF(OR(OR($B165="",$E165="",$F165=""),$K165&lt;&gt;"نعم",$M165="نعم"),0,MAX(0,MIN($F165,EOMONTH(DATE(cfg_FY,7,1),0))-MAX($E165,DATE(cfg_FY,7,1))+1))</f>
        <v>0</v>
      </c>
      <c r="BA165" s="110" t="n">
        <f aca="false">IF(OR(OR($B165="",$E165="",$F165=""),$K165&lt;&gt;"نعم",$M165="نعم"),0,MAX(0,MIN($F165,EOMONTH(DATE(cfg_FY,8,1),0))-MAX($E165,DATE(cfg_FY,8,1))+1))</f>
        <v>0</v>
      </c>
      <c r="BB165" s="110" t="n">
        <f aca="false">IF(OR(OR($B165="",$E165="",$F165=""),$K165&lt;&gt;"نعم",$M165="نعم"),0,MAX(0,MIN($F165,EOMONTH(DATE(cfg_FY,9,1),0))-MAX($E165,DATE(cfg_FY,9,1))+1))</f>
        <v>0</v>
      </c>
      <c r="BC165" s="110" t="n">
        <f aca="false">IF(OR(OR($B165="",$E165="",$F165=""),$K165&lt;&gt;"نعم",$M165="نعم"),0,MAX(0,MIN($F165,EOMONTH(DATE(cfg_FY,10,1),0))-MAX($E165,DATE(cfg_FY,10,1))+1))</f>
        <v>0</v>
      </c>
      <c r="BD165" s="110" t="n">
        <f aca="false">IF(OR(OR($B165="",$E165="",$F165=""),$K165&lt;&gt;"نعم",$M165="نعم"),0,MAX(0,MIN($F165,EOMONTH(DATE(cfg_FY,11,1),0))-MAX($E165,DATE(cfg_FY,11,1))+1))</f>
        <v>0</v>
      </c>
      <c r="BE165" s="110" t="n">
        <f aca="false">IF(OR(OR($B165="",$E165="",$F165=""),$K165&lt;&gt;"نعم",$M165="نعم"),0,MAX(0,MIN($F165,EOMONTH(DATE(cfg_FY,12,1),0))-MAX($E165,DATE(cfg_FY,12,1))+1))</f>
        <v>0</v>
      </c>
    </row>
    <row r="166" customFormat="false" ht="15" hidden="false" customHeight="false" outlineLevel="0" collapsed="false">
      <c r="A166" s="93" t="str">
        <f aca="false">IF(B166="","",ROW()-5)</f>
        <v/>
      </c>
      <c r="B166" s="79"/>
      <c r="C166" s="80" t="str">
        <f aca="false">IF(B166="","",IFERROR(INDEX(الموظفون!$C$6:$C$105,MATCH(B166,الموظفون!$B$6:$B$105,0)),"✖ رقم غير موجود"))</f>
        <v/>
      </c>
      <c r="D166" s="79"/>
      <c r="E166" s="94"/>
      <c r="F166" s="94"/>
      <c r="G166" s="57" t="str">
        <f aca="false">IF(OR($B166="",$E166="",$F166=""),"",MAX(0,F166-E166+1))</f>
        <v/>
      </c>
      <c r="H166" s="58" t="str">
        <f aca="false">IF(D166="","",IFERROR(VLOOKUP(D166,cfg_LT,2,FALSE()),1))</f>
        <v/>
      </c>
      <c r="I166" s="82"/>
      <c r="J166" s="58" t="str">
        <f aca="false">IF(D166="","",IF(I166&lt;&gt;"",I166,H166))</f>
        <v/>
      </c>
      <c r="K166" s="80" t="str">
        <f aca="false">IF(D166="","",IFERROR(VLOOKUP($D166,cfg_LT,3,FALSE()),""))</f>
        <v/>
      </c>
      <c r="L166" s="80" t="str">
        <f aca="false">IF(D166="","",IFERROR(VLOOKUP($D166,cfg_LT,4,FALSE()),""))</f>
        <v/>
      </c>
      <c r="M166" s="80" t="str">
        <f aca="false">IF(D166="","",IFERROR(VLOOKUP($D166,cfg_LT,5,FALSE()),""))</f>
        <v/>
      </c>
      <c r="N166" s="97" t="n">
        <f aca="false">IF(OR(OR($B166="",$E166="",$F166=""),M166&lt;&gt;"نعم"),0,G166*J166*IFERROR(INDEX(الموظفون!$R$6:$R$105,MATCH(B166,الموظفون!$B$6:$B$105,0)),0)/cfg_DAYS_M)</f>
        <v>0</v>
      </c>
      <c r="O166" s="93" t="str">
        <f aca="false">IF(OR(OR($B166="",$E166="",$F166=""),M166&lt;&gt;"نعم"),"",IF(YEAR(E166)=cfg_FY,MONTH(E166),""))</f>
        <v/>
      </c>
      <c r="P166" s="80" t="str">
        <f aca="false">IF(B166="","",IF(OR(D166="",E166="",F166=""),"⚠ أكمل النوع والتواريخ",IF(F166&lt;E166,"✖ النهاية قبل البداية",IF(COUNTIFS($B$6:$B$505,B166,$E$6:$E$505,"&lt;="&amp;F166,$F$6:$F$505,"&gt;="&amp;E166)&gt;1,"⚠ تداخل مع سجل آخر",IF(E166&gt;cfg_VAL_DATE,"⏳ قادمة",IF(F166&lt;cfg_VAL_DATE,"✔ منتهية","✈ جارية في تاريخ التقرير"))))))</f>
        <v/>
      </c>
      <c r="Q166" s="79"/>
      <c r="R166" s="57" t="n">
        <f aca="false">IF(OR(OR($B166="",$E166="",$F166=""),L166&lt;&gt;"لا"),0,MAX(0,MIN(F166,cfg_Y_START-1)-E166+1))</f>
        <v>0</v>
      </c>
      <c r="S166" s="57" t="n">
        <f aca="false">IF(OR(OR($B166="",$E166="",$F166=""),L166&lt;&gt;"لا"),0,MAX(0,MIN(F166,cfg_VAL_DATE)-E166+1))</f>
        <v>0</v>
      </c>
      <c r="T166" s="57" t="n">
        <f aca="false">IF(OR(OR($B166="",$E166="",$F166=""),K166&lt;&gt;"نعم"),0,IF(M166="نعم",IF(AND(ISNUMBER(O166),N(O166)&lt;=cfg_VAL_M),G166,0),MAX(0,MIN(F166,cfg_VAL_DATE)-MAX(E166,cfg_Y_START)+1)))</f>
        <v>0</v>
      </c>
      <c r="V166" s="57" t="n">
        <f aca="false">IF(OR($B166="",$E166="",$F166=""),0,MAX(0,MIN($F166,EOMONTH(DATE(cfg_FY,1,1),0))-MAX($E166,DATE(cfg_FY,1,1))+1)*(1-IF($M166="نعم",0,N($J166))))</f>
        <v>0</v>
      </c>
      <c r="W166" s="57" t="n">
        <f aca="false">IF(OR($B166="",$E166="",$F166=""),0,MAX(0,MIN($F166,EOMONTH(DATE(cfg_FY,2,1),0))-MAX($E166,DATE(cfg_FY,2,1))+1)*(1-IF($M166="نعم",0,N($J166))))</f>
        <v>0</v>
      </c>
      <c r="X166" s="57" t="n">
        <f aca="false">IF(OR($B166="",$E166="",$F166=""),0,MAX(0,MIN($F166,EOMONTH(DATE(cfg_FY,3,1),0))-MAX($E166,DATE(cfg_FY,3,1))+1)*(1-IF($M166="نعم",0,N($J166))))</f>
        <v>0</v>
      </c>
      <c r="Y166" s="57" t="n">
        <f aca="false">IF(OR($B166="",$E166="",$F166=""),0,MAX(0,MIN($F166,EOMONTH(DATE(cfg_FY,4,1),0))-MAX($E166,DATE(cfg_FY,4,1))+1)*(1-IF($M166="نعم",0,N($J166))))</f>
        <v>0</v>
      </c>
      <c r="Z166" s="57" t="n">
        <f aca="false">IF(OR($B166="",$E166="",$F166=""),0,MAX(0,MIN($F166,EOMONTH(DATE(cfg_FY,5,1),0))-MAX($E166,DATE(cfg_FY,5,1))+1)*(1-IF($M166="نعم",0,N($J166))))</f>
        <v>0</v>
      </c>
      <c r="AA166" s="57" t="n">
        <f aca="false">IF(OR($B166="",$E166="",$F166=""),0,MAX(0,MIN($F166,EOMONTH(DATE(cfg_FY,6,1),0))-MAX($E166,DATE(cfg_FY,6,1))+1)*(1-IF($M166="نعم",0,N($J166))))</f>
        <v>0</v>
      </c>
      <c r="AB166" s="57" t="n">
        <f aca="false">IF(OR($B166="",$E166="",$F166=""),0,MAX(0,MIN($F166,EOMONTH(DATE(cfg_FY,7,1),0))-MAX($E166,DATE(cfg_FY,7,1))+1)*(1-IF($M166="نعم",0,N($J166))))</f>
        <v>0</v>
      </c>
      <c r="AC166" s="57" t="n">
        <f aca="false">IF(OR($B166="",$E166="",$F166=""),0,MAX(0,MIN($F166,EOMONTH(DATE(cfg_FY,8,1),0))-MAX($E166,DATE(cfg_FY,8,1))+1)*(1-IF($M166="نعم",0,N($J166))))</f>
        <v>0</v>
      </c>
      <c r="AD166" s="57" t="n">
        <f aca="false">IF(OR($B166="",$E166="",$F166=""),0,MAX(0,MIN($F166,EOMONTH(DATE(cfg_FY,9,1),0))-MAX($E166,DATE(cfg_FY,9,1))+1)*(1-IF($M166="نعم",0,N($J166))))</f>
        <v>0</v>
      </c>
      <c r="AE166" s="57" t="n">
        <f aca="false">IF(OR($B166="",$E166="",$F166=""),0,MAX(0,MIN($F166,EOMONTH(DATE(cfg_FY,10,1),0))-MAX($E166,DATE(cfg_FY,10,1))+1)*(1-IF($M166="نعم",0,N($J166))))</f>
        <v>0</v>
      </c>
      <c r="AF166" s="57" t="n">
        <f aca="false">IF(OR($B166="",$E166="",$F166=""),0,MAX(0,MIN($F166,EOMONTH(DATE(cfg_FY,11,1),0))-MAX($E166,DATE(cfg_FY,11,1))+1)*(1-IF($M166="نعم",0,N($J166))))</f>
        <v>0</v>
      </c>
      <c r="AG166" s="57" t="n">
        <f aca="false">IF(OR($B166="",$E166="",$F166=""),0,MAX(0,MIN($F166,EOMONTH(DATE(cfg_FY,12,1),0))-MAX($E166,DATE(cfg_FY,12,1))+1)*(1-IF($M166="نعم",0,N($J166))))</f>
        <v>0</v>
      </c>
      <c r="AH166" s="57" t="n">
        <f aca="false">IF(OR(OR($B166="",$E166="",$F166=""),$L166&lt;&gt;"لا"),0,MAX(0,MIN($F166,EOMONTH(DATE(cfg_FY,1,1),0))-$E166+1))</f>
        <v>0</v>
      </c>
      <c r="AI166" s="57" t="n">
        <f aca="false">IF(OR(OR($B166="",$E166="",$F166=""),$L166&lt;&gt;"لا"),0,MAX(0,MIN($F166,EOMONTH(DATE(cfg_FY,2,1),0))-$E166+1))</f>
        <v>0</v>
      </c>
      <c r="AJ166" s="57" t="n">
        <f aca="false">IF(OR(OR($B166="",$E166="",$F166=""),$L166&lt;&gt;"لا"),0,MAX(0,MIN($F166,EOMONTH(DATE(cfg_FY,3,1),0))-$E166+1))</f>
        <v>0</v>
      </c>
      <c r="AK166" s="57" t="n">
        <f aca="false">IF(OR(OR($B166="",$E166="",$F166=""),$L166&lt;&gt;"لا"),0,MAX(0,MIN($F166,EOMONTH(DATE(cfg_FY,4,1),0))-$E166+1))</f>
        <v>0</v>
      </c>
      <c r="AL166" s="57" t="n">
        <f aca="false">IF(OR(OR($B166="",$E166="",$F166=""),$L166&lt;&gt;"لا"),0,MAX(0,MIN($F166,EOMONTH(DATE(cfg_FY,5,1),0))-$E166+1))</f>
        <v>0</v>
      </c>
      <c r="AM166" s="57" t="n">
        <f aca="false">IF(OR(OR($B166="",$E166="",$F166=""),$L166&lt;&gt;"لا"),0,MAX(0,MIN($F166,EOMONTH(DATE(cfg_FY,6,1),0))-$E166+1))</f>
        <v>0</v>
      </c>
      <c r="AN166" s="57" t="n">
        <f aca="false">IF(OR(OR($B166="",$E166="",$F166=""),$L166&lt;&gt;"لا"),0,MAX(0,MIN($F166,EOMONTH(DATE(cfg_FY,7,1),0))-$E166+1))</f>
        <v>0</v>
      </c>
      <c r="AO166" s="57" t="n">
        <f aca="false">IF(OR(OR($B166="",$E166="",$F166=""),$L166&lt;&gt;"لا"),0,MAX(0,MIN($F166,EOMONTH(DATE(cfg_FY,8,1),0))-$E166+1))</f>
        <v>0</v>
      </c>
      <c r="AP166" s="57" t="n">
        <f aca="false">IF(OR(OR($B166="",$E166="",$F166=""),$L166&lt;&gt;"لا"),0,MAX(0,MIN($F166,EOMONTH(DATE(cfg_FY,9,1),0))-$E166+1))</f>
        <v>0</v>
      </c>
      <c r="AQ166" s="57" t="n">
        <f aca="false">IF(OR(OR($B166="",$E166="",$F166=""),$L166&lt;&gt;"لا"),0,MAX(0,MIN($F166,EOMONTH(DATE(cfg_FY,10,1),0))-$E166+1))</f>
        <v>0</v>
      </c>
      <c r="AR166" s="57" t="n">
        <f aca="false">IF(OR(OR($B166="",$E166="",$F166=""),$L166&lt;&gt;"لا"),0,MAX(0,MIN($F166,EOMONTH(DATE(cfg_FY,11,1),0))-$E166+1))</f>
        <v>0</v>
      </c>
      <c r="AS166" s="57" t="n">
        <f aca="false">IF(OR(OR($B166="",$E166="",$F166=""),$L166&lt;&gt;"لا"),0,MAX(0,MIN($F166,EOMONTH(DATE(cfg_FY,12,1),0))-$E166+1))</f>
        <v>0</v>
      </c>
      <c r="AT166" s="57" t="n">
        <f aca="false">IF(OR(OR($B166="",$E166="",$F166=""),$K166&lt;&gt;"نعم",$M166="نعم"),0,MAX(0,MIN($F166,EOMONTH(DATE(cfg_FY,1,1),0))-MAX($E166,DATE(cfg_FY,1,1))+1))</f>
        <v>0</v>
      </c>
      <c r="AU166" s="57" t="n">
        <f aca="false">IF(OR(OR($B166="",$E166="",$F166=""),$K166&lt;&gt;"نعم",$M166="نعم"),0,MAX(0,MIN($F166,EOMONTH(DATE(cfg_FY,2,1),0))-MAX($E166,DATE(cfg_FY,2,1))+1))</f>
        <v>0</v>
      </c>
      <c r="AV166" s="57" t="n">
        <f aca="false">IF(OR(OR($B166="",$E166="",$F166=""),$K166&lt;&gt;"نعم",$M166="نعم"),0,MAX(0,MIN($F166,EOMONTH(DATE(cfg_FY,3,1),0))-MAX($E166,DATE(cfg_FY,3,1))+1))</f>
        <v>0</v>
      </c>
      <c r="AW166" s="57" t="n">
        <f aca="false">IF(OR(OR($B166="",$E166="",$F166=""),$K166&lt;&gt;"نعم",$M166="نعم"),0,MAX(0,MIN($F166,EOMONTH(DATE(cfg_FY,4,1),0))-MAX($E166,DATE(cfg_FY,4,1))+1))</f>
        <v>0</v>
      </c>
      <c r="AX166" s="57" t="n">
        <f aca="false">IF(OR(OR($B166="",$E166="",$F166=""),$K166&lt;&gt;"نعم",$M166="نعم"),0,MAX(0,MIN($F166,EOMONTH(DATE(cfg_FY,5,1),0))-MAX($E166,DATE(cfg_FY,5,1))+1))</f>
        <v>0</v>
      </c>
      <c r="AY166" s="57" t="n">
        <f aca="false">IF(OR(OR($B166="",$E166="",$F166=""),$K166&lt;&gt;"نعم",$M166="نعم"),0,MAX(0,MIN($F166,EOMONTH(DATE(cfg_FY,6,1),0))-MAX($E166,DATE(cfg_FY,6,1))+1))</f>
        <v>0</v>
      </c>
      <c r="AZ166" s="57" t="n">
        <f aca="false">IF(OR(OR($B166="",$E166="",$F166=""),$K166&lt;&gt;"نعم",$M166="نعم"),0,MAX(0,MIN($F166,EOMONTH(DATE(cfg_FY,7,1),0))-MAX($E166,DATE(cfg_FY,7,1))+1))</f>
        <v>0</v>
      </c>
      <c r="BA166" s="57" t="n">
        <f aca="false">IF(OR(OR($B166="",$E166="",$F166=""),$K166&lt;&gt;"نعم",$M166="نعم"),0,MAX(0,MIN($F166,EOMONTH(DATE(cfg_FY,8,1),0))-MAX($E166,DATE(cfg_FY,8,1))+1))</f>
        <v>0</v>
      </c>
      <c r="BB166" s="57" t="n">
        <f aca="false">IF(OR(OR($B166="",$E166="",$F166=""),$K166&lt;&gt;"نعم",$M166="نعم"),0,MAX(0,MIN($F166,EOMONTH(DATE(cfg_FY,9,1),0))-MAX($E166,DATE(cfg_FY,9,1))+1))</f>
        <v>0</v>
      </c>
      <c r="BC166" s="57" t="n">
        <f aca="false">IF(OR(OR($B166="",$E166="",$F166=""),$K166&lt;&gt;"نعم",$M166="نعم"),0,MAX(0,MIN($F166,EOMONTH(DATE(cfg_FY,10,1),0))-MAX($E166,DATE(cfg_FY,10,1))+1))</f>
        <v>0</v>
      </c>
      <c r="BD166" s="57" t="n">
        <f aca="false">IF(OR(OR($B166="",$E166="",$F166=""),$K166&lt;&gt;"نعم",$M166="نعم"),0,MAX(0,MIN($F166,EOMONTH(DATE(cfg_FY,11,1),0))-MAX($E166,DATE(cfg_FY,11,1))+1))</f>
        <v>0</v>
      </c>
      <c r="BE166" s="57" t="n">
        <f aca="false">IF(OR(OR($B166="",$E166="",$F166=""),$K166&lt;&gt;"نعم",$M166="نعم"),0,MAX(0,MIN($F166,EOMONTH(DATE(cfg_FY,12,1),0))-MAX($E166,DATE(cfg_FY,12,1))+1))</f>
        <v>0</v>
      </c>
    </row>
    <row r="167" customFormat="false" ht="15" hidden="false" customHeight="false" outlineLevel="0" collapsed="false">
      <c r="A167" s="100" t="str">
        <f aca="false">IF(B167="","",ROW()-5)</f>
        <v/>
      </c>
      <c r="B167" s="79"/>
      <c r="C167" s="102" t="str">
        <f aca="false">IF(B167="","",IFERROR(INDEX(الموظفون!$C$6:$C$105,MATCH(B167,الموظفون!$B$6:$B$105,0)),"✖ رقم غير موجود"))</f>
        <v/>
      </c>
      <c r="D167" s="79"/>
      <c r="E167" s="94"/>
      <c r="F167" s="94"/>
      <c r="G167" s="110" t="str">
        <f aca="false">IF(OR($B167="",$E167="",$F167=""),"",MAX(0,F167-E167+1))</f>
        <v/>
      </c>
      <c r="H167" s="111" t="str">
        <f aca="false">IF(D167="","",IFERROR(VLOOKUP(D167,cfg_LT,2,FALSE()),1))</f>
        <v/>
      </c>
      <c r="I167" s="82"/>
      <c r="J167" s="111" t="str">
        <f aca="false">IF(D167="","",IF(I167&lt;&gt;"",I167,H167))</f>
        <v/>
      </c>
      <c r="K167" s="102" t="str">
        <f aca="false">IF(D167="","",IFERROR(VLOOKUP($D167,cfg_LT,3,FALSE()),""))</f>
        <v/>
      </c>
      <c r="L167" s="102" t="str">
        <f aca="false">IF(D167="","",IFERROR(VLOOKUP($D167,cfg_LT,4,FALSE()),""))</f>
        <v/>
      </c>
      <c r="M167" s="102" t="str">
        <f aca="false">IF(D167="","",IFERROR(VLOOKUP($D167,cfg_LT,5,FALSE()),""))</f>
        <v/>
      </c>
      <c r="N167" s="101" t="n">
        <f aca="false">IF(OR(OR($B167="",$E167="",$F167=""),M167&lt;&gt;"نعم"),0,G167*J167*IFERROR(INDEX(الموظفون!$R$6:$R$105,MATCH(B167,الموظفون!$B$6:$B$105,0)),0)/cfg_DAYS_M)</f>
        <v>0</v>
      </c>
      <c r="O167" s="100" t="str">
        <f aca="false">IF(OR(OR($B167="",$E167="",$F167=""),M167&lt;&gt;"نعم"),"",IF(YEAR(E167)=cfg_FY,MONTH(E167),""))</f>
        <v/>
      </c>
      <c r="P167" s="102" t="str">
        <f aca="false">IF(B167="","",IF(OR(D167="",E167="",F167=""),"⚠ أكمل النوع والتواريخ",IF(F167&lt;E167,"✖ النهاية قبل البداية",IF(COUNTIFS($B$6:$B$505,B167,$E$6:$E$505,"&lt;="&amp;F167,$F$6:$F$505,"&gt;="&amp;E167)&gt;1,"⚠ تداخل مع سجل آخر",IF(E167&gt;cfg_VAL_DATE,"⏳ قادمة",IF(F167&lt;cfg_VAL_DATE,"✔ منتهية","✈ جارية في تاريخ التقرير"))))))</f>
        <v/>
      </c>
      <c r="Q167" s="79"/>
      <c r="R167" s="110" t="n">
        <f aca="false">IF(OR(OR($B167="",$E167="",$F167=""),L167&lt;&gt;"لا"),0,MAX(0,MIN(F167,cfg_Y_START-1)-E167+1))</f>
        <v>0</v>
      </c>
      <c r="S167" s="110" t="n">
        <f aca="false">IF(OR(OR($B167="",$E167="",$F167=""),L167&lt;&gt;"لا"),0,MAX(0,MIN(F167,cfg_VAL_DATE)-E167+1))</f>
        <v>0</v>
      </c>
      <c r="T167" s="110" t="n">
        <f aca="false">IF(OR(OR($B167="",$E167="",$F167=""),K167&lt;&gt;"نعم"),0,IF(M167="نعم",IF(AND(ISNUMBER(O167),N(O167)&lt;=cfg_VAL_M),G167,0),MAX(0,MIN(F167,cfg_VAL_DATE)-MAX(E167,cfg_Y_START)+1)))</f>
        <v>0</v>
      </c>
      <c r="V167" s="110" t="n">
        <f aca="false">IF(OR($B167="",$E167="",$F167=""),0,MAX(0,MIN($F167,EOMONTH(DATE(cfg_FY,1,1),0))-MAX($E167,DATE(cfg_FY,1,1))+1)*(1-IF($M167="نعم",0,N($J167))))</f>
        <v>0</v>
      </c>
      <c r="W167" s="110" t="n">
        <f aca="false">IF(OR($B167="",$E167="",$F167=""),0,MAX(0,MIN($F167,EOMONTH(DATE(cfg_FY,2,1),0))-MAX($E167,DATE(cfg_FY,2,1))+1)*(1-IF($M167="نعم",0,N($J167))))</f>
        <v>0</v>
      </c>
      <c r="X167" s="110" t="n">
        <f aca="false">IF(OR($B167="",$E167="",$F167=""),0,MAX(0,MIN($F167,EOMONTH(DATE(cfg_FY,3,1),0))-MAX($E167,DATE(cfg_FY,3,1))+1)*(1-IF($M167="نعم",0,N($J167))))</f>
        <v>0</v>
      </c>
      <c r="Y167" s="110" t="n">
        <f aca="false">IF(OR($B167="",$E167="",$F167=""),0,MAX(0,MIN($F167,EOMONTH(DATE(cfg_FY,4,1),0))-MAX($E167,DATE(cfg_FY,4,1))+1)*(1-IF($M167="نعم",0,N($J167))))</f>
        <v>0</v>
      </c>
      <c r="Z167" s="110" t="n">
        <f aca="false">IF(OR($B167="",$E167="",$F167=""),0,MAX(0,MIN($F167,EOMONTH(DATE(cfg_FY,5,1),0))-MAX($E167,DATE(cfg_FY,5,1))+1)*(1-IF($M167="نعم",0,N($J167))))</f>
        <v>0</v>
      </c>
      <c r="AA167" s="110" t="n">
        <f aca="false">IF(OR($B167="",$E167="",$F167=""),0,MAX(0,MIN($F167,EOMONTH(DATE(cfg_FY,6,1),0))-MAX($E167,DATE(cfg_FY,6,1))+1)*(1-IF($M167="نعم",0,N($J167))))</f>
        <v>0</v>
      </c>
      <c r="AB167" s="110" t="n">
        <f aca="false">IF(OR($B167="",$E167="",$F167=""),0,MAX(0,MIN($F167,EOMONTH(DATE(cfg_FY,7,1),0))-MAX($E167,DATE(cfg_FY,7,1))+1)*(1-IF($M167="نعم",0,N($J167))))</f>
        <v>0</v>
      </c>
      <c r="AC167" s="110" t="n">
        <f aca="false">IF(OR($B167="",$E167="",$F167=""),0,MAX(0,MIN($F167,EOMONTH(DATE(cfg_FY,8,1),0))-MAX($E167,DATE(cfg_FY,8,1))+1)*(1-IF($M167="نعم",0,N($J167))))</f>
        <v>0</v>
      </c>
      <c r="AD167" s="110" t="n">
        <f aca="false">IF(OR($B167="",$E167="",$F167=""),0,MAX(0,MIN($F167,EOMONTH(DATE(cfg_FY,9,1),0))-MAX($E167,DATE(cfg_FY,9,1))+1)*(1-IF($M167="نعم",0,N($J167))))</f>
        <v>0</v>
      </c>
      <c r="AE167" s="110" t="n">
        <f aca="false">IF(OR($B167="",$E167="",$F167=""),0,MAX(0,MIN($F167,EOMONTH(DATE(cfg_FY,10,1),0))-MAX($E167,DATE(cfg_FY,10,1))+1)*(1-IF($M167="نعم",0,N($J167))))</f>
        <v>0</v>
      </c>
      <c r="AF167" s="110" t="n">
        <f aca="false">IF(OR($B167="",$E167="",$F167=""),0,MAX(0,MIN($F167,EOMONTH(DATE(cfg_FY,11,1),0))-MAX($E167,DATE(cfg_FY,11,1))+1)*(1-IF($M167="نعم",0,N($J167))))</f>
        <v>0</v>
      </c>
      <c r="AG167" s="110" t="n">
        <f aca="false">IF(OR($B167="",$E167="",$F167=""),0,MAX(0,MIN($F167,EOMONTH(DATE(cfg_FY,12,1),0))-MAX($E167,DATE(cfg_FY,12,1))+1)*(1-IF($M167="نعم",0,N($J167))))</f>
        <v>0</v>
      </c>
      <c r="AH167" s="110" t="n">
        <f aca="false">IF(OR(OR($B167="",$E167="",$F167=""),$L167&lt;&gt;"لا"),0,MAX(0,MIN($F167,EOMONTH(DATE(cfg_FY,1,1),0))-$E167+1))</f>
        <v>0</v>
      </c>
      <c r="AI167" s="110" t="n">
        <f aca="false">IF(OR(OR($B167="",$E167="",$F167=""),$L167&lt;&gt;"لا"),0,MAX(0,MIN($F167,EOMONTH(DATE(cfg_FY,2,1),0))-$E167+1))</f>
        <v>0</v>
      </c>
      <c r="AJ167" s="110" t="n">
        <f aca="false">IF(OR(OR($B167="",$E167="",$F167=""),$L167&lt;&gt;"لا"),0,MAX(0,MIN($F167,EOMONTH(DATE(cfg_FY,3,1),0))-$E167+1))</f>
        <v>0</v>
      </c>
      <c r="AK167" s="110" t="n">
        <f aca="false">IF(OR(OR($B167="",$E167="",$F167=""),$L167&lt;&gt;"لا"),0,MAX(0,MIN($F167,EOMONTH(DATE(cfg_FY,4,1),0))-$E167+1))</f>
        <v>0</v>
      </c>
      <c r="AL167" s="110" t="n">
        <f aca="false">IF(OR(OR($B167="",$E167="",$F167=""),$L167&lt;&gt;"لا"),0,MAX(0,MIN($F167,EOMONTH(DATE(cfg_FY,5,1),0))-$E167+1))</f>
        <v>0</v>
      </c>
      <c r="AM167" s="110" t="n">
        <f aca="false">IF(OR(OR($B167="",$E167="",$F167=""),$L167&lt;&gt;"لا"),0,MAX(0,MIN($F167,EOMONTH(DATE(cfg_FY,6,1),0))-$E167+1))</f>
        <v>0</v>
      </c>
      <c r="AN167" s="110" t="n">
        <f aca="false">IF(OR(OR($B167="",$E167="",$F167=""),$L167&lt;&gt;"لا"),0,MAX(0,MIN($F167,EOMONTH(DATE(cfg_FY,7,1),0))-$E167+1))</f>
        <v>0</v>
      </c>
      <c r="AO167" s="110" t="n">
        <f aca="false">IF(OR(OR($B167="",$E167="",$F167=""),$L167&lt;&gt;"لا"),0,MAX(0,MIN($F167,EOMONTH(DATE(cfg_FY,8,1),0))-$E167+1))</f>
        <v>0</v>
      </c>
      <c r="AP167" s="110" t="n">
        <f aca="false">IF(OR(OR($B167="",$E167="",$F167=""),$L167&lt;&gt;"لا"),0,MAX(0,MIN($F167,EOMONTH(DATE(cfg_FY,9,1),0))-$E167+1))</f>
        <v>0</v>
      </c>
      <c r="AQ167" s="110" t="n">
        <f aca="false">IF(OR(OR($B167="",$E167="",$F167=""),$L167&lt;&gt;"لا"),0,MAX(0,MIN($F167,EOMONTH(DATE(cfg_FY,10,1),0))-$E167+1))</f>
        <v>0</v>
      </c>
      <c r="AR167" s="110" t="n">
        <f aca="false">IF(OR(OR($B167="",$E167="",$F167=""),$L167&lt;&gt;"لا"),0,MAX(0,MIN($F167,EOMONTH(DATE(cfg_FY,11,1),0))-$E167+1))</f>
        <v>0</v>
      </c>
      <c r="AS167" s="110" t="n">
        <f aca="false">IF(OR(OR($B167="",$E167="",$F167=""),$L167&lt;&gt;"لا"),0,MAX(0,MIN($F167,EOMONTH(DATE(cfg_FY,12,1),0))-$E167+1))</f>
        <v>0</v>
      </c>
      <c r="AT167" s="110" t="n">
        <f aca="false">IF(OR(OR($B167="",$E167="",$F167=""),$K167&lt;&gt;"نعم",$M167="نعم"),0,MAX(0,MIN($F167,EOMONTH(DATE(cfg_FY,1,1),0))-MAX($E167,DATE(cfg_FY,1,1))+1))</f>
        <v>0</v>
      </c>
      <c r="AU167" s="110" t="n">
        <f aca="false">IF(OR(OR($B167="",$E167="",$F167=""),$K167&lt;&gt;"نعم",$M167="نعم"),0,MAX(0,MIN($F167,EOMONTH(DATE(cfg_FY,2,1),0))-MAX($E167,DATE(cfg_FY,2,1))+1))</f>
        <v>0</v>
      </c>
      <c r="AV167" s="110" t="n">
        <f aca="false">IF(OR(OR($B167="",$E167="",$F167=""),$K167&lt;&gt;"نعم",$M167="نعم"),0,MAX(0,MIN($F167,EOMONTH(DATE(cfg_FY,3,1),0))-MAX($E167,DATE(cfg_FY,3,1))+1))</f>
        <v>0</v>
      </c>
      <c r="AW167" s="110" t="n">
        <f aca="false">IF(OR(OR($B167="",$E167="",$F167=""),$K167&lt;&gt;"نعم",$M167="نعم"),0,MAX(0,MIN($F167,EOMONTH(DATE(cfg_FY,4,1),0))-MAX($E167,DATE(cfg_FY,4,1))+1))</f>
        <v>0</v>
      </c>
      <c r="AX167" s="110" t="n">
        <f aca="false">IF(OR(OR($B167="",$E167="",$F167=""),$K167&lt;&gt;"نعم",$M167="نعم"),0,MAX(0,MIN($F167,EOMONTH(DATE(cfg_FY,5,1),0))-MAX($E167,DATE(cfg_FY,5,1))+1))</f>
        <v>0</v>
      </c>
      <c r="AY167" s="110" t="n">
        <f aca="false">IF(OR(OR($B167="",$E167="",$F167=""),$K167&lt;&gt;"نعم",$M167="نعم"),0,MAX(0,MIN($F167,EOMONTH(DATE(cfg_FY,6,1),0))-MAX($E167,DATE(cfg_FY,6,1))+1))</f>
        <v>0</v>
      </c>
      <c r="AZ167" s="110" t="n">
        <f aca="false">IF(OR(OR($B167="",$E167="",$F167=""),$K167&lt;&gt;"نعم",$M167="نعم"),0,MAX(0,MIN($F167,EOMONTH(DATE(cfg_FY,7,1),0))-MAX($E167,DATE(cfg_FY,7,1))+1))</f>
        <v>0</v>
      </c>
      <c r="BA167" s="110" t="n">
        <f aca="false">IF(OR(OR($B167="",$E167="",$F167=""),$K167&lt;&gt;"نعم",$M167="نعم"),0,MAX(0,MIN($F167,EOMONTH(DATE(cfg_FY,8,1),0))-MAX($E167,DATE(cfg_FY,8,1))+1))</f>
        <v>0</v>
      </c>
      <c r="BB167" s="110" t="n">
        <f aca="false">IF(OR(OR($B167="",$E167="",$F167=""),$K167&lt;&gt;"نعم",$M167="نعم"),0,MAX(0,MIN($F167,EOMONTH(DATE(cfg_FY,9,1),0))-MAX($E167,DATE(cfg_FY,9,1))+1))</f>
        <v>0</v>
      </c>
      <c r="BC167" s="110" t="n">
        <f aca="false">IF(OR(OR($B167="",$E167="",$F167=""),$K167&lt;&gt;"نعم",$M167="نعم"),0,MAX(0,MIN($F167,EOMONTH(DATE(cfg_FY,10,1),0))-MAX($E167,DATE(cfg_FY,10,1))+1))</f>
        <v>0</v>
      </c>
      <c r="BD167" s="110" t="n">
        <f aca="false">IF(OR(OR($B167="",$E167="",$F167=""),$K167&lt;&gt;"نعم",$M167="نعم"),0,MAX(0,MIN($F167,EOMONTH(DATE(cfg_FY,11,1),0))-MAX($E167,DATE(cfg_FY,11,1))+1))</f>
        <v>0</v>
      </c>
      <c r="BE167" s="110" t="n">
        <f aca="false">IF(OR(OR($B167="",$E167="",$F167=""),$K167&lt;&gt;"نعم",$M167="نعم"),0,MAX(0,MIN($F167,EOMONTH(DATE(cfg_FY,12,1),0))-MAX($E167,DATE(cfg_FY,12,1))+1))</f>
        <v>0</v>
      </c>
    </row>
    <row r="168" customFormat="false" ht="15" hidden="false" customHeight="false" outlineLevel="0" collapsed="false">
      <c r="A168" s="93" t="str">
        <f aca="false">IF(B168="","",ROW()-5)</f>
        <v/>
      </c>
      <c r="B168" s="79"/>
      <c r="C168" s="80" t="str">
        <f aca="false">IF(B168="","",IFERROR(INDEX(الموظفون!$C$6:$C$105,MATCH(B168,الموظفون!$B$6:$B$105,0)),"✖ رقم غير موجود"))</f>
        <v/>
      </c>
      <c r="D168" s="79"/>
      <c r="E168" s="94"/>
      <c r="F168" s="94"/>
      <c r="G168" s="57" t="str">
        <f aca="false">IF(OR($B168="",$E168="",$F168=""),"",MAX(0,F168-E168+1))</f>
        <v/>
      </c>
      <c r="H168" s="58" t="str">
        <f aca="false">IF(D168="","",IFERROR(VLOOKUP(D168,cfg_LT,2,FALSE()),1))</f>
        <v/>
      </c>
      <c r="I168" s="82"/>
      <c r="J168" s="58" t="str">
        <f aca="false">IF(D168="","",IF(I168&lt;&gt;"",I168,H168))</f>
        <v/>
      </c>
      <c r="K168" s="80" t="str">
        <f aca="false">IF(D168="","",IFERROR(VLOOKUP($D168,cfg_LT,3,FALSE()),""))</f>
        <v/>
      </c>
      <c r="L168" s="80" t="str">
        <f aca="false">IF(D168="","",IFERROR(VLOOKUP($D168,cfg_LT,4,FALSE()),""))</f>
        <v/>
      </c>
      <c r="M168" s="80" t="str">
        <f aca="false">IF(D168="","",IFERROR(VLOOKUP($D168,cfg_LT,5,FALSE()),""))</f>
        <v/>
      </c>
      <c r="N168" s="97" t="n">
        <f aca="false">IF(OR(OR($B168="",$E168="",$F168=""),M168&lt;&gt;"نعم"),0,G168*J168*IFERROR(INDEX(الموظفون!$R$6:$R$105,MATCH(B168,الموظفون!$B$6:$B$105,0)),0)/cfg_DAYS_M)</f>
        <v>0</v>
      </c>
      <c r="O168" s="93" t="str">
        <f aca="false">IF(OR(OR($B168="",$E168="",$F168=""),M168&lt;&gt;"نعم"),"",IF(YEAR(E168)=cfg_FY,MONTH(E168),""))</f>
        <v/>
      </c>
      <c r="P168" s="80" t="str">
        <f aca="false">IF(B168="","",IF(OR(D168="",E168="",F168=""),"⚠ أكمل النوع والتواريخ",IF(F168&lt;E168,"✖ النهاية قبل البداية",IF(COUNTIFS($B$6:$B$505,B168,$E$6:$E$505,"&lt;="&amp;F168,$F$6:$F$505,"&gt;="&amp;E168)&gt;1,"⚠ تداخل مع سجل آخر",IF(E168&gt;cfg_VAL_DATE,"⏳ قادمة",IF(F168&lt;cfg_VAL_DATE,"✔ منتهية","✈ جارية في تاريخ التقرير"))))))</f>
        <v/>
      </c>
      <c r="Q168" s="79"/>
      <c r="R168" s="57" t="n">
        <f aca="false">IF(OR(OR($B168="",$E168="",$F168=""),L168&lt;&gt;"لا"),0,MAX(0,MIN(F168,cfg_Y_START-1)-E168+1))</f>
        <v>0</v>
      </c>
      <c r="S168" s="57" t="n">
        <f aca="false">IF(OR(OR($B168="",$E168="",$F168=""),L168&lt;&gt;"لا"),0,MAX(0,MIN(F168,cfg_VAL_DATE)-E168+1))</f>
        <v>0</v>
      </c>
      <c r="T168" s="57" t="n">
        <f aca="false">IF(OR(OR($B168="",$E168="",$F168=""),K168&lt;&gt;"نعم"),0,IF(M168="نعم",IF(AND(ISNUMBER(O168),N(O168)&lt;=cfg_VAL_M),G168,0),MAX(0,MIN(F168,cfg_VAL_DATE)-MAX(E168,cfg_Y_START)+1)))</f>
        <v>0</v>
      </c>
      <c r="V168" s="57" t="n">
        <f aca="false">IF(OR($B168="",$E168="",$F168=""),0,MAX(0,MIN($F168,EOMONTH(DATE(cfg_FY,1,1),0))-MAX($E168,DATE(cfg_FY,1,1))+1)*(1-IF($M168="نعم",0,N($J168))))</f>
        <v>0</v>
      </c>
      <c r="W168" s="57" t="n">
        <f aca="false">IF(OR($B168="",$E168="",$F168=""),0,MAX(0,MIN($F168,EOMONTH(DATE(cfg_FY,2,1),0))-MAX($E168,DATE(cfg_FY,2,1))+1)*(1-IF($M168="نعم",0,N($J168))))</f>
        <v>0</v>
      </c>
      <c r="X168" s="57" t="n">
        <f aca="false">IF(OR($B168="",$E168="",$F168=""),0,MAX(0,MIN($F168,EOMONTH(DATE(cfg_FY,3,1),0))-MAX($E168,DATE(cfg_FY,3,1))+1)*(1-IF($M168="نعم",0,N($J168))))</f>
        <v>0</v>
      </c>
      <c r="Y168" s="57" t="n">
        <f aca="false">IF(OR($B168="",$E168="",$F168=""),0,MAX(0,MIN($F168,EOMONTH(DATE(cfg_FY,4,1),0))-MAX($E168,DATE(cfg_FY,4,1))+1)*(1-IF($M168="نعم",0,N($J168))))</f>
        <v>0</v>
      </c>
      <c r="Z168" s="57" t="n">
        <f aca="false">IF(OR($B168="",$E168="",$F168=""),0,MAX(0,MIN($F168,EOMONTH(DATE(cfg_FY,5,1),0))-MAX($E168,DATE(cfg_FY,5,1))+1)*(1-IF($M168="نعم",0,N($J168))))</f>
        <v>0</v>
      </c>
      <c r="AA168" s="57" t="n">
        <f aca="false">IF(OR($B168="",$E168="",$F168=""),0,MAX(0,MIN($F168,EOMONTH(DATE(cfg_FY,6,1),0))-MAX($E168,DATE(cfg_FY,6,1))+1)*(1-IF($M168="نعم",0,N($J168))))</f>
        <v>0</v>
      </c>
      <c r="AB168" s="57" t="n">
        <f aca="false">IF(OR($B168="",$E168="",$F168=""),0,MAX(0,MIN($F168,EOMONTH(DATE(cfg_FY,7,1),0))-MAX($E168,DATE(cfg_FY,7,1))+1)*(1-IF($M168="نعم",0,N($J168))))</f>
        <v>0</v>
      </c>
      <c r="AC168" s="57" t="n">
        <f aca="false">IF(OR($B168="",$E168="",$F168=""),0,MAX(0,MIN($F168,EOMONTH(DATE(cfg_FY,8,1),0))-MAX($E168,DATE(cfg_FY,8,1))+1)*(1-IF($M168="نعم",0,N($J168))))</f>
        <v>0</v>
      </c>
      <c r="AD168" s="57" t="n">
        <f aca="false">IF(OR($B168="",$E168="",$F168=""),0,MAX(0,MIN($F168,EOMONTH(DATE(cfg_FY,9,1),0))-MAX($E168,DATE(cfg_FY,9,1))+1)*(1-IF($M168="نعم",0,N($J168))))</f>
        <v>0</v>
      </c>
      <c r="AE168" s="57" t="n">
        <f aca="false">IF(OR($B168="",$E168="",$F168=""),0,MAX(0,MIN($F168,EOMONTH(DATE(cfg_FY,10,1),0))-MAX($E168,DATE(cfg_FY,10,1))+1)*(1-IF($M168="نعم",0,N($J168))))</f>
        <v>0</v>
      </c>
      <c r="AF168" s="57" t="n">
        <f aca="false">IF(OR($B168="",$E168="",$F168=""),0,MAX(0,MIN($F168,EOMONTH(DATE(cfg_FY,11,1),0))-MAX($E168,DATE(cfg_FY,11,1))+1)*(1-IF($M168="نعم",0,N($J168))))</f>
        <v>0</v>
      </c>
      <c r="AG168" s="57" t="n">
        <f aca="false">IF(OR($B168="",$E168="",$F168=""),0,MAX(0,MIN($F168,EOMONTH(DATE(cfg_FY,12,1),0))-MAX($E168,DATE(cfg_FY,12,1))+1)*(1-IF($M168="نعم",0,N($J168))))</f>
        <v>0</v>
      </c>
      <c r="AH168" s="57" t="n">
        <f aca="false">IF(OR(OR($B168="",$E168="",$F168=""),$L168&lt;&gt;"لا"),0,MAX(0,MIN($F168,EOMONTH(DATE(cfg_FY,1,1),0))-$E168+1))</f>
        <v>0</v>
      </c>
      <c r="AI168" s="57" t="n">
        <f aca="false">IF(OR(OR($B168="",$E168="",$F168=""),$L168&lt;&gt;"لا"),0,MAX(0,MIN($F168,EOMONTH(DATE(cfg_FY,2,1),0))-$E168+1))</f>
        <v>0</v>
      </c>
      <c r="AJ168" s="57" t="n">
        <f aca="false">IF(OR(OR($B168="",$E168="",$F168=""),$L168&lt;&gt;"لا"),0,MAX(0,MIN($F168,EOMONTH(DATE(cfg_FY,3,1),0))-$E168+1))</f>
        <v>0</v>
      </c>
      <c r="AK168" s="57" t="n">
        <f aca="false">IF(OR(OR($B168="",$E168="",$F168=""),$L168&lt;&gt;"لا"),0,MAX(0,MIN($F168,EOMONTH(DATE(cfg_FY,4,1),0))-$E168+1))</f>
        <v>0</v>
      </c>
      <c r="AL168" s="57" t="n">
        <f aca="false">IF(OR(OR($B168="",$E168="",$F168=""),$L168&lt;&gt;"لا"),0,MAX(0,MIN($F168,EOMONTH(DATE(cfg_FY,5,1),0))-$E168+1))</f>
        <v>0</v>
      </c>
      <c r="AM168" s="57" t="n">
        <f aca="false">IF(OR(OR($B168="",$E168="",$F168=""),$L168&lt;&gt;"لا"),0,MAX(0,MIN($F168,EOMONTH(DATE(cfg_FY,6,1),0))-$E168+1))</f>
        <v>0</v>
      </c>
      <c r="AN168" s="57" t="n">
        <f aca="false">IF(OR(OR($B168="",$E168="",$F168=""),$L168&lt;&gt;"لا"),0,MAX(0,MIN($F168,EOMONTH(DATE(cfg_FY,7,1),0))-$E168+1))</f>
        <v>0</v>
      </c>
      <c r="AO168" s="57" t="n">
        <f aca="false">IF(OR(OR($B168="",$E168="",$F168=""),$L168&lt;&gt;"لا"),0,MAX(0,MIN($F168,EOMONTH(DATE(cfg_FY,8,1),0))-$E168+1))</f>
        <v>0</v>
      </c>
      <c r="AP168" s="57" t="n">
        <f aca="false">IF(OR(OR($B168="",$E168="",$F168=""),$L168&lt;&gt;"لا"),0,MAX(0,MIN($F168,EOMONTH(DATE(cfg_FY,9,1),0))-$E168+1))</f>
        <v>0</v>
      </c>
      <c r="AQ168" s="57" t="n">
        <f aca="false">IF(OR(OR($B168="",$E168="",$F168=""),$L168&lt;&gt;"لا"),0,MAX(0,MIN($F168,EOMONTH(DATE(cfg_FY,10,1),0))-$E168+1))</f>
        <v>0</v>
      </c>
      <c r="AR168" s="57" t="n">
        <f aca="false">IF(OR(OR($B168="",$E168="",$F168=""),$L168&lt;&gt;"لا"),0,MAX(0,MIN($F168,EOMONTH(DATE(cfg_FY,11,1),0))-$E168+1))</f>
        <v>0</v>
      </c>
      <c r="AS168" s="57" t="n">
        <f aca="false">IF(OR(OR($B168="",$E168="",$F168=""),$L168&lt;&gt;"لا"),0,MAX(0,MIN($F168,EOMONTH(DATE(cfg_FY,12,1),0))-$E168+1))</f>
        <v>0</v>
      </c>
      <c r="AT168" s="57" t="n">
        <f aca="false">IF(OR(OR($B168="",$E168="",$F168=""),$K168&lt;&gt;"نعم",$M168="نعم"),0,MAX(0,MIN($F168,EOMONTH(DATE(cfg_FY,1,1),0))-MAX($E168,DATE(cfg_FY,1,1))+1))</f>
        <v>0</v>
      </c>
      <c r="AU168" s="57" t="n">
        <f aca="false">IF(OR(OR($B168="",$E168="",$F168=""),$K168&lt;&gt;"نعم",$M168="نعم"),0,MAX(0,MIN($F168,EOMONTH(DATE(cfg_FY,2,1),0))-MAX($E168,DATE(cfg_FY,2,1))+1))</f>
        <v>0</v>
      </c>
      <c r="AV168" s="57" t="n">
        <f aca="false">IF(OR(OR($B168="",$E168="",$F168=""),$K168&lt;&gt;"نعم",$M168="نعم"),0,MAX(0,MIN($F168,EOMONTH(DATE(cfg_FY,3,1),0))-MAX($E168,DATE(cfg_FY,3,1))+1))</f>
        <v>0</v>
      </c>
      <c r="AW168" s="57" t="n">
        <f aca="false">IF(OR(OR($B168="",$E168="",$F168=""),$K168&lt;&gt;"نعم",$M168="نعم"),0,MAX(0,MIN($F168,EOMONTH(DATE(cfg_FY,4,1),0))-MAX($E168,DATE(cfg_FY,4,1))+1))</f>
        <v>0</v>
      </c>
      <c r="AX168" s="57" t="n">
        <f aca="false">IF(OR(OR($B168="",$E168="",$F168=""),$K168&lt;&gt;"نعم",$M168="نعم"),0,MAX(0,MIN($F168,EOMONTH(DATE(cfg_FY,5,1),0))-MAX($E168,DATE(cfg_FY,5,1))+1))</f>
        <v>0</v>
      </c>
      <c r="AY168" s="57" t="n">
        <f aca="false">IF(OR(OR($B168="",$E168="",$F168=""),$K168&lt;&gt;"نعم",$M168="نعم"),0,MAX(0,MIN($F168,EOMONTH(DATE(cfg_FY,6,1),0))-MAX($E168,DATE(cfg_FY,6,1))+1))</f>
        <v>0</v>
      </c>
      <c r="AZ168" s="57" t="n">
        <f aca="false">IF(OR(OR($B168="",$E168="",$F168=""),$K168&lt;&gt;"نعم",$M168="نعم"),0,MAX(0,MIN($F168,EOMONTH(DATE(cfg_FY,7,1),0))-MAX($E168,DATE(cfg_FY,7,1))+1))</f>
        <v>0</v>
      </c>
      <c r="BA168" s="57" t="n">
        <f aca="false">IF(OR(OR($B168="",$E168="",$F168=""),$K168&lt;&gt;"نعم",$M168="نعم"),0,MAX(0,MIN($F168,EOMONTH(DATE(cfg_FY,8,1),0))-MAX($E168,DATE(cfg_FY,8,1))+1))</f>
        <v>0</v>
      </c>
      <c r="BB168" s="57" t="n">
        <f aca="false">IF(OR(OR($B168="",$E168="",$F168=""),$K168&lt;&gt;"نعم",$M168="نعم"),0,MAX(0,MIN($F168,EOMONTH(DATE(cfg_FY,9,1),0))-MAX($E168,DATE(cfg_FY,9,1))+1))</f>
        <v>0</v>
      </c>
      <c r="BC168" s="57" t="n">
        <f aca="false">IF(OR(OR($B168="",$E168="",$F168=""),$K168&lt;&gt;"نعم",$M168="نعم"),0,MAX(0,MIN($F168,EOMONTH(DATE(cfg_FY,10,1),0))-MAX($E168,DATE(cfg_FY,10,1))+1))</f>
        <v>0</v>
      </c>
      <c r="BD168" s="57" t="n">
        <f aca="false">IF(OR(OR($B168="",$E168="",$F168=""),$K168&lt;&gt;"نعم",$M168="نعم"),0,MAX(0,MIN($F168,EOMONTH(DATE(cfg_FY,11,1),0))-MAX($E168,DATE(cfg_FY,11,1))+1))</f>
        <v>0</v>
      </c>
      <c r="BE168" s="57" t="n">
        <f aca="false">IF(OR(OR($B168="",$E168="",$F168=""),$K168&lt;&gt;"نعم",$M168="نعم"),0,MAX(0,MIN($F168,EOMONTH(DATE(cfg_FY,12,1),0))-MAX($E168,DATE(cfg_FY,12,1))+1))</f>
        <v>0</v>
      </c>
    </row>
    <row r="169" customFormat="false" ht="15" hidden="false" customHeight="false" outlineLevel="0" collapsed="false">
      <c r="A169" s="100" t="str">
        <f aca="false">IF(B169="","",ROW()-5)</f>
        <v/>
      </c>
      <c r="B169" s="79"/>
      <c r="C169" s="102" t="str">
        <f aca="false">IF(B169="","",IFERROR(INDEX(الموظفون!$C$6:$C$105,MATCH(B169,الموظفون!$B$6:$B$105,0)),"✖ رقم غير موجود"))</f>
        <v/>
      </c>
      <c r="D169" s="79"/>
      <c r="E169" s="94"/>
      <c r="F169" s="94"/>
      <c r="G169" s="110" t="str">
        <f aca="false">IF(OR($B169="",$E169="",$F169=""),"",MAX(0,F169-E169+1))</f>
        <v/>
      </c>
      <c r="H169" s="111" t="str">
        <f aca="false">IF(D169="","",IFERROR(VLOOKUP(D169,cfg_LT,2,FALSE()),1))</f>
        <v/>
      </c>
      <c r="I169" s="82"/>
      <c r="J169" s="111" t="str">
        <f aca="false">IF(D169="","",IF(I169&lt;&gt;"",I169,H169))</f>
        <v/>
      </c>
      <c r="K169" s="102" t="str">
        <f aca="false">IF(D169="","",IFERROR(VLOOKUP($D169,cfg_LT,3,FALSE()),""))</f>
        <v/>
      </c>
      <c r="L169" s="102" t="str">
        <f aca="false">IF(D169="","",IFERROR(VLOOKUP($D169,cfg_LT,4,FALSE()),""))</f>
        <v/>
      </c>
      <c r="M169" s="102" t="str">
        <f aca="false">IF(D169="","",IFERROR(VLOOKUP($D169,cfg_LT,5,FALSE()),""))</f>
        <v/>
      </c>
      <c r="N169" s="101" t="n">
        <f aca="false">IF(OR(OR($B169="",$E169="",$F169=""),M169&lt;&gt;"نعم"),0,G169*J169*IFERROR(INDEX(الموظفون!$R$6:$R$105,MATCH(B169,الموظفون!$B$6:$B$105,0)),0)/cfg_DAYS_M)</f>
        <v>0</v>
      </c>
      <c r="O169" s="100" t="str">
        <f aca="false">IF(OR(OR($B169="",$E169="",$F169=""),M169&lt;&gt;"نعم"),"",IF(YEAR(E169)=cfg_FY,MONTH(E169),""))</f>
        <v/>
      </c>
      <c r="P169" s="102" t="str">
        <f aca="false">IF(B169="","",IF(OR(D169="",E169="",F169=""),"⚠ أكمل النوع والتواريخ",IF(F169&lt;E169,"✖ النهاية قبل البداية",IF(COUNTIFS($B$6:$B$505,B169,$E$6:$E$505,"&lt;="&amp;F169,$F$6:$F$505,"&gt;="&amp;E169)&gt;1,"⚠ تداخل مع سجل آخر",IF(E169&gt;cfg_VAL_DATE,"⏳ قادمة",IF(F169&lt;cfg_VAL_DATE,"✔ منتهية","✈ جارية في تاريخ التقرير"))))))</f>
        <v/>
      </c>
      <c r="Q169" s="79"/>
      <c r="R169" s="110" t="n">
        <f aca="false">IF(OR(OR($B169="",$E169="",$F169=""),L169&lt;&gt;"لا"),0,MAX(0,MIN(F169,cfg_Y_START-1)-E169+1))</f>
        <v>0</v>
      </c>
      <c r="S169" s="110" t="n">
        <f aca="false">IF(OR(OR($B169="",$E169="",$F169=""),L169&lt;&gt;"لا"),0,MAX(0,MIN(F169,cfg_VAL_DATE)-E169+1))</f>
        <v>0</v>
      </c>
      <c r="T169" s="110" t="n">
        <f aca="false">IF(OR(OR($B169="",$E169="",$F169=""),K169&lt;&gt;"نعم"),0,IF(M169="نعم",IF(AND(ISNUMBER(O169),N(O169)&lt;=cfg_VAL_M),G169,0),MAX(0,MIN(F169,cfg_VAL_DATE)-MAX(E169,cfg_Y_START)+1)))</f>
        <v>0</v>
      </c>
      <c r="V169" s="110" t="n">
        <f aca="false">IF(OR($B169="",$E169="",$F169=""),0,MAX(0,MIN($F169,EOMONTH(DATE(cfg_FY,1,1),0))-MAX($E169,DATE(cfg_FY,1,1))+1)*(1-IF($M169="نعم",0,N($J169))))</f>
        <v>0</v>
      </c>
      <c r="W169" s="110" t="n">
        <f aca="false">IF(OR($B169="",$E169="",$F169=""),0,MAX(0,MIN($F169,EOMONTH(DATE(cfg_FY,2,1),0))-MAX($E169,DATE(cfg_FY,2,1))+1)*(1-IF($M169="نعم",0,N($J169))))</f>
        <v>0</v>
      </c>
      <c r="X169" s="110" t="n">
        <f aca="false">IF(OR($B169="",$E169="",$F169=""),0,MAX(0,MIN($F169,EOMONTH(DATE(cfg_FY,3,1),0))-MAX($E169,DATE(cfg_FY,3,1))+1)*(1-IF($M169="نعم",0,N($J169))))</f>
        <v>0</v>
      </c>
      <c r="Y169" s="110" t="n">
        <f aca="false">IF(OR($B169="",$E169="",$F169=""),0,MAX(0,MIN($F169,EOMONTH(DATE(cfg_FY,4,1),0))-MAX($E169,DATE(cfg_FY,4,1))+1)*(1-IF($M169="نعم",0,N($J169))))</f>
        <v>0</v>
      </c>
      <c r="Z169" s="110" t="n">
        <f aca="false">IF(OR($B169="",$E169="",$F169=""),0,MAX(0,MIN($F169,EOMONTH(DATE(cfg_FY,5,1),0))-MAX($E169,DATE(cfg_FY,5,1))+1)*(1-IF($M169="نعم",0,N($J169))))</f>
        <v>0</v>
      </c>
      <c r="AA169" s="110" t="n">
        <f aca="false">IF(OR($B169="",$E169="",$F169=""),0,MAX(0,MIN($F169,EOMONTH(DATE(cfg_FY,6,1),0))-MAX($E169,DATE(cfg_FY,6,1))+1)*(1-IF($M169="نعم",0,N($J169))))</f>
        <v>0</v>
      </c>
      <c r="AB169" s="110" t="n">
        <f aca="false">IF(OR($B169="",$E169="",$F169=""),0,MAX(0,MIN($F169,EOMONTH(DATE(cfg_FY,7,1),0))-MAX($E169,DATE(cfg_FY,7,1))+1)*(1-IF($M169="نعم",0,N($J169))))</f>
        <v>0</v>
      </c>
      <c r="AC169" s="110" t="n">
        <f aca="false">IF(OR($B169="",$E169="",$F169=""),0,MAX(0,MIN($F169,EOMONTH(DATE(cfg_FY,8,1),0))-MAX($E169,DATE(cfg_FY,8,1))+1)*(1-IF($M169="نعم",0,N($J169))))</f>
        <v>0</v>
      </c>
      <c r="AD169" s="110" t="n">
        <f aca="false">IF(OR($B169="",$E169="",$F169=""),0,MAX(0,MIN($F169,EOMONTH(DATE(cfg_FY,9,1),0))-MAX($E169,DATE(cfg_FY,9,1))+1)*(1-IF($M169="نعم",0,N($J169))))</f>
        <v>0</v>
      </c>
      <c r="AE169" s="110" t="n">
        <f aca="false">IF(OR($B169="",$E169="",$F169=""),0,MAX(0,MIN($F169,EOMONTH(DATE(cfg_FY,10,1),0))-MAX($E169,DATE(cfg_FY,10,1))+1)*(1-IF($M169="نعم",0,N($J169))))</f>
        <v>0</v>
      </c>
      <c r="AF169" s="110" t="n">
        <f aca="false">IF(OR($B169="",$E169="",$F169=""),0,MAX(0,MIN($F169,EOMONTH(DATE(cfg_FY,11,1),0))-MAX($E169,DATE(cfg_FY,11,1))+1)*(1-IF($M169="نعم",0,N($J169))))</f>
        <v>0</v>
      </c>
      <c r="AG169" s="110" t="n">
        <f aca="false">IF(OR($B169="",$E169="",$F169=""),0,MAX(0,MIN($F169,EOMONTH(DATE(cfg_FY,12,1),0))-MAX($E169,DATE(cfg_FY,12,1))+1)*(1-IF($M169="نعم",0,N($J169))))</f>
        <v>0</v>
      </c>
      <c r="AH169" s="110" t="n">
        <f aca="false">IF(OR(OR($B169="",$E169="",$F169=""),$L169&lt;&gt;"لا"),0,MAX(0,MIN($F169,EOMONTH(DATE(cfg_FY,1,1),0))-$E169+1))</f>
        <v>0</v>
      </c>
      <c r="AI169" s="110" t="n">
        <f aca="false">IF(OR(OR($B169="",$E169="",$F169=""),$L169&lt;&gt;"لا"),0,MAX(0,MIN($F169,EOMONTH(DATE(cfg_FY,2,1),0))-$E169+1))</f>
        <v>0</v>
      </c>
      <c r="AJ169" s="110" t="n">
        <f aca="false">IF(OR(OR($B169="",$E169="",$F169=""),$L169&lt;&gt;"لا"),0,MAX(0,MIN($F169,EOMONTH(DATE(cfg_FY,3,1),0))-$E169+1))</f>
        <v>0</v>
      </c>
      <c r="AK169" s="110" t="n">
        <f aca="false">IF(OR(OR($B169="",$E169="",$F169=""),$L169&lt;&gt;"لا"),0,MAX(0,MIN($F169,EOMONTH(DATE(cfg_FY,4,1),0))-$E169+1))</f>
        <v>0</v>
      </c>
      <c r="AL169" s="110" t="n">
        <f aca="false">IF(OR(OR($B169="",$E169="",$F169=""),$L169&lt;&gt;"لا"),0,MAX(0,MIN($F169,EOMONTH(DATE(cfg_FY,5,1),0))-$E169+1))</f>
        <v>0</v>
      </c>
      <c r="AM169" s="110" t="n">
        <f aca="false">IF(OR(OR($B169="",$E169="",$F169=""),$L169&lt;&gt;"لا"),0,MAX(0,MIN($F169,EOMONTH(DATE(cfg_FY,6,1),0))-$E169+1))</f>
        <v>0</v>
      </c>
      <c r="AN169" s="110" t="n">
        <f aca="false">IF(OR(OR($B169="",$E169="",$F169=""),$L169&lt;&gt;"لا"),0,MAX(0,MIN($F169,EOMONTH(DATE(cfg_FY,7,1),0))-$E169+1))</f>
        <v>0</v>
      </c>
      <c r="AO169" s="110" t="n">
        <f aca="false">IF(OR(OR($B169="",$E169="",$F169=""),$L169&lt;&gt;"لا"),0,MAX(0,MIN($F169,EOMONTH(DATE(cfg_FY,8,1),0))-$E169+1))</f>
        <v>0</v>
      </c>
      <c r="AP169" s="110" t="n">
        <f aca="false">IF(OR(OR($B169="",$E169="",$F169=""),$L169&lt;&gt;"لا"),0,MAX(0,MIN($F169,EOMONTH(DATE(cfg_FY,9,1),0))-$E169+1))</f>
        <v>0</v>
      </c>
      <c r="AQ169" s="110" t="n">
        <f aca="false">IF(OR(OR($B169="",$E169="",$F169=""),$L169&lt;&gt;"لا"),0,MAX(0,MIN($F169,EOMONTH(DATE(cfg_FY,10,1),0))-$E169+1))</f>
        <v>0</v>
      </c>
      <c r="AR169" s="110" t="n">
        <f aca="false">IF(OR(OR($B169="",$E169="",$F169=""),$L169&lt;&gt;"لا"),0,MAX(0,MIN($F169,EOMONTH(DATE(cfg_FY,11,1),0))-$E169+1))</f>
        <v>0</v>
      </c>
      <c r="AS169" s="110" t="n">
        <f aca="false">IF(OR(OR($B169="",$E169="",$F169=""),$L169&lt;&gt;"لا"),0,MAX(0,MIN($F169,EOMONTH(DATE(cfg_FY,12,1),0))-$E169+1))</f>
        <v>0</v>
      </c>
      <c r="AT169" s="110" t="n">
        <f aca="false">IF(OR(OR($B169="",$E169="",$F169=""),$K169&lt;&gt;"نعم",$M169="نعم"),0,MAX(0,MIN($F169,EOMONTH(DATE(cfg_FY,1,1),0))-MAX($E169,DATE(cfg_FY,1,1))+1))</f>
        <v>0</v>
      </c>
      <c r="AU169" s="110" t="n">
        <f aca="false">IF(OR(OR($B169="",$E169="",$F169=""),$K169&lt;&gt;"نعم",$M169="نعم"),0,MAX(0,MIN($F169,EOMONTH(DATE(cfg_FY,2,1),0))-MAX($E169,DATE(cfg_FY,2,1))+1))</f>
        <v>0</v>
      </c>
      <c r="AV169" s="110" t="n">
        <f aca="false">IF(OR(OR($B169="",$E169="",$F169=""),$K169&lt;&gt;"نعم",$M169="نعم"),0,MAX(0,MIN($F169,EOMONTH(DATE(cfg_FY,3,1),0))-MAX($E169,DATE(cfg_FY,3,1))+1))</f>
        <v>0</v>
      </c>
      <c r="AW169" s="110" t="n">
        <f aca="false">IF(OR(OR($B169="",$E169="",$F169=""),$K169&lt;&gt;"نعم",$M169="نعم"),0,MAX(0,MIN($F169,EOMONTH(DATE(cfg_FY,4,1),0))-MAX($E169,DATE(cfg_FY,4,1))+1))</f>
        <v>0</v>
      </c>
      <c r="AX169" s="110" t="n">
        <f aca="false">IF(OR(OR($B169="",$E169="",$F169=""),$K169&lt;&gt;"نعم",$M169="نعم"),0,MAX(0,MIN($F169,EOMONTH(DATE(cfg_FY,5,1),0))-MAX($E169,DATE(cfg_FY,5,1))+1))</f>
        <v>0</v>
      </c>
      <c r="AY169" s="110" t="n">
        <f aca="false">IF(OR(OR($B169="",$E169="",$F169=""),$K169&lt;&gt;"نعم",$M169="نعم"),0,MAX(0,MIN($F169,EOMONTH(DATE(cfg_FY,6,1),0))-MAX($E169,DATE(cfg_FY,6,1))+1))</f>
        <v>0</v>
      </c>
      <c r="AZ169" s="110" t="n">
        <f aca="false">IF(OR(OR($B169="",$E169="",$F169=""),$K169&lt;&gt;"نعم",$M169="نعم"),0,MAX(0,MIN($F169,EOMONTH(DATE(cfg_FY,7,1),0))-MAX($E169,DATE(cfg_FY,7,1))+1))</f>
        <v>0</v>
      </c>
      <c r="BA169" s="110" t="n">
        <f aca="false">IF(OR(OR($B169="",$E169="",$F169=""),$K169&lt;&gt;"نعم",$M169="نعم"),0,MAX(0,MIN($F169,EOMONTH(DATE(cfg_FY,8,1),0))-MAX($E169,DATE(cfg_FY,8,1))+1))</f>
        <v>0</v>
      </c>
      <c r="BB169" s="110" t="n">
        <f aca="false">IF(OR(OR($B169="",$E169="",$F169=""),$K169&lt;&gt;"نعم",$M169="نعم"),0,MAX(0,MIN($F169,EOMONTH(DATE(cfg_FY,9,1),0))-MAX($E169,DATE(cfg_FY,9,1))+1))</f>
        <v>0</v>
      </c>
      <c r="BC169" s="110" t="n">
        <f aca="false">IF(OR(OR($B169="",$E169="",$F169=""),$K169&lt;&gt;"نعم",$M169="نعم"),0,MAX(0,MIN($F169,EOMONTH(DATE(cfg_FY,10,1),0))-MAX($E169,DATE(cfg_FY,10,1))+1))</f>
        <v>0</v>
      </c>
      <c r="BD169" s="110" t="n">
        <f aca="false">IF(OR(OR($B169="",$E169="",$F169=""),$K169&lt;&gt;"نعم",$M169="نعم"),0,MAX(0,MIN($F169,EOMONTH(DATE(cfg_FY,11,1),0))-MAX($E169,DATE(cfg_FY,11,1))+1))</f>
        <v>0</v>
      </c>
      <c r="BE169" s="110" t="n">
        <f aca="false">IF(OR(OR($B169="",$E169="",$F169=""),$K169&lt;&gt;"نعم",$M169="نعم"),0,MAX(0,MIN($F169,EOMONTH(DATE(cfg_FY,12,1),0))-MAX($E169,DATE(cfg_FY,12,1))+1))</f>
        <v>0</v>
      </c>
    </row>
    <row r="170" customFormat="false" ht="15" hidden="false" customHeight="false" outlineLevel="0" collapsed="false">
      <c r="A170" s="93" t="str">
        <f aca="false">IF(B170="","",ROW()-5)</f>
        <v/>
      </c>
      <c r="B170" s="79"/>
      <c r="C170" s="80" t="str">
        <f aca="false">IF(B170="","",IFERROR(INDEX(الموظفون!$C$6:$C$105,MATCH(B170,الموظفون!$B$6:$B$105,0)),"✖ رقم غير موجود"))</f>
        <v/>
      </c>
      <c r="D170" s="79"/>
      <c r="E170" s="94"/>
      <c r="F170" s="94"/>
      <c r="G170" s="57" t="str">
        <f aca="false">IF(OR($B170="",$E170="",$F170=""),"",MAX(0,F170-E170+1))</f>
        <v/>
      </c>
      <c r="H170" s="58" t="str">
        <f aca="false">IF(D170="","",IFERROR(VLOOKUP(D170,cfg_LT,2,FALSE()),1))</f>
        <v/>
      </c>
      <c r="I170" s="82"/>
      <c r="J170" s="58" t="str">
        <f aca="false">IF(D170="","",IF(I170&lt;&gt;"",I170,H170))</f>
        <v/>
      </c>
      <c r="K170" s="80" t="str">
        <f aca="false">IF(D170="","",IFERROR(VLOOKUP($D170,cfg_LT,3,FALSE()),""))</f>
        <v/>
      </c>
      <c r="L170" s="80" t="str">
        <f aca="false">IF(D170="","",IFERROR(VLOOKUP($D170,cfg_LT,4,FALSE()),""))</f>
        <v/>
      </c>
      <c r="M170" s="80" t="str">
        <f aca="false">IF(D170="","",IFERROR(VLOOKUP($D170,cfg_LT,5,FALSE()),""))</f>
        <v/>
      </c>
      <c r="N170" s="97" t="n">
        <f aca="false">IF(OR(OR($B170="",$E170="",$F170=""),M170&lt;&gt;"نعم"),0,G170*J170*IFERROR(INDEX(الموظفون!$R$6:$R$105,MATCH(B170,الموظفون!$B$6:$B$105,0)),0)/cfg_DAYS_M)</f>
        <v>0</v>
      </c>
      <c r="O170" s="93" t="str">
        <f aca="false">IF(OR(OR($B170="",$E170="",$F170=""),M170&lt;&gt;"نعم"),"",IF(YEAR(E170)=cfg_FY,MONTH(E170),""))</f>
        <v/>
      </c>
      <c r="P170" s="80" t="str">
        <f aca="false">IF(B170="","",IF(OR(D170="",E170="",F170=""),"⚠ أكمل النوع والتواريخ",IF(F170&lt;E170,"✖ النهاية قبل البداية",IF(COUNTIFS($B$6:$B$505,B170,$E$6:$E$505,"&lt;="&amp;F170,$F$6:$F$505,"&gt;="&amp;E170)&gt;1,"⚠ تداخل مع سجل آخر",IF(E170&gt;cfg_VAL_DATE,"⏳ قادمة",IF(F170&lt;cfg_VAL_DATE,"✔ منتهية","✈ جارية في تاريخ التقرير"))))))</f>
        <v/>
      </c>
      <c r="Q170" s="79"/>
      <c r="R170" s="57" t="n">
        <f aca="false">IF(OR(OR($B170="",$E170="",$F170=""),L170&lt;&gt;"لا"),0,MAX(0,MIN(F170,cfg_Y_START-1)-E170+1))</f>
        <v>0</v>
      </c>
      <c r="S170" s="57" t="n">
        <f aca="false">IF(OR(OR($B170="",$E170="",$F170=""),L170&lt;&gt;"لا"),0,MAX(0,MIN(F170,cfg_VAL_DATE)-E170+1))</f>
        <v>0</v>
      </c>
      <c r="T170" s="57" t="n">
        <f aca="false">IF(OR(OR($B170="",$E170="",$F170=""),K170&lt;&gt;"نعم"),0,IF(M170="نعم",IF(AND(ISNUMBER(O170),N(O170)&lt;=cfg_VAL_M),G170,0),MAX(0,MIN(F170,cfg_VAL_DATE)-MAX(E170,cfg_Y_START)+1)))</f>
        <v>0</v>
      </c>
      <c r="V170" s="57" t="n">
        <f aca="false">IF(OR($B170="",$E170="",$F170=""),0,MAX(0,MIN($F170,EOMONTH(DATE(cfg_FY,1,1),0))-MAX($E170,DATE(cfg_FY,1,1))+1)*(1-IF($M170="نعم",0,N($J170))))</f>
        <v>0</v>
      </c>
      <c r="W170" s="57" t="n">
        <f aca="false">IF(OR($B170="",$E170="",$F170=""),0,MAX(0,MIN($F170,EOMONTH(DATE(cfg_FY,2,1),0))-MAX($E170,DATE(cfg_FY,2,1))+1)*(1-IF($M170="نعم",0,N($J170))))</f>
        <v>0</v>
      </c>
      <c r="X170" s="57" t="n">
        <f aca="false">IF(OR($B170="",$E170="",$F170=""),0,MAX(0,MIN($F170,EOMONTH(DATE(cfg_FY,3,1),0))-MAX($E170,DATE(cfg_FY,3,1))+1)*(1-IF($M170="نعم",0,N($J170))))</f>
        <v>0</v>
      </c>
      <c r="Y170" s="57" t="n">
        <f aca="false">IF(OR($B170="",$E170="",$F170=""),0,MAX(0,MIN($F170,EOMONTH(DATE(cfg_FY,4,1),0))-MAX($E170,DATE(cfg_FY,4,1))+1)*(1-IF($M170="نعم",0,N($J170))))</f>
        <v>0</v>
      </c>
      <c r="Z170" s="57" t="n">
        <f aca="false">IF(OR($B170="",$E170="",$F170=""),0,MAX(0,MIN($F170,EOMONTH(DATE(cfg_FY,5,1),0))-MAX($E170,DATE(cfg_FY,5,1))+1)*(1-IF($M170="نعم",0,N($J170))))</f>
        <v>0</v>
      </c>
      <c r="AA170" s="57" t="n">
        <f aca="false">IF(OR($B170="",$E170="",$F170=""),0,MAX(0,MIN($F170,EOMONTH(DATE(cfg_FY,6,1),0))-MAX($E170,DATE(cfg_FY,6,1))+1)*(1-IF($M170="نعم",0,N($J170))))</f>
        <v>0</v>
      </c>
      <c r="AB170" s="57" t="n">
        <f aca="false">IF(OR($B170="",$E170="",$F170=""),0,MAX(0,MIN($F170,EOMONTH(DATE(cfg_FY,7,1),0))-MAX($E170,DATE(cfg_FY,7,1))+1)*(1-IF($M170="نعم",0,N($J170))))</f>
        <v>0</v>
      </c>
      <c r="AC170" s="57" t="n">
        <f aca="false">IF(OR($B170="",$E170="",$F170=""),0,MAX(0,MIN($F170,EOMONTH(DATE(cfg_FY,8,1),0))-MAX($E170,DATE(cfg_FY,8,1))+1)*(1-IF($M170="نعم",0,N($J170))))</f>
        <v>0</v>
      </c>
      <c r="AD170" s="57" t="n">
        <f aca="false">IF(OR($B170="",$E170="",$F170=""),0,MAX(0,MIN($F170,EOMONTH(DATE(cfg_FY,9,1),0))-MAX($E170,DATE(cfg_FY,9,1))+1)*(1-IF($M170="نعم",0,N($J170))))</f>
        <v>0</v>
      </c>
      <c r="AE170" s="57" t="n">
        <f aca="false">IF(OR($B170="",$E170="",$F170=""),0,MAX(0,MIN($F170,EOMONTH(DATE(cfg_FY,10,1),0))-MAX($E170,DATE(cfg_FY,10,1))+1)*(1-IF($M170="نعم",0,N($J170))))</f>
        <v>0</v>
      </c>
      <c r="AF170" s="57" t="n">
        <f aca="false">IF(OR($B170="",$E170="",$F170=""),0,MAX(0,MIN($F170,EOMONTH(DATE(cfg_FY,11,1),0))-MAX($E170,DATE(cfg_FY,11,1))+1)*(1-IF($M170="نعم",0,N($J170))))</f>
        <v>0</v>
      </c>
      <c r="AG170" s="57" t="n">
        <f aca="false">IF(OR($B170="",$E170="",$F170=""),0,MAX(0,MIN($F170,EOMONTH(DATE(cfg_FY,12,1),0))-MAX($E170,DATE(cfg_FY,12,1))+1)*(1-IF($M170="نعم",0,N($J170))))</f>
        <v>0</v>
      </c>
      <c r="AH170" s="57" t="n">
        <f aca="false">IF(OR(OR($B170="",$E170="",$F170=""),$L170&lt;&gt;"لا"),0,MAX(0,MIN($F170,EOMONTH(DATE(cfg_FY,1,1),0))-$E170+1))</f>
        <v>0</v>
      </c>
      <c r="AI170" s="57" t="n">
        <f aca="false">IF(OR(OR($B170="",$E170="",$F170=""),$L170&lt;&gt;"لا"),0,MAX(0,MIN($F170,EOMONTH(DATE(cfg_FY,2,1),0))-$E170+1))</f>
        <v>0</v>
      </c>
      <c r="AJ170" s="57" t="n">
        <f aca="false">IF(OR(OR($B170="",$E170="",$F170=""),$L170&lt;&gt;"لا"),0,MAX(0,MIN($F170,EOMONTH(DATE(cfg_FY,3,1),0))-$E170+1))</f>
        <v>0</v>
      </c>
      <c r="AK170" s="57" t="n">
        <f aca="false">IF(OR(OR($B170="",$E170="",$F170=""),$L170&lt;&gt;"لا"),0,MAX(0,MIN($F170,EOMONTH(DATE(cfg_FY,4,1),0))-$E170+1))</f>
        <v>0</v>
      </c>
      <c r="AL170" s="57" t="n">
        <f aca="false">IF(OR(OR($B170="",$E170="",$F170=""),$L170&lt;&gt;"لا"),0,MAX(0,MIN($F170,EOMONTH(DATE(cfg_FY,5,1),0))-$E170+1))</f>
        <v>0</v>
      </c>
      <c r="AM170" s="57" t="n">
        <f aca="false">IF(OR(OR($B170="",$E170="",$F170=""),$L170&lt;&gt;"لا"),0,MAX(0,MIN($F170,EOMONTH(DATE(cfg_FY,6,1),0))-$E170+1))</f>
        <v>0</v>
      </c>
      <c r="AN170" s="57" t="n">
        <f aca="false">IF(OR(OR($B170="",$E170="",$F170=""),$L170&lt;&gt;"لا"),0,MAX(0,MIN($F170,EOMONTH(DATE(cfg_FY,7,1),0))-$E170+1))</f>
        <v>0</v>
      </c>
      <c r="AO170" s="57" t="n">
        <f aca="false">IF(OR(OR($B170="",$E170="",$F170=""),$L170&lt;&gt;"لا"),0,MAX(0,MIN($F170,EOMONTH(DATE(cfg_FY,8,1),0))-$E170+1))</f>
        <v>0</v>
      </c>
      <c r="AP170" s="57" t="n">
        <f aca="false">IF(OR(OR($B170="",$E170="",$F170=""),$L170&lt;&gt;"لا"),0,MAX(0,MIN($F170,EOMONTH(DATE(cfg_FY,9,1),0))-$E170+1))</f>
        <v>0</v>
      </c>
      <c r="AQ170" s="57" t="n">
        <f aca="false">IF(OR(OR($B170="",$E170="",$F170=""),$L170&lt;&gt;"لا"),0,MAX(0,MIN($F170,EOMONTH(DATE(cfg_FY,10,1),0))-$E170+1))</f>
        <v>0</v>
      </c>
      <c r="AR170" s="57" t="n">
        <f aca="false">IF(OR(OR($B170="",$E170="",$F170=""),$L170&lt;&gt;"لا"),0,MAX(0,MIN($F170,EOMONTH(DATE(cfg_FY,11,1),0))-$E170+1))</f>
        <v>0</v>
      </c>
      <c r="AS170" s="57" t="n">
        <f aca="false">IF(OR(OR($B170="",$E170="",$F170=""),$L170&lt;&gt;"لا"),0,MAX(0,MIN($F170,EOMONTH(DATE(cfg_FY,12,1),0))-$E170+1))</f>
        <v>0</v>
      </c>
      <c r="AT170" s="57" t="n">
        <f aca="false">IF(OR(OR($B170="",$E170="",$F170=""),$K170&lt;&gt;"نعم",$M170="نعم"),0,MAX(0,MIN($F170,EOMONTH(DATE(cfg_FY,1,1),0))-MAX($E170,DATE(cfg_FY,1,1))+1))</f>
        <v>0</v>
      </c>
      <c r="AU170" s="57" t="n">
        <f aca="false">IF(OR(OR($B170="",$E170="",$F170=""),$K170&lt;&gt;"نعم",$M170="نعم"),0,MAX(0,MIN($F170,EOMONTH(DATE(cfg_FY,2,1),0))-MAX($E170,DATE(cfg_FY,2,1))+1))</f>
        <v>0</v>
      </c>
      <c r="AV170" s="57" t="n">
        <f aca="false">IF(OR(OR($B170="",$E170="",$F170=""),$K170&lt;&gt;"نعم",$M170="نعم"),0,MAX(0,MIN($F170,EOMONTH(DATE(cfg_FY,3,1),0))-MAX($E170,DATE(cfg_FY,3,1))+1))</f>
        <v>0</v>
      </c>
      <c r="AW170" s="57" t="n">
        <f aca="false">IF(OR(OR($B170="",$E170="",$F170=""),$K170&lt;&gt;"نعم",$M170="نعم"),0,MAX(0,MIN($F170,EOMONTH(DATE(cfg_FY,4,1),0))-MAX($E170,DATE(cfg_FY,4,1))+1))</f>
        <v>0</v>
      </c>
      <c r="AX170" s="57" t="n">
        <f aca="false">IF(OR(OR($B170="",$E170="",$F170=""),$K170&lt;&gt;"نعم",$M170="نعم"),0,MAX(0,MIN($F170,EOMONTH(DATE(cfg_FY,5,1),0))-MAX($E170,DATE(cfg_FY,5,1))+1))</f>
        <v>0</v>
      </c>
      <c r="AY170" s="57" t="n">
        <f aca="false">IF(OR(OR($B170="",$E170="",$F170=""),$K170&lt;&gt;"نعم",$M170="نعم"),0,MAX(0,MIN($F170,EOMONTH(DATE(cfg_FY,6,1),0))-MAX($E170,DATE(cfg_FY,6,1))+1))</f>
        <v>0</v>
      </c>
      <c r="AZ170" s="57" t="n">
        <f aca="false">IF(OR(OR($B170="",$E170="",$F170=""),$K170&lt;&gt;"نعم",$M170="نعم"),0,MAX(0,MIN($F170,EOMONTH(DATE(cfg_FY,7,1),0))-MAX($E170,DATE(cfg_FY,7,1))+1))</f>
        <v>0</v>
      </c>
      <c r="BA170" s="57" t="n">
        <f aca="false">IF(OR(OR($B170="",$E170="",$F170=""),$K170&lt;&gt;"نعم",$M170="نعم"),0,MAX(0,MIN($F170,EOMONTH(DATE(cfg_FY,8,1),0))-MAX($E170,DATE(cfg_FY,8,1))+1))</f>
        <v>0</v>
      </c>
      <c r="BB170" s="57" t="n">
        <f aca="false">IF(OR(OR($B170="",$E170="",$F170=""),$K170&lt;&gt;"نعم",$M170="نعم"),0,MAX(0,MIN($F170,EOMONTH(DATE(cfg_FY,9,1),0))-MAX($E170,DATE(cfg_FY,9,1))+1))</f>
        <v>0</v>
      </c>
      <c r="BC170" s="57" t="n">
        <f aca="false">IF(OR(OR($B170="",$E170="",$F170=""),$K170&lt;&gt;"نعم",$M170="نعم"),0,MAX(0,MIN($F170,EOMONTH(DATE(cfg_FY,10,1),0))-MAX($E170,DATE(cfg_FY,10,1))+1))</f>
        <v>0</v>
      </c>
      <c r="BD170" s="57" t="n">
        <f aca="false">IF(OR(OR($B170="",$E170="",$F170=""),$K170&lt;&gt;"نعم",$M170="نعم"),0,MAX(0,MIN($F170,EOMONTH(DATE(cfg_FY,11,1),0))-MAX($E170,DATE(cfg_FY,11,1))+1))</f>
        <v>0</v>
      </c>
      <c r="BE170" s="57" t="n">
        <f aca="false">IF(OR(OR($B170="",$E170="",$F170=""),$K170&lt;&gt;"نعم",$M170="نعم"),0,MAX(0,MIN($F170,EOMONTH(DATE(cfg_FY,12,1),0))-MAX($E170,DATE(cfg_FY,12,1))+1))</f>
        <v>0</v>
      </c>
    </row>
    <row r="171" customFormat="false" ht="15" hidden="false" customHeight="false" outlineLevel="0" collapsed="false">
      <c r="A171" s="100" t="str">
        <f aca="false">IF(B171="","",ROW()-5)</f>
        <v/>
      </c>
      <c r="B171" s="79"/>
      <c r="C171" s="102" t="str">
        <f aca="false">IF(B171="","",IFERROR(INDEX(الموظفون!$C$6:$C$105,MATCH(B171,الموظفون!$B$6:$B$105,0)),"✖ رقم غير موجود"))</f>
        <v/>
      </c>
      <c r="D171" s="79"/>
      <c r="E171" s="94"/>
      <c r="F171" s="94"/>
      <c r="G171" s="110" t="str">
        <f aca="false">IF(OR($B171="",$E171="",$F171=""),"",MAX(0,F171-E171+1))</f>
        <v/>
      </c>
      <c r="H171" s="111" t="str">
        <f aca="false">IF(D171="","",IFERROR(VLOOKUP(D171,cfg_LT,2,FALSE()),1))</f>
        <v/>
      </c>
      <c r="I171" s="82"/>
      <c r="J171" s="111" t="str">
        <f aca="false">IF(D171="","",IF(I171&lt;&gt;"",I171,H171))</f>
        <v/>
      </c>
      <c r="K171" s="102" t="str">
        <f aca="false">IF(D171="","",IFERROR(VLOOKUP($D171,cfg_LT,3,FALSE()),""))</f>
        <v/>
      </c>
      <c r="L171" s="102" t="str">
        <f aca="false">IF(D171="","",IFERROR(VLOOKUP($D171,cfg_LT,4,FALSE()),""))</f>
        <v/>
      </c>
      <c r="M171" s="102" t="str">
        <f aca="false">IF(D171="","",IFERROR(VLOOKUP($D171,cfg_LT,5,FALSE()),""))</f>
        <v/>
      </c>
      <c r="N171" s="101" t="n">
        <f aca="false">IF(OR(OR($B171="",$E171="",$F171=""),M171&lt;&gt;"نعم"),0,G171*J171*IFERROR(INDEX(الموظفون!$R$6:$R$105,MATCH(B171,الموظفون!$B$6:$B$105,0)),0)/cfg_DAYS_M)</f>
        <v>0</v>
      </c>
      <c r="O171" s="100" t="str">
        <f aca="false">IF(OR(OR($B171="",$E171="",$F171=""),M171&lt;&gt;"نعم"),"",IF(YEAR(E171)=cfg_FY,MONTH(E171),""))</f>
        <v/>
      </c>
      <c r="P171" s="102" t="str">
        <f aca="false">IF(B171="","",IF(OR(D171="",E171="",F171=""),"⚠ أكمل النوع والتواريخ",IF(F171&lt;E171,"✖ النهاية قبل البداية",IF(COUNTIFS($B$6:$B$505,B171,$E$6:$E$505,"&lt;="&amp;F171,$F$6:$F$505,"&gt;="&amp;E171)&gt;1,"⚠ تداخل مع سجل آخر",IF(E171&gt;cfg_VAL_DATE,"⏳ قادمة",IF(F171&lt;cfg_VAL_DATE,"✔ منتهية","✈ جارية في تاريخ التقرير"))))))</f>
        <v/>
      </c>
      <c r="Q171" s="79"/>
      <c r="R171" s="110" t="n">
        <f aca="false">IF(OR(OR($B171="",$E171="",$F171=""),L171&lt;&gt;"لا"),0,MAX(0,MIN(F171,cfg_Y_START-1)-E171+1))</f>
        <v>0</v>
      </c>
      <c r="S171" s="110" t="n">
        <f aca="false">IF(OR(OR($B171="",$E171="",$F171=""),L171&lt;&gt;"لا"),0,MAX(0,MIN(F171,cfg_VAL_DATE)-E171+1))</f>
        <v>0</v>
      </c>
      <c r="T171" s="110" t="n">
        <f aca="false">IF(OR(OR($B171="",$E171="",$F171=""),K171&lt;&gt;"نعم"),0,IF(M171="نعم",IF(AND(ISNUMBER(O171),N(O171)&lt;=cfg_VAL_M),G171,0),MAX(0,MIN(F171,cfg_VAL_DATE)-MAX(E171,cfg_Y_START)+1)))</f>
        <v>0</v>
      </c>
      <c r="V171" s="110" t="n">
        <f aca="false">IF(OR($B171="",$E171="",$F171=""),0,MAX(0,MIN($F171,EOMONTH(DATE(cfg_FY,1,1),0))-MAX($E171,DATE(cfg_FY,1,1))+1)*(1-IF($M171="نعم",0,N($J171))))</f>
        <v>0</v>
      </c>
      <c r="W171" s="110" t="n">
        <f aca="false">IF(OR($B171="",$E171="",$F171=""),0,MAX(0,MIN($F171,EOMONTH(DATE(cfg_FY,2,1),0))-MAX($E171,DATE(cfg_FY,2,1))+1)*(1-IF($M171="نعم",0,N($J171))))</f>
        <v>0</v>
      </c>
      <c r="X171" s="110" t="n">
        <f aca="false">IF(OR($B171="",$E171="",$F171=""),0,MAX(0,MIN($F171,EOMONTH(DATE(cfg_FY,3,1),0))-MAX($E171,DATE(cfg_FY,3,1))+1)*(1-IF($M171="نعم",0,N($J171))))</f>
        <v>0</v>
      </c>
      <c r="Y171" s="110" t="n">
        <f aca="false">IF(OR($B171="",$E171="",$F171=""),0,MAX(0,MIN($F171,EOMONTH(DATE(cfg_FY,4,1),0))-MAX($E171,DATE(cfg_FY,4,1))+1)*(1-IF($M171="نعم",0,N($J171))))</f>
        <v>0</v>
      </c>
      <c r="Z171" s="110" t="n">
        <f aca="false">IF(OR($B171="",$E171="",$F171=""),0,MAX(0,MIN($F171,EOMONTH(DATE(cfg_FY,5,1),0))-MAX($E171,DATE(cfg_FY,5,1))+1)*(1-IF($M171="نعم",0,N($J171))))</f>
        <v>0</v>
      </c>
      <c r="AA171" s="110" t="n">
        <f aca="false">IF(OR($B171="",$E171="",$F171=""),0,MAX(0,MIN($F171,EOMONTH(DATE(cfg_FY,6,1),0))-MAX($E171,DATE(cfg_FY,6,1))+1)*(1-IF($M171="نعم",0,N($J171))))</f>
        <v>0</v>
      </c>
      <c r="AB171" s="110" t="n">
        <f aca="false">IF(OR($B171="",$E171="",$F171=""),0,MAX(0,MIN($F171,EOMONTH(DATE(cfg_FY,7,1),0))-MAX($E171,DATE(cfg_FY,7,1))+1)*(1-IF($M171="نعم",0,N($J171))))</f>
        <v>0</v>
      </c>
      <c r="AC171" s="110" t="n">
        <f aca="false">IF(OR($B171="",$E171="",$F171=""),0,MAX(0,MIN($F171,EOMONTH(DATE(cfg_FY,8,1),0))-MAX($E171,DATE(cfg_FY,8,1))+1)*(1-IF($M171="نعم",0,N($J171))))</f>
        <v>0</v>
      </c>
      <c r="AD171" s="110" t="n">
        <f aca="false">IF(OR($B171="",$E171="",$F171=""),0,MAX(0,MIN($F171,EOMONTH(DATE(cfg_FY,9,1),0))-MAX($E171,DATE(cfg_FY,9,1))+1)*(1-IF($M171="نعم",0,N($J171))))</f>
        <v>0</v>
      </c>
      <c r="AE171" s="110" t="n">
        <f aca="false">IF(OR($B171="",$E171="",$F171=""),0,MAX(0,MIN($F171,EOMONTH(DATE(cfg_FY,10,1),0))-MAX($E171,DATE(cfg_FY,10,1))+1)*(1-IF($M171="نعم",0,N($J171))))</f>
        <v>0</v>
      </c>
      <c r="AF171" s="110" t="n">
        <f aca="false">IF(OR($B171="",$E171="",$F171=""),0,MAX(0,MIN($F171,EOMONTH(DATE(cfg_FY,11,1),0))-MAX($E171,DATE(cfg_FY,11,1))+1)*(1-IF($M171="نعم",0,N($J171))))</f>
        <v>0</v>
      </c>
      <c r="AG171" s="110" t="n">
        <f aca="false">IF(OR($B171="",$E171="",$F171=""),0,MAX(0,MIN($F171,EOMONTH(DATE(cfg_FY,12,1),0))-MAX($E171,DATE(cfg_FY,12,1))+1)*(1-IF($M171="نعم",0,N($J171))))</f>
        <v>0</v>
      </c>
      <c r="AH171" s="110" t="n">
        <f aca="false">IF(OR(OR($B171="",$E171="",$F171=""),$L171&lt;&gt;"لا"),0,MAX(0,MIN($F171,EOMONTH(DATE(cfg_FY,1,1),0))-$E171+1))</f>
        <v>0</v>
      </c>
      <c r="AI171" s="110" t="n">
        <f aca="false">IF(OR(OR($B171="",$E171="",$F171=""),$L171&lt;&gt;"لا"),0,MAX(0,MIN($F171,EOMONTH(DATE(cfg_FY,2,1),0))-$E171+1))</f>
        <v>0</v>
      </c>
      <c r="AJ171" s="110" t="n">
        <f aca="false">IF(OR(OR($B171="",$E171="",$F171=""),$L171&lt;&gt;"لا"),0,MAX(0,MIN($F171,EOMONTH(DATE(cfg_FY,3,1),0))-$E171+1))</f>
        <v>0</v>
      </c>
      <c r="AK171" s="110" t="n">
        <f aca="false">IF(OR(OR($B171="",$E171="",$F171=""),$L171&lt;&gt;"لا"),0,MAX(0,MIN($F171,EOMONTH(DATE(cfg_FY,4,1),0))-$E171+1))</f>
        <v>0</v>
      </c>
      <c r="AL171" s="110" t="n">
        <f aca="false">IF(OR(OR($B171="",$E171="",$F171=""),$L171&lt;&gt;"لا"),0,MAX(0,MIN($F171,EOMONTH(DATE(cfg_FY,5,1),0))-$E171+1))</f>
        <v>0</v>
      </c>
      <c r="AM171" s="110" t="n">
        <f aca="false">IF(OR(OR($B171="",$E171="",$F171=""),$L171&lt;&gt;"لا"),0,MAX(0,MIN($F171,EOMONTH(DATE(cfg_FY,6,1),0))-$E171+1))</f>
        <v>0</v>
      </c>
      <c r="AN171" s="110" t="n">
        <f aca="false">IF(OR(OR($B171="",$E171="",$F171=""),$L171&lt;&gt;"لا"),0,MAX(0,MIN($F171,EOMONTH(DATE(cfg_FY,7,1),0))-$E171+1))</f>
        <v>0</v>
      </c>
      <c r="AO171" s="110" t="n">
        <f aca="false">IF(OR(OR($B171="",$E171="",$F171=""),$L171&lt;&gt;"لا"),0,MAX(0,MIN($F171,EOMONTH(DATE(cfg_FY,8,1),0))-$E171+1))</f>
        <v>0</v>
      </c>
      <c r="AP171" s="110" t="n">
        <f aca="false">IF(OR(OR($B171="",$E171="",$F171=""),$L171&lt;&gt;"لا"),0,MAX(0,MIN($F171,EOMONTH(DATE(cfg_FY,9,1),0))-$E171+1))</f>
        <v>0</v>
      </c>
      <c r="AQ171" s="110" t="n">
        <f aca="false">IF(OR(OR($B171="",$E171="",$F171=""),$L171&lt;&gt;"لا"),0,MAX(0,MIN($F171,EOMONTH(DATE(cfg_FY,10,1),0))-$E171+1))</f>
        <v>0</v>
      </c>
      <c r="AR171" s="110" t="n">
        <f aca="false">IF(OR(OR($B171="",$E171="",$F171=""),$L171&lt;&gt;"لا"),0,MAX(0,MIN($F171,EOMONTH(DATE(cfg_FY,11,1),0))-$E171+1))</f>
        <v>0</v>
      </c>
      <c r="AS171" s="110" t="n">
        <f aca="false">IF(OR(OR($B171="",$E171="",$F171=""),$L171&lt;&gt;"لا"),0,MAX(0,MIN($F171,EOMONTH(DATE(cfg_FY,12,1),0))-$E171+1))</f>
        <v>0</v>
      </c>
      <c r="AT171" s="110" t="n">
        <f aca="false">IF(OR(OR($B171="",$E171="",$F171=""),$K171&lt;&gt;"نعم",$M171="نعم"),0,MAX(0,MIN($F171,EOMONTH(DATE(cfg_FY,1,1),0))-MAX($E171,DATE(cfg_FY,1,1))+1))</f>
        <v>0</v>
      </c>
      <c r="AU171" s="110" t="n">
        <f aca="false">IF(OR(OR($B171="",$E171="",$F171=""),$K171&lt;&gt;"نعم",$M171="نعم"),0,MAX(0,MIN($F171,EOMONTH(DATE(cfg_FY,2,1),0))-MAX($E171,DATE(cfg_FY,2,1))+1))</f>
        <v>0</v>
      </c>
      <c r="AV171" s="110" t="n">
        <f aca="false">IF(OR(OR($B171="",$E171="",$F171=""),$K171&lt;&gt;"نعم",$M171="نعم"),0,MAX(0,MIN($F171,EOMONTH(DATE(cfg_FY,3,1),0))-MAX($E171,DATE(cfg_FY,3,1))+1))</f>
        <v>0</v>
      </c>
      <c r="AW171" s="110" t="n">
        <f aca="false">IF(OR(OR($B171="",$E171="",$F171=""),$K171&lt;&gt;"نعم",$M171="نعم"),0,MAX(0,MIN($F171,EOMONTH(DATE(cfg_FY,4,1),0))-MAX($E171,DATE(cfg_FY,4,1))+1))</f>
        <v>0</v>
      </c>
      <c r="AX171" s="110" t="n">
        <f aca="false">IF(OR(OR($B171="",$E171="",$F171=""),$K171&lt;&gt;"نعم",$M171="نعم"),0,MAX(0,MIN($F171,EOMONTH(DATE(cfg_FY,5,1),0))-MAX($E171,DATE(cfg_FY,5,1))+1))</f>
        <v>0</v>
      </c>
      <c r="AY171" s="110" t="n">
        <f aca="false">IF(OR(OR($B171="",$E171="",$F171=""),$K171&lt;&gt;"نعم",$M171="نعم"),0,MAX(0,MIN($F171,EOMONTH(DATE(cfg_FY,6,1),0))-MAX($E171,DATE(cfg_FY,6,1))+1))</f>
        <v>0</v>
      </c>
      <c r="AZ171" s="110" t="n">
        <f aca="false">IF(OR(OR($B171="",$E171="",$F171=""),$K171&lt;&gt;"نعم",$M171="نعم"),0,MAX(0,MIN($F171,EOMONTH(DATE(cfg_FY,7,1),0))-MAX($E171,DATE(cfg_FY,7,1))+1))</f>
        <v>0</v>
      </c>
      <c r="BA171" s="110" t="n">
        <f aca="false">IF(OR(OR($B171="",$E171="",$F171=""),$K171&lt;&gt;"نعم",$M171="نعم"),0,MAX(0,MIN($F171,EOMONTH(DATE(cfg_FY,8,1),0))-MAX($E171,DATE(cfg_FY,8,1))+1))</f>
        <v>0</v>
      </c>
      <c r="BB171" s="110" t="n">
        <f aca="false">IF(OR(OR($B171="",$E171="",$F171=""),$K171&lt;&gt;"نعم",$M171="نعم"),0,MAX(0,MIN($F171,EOMONTH(DATE(cfg_FY,9,1),0))-MAX($E171,DATE(cfg_FY,9,1))+1))</f>
        <v>0</v>
      </c>
      <c r="BC171" s="110" t="n">
        <f aca="false">IF(OR(OR($B171="",$E171="",$F171=""),$K171&lt;&gt;"نعم",$M171="نعم"),0,MAX(0,MIN($F171,EOMONTH(DATE(cfg_FY,10,1),0))-MAX($E171,DATE(cfg_FY,10,1))+1))</f>
        <v>0</v>
      </c>
      <c r="BD171" s="110" t="n">
        <f aca="false">IF(OR(OR($B171="",$E171="",$F171=""),$K171&lt;&gt;"نعم",$M171="نعم"),0,MAX(0,MIN($F171,EOMONTH(DATE(cfg_FY,11,1),0))-MAX($E171,DATE(cfg_FY,11,1))+1))</f>
        <v>0</v>
      </c>
      <c r="BE171" s="110" t="n">
        <f aca="false">IF(OR(OR($B171="",$E171="",$F171=""),$K171&lt;&gt;"نعم",$M171="نعم"),0,MAX(0,MIN($F171,EOMONTH(DATE(cfg_FY,12,1),0))-MAX($E171,DATE(cfg_FY,12,1))+1))</f>
        <v>0</v>
      </c>
    </row>
    <row r="172" customFormat="false" ht="15" hidden="false" customHeight="false" outlineLevel="0" collapsed="false">
      <c r="A172" s="93" t="str">
        <f aca="false">IF(B172="","",ROW()-5)</f>
        <v/>
      </c>
      <c r="B172" s="79"/>
      <c r="C172" s="80" t="str">
        <f aca="false">IF(B172="","",IFERROR(INDEX(الموظفون!$C$6:$C$105,MATCH(B172,الموظفون!$B$6:$B$105,0)),"✖ رقم غير موجود"))</f>
        <v/>
      </c>
      <c r="D172" s="79"/>
      <c r="E172" s="94"/>
      <c r="F172" s="94"/>
      <c r="G172" s="57" t="str">
        <f aca="false">IF(OR($B172="",$E172="",$F172=""),"",MAX(0,F172-E172+1))</f>
        <v/>
      </c>
      <c r="H172" s="58" t="str">
        <f aca="false">IF(D172="","",IFERROR(VLOOKUP(D172,cfg_LT,2,FALSE()),1))</f>
        <v/>
      </c>
      <c r="I172" s="82"/>
      <c r="J172" s="58" t="str">
        <f aca="false">IF(D172="","",IF(I172&lt;&gt;"",I172,H172))</f>
        <v/>
      </c>
      <c r="K172" s="80" t="str">
        <f aca="false">IF(D172="","",IFERROR(VLOOKUP($D172,cfg_LT,3,FALSE()),""))</f>
        <v/>
      </c>
      <c r="L172" s="80" t="str">
        <f aca="false">IF(D172="","",IFERROR(VLOOKUP($D172,cfg_LT,4,FALSE()),""))</f>
        <v/>
      </c>
      <c r="M172" s="80" t="str">
        <f aca="false">IF(D172="","",IFERROR(VLOOKUP($D172,cfg_LT,5,FALSE()),""))</f>
        <v/>
      </c>
      <c r="N172" s="97" t="n">
        <f aca="false">IF(OR(OR($B172="",$E172="",$F172=""),M172&lt;&gt;"نعم"),0,G172*J172*IFERROR(INDEX(الموظفون!$R$6:$R$105,MATCH(B172,الموظفون!$B$6:$B$105,0)),0)/cfg_DAYS_M)</f>
        <v>0</v>
      </c>
      <c r="O172" s="93" t="str">
        <f aca="false">IF(OR(OR($B172="",$E172="",$F172=""),M172&lt;&gt;"نعم"),"",IF(YEAR(E172)=cfg_FY,MONTH(E172),""))</f>
        <v/>
      </c>
      <c r="P172" s="80" t="str">
        <f aca="false">IF(B172="","",IF(OR(D172="",E172="",F172=""),"⚠ أكمل النوع والتواريخ",IF(F172&lt;E172,"✖ النهاية قبل البداية",IF(COUNTIFS($B$6:$B$505,B172,$E$6:$E$505,"&lt;="&amp;F172,$F$6:$F$505,"&gt;="&amp;E172)&gt;1,"⚠ تداخل مع سجل آخر",IF(E172&gt;cfg_VAL_DATE,"⏳ قادمة",IF(F172&lt;cfg_VAL_DATE,"✔ منتهية","✈ جارية في تاريخ التقرير"))))))</f>
        <v/>
      </c>
      <c r="Q172" s="79"/>
      <c r="R172" s="57" t="n">
        <f aca="false">IF(OR(OR($B172="",$E172="",$F172=""),L172&lt;&gt;"لا"),0,MAX(0,MIN(F172,cfg_Y_START-1)-E172+1))</f>
        <v>0</v>
      </c>
      <c r="S172" s="57" t="n">
        <f aca="false">IF(OR(OR($B172="",$E172="",$F172=""),L172&lt;&gt;"لا"),0,MAX(0,MIN(F172,cfg_VAL_DATE)-E172+1))</f>
        <v>0</v>
      </c>
      <c r="T172" s="57" t="n">
        <f aca="false">IF(OR(OR($B172="",$E172="",$F172=""),K172&lt;&gt;"نعم"),0,IF(M172="نعم",IF(AND(ISNUMBER(O172),N(O172)&lt;=cfg_VAL_M),G172,0),MAX(0,MIN(F172,cfg_VAL_DATE)-MAX(E172,cfg_Y_START)+1)))</f>
        <v>0</v>
      </c>
      <c r="V172" s="57" t="n">
        <f aca="false">IF(OR($B172="",$E172="",$F172=""),0,MAX(0,MIN($F172,EOMONTH(DATE(cfg_FY,1,1),0))-MAX($E172,DATE(cfg_FY,1,1))+1)*(1-IF($M172="نعم",0,N($J172))))</f>
        <v>0</v>
      </c>
      <c r="W172" s="57" t="n">
        <f aca="false">IF(OR($B172="",$E172="",$F172=""),0,MAX(0,MIN($F172,EOMONTH(DATE(cfg_FY,2,1),0))-MAX($E172,DATE(cfg_FY,2,1))+1)*(1-IF($M172="نعم",0,N($J172))))</f>
        <v>0</v>
      </c>
      <c r="X172" s="57" t="n">
        <f aca="false">IF(OR($B172="",$E172="",$F172=""),0,MAX(0,MIN($F172,EOMONTH(DATE(cfg_FY,3,1),0))-MAX($E172,DATE(cfg_FY,3,1))+1)*(1-IF($M172="نعم",0,N($J172))))</f>
        <v>0</v>
      </c>
      <c r="Y172" s="57" t="n">
        <f aca="false">IF(OR($B172="",$E172="",$F172=""),0,MAX(0,MIN($F172,EOMONTH(DATE(cfg_FY,4,1),0))-MAX($E172,DATE(cfg_FY,4,1))+1)*(1-IF($M172="نعم",0,N($J172))))</f>
        <v>0</v>
      </c>
      <c r="Z172" s="57" t="n">
        <f aca="false">IF(OR($B172="",$E172="",$F172=""),0,MAX(0,MIN($F172,EOMONTH(DATE(cfg_FY,5,1),0))-MAX($E172,DATE(cfg_FY,5,1))+1)*(1-IF($M172="نعم",0,N($J172))))</f>
        <v>0</v>
      </c>
      <c r="AA172" s="57" t="n">
        <f aca="false">IF(OR($B172="",$E172="",$F172=""),0,MAX(0,MIN($F172,EOMONTH(DATE(cfg_FY,6,1),0))-MAX($E172,DATE(cfg_FY,6,1))+1)*(1-IF($M172="نعم",0,N($J172))))</f>
        <v>0</v>
      </c>
      <c r="AB172" s="57" t="n">
        <f aca="false">IF(OR($B172="",$E172="",$F172=""),0,MAX(0,MIN($F172,EOMONTH(DATE(cfg_FY,7,1),0))-MAX($E172,DATE(cfg_FY,7,1))+1)*(1-IF($M172="نعم",0,N($J172))))</f>
        <v>0</v>
      </c>
      <c r="AC172" s="57" t="n">
        <f aca="false">IF(OR($B172="",$E172="",$F172=""),0,MAX(0,MIN($F172,EOMONTH(DATE(cfg_FY,8,1),0))-MAX($E172,DATE(cfg_FY,8,1))+1)*(1-IF($M172="نعم",0,N($J172))))</f>
        <v>0</v>
      </c>
      <c r="AD172" s="57" t="n">
        <f aca="false">IF(OR($B172="",$E172="",$F172=""),0,MAX(0,MIN($F172,EOMONTH(DATE(cfg_FY,9,1),0))-MAX($E172,DATE(cfg_FY,9,1))+1)*(1-IF($M172="نعم",0,N($J172))))</f>
        <v>0</v>
      </c>
      <c r="AE172" s="57" t="n">
        <f aca="false">IF(OR($B172="",$E172="",$F172=""),0,MAX(0,MIN($F172,EOMONTH(DATE(cfg_FY,10,1),0))-MAX($E172,DATE(cfg_FY,10,1))+1)*(1-IF($M172="نعم",0,N($J172))))</f>
        <v>0</v>
      </c>
      <c r="AF172" s="57" t="n">
        <f aca="false">IF(OR($B172="",$E172="",$F172=""),0,MAX(0,MIN($F172,EOMONTH(DATE(cfg_FY,11,1),0))-MAX($E172,DATE(cfg_FY,11,1))+1)*(1-IF($M172="نعم",0,N($J172))))</f>
        <v>0</v>
      </c>
      <c r="AG172" s="57" t="n">
        <f aca="false">IF(OR($B172="",$E172="",$F172=""),0,MAX(0,MIN($F172,EOMONTH(DATE(cfg_FY,12,1),0))-MAX($E172,DATE(cfg_FY,12,1))+1)*(1-IF($M172="نعم",0,N($J172))))</f>
        <v>0</v>
      </c>
      <c r="AH172" s="57" t="n">
        <f aca="false">IF(OR(OR($B172="",$E172="",$F172=""),$L172&lt;&gt;"لا"),0,MAX(0,MIN($F172,EOMONTH(DATE(cfg_FY,1,1),0))-$E172+1))</f>
        <v>0</v>
      </c>
      <c r="AI172" s="57" t="n">
        <f aca="false">IF(OR(OR($B172="",$E172="",$F172=""),$L172&lt;&gt;"لا"),0,MAX(0,MIN($F172,EOMONTH(DATE(cfg_FY,2,1),0))-$E172+1))</f>
        <v>0</v>
      </c>
      <c r="AJ172" s="57" t="n">
        <f aca="false">IF(OR(OR($B172="",$E172="",$F172=""),$L172&lt;&gt;"لا"),0,MAX(0,MIN($F172,EOMONTH(DATE(cfg_FY,3,1),0))-$E172+1))</f>
        <v>0</v>
      </c>
      <c r="AK172" s="57" t="n">
        <f aca="false">IF(OR(OR($B172="",$E172="",$F172=""),$L172&lt;&gt;"لا"),0,MAX(0,MIN($F172,EOMONTH(DATE(cfg_FY,4,1),0))-$E172+1))</f>
        <v>0</v>
      </c>
      <c r="AL172" s="57" t="n">
        <f aca="false">IF(OR(OR($B172="",$E172="",$F172=""),$L172&lt;&gt;"لا"),0,MAX(0,MIN($F172,EOMONTH(DATE(cfg_FY,5,1),0))-$E172+1))</f>
        <v>0</v>
      </c>
      <c r="AM172" s="57" t="n">
        <f aca="false">IF(OR(OR($B172="",$E172="",$F172=""),$L172&lt;&gt;"لا"),0,MAX(0,MIN($F172,EOMONTH(DATE(cfg_FY,6,1),0))-$E172+1))</f>
        <v>0</v>
      </c>
      <c r="AN172" s="57" t="n">
        <f aca="false">IF(OR(OR($B172="",$E172="",$F172=""),$L172&lt;&gt;"لا"),0,MAX(0,MIN($F172,EOMONTH(DATE(cfg_FY,7,1),0))-$E172+1))</f>
        <v>0</v>
      </c>
      <c r="AO172" s="57" t="n">
        <f aca="false">IF(OR(OR($B172="",$E172="",$F172=""),$L172&lt;&gt;"لا"),0,MAX(0,MIN($F172,EOMONTH(DATE(cfg_FY,8,1),0))-$E172+1))</f>
        <v>0</v>
      </c>
      <c r="AP172" s="57" t="n">
        <f aca="false">IF(OR(OR($B172="",$E172="",$F172=""),$L172&lt;&gt;"لا"),0,MAX(0,MIN($F172,EOMONTH(DATE(cfg_FY,9,1),0))-$E172+1))</f>
        <v>0</v>
      </c>
      <c r="AQ172" s="57" t="n">
        <f aca="false">IF(OR(OR($B172="",$E172="",$F172=""),$L172&lt;&gt;"لا"),0,MAX(0,MIN($F172,EOMONTH(DATE(cfg_FY,10,1),0))-$E172+1))</f>
        <v>0</v>
      </c>
      <c r="AR172" s="57" t="n">
        <f aca="false">IF(OR(OR($B172="",$E172="",$F172=""),$L172&lt;&gt;"لا"),0,MAX(0,MIN($F172,EOMONTH(DATE(cfg_FY,11,1),0))-$E172+1))</f>
        <v>0</v>
      </c>
      <c r="AS172" s="57" t="n">
        <f aca="false">IF(OR(OR($B172="",$E172="",$F172=""),$L172&lt;&gt;"لا"),0,MAX(0,MIN($F172,EOMONTH(DATE(cfg_FY,12,1),0))-$E172+1))</f>
        <v>0</v>
      </c>
      <c r="AT172" s="57" t="n">
        <f aca="false">IF(OR(OR($B172="",$E172="",$F172=""),$K172&lt;&gt;"نعم",$M172="نعم"),0,MAX(0,MIN($F172,EOMONTH(DATE(cfg_FY,1,1),0))-MAX($E172,DATE(cfg_FY,1,1))+1))</f>
        <v>0</v>
      </c>
      <c r="AU172" s="57" t="n">
        <f aca="false">IF(OR(OR($B172="",$E172="",$F172=""),$K172&lt;&gt;"نعم",$M172="نعم"),0,MAX(0,MIN($F172,EOMONTH(DATE(cfg_FY,2,1),0))-MAX($E172,DATE(cfg_FY,2,1))+1))</f>
        <v>0</v>
      </c>
      <c r="AV172" s="57" t="n">
        <f aca="false">IF(OR(OR($B172="",$E172="",$F172=""),$K172&lt;&gt;"نعم",$M172="نعم"),0,MAX(0,MIN($F172,EOMONTH(DATE(cfg_FY,3,1),0))-MAX($E172,DATE(cfg_FY,3,1))+1))</f>
        <v>0</v>
      </c>
      <c r="AW172" s="57" t="n">
        <f aca="false">IF(OR(OR($B172="",$E172="",$F172=""),$K172&lt;&gt;"نعم",$M172="نعم"),0,MAX(0,MIN($F172,EOMONTH(DATE(cfg_FY,4,1),0))-MAX($E172,DATE(cfg_FY,4,1))+1))</f>
        <v>0</v>
      </c>
      <c r="AX172" s="57" t="n">
        <f aca="false">IF(OR(OR($B172="",$E172="",$F172=""),$K172&lt;&gt;"نعم",$M172="نعم"),0,MAX(0,MIN($F172,EOMONTH(DATE(cfg_FY,5,1),0))-MAX($E172,DATE(cfg_FY,5,1))+1))</f>
        <v>0</v>
      </c>
      <c r="AY172" s="57" t="n">
        <f aca="false">IF(OR(OR($B172="",$E172="",$F172=""),$K172&lt;&gt;"نعم",$M172="نعم"),0,MAX(0,MIN($F172,EOMONTH(DATE(cfg_FY,6,1),0))-MAX($E172,DATE(cfg_FY,6,1))+1))</f>
        <v>0</v>
      </c>
      <c r="AZ172" s="57" t="n">
        <f aca="false">IF(OR(OR($B172="",$E172="",$F172=""),$K172&lt;&gt;"نعم",$M172="نعم"),0,MAX(0,MIN($F172,EOMONTH(DATE(cfg_FY,7,1),0))-MAX($E172,DATE(cfg_FY,7,1))+1))</f>
        <v>0</v>
      </c>
      <c r="BA172" s="57" t="n">
        <f aca="false">IF(OR(OR($B172="",$E172="",$F172=""),$K172&lt;&gt;"نعم",$M172="نعم"),0,MAX(0,MIN($F172,EOMONTH(DATE(cfg_FY,8,1),0))-MAX($E172,DATE(cfg_FY,8,1))+1))</f>
        <v>0</v>
      </c>
      <c r="BB172" s="57" t="n">
        <f aca="false">IF(OR(OR($B172="",$E172="",$F172=""),$K172&lt;&gt;"نعم",$M172="نعم"),0,MAX(0,MIN($F172,EOMONTH(DATE(cfg_FY,9,1),0))-MAX($E172,DATE(cfg_FY,9,1))+1))</f>
        <v>0</v>
      </c>
      <c r="BC172" s="57" t="n">
        <f aca="false">IF(OR(OR($B172="",$E172="",$F172=""),$K172&lt;&gt;"نعم",$M172="نعم"),0,MAX(0,MIN($F172,EOMONTH(DATE(cfg_FY,10,1),0))-MAX($E172,DATE(cfg_FY,10,1))+1))</f>
        <v>0</v>
      </c>
      <c r="BD172" s="57" t="n">
        <f aca="false">IF(OR(OR($B172="",$E172="",$F172=""),$K172&lt;&gt;"نعم",$M172="نعم"),0,MAX(0,MIN($F172,EOMONTH(DATE(cfg_FY,11,1),0))-MAX($E172,DATE(cfg_FY,11,1))+1))</f>
        <v>0</v>
      </c>
      <c r="BE172" s="57" t="n">
        <f aca="false">IF(OR(OR($B172="",$E172="",$F172=""),$K172&lt;&gt;"نعم",$M172="نعم"),0,MAX(0,MIN($F172,EOMONTH(DATE(cfg_FY,12,1),0))-MAX($E172,DATE(cfg_FY,12,1))+1))</f>
        <v>0</v>
      </c>
    </row>
    <row r="173" customFormat="false" ht="15" hidden="false" customHeight="false" outlineLevel="0" collapsed="false">
      <c r="A173" s="100" t="str">
        <f aca="false">IF(B173="","",ROW()-5)</f>
        <v/>
      </c>
      <c r="B173" s="79"/>
      <c r="C173" s="102" t="str">
        <f aca="false">IF(B173="","",IFERROR(INDEX(الموظفون!$C$6:$C$105,MATCH(B173,الموظفون!$B$6:$B$105,0)),"✖ رقم غير موجود"))</f>
        <v/>
      </c>
      <c r="D173" s="79"/>
      <c r="E173" s="94"/>
      <c r="F173" s="94"/>
      <c r="G173" s="110" t="str">
        <f aca="false">IF(OR($B173="",$E173="",$F173=""),"",MAX(0,F173-E173+1))</f>
        <v/>
      </c>
      <c r="H173" s="111" t="str">
        <f aca="false">IF(D173="","",IFERROR(VLOOKUP(D173,cfg_LT,2,FALSE()),1))</f>
        <v/>
      </c>
      <c r="I173" s="82"/>
      <c r="J173" s="111" t="str">
        <f aca="false">IF(D173="","",IF(I173&lt;&gt;"",I173,H173))</f>
        <v/>
      </c>
      <c r="K173" s="102" t="str">
        <f aca="false">IF(D173="","",IFERROR(VLOOKUP($D173,cfg_LT,3,FALSE()),""))</f>
        <v/>
      </c>
      <c r="L173" s="102" t="str">
        <f aca="false">IF(D173="","",IFERROR(VLOOKUP($D173,cfg_LT,4,FALSE()),""))</f>
        <v/>
      </c>
      <c r="M173" s="102" t="str">
        <f aca="false">IF(D173="","",IFERROR(VLOOKUP($D173,cfg_LT,5,FALSE()),""))</f>
        <v/>
      </c>
      <c r="N173" s="101" t="n">
        <f aca="false">IF(OR(OR($B173="",$E173="",$F173=""),M173&lt;&gt;"نعم"),0,G173*J173*IFERROR(INDEX(الموظفون!$R$6:$R$105,MATCH(B173,الموظفون!$B$6:$B$105,0)),0)/cfg_DAYS_M)</f>
        <v>0</v>
      </c>
      <c r="O173" s="100" t="str">
        <f aca="false">IF(OR(OR($B173="",$E173="",$F173=""),M173&lt;&gt;"نعم"),"",IF(YEAR(E173)=cfg_FY,MONTH(E173),""))</f>
        <v/>
      </c>
      <c r="P173" s="102" t="str">
        <f aca="false">IF(B173="","",IF(OR(D173="",E173="",F173=""),"⚠ أكمل النوع والتواريخ",IF(F173&lt;E173,"✖ النهاية قبل البداية",IF(COUNTIFS($B$6:$B$505,B173,$E$6:$E$505,"&lt;="&amp;F173,$F$6:$F$505,"&gt;="&amp;E173)&gt;1,"⚠ تداخل مع سجل آخر",IF(E173&gt;cfg_VAL_DATE,"⏳ قادمة",IF(F173&lt;cfg_VAL_DATE,"✔ منتهية","✈ جارية في تاريخ التقرير"))))))</f>
        <v/>
      </c>
      <c r="Q173" s="79"/>
      <c r="R173" s="110" t="n">
        <f aca="false">IF(OR(OR($B173="",$E173="",$F173=""),L173&lt;&gt;"لا"),0,MAX(0,MIN(F173,cfg_Y_START-1)-E173+1))</f>
        <v>0</v>
      </c>
      <c r="S173" s="110" t="n">
        <f aca="false">IF(OR(OR($B173="",$E173="",$F173=""),L173&lt;&gt;"لا"),0,MAX(0,MIN(F173,cfg_VAL_DATE)-E173+1))</f>
        <v>0</v>
      </c>
      <c r="T173" s="110" t="n">
        <f aca="false">IF(OR(OR($B173="",$E173="",$F173=""),K173&lt;&gt;"نعم"),0,IF(M173="نعم",IF(AND(ISNUMBER(O173),N(O173)&lt;=cfg_VAL_M),G173,0),MAX(0,MIN(F173,cfg_VAL_DATE)-MAX(E173,cfg_Y_START)+1)))</f>
        <v>0</v>
      </c>
      <c r="V173" s="110" t="n">
        <f aca="false">IF(OR($B173="",$E173="",$F173=""),0,MAX(0,MIN($F173,EOMONTH(DATE(cfg_FY,1,1),0))-MAX($E173,DATE(cfg_FY,1,1))+1)*(1-IF($M173="نعم",0,N($J173))))</f>
        <v>0</v>
      </c>
      <c r="W173" s="110" t="n">
        <f aca="false">IF(OR($B173="",$E173="",$F173=""),0,MAX(0,MIN($F173,EOMONTH(DATE(cfg_FY,2,1),0))-MAX($E173,DATE(cfg_FY,2,1))+1)*(1-IF($M173="نعم",0,N($J173))))</f>
        <v>0</v>
      </c>
      <c r="X173" s="110" t="n">
        <f aca="false">IF(OR($B173="",$E173="",$F173=""),0,MAX(0,MIN($F173,EOMONTH(DATE(cfg_FY,3,1),0))-MAX($E173,DATE(cfg_FY,3,1))+1)*(1-IF($M173="نعم",0,N($J173))))</f>
        <v>0</v>
      </c>
      <c r="Y173" s="110" t="n">
        <f aca="false">IF(OR($B173="",$E173="",$F173=""),0,MAX(0,MIN($F173,EOMONTH(DATE(cfg_FY,4,1),0))-MAX($E173,DATE(cfg_FY,4,1))+1)*(1-IF($M173="نعم",0,N($J173))))</f>
        <v>0</v>
      </c>
      <c r="Z173" s="110" t="n">
        <f aca="false">IF(OR($B173="",$E173="",$F173=""),0,MAX(0,MIN($F173,EOMONTH(DATE(cfg_FY,5,1),0))-MAX($E173,DATE(cfg_FY,5,1))+1)*(1-IF($M173="نعم",0,N($J173))))</f>
        <v>0</v>
      </c>
      <c r="AA173" s="110" t="n">
        <f aca="false">IF(OR($B173="",$E173="",$F173=""),0,MAX(0,MIN($F173,EOMONTH(DATE(cfg_FY,6,1),0))-MAX($E173,DATE(cfg_FY,6,1))+1)*(1-IF($M173="نعم",0,N($J173))))</f>
        <v>0</v>
      </c>
      <c r="AB173" s="110" t="n">
        <f aca="false">IF(OR($B173="",$E173="",$F173=""),0,MAX(0,MIN($F173,EOMONTH(DATE(cfg_FY,7,1),0))-MAX($E173,DATE(cfg_FY,7,1))+1)*(1-IF($M173="نعم",0,N($J173))))</f>
        <v>0</v>
      </c>
      <c r="AC173" s="110" t="n">
        <f aca="false">IF(OR($B173="",$E173="",$F173=""),0,MAX(0,MIN($F173,EOMONTH(DATE(cfg_FY,8,1),0))-MAX($E173,DATE(cfg_FY,8,1))+1)*(1-IF($M173="نعم",0,N($J173))))</f>
        <v>0</v>
      </c>
      <c r="AD173" s="110" t="n">
        <f aca="false">IF(OR($B173="",$E173="",$F173=""),0,MAX(0,MIN($F173,EOMONTH(DATE(cfg_FY,9,1),0))-MAX($E173,DATE(cfg_FY,9,1))+1)*(1-IF($M173="نعم",0,N($J173))))</f>
        <v>0</v>
      </c>
      <c r="AE173" s="110" t="n">
        <f aca="false">IF(OR($B173="",$E173="",$F173=""),0,MAX(0,MIN($F173,EOMONTH(DATE(cfg_FY,10,1),0))-MAX($E173,DATE(cfg_FY,10,1))+1)*(1-IF($M173="نعم",0,N($J173))))</f>
        <v>0</v>
      </c>
      <c r="AF173" s="110" t="n">
        <f aca="false">IF(OR($B173="",$E173="",$F173=""),0,MAX(0,MIN($F173,EOMONTH(DATE(cfg_FY,11,1),0))-MAX($E173,DATE(cfg_FY,11,1))+1)*(1-IF($M173="نعم",0,N($J173))))</f>
        <v>0</v>
      </c>
      <c r="AG173" s="110" t="n">
        <f aca="false">IF(OR($B173="",$E173="",$F173=""),0,MAX(0,MIN($F173,EOMONTH(DATE(cfg_FY,12,1),0))-MAX($E173,DATE(cfg_FY,12,1))+1)*(1-IF($M173="نعم",0,N($J173))))</f>
        <v>0</v>
      </c>
      <c r="AH173" s="110" t="n">
        <f aca="false">IF(OR(OR($B173="",$E173="",$F173=""),$L173&lt;&gt;"لا"),0,MAX(0,MIN($F173,EOMONTH(DATE(cfg_FY,1,1),0))-$E173+1))</f>
        <v>0</v>
      </c>
      <c r="AI173" s="110" t="n">
        <f aca="false">IF(OR(OR($B173="",$E173="",$F173=""),$L173&lt;&gt;"لا"),0,MAX(0,MIN($F173,EOMONTH(DATE(cfg_FY,2,1),0))-$E173+1))</f>
        <v>0</v>
      </c>
      <c r="AJ173" s="110" t="n">
        <f aca="false">IF(OR(OR($B173="",$E173="",$F173=""),$L173&lt;&gt;"لا"),0,MAX(0,MIN($F173,EOMONTH(DATE(cfg_FY,3,1),0))-$E173+1))</f>
        <v>0</v>
      </c>
      <c r="AK173" s="110" t="n">
        <f aca="false">IF(OR(OR($B173="",$E173="",$F173=""),$L173&lt;&gt;"لا"),0,MAX(0,MIN($F173,EOMONTH(DATE(cfg_FY,4,1),0))-$E173+1))</f>
        <v>0</v>
      </c>
      <c r="AL173" s="110" t="n">
        <f aca="false">IF(OR(OR($B173="",$E173="",$F173=""),$L173&lt;&gt;"لا"),0,MAX(0,MIN($F173,EOMONTH(DATE(cfg_FY,5,1),0))-$E173+1))</f>
        <v>0</v>
      </c>
      <c r="AM173" s="110" t="n">
        <f aca="false">IF(OR(OR($B173="",$E173="",$F173=""),$L173&lt;&gt;"لا"),0,MAX(0,MIN($F173,EOMONTH(DATE(cfg_FY,6,1),0))-$E173+1))</f>
        <v>0</v>
      </c>
      <c r="AN173" s="110" t="n">
        <f aca="false">IF(OR(OR($B173="",$E173="",$F173=""),$L173&lt;&gt;"لا"),0,MAX(0,MIN($F173,EOMONTH(DATE(cfg_FY,7,1),0))-$E173+1))</f>
        <v>0</v>
      </c>
      <c r="AO173" s="110" t="n">
        <f aca="false">IF(OR(OR($B173="",$E173="",$F173=""),$L173&lt;&gt;"لا"),0,MAX(0,MIN($F173,EOMONTH(DATE(cfg_FY,8,1),0))-$E173+1))</f>
        <v>0</v>
      </c>
      <c r="AP173" s="110" t="n">
        <f aca="false">IF(OR(OR($B173="",$E173="",$F173=""),$L173&lt;&gt;"لا"),0,MAX(0,MIN($F173,EOMONTH(DATE(cfg_FY,9,1),0))-$E173+1))</f>
        <v>0</v>
      </c>
      <c r="AQ173" s="110" t="n">
        <f aca="false">IF(OR(OR($B173="",$E173="",$F173=""),$L173&lt;&gt;"لا"),0,MAX(0,MIN($F173,EOMONTH(DATE(cfg_FY,10,1),0))-$E173+1))</f>
        <v>0</v>
      </c>
      <c r="AR173" s="110" t="n">
        <f aca="false">IF(OR(OR($B173="",$E173="",$F173=""),$L173&lt;&gt;"لا"),0,MAX(0,MIN($F173,EOMONTH(DATE(cfg_FY,11,1),0))-$E173+1))</f>
        <v>0</v>
      </c>
      <c r="AS173" s="110" t="n">
        <f aca="false">IF(OR(OR($B173="",$E173="",$F173=""),$L173&lt;&gt;"لا"),0,MAX(0,MIN($F173,EOMONTH(DATE(cfg_FY,12,1),0))-$E173+1))</f>
        <v>0</v>
      </c>
      <c r="AT173" s="110" t="n">
        <f aca="false">IF(OR(OR($B173="",$E173="",$F173=""),$K173&lt;&gt;"نعم",$M173="نعم"),0,MAX(0,MIN($F173,EOMONTH(DATE(cfg_FY,1,1),0))-MAX($E173,DATE(cfg_FY,1,1))+1))</f>
        <v>0</v>
      </c>
      <c r="AU173" s="110" t="n">
        <f aca="false">IF(OR(OR($B173="",$E173="",$F173=""),$K173&lt;&gt;"نعم",$M173="نعم"),0,MAX(0,MIN($F173,EOMONTH(DATE(cfg_FY,2,1),0))-MAX($E173,DATE(cfg_FY,2,1))+1))</f>
        <v>0</v>
      </c>
      <c r="AV173" s="110" t="n">
        <f aca="false">IF(OR(OR($B173="",$E173="",$F173=""),$K173&lt;&gt;"نعم",$M173="نعم"),0,MAX(0,MIN($F173,EOMONTH(DATE(cfg_FY,3,1),0))-MAX($E173,DATE(cfg_FY,3,1))+1))</f>
        <v>0</v>
      </c>
      <c r="AW173" s="110" t="n">
        <f aca="false">IF(OR(OR($B173="",$E173="",$F173=""),$K173&lt;&gt;"نعم",$M173="نعم"),0,MAX(0,MIN($F173,EOMONTH(DATE(cfg_FY,4,1),0))-MAX($E173,DATE(cfg_FY,4,1))+1))</f>
        <v>0</v>
      </c>
      <c r="AX173" s="110" t="n">
        <f aca="false">IF(OR(OR($B173="",$E173="",$F173=""),$K173&lt;&gt;"نعم",$M173="نعم"),0,MAX(0,MIN($F173,EOMONTH(DATE(cfg_FY,5,1),0))-MAX($E173,DATE(cfg_FY,5,1))+1))</f>
        <v>0</v>
      </c>
      <c r="AY173" s="110" t="n">
        <f aca="false">IF(OR(OR($B173="",$E173="",$F173=""),$K173&lt;&gt;"نعم",$M173="نعم"),0,MAX(0,MIN($F173,EOMONTH(DATE(cfg_FY,6,1),0))-MAX($E173,DATE(cfg_FY,6,1))+1))</f>
        <v>0</v>
      </c>
      <c r="AZ173" s="110" t="n">
        <f aca="false">IF(OR(OR($B173="",$E173="",$F173=""),$K173&lt;&gt;"نعم",$M173="نعم"),0,MAX(0,MIN($F173,EOMONTH(DATE(cfg_FY,7,1),0))-MAX($E173,DATE(cfg_FY,7,1))+1))</f>
        <v>0</v>
      </c>
      <c r="BA173" s="110" t="n">
        <f aca="false">IF(OR(OR($B173="",$E173="",$F173=""),$K173&lt;&gt;"نعم",$M173="نعم"),0,MAX(0,MIN($F173,EOMONTH(DATE(cfg_FY,8,1),0))-MAX($E173,DATE(cfg_FY,8,1))+1))</f>
        <v>0</v>
      </c>
      <c r="BB173" s="110" t="n">
        <f aca="false">IF(OR(OR($B173="",$E173="",$F173=""),$K173&lt;&gt;"نعم",$M173="نعم"),0,MAX(0,MIN($F173,EOMONTH(DATE(cfg_FY,9,1),0))-MAX($E173,DATE(cfg_FY,9,1))+1))</f>
        <v>0</v>
      </c>
      <c r="BC173" s="110" t="n">
        <f aca="false">IF(OR(OR($B173="",$E173="",$F173=""),$K173&lt;&gt;"نعم",$M173="نعم"),0,MAX(0,MIN($F173,EOMONTH(DATE(cfg_FY,10,1),0))-MAX($E173,DATE(cfg_FY,10,1))+1))</f>
        <v>0</v>
      </c>
      <c r="BD173" s="110" t="n">
        <f aca="false">IF(OR(OR($B173="",$E173="",$F173=""),$K173&lt;&gt;"نعم",$M173="نعم"),0,MAX(0,MIN($F173,EOMONTH(DATE(cfg_FY,11,1),0))-MAX($E173,DATE(cfg_FY,11,1))+1))</f>
        <v>0</v>
      </c>
      <c r="BE173" s="110" t="n">
        <f aca="false">IF(OR(OR($B173="",$E173="",$F173=""),$K173&lt;&gt;"نعم",$M173="نعم"),0,MAX(0,MIN($F173,EOMONTH(DATE(cfg_FY,12,1),0))-MAX($E173,DATE(cfg_FY,12,1))+1))</f>
        <v>0</v>
      </c>
    </row>
    <row r="174" customFormat="false" ht="15" hidden="false" customHeight="false" outlineLevel="0" collapsed="false">
      <c r="A174" s="93" t="str">
        <f aca="false">IF(B174="","",ROW()-5)</f>
        <v/>
      </c>
      <c r="B174" s="79"/>
      <c r="C174" s="80" t="str">
        <f aca="false">IF(B174="","",IFERROR(INDEX(الموظفون!$C$6:$C$105,MATCH(B174,الموظفون!$B$6:$B$105,0)),"✖ رقم غير موجود"))</f>
        <v/>
      </c>
      <c r="D174" s="79"/>
      <c r="E174" s="94"/>
      <c r="F174" s="94"/>
      <c r="G174" s="57" t="str">
        <f aca="false">IF(OR($B174="",$E174="",$F174=""),"",MAX(0,F174-E174+1))</f>
        <v/>
      </c>
      <c r="H174" s="58" t="str">
        <f aca="false">IF(D174="","",IFERROR(VLOOKUP(D174,cfg_LT,2,FALSE()),1))</f>
        <v/>
      </c>
      <c r="I174" s="82"/>
      <c r="J174" s="58" t="str">
        <f aca="false">IF(D174="","",IF(I174&lt;&gt;"",I174,H174))</f>
        <v/>
      </c>
      <c r="K174" s="80" t="str">
        <f aca="false">IF(D174="","",IFERROR(VLOOKUP($D174,cfg_LT,3,FALSE()),""))</f>
        <v/>
      </c>
      <c r="L174" s="80" t="str">
        <f aca="false">IF(D174="","",IFERROR(VLOOKUP($D174,cfg_LT,4,FALSE()),""))</f>
        <v/>
      </c>
      <c r="M174" s="80" t="str">
        <f aca="false">IF(D174="","",IFERROR(VLOOKUP($D174,cfg_LT,5,FALSE()),""))</f>
        <v/>
      </c>
      <c r="N174" s="97" t="n">
        <f aca="false">IF(OR(OR($B174="",$E174="",$F174=""),M174&lt;&gt;"نعم"),0,G174*J174*IFERROR(INDEX(الموظفون!$R$6:$R$105,MATCH(B174,الموظفون!$B$6:$B$105,0)),0)/cfg_DAYS_M)</f>
        <v>0</v>
      </c>
      <c r="O174" s="93" t="str">
        <f aca="false">IF(OR(OR($B174="",$E174="",$F174=""),M174&lt;&gt;"نعم"),"",IF(YEAR(E174)=cfg_FY,MONTH(E174),""))</f>
        <v/>
      </c>
      <c r="P174" s="80" t="str">
        <f aca="false">IF(B174="","",IF(OR(D174="",E174="",F174=""),"⚠ أكمل النوع والتواريخ",IF(F174&lt;E174,"✖ النهاية قبل البداية",IF(COUNTIFS($B$6:$B$505,B174,$E$6:$E$505,"&lt;="&amp;F174,$F$6:$F$505,"&gt;="&amp;E174)&gt;1,"⚠ تداخل مع سجل آخر",IF(E174&gt;cfg_VAL_DATE,"⏳ قادمة",IF(F174&lt;cfg_VAL_DATE,"✔ منتهية","✈ جارية في تاريخ التقرير"))))))</f>
        <v/>
      </c>
      <c r="Q174" s="79"/>
      <c r="R174" s="57" t="n">
        <f aca="false">IF(OR(OR($B174="",$E174="",$F174=""),L174&lt;&gt;"لا"),0,MAX(0,MIN(F174,cfg_Y_START-1)-E174+1))</f>
        <v>0</v>
      </c>
      <c r="S174" s="57" t="n">
        <f aca="false">IF(OR(OR($B174="",$E174="",$F174=""),L174&lt;&gt;"لا"),0,MAX(0,MIN(F174,cfg_VAL_DATE)-E174+1))</f>
        <v>0</v>
      </c>
      <c r="T174" s="57" t="n">
        <f aca="false">IF(OR(OR($B174="",$E174="",$F174=""),K174&lt;&gt;"نعم"),0,IF(M174="نعم",IF(AND(ISNUMBER(O174),N(O174)&lt;=cfg_VAL_M),G174,0),MAX(0,MIN(F174,cfg_VAL_DATE)-MAX(E174,cfg_Y_START)+1)))</f>
        <v>0</v>
      </c>
      <c r="V174" s="57" t="n">
        <f aca="false">IF(OR($B174="",$E174="",$F174=""),0,MAX(0,MIN($F174,EOMONTH(DATE(cfg_FY,1,1),0))-MAX($E174,DATE(cfg_FY,1,1))+1)*(1-IF($M174="نعم",0,N($J174))))</f>
        <v>0</v>
      </c>
      <c r="W174" s="57" t="n">
        <f aca="false">IF(OR($B174="",$E174="",$F174=""),0,MAX(0,MIN($F174,EOMONTH(DATE(cfg_FY,2,1),0))-MAX($E174,DATE(cfg_FY,2,1))+1)*(1-IF($M174="نعم",0,N($J174))))</f>
        <v>0</v>
      </c>
      <c r="X174" s="57" t="n">
        <f aca="false">IF(OR($B174="",$E174="",$F174=""),0,MAX(0,MIN($F174,EOMONTH(DATE(cfg_FY,3,1),0))-MAX($E174,DATE(cfg_FY,3,1))+1)*(1-IF($M174="نعم",0,N($J174))))</f>
        <v>0</v>
      </c>
      <c r="Y174" s="57" t="n">
        <f aca="false">IF(OR($B174="",$E174="",$F174=""),0,MAX(0,MIN($F174,EOMONTH(DATE(cfg_FY,4,1),0))-MAX($E174,DATE(cfg_FY,4,1))+1)*(1-IF($M174="نعم",0,N($J174))))</f>
        <v>0</v>
      </c>
      <c r="Z174" s="57" t="n">
        <f aca="false">IF(OR($B174="",$E174="",$F174=""),0,MAX(0,MIN($F174,EOMONTH(DATE(cfg_FY,5,1),0))-MAX($E174,DATE(cfg_FY,5,1))+1)*(1-IF($M174="نعم",0,N($J174))))</f>
        <v>0</v>
      </c>
      <c r="AA174" s="57" t="n">
        <f aca="false">IF(OR($B174="",$E174="",$F174=""),0,MAX(0,MIN($F174,EOMONTH(DATE(cfg_FY,6,1),0))-MAX($E174,DATE(cfg_FY,6,1))+1)*(1-IF($M174="نعم",0,N($J174))))</f>
        <v>0</v>
      </c>
      <c r="AB174" s="57" t="n">
        <f aca="false">IF(OR($B174="",$E174="",$F174=""),0,MAX(0,MIN($F174,EOMONTH(DATE(cfg_FY,7,1),0))-MAX($E174,DATE(cfg_FY,7,1))+1)*(1-IF($M174="نعم",0,N($J174))))</f>
        <v>0</v>
      </c>
      <c r="AC174" s="57" t="n">
        <f aca="false">IF(OR($B174="",$E174="",$F174=""),0,MAX(0,MIN($F174,EOMONTH(DATE(cfg_FY,8,1),0))-MAX($E174,DATE(cfg_FY,8,1))+1)*(1-IF($M174="نعم",0,N($J174))))</f>
        <v>0</v>
      </c>
      <c r="AD174" s="57" t="n">
        <f aca="false">IF(OR($B174="",$E174="",$F174=""),0,MAX(0,MIN($F174,EOMONTH(DATE(cfg_FY,9,1),0))-MAX($E174,DATE(cfg_FY,9,1))+1)*(1-IF($M174="نعم",0,N($J174))))</f>
        <v>0</v>
      </c>
      <c r="AE174" s="57" t="n">
        <f aca="false">IF(OR($B174="",$E174="",$F174=""),0,MAX(0,MIN($F174,EOMONTH(DATE(cfg_FY,10,1),0))-MAX($E174,DATE(cfg_FY,10,1))+1)*(1-IF($M174="نعم",0,N($J174))))</f>
        <v>0</v>
      </c>
      <c r="AF174" s="57" t="n">
        <f aca="false">IF(OR($B174="",$E174="",$F174=""),0,MAX(0,MIN($F174,EOMONTH(DATE(cfg_FY,11,1),0))-MAX($E174,DATE(cfg_FY,11,1))+1)*(1-IF($M174="نعم",0,N($J174))))</f>
        <v>0</v>
      </c>
      <c r="AG174" s="57" t="n">
        <f aca="false">IF(OR($B174="",$E174="",$F174=""),0,MAX(0,MIN($F174,EOMONTH(DATE(cfg_FY,12,1),0))-MAX($E174,DATE(cfg_FY,12,1))+1)*(1-IF($M174="نعم",0,N($J174))))</f>
        <v>0</v>
      </c>
      <c r="AH174" s="57" t="n">
        <f aca="false">IF(OR(OR($B174="",$E174="",$F174=""),$L174&lt;&gt;"لا"),0,MAX(0,MIN($F174,EOMONTH(DATE(cfg_FY,1,1),0))-$E174+1))</f>
        <v>0</v>
      </c>
      <c r="AI174" s="57" t="n">
        <f aca="false">IF(OR(OR($B174="",$E174="",$F174=""),$L174&lt;&gt;"لا"),0,MAX(0,MIN($F174,EOMONTH(DATE(cfg_FY,2,1),0))-$E174+1))</f>
        <v>0</v>
      </c>
      <c r="AJ174" s="57" t="n">
        <f aca="false">IF(OR(OR($B174="",$E174="",$F174=""),$L174&lt;&gt;"لا"),0,MAX(0,MIN($F174,EOMONTH(DATE(cfg_FY,3,1),0))-$E174+1))</f>
        <v>0</v>
      </c>
      <c r="AK174" s="57" t="n">
        <f aca="false">IF(OR(OR($B174="",$E174="",$F174=""),$L174&lt;&gt;"لا"),0,MAX(0,MIN($F174,EOMONTH(DATE(cfg_FY,4,1),0))-$E174+1))</f>
        <v>0</v>
      </c>
      <c r="AL174" s="57" t="n">
        <f aca="false">IF(OR(OR($B174="",$E174="",$F174=""),$L174&lt;&gt;"لا"),0,MAX(0,MIN($F174,EOMONTH(DATE(cfg_FY,5,1),0))-$E174+1))</f>
        <v>0</v>
      </c>
      <c r="AM174" s="57" t="n">
        <f aca="false">IF(OR(OR($B174="",$E174="",$F174=""),$L174&lt;&gt;"لا"),0,MAX(0,MIN($F174,EOMONTH(DATE(cfg_FY,6,1),0))-$E174+1))</f>
        <v>0</v>
      </c>
      <c r="AN174" s="57" t="n">
        <f aca="false">IF(OR(OR($B174="",$E174="",$F174=""),$L174&lt;&gt;"لا"),0,MAX(0,MIN($F174,EOMONTH(DATE(cfg_FY,7,1),0))-$E174+1))</f>
        <v>0</v>
      </c>
      <c r="AO174" s="57" t="n">
        <f aca="false">IF(OR(OR($B174="",$E174="",$F174=""),$L174&lt;&gt;"لا"),0,MAX(0,MIN($F174,EOMONTH(DATE(cfg_FY,8,1),0))-$E174+1))</f>
        <v>0</v>
      </c>
      <c r="AP174" s="57" t="n">
        <f aca="false">IF(OR(OR($B174="",$E174="",$F174=""),$L174&lt;&gt;"لا"),0,MAX(0,MIN($F174,EOMONTH(DATE(cfg_FY,9,1),0))-$E174+1))</f>
        <v>0</v>
      </c>
      <c r="AQ174" s="57" t="n">
        <f aca="false">IF(OR(OR($B174="",$E174="",$F174=""),$L174&lt;&gt;"لا"),0,MAX(0,MIN($F174,EOMONTH(DATE(cfg_FY,10,1),0))-$E174+1))</f>
        <v>0</v>
      </c>
      <c r="AR174" s="57" t="n">
        <f aca="false">IF(OR(OR($B174="",$E174="",$F174=""),$L174&lt;&gt;"لا"),0,MAX(0,MIN($F174,EOMONTH(DATE(cfg_FY,11,1),0))-$E174+1))</f>
        <v>0</v>
      </c>
      <c r="AS174" s="57" t="n">
        <f aca="false">IF(OR(OR($B174="",$E174="",$F174=""),$L174&lt;&gt;"لا"),0,MAX(0,MIN($F174,EOMONTH(DATE(cfg_FY,12,1),0))-$E174+1))</f>
        <v>0</v>
      </c>
      <c r="AT174" s="57" t="n">
        <f aca="false">IF(OR(OR($B174="",$E174="",$F174=""),$K174&lt;&gt;"نعم",$M174="نعم"),0,MAX(0,MIN($F174,EOMONTH(DATE(cfg_FY,1,1),0))-MAX($E174,DATE(cfg_FY,1,1))+1))</f>
        <v>0</v>
      </c>
      <c r="AU174" s="57" t="n">
        <f aca="false">IF(OR(OR($B174="",$E174="",$F174=""),$K174&lt;&gt;"نعم",$M174="نعم"),0,MAX(0,MIN($F174,EOMONTH(DATE(cfg_FY,2,1),0))-MAX($E174,DATE(cfg_FY,2,1))+1))</f>
        <v>0</v>
      </c>
      <c r="AV174" s="57" t="n">
        <f aca="false">IF(OR(OR($B174="",$E174="",$F174=""),$K174&lt;&gt;"نعم",$M174="نعم"),0,MAX(0,MIN($F174,EOMONTH(DATE(cfg_FY,3,1),0))-MAX($E174,DATE(cfg_FY,3,1))+1))</f>
        <v>0</v>
      </c>
      <c r="AW174" s="57" t="n">
        <f aca="false">IF(OR(OR($B174="",$E174="",$F174=""),$K174&lt;&gt;"نعم",$M174="نعم"),0,MAX(0,MIN($F174,EOMONTH(DATE(cfg_FY,4,1),0))-MAX($E174,DATE(cfg_FY,4,1))+1))</f>
        <v>0</v>
      </c>
      <c r="AX174" s="57" t="n">
        <f aca="false">IF(OR(OR($B174="",$E174="",$F174=""),$K174&lt;&gt;"نعم",$M174="نعم"),0,MAX(0,MIN($F174,EOMONTH(DATE(cfg_FY,5,1),0))-MAX($E174,DATE(cfg_FY,5,1))+1))</f>
        <v>0</v>
      </c>
      <c r="AY174" s="57" t="n">
        <f aca="false">IF(OR(OR($B174="",$E174="",$F174=""),$K174&lt;&gt;"نعم",$M174="نعم"),0,MAX(0,MIN($F174,EOMONTH(DATE(cfg_FY,6,1),0))-MAX($E174,DATE(cfg_FY,6,1))+1))</f>
        <v>0</v>
      </c>
      <c r="AZ174" s="57" t="n">
        <f aca="false">IF(OR(OR($B174="",$E174="",$F174=""),$K174&lt;&gt;"نعم",$M174="نعم"),0,MAX(0,MIN($F174,EOMONTH(DATE(cfg_FY,7,1),0))-MAX($E174,DATE(cfg_FY,7,1))+1))</f>
        <v>0</v>
      </c>
      <c r="BA174" s="57" t="n">
        <f aca="false">IF(OR(OR($B174="",$E174="",$F174=""),$K174&lt;&gt;"نعم",$M174="نعم"),0,MAX(0,MIN($F174,EOMONTH(DATE(cfg_FY,8,1),0))-MAX($E174,DATE(cfg_FY,8,1))+1))</f>
        <v>0</v>
      </c>
      <c r="BB174" s="57" t="n">
        <f aca="false">IF(OR(OR($B174="",$E174="",$F174=""),$K174&lt;&gt;"نعم",$M174="نعم"),0,MAX(0,MIN($F174,EOMONTH(DATE(cfg_FY,9,1),0))-MAX($E174,DATE(cfg_FY,9,1))+1))</f>
        <v>0</v>
      </c>
      <c r="BC174" s="57" t="n">
        <f aca="false">IF(OR(OR($B174="",$E174="",$F174=""),$K174&lt;&gt;"نعم",$M174="نعم"),0,MAX(0,MIN($F174,EOMONTH(DATE(cfg_FY,10,1),0))-MAX($E174,DATE(cfg_FY,10,1))+1))</f>
        <v>0</v>
      </c>
      <c r="BD174" s="57" t="n">
        <f aca="false">IF(OR(OR($B174="",$E174="",$F174=""),$K174&lt;&gt;"نعم",$M174="نعم"),0,MAX(0,MIN($F174,EOMONTH(DATE(cfg_FY,11,1),0))-MAX($E174,DATE(cfg_FY,11,1))+1))</f>
        <v>0</v>
      </c>
      <c r="BE174" s="57" t="n">
        <f aca="false">IF(OR(OR($B174="",$E174="",$F174=""),$K174&lt;&gt;"نعم",$M174="نعم"),0,MAX(0,MIN($F174,EOMONTH(DATE(cfg_FY,12,1),0))-MAX($E174,DATE(cfg_FY,12,1))+1))</f>
        <v>0</v>
      </c>
    </row>
    <row r="175" customFormat="false" ht="15" hidden="false" customHeight="false" outlineLevel="0" collapsed="false">
      <c r="A175" s="100" t="str">
        <f aca="false">IF(B175="","",ROW()-5)</f>
        <v/>
      </c>
      <c r="B175" s="79"/>
      <c r="C175" s="102" t="str">
        <f aca="false">IF(B175="","",IFERROR(INDEX(الموظفون!$C$6:$C$105,MATCH(B175,الموظفون!$B$6:$B$105,0)),"✖ رقم غير موجود"))</f>
        <v/>
      </c>
      <c r="D175" s="79"/>
      <c r="E175" s="94"/>
      <c r="F175" s="94"/>
      <c r="G175" s="110" t="str">
        <f aca="false">IF(OR($B175="",$E175="",$F175=""),"",MAX(0,F175-E175+1))</f>
        <v/>
      </c>
      <c r="H175" s="111" t="str">
        <f aca="false">IF(D175="","",IFERROR(VLOOKUP(D175,cfg_LT,2,FALSE()),1))</f>
        <v/>
      </c>
      <c r="I175" s="82"/>
      <c r="J175" s="111" t="str">
        <f aca="false">IF(D175="","",IF(I175&lt;&gt;"",I175,H175))</f>
        <v/>
      </c>
      <c r="K175" s="102" t="str">
        <f aca="false">IF(D175="","",IFERROR(VLOOKUP($D175,cfg_LT,3,FALSE()),""))</f>
        <v/>
      </c>
      <c r="L175" s="102" t="str">
        <f aca="false">IF(D175="","",IFERROR(VLOOKUP($D175,cfg_LT,4,FALSE()),""))</f>
        <v/>
      </c>
      <c r="M175" s="102" t="str">
        <f aca="false">IF(D175="","",IFERROR(VLOOKUP($D175,cfg_LT,5,FALSE()),""))</f>
        <v/>
      </c>
      <c r="N175" s="101" t="n">
        <f aca="false">IF(OR(OR($B175="",$E175="",$F175=""),M175&lt;&gt;"نعم"),0,G175*J175*IFERROR(INDEX(الموظفون!$R$6:$R$105,MATCH(B175,الموظفون!$B$6:$B$105,0)),0)/cfg_DAYS_M)</f>
        <v>0</v>
      </c>
      <c r="O175" s="100" t="str">
        <f aca="false">IF(OR(OR($B175="",$E175="",$F175=""),M175&lt;&gt;"نعم"),"",IF(YEAR(E175)=cfg_FY,MONTH(E175),""))</f>
        <v/>
      </c>
      <c r="P175" s="102" t="str">
        <f aca="false">IF(B175="","",IF(OR(D175="",E175="",F175=""),"⚠ أكمل النوع والتواريخ",IF(F175&lt;E175,"✖ النهاية قبل البداية",IF(COUNTIFS($B$6:$B$505,B175,$E$6:$E$505,"&lt;="&amp;F175,$F$6:$F$505,"&gt;="&amp;E175)&gt;1,"⚠ تداخل مع سجل آخر",IF(E175&gt;cfg_VAL_DATE,"⏳ قادمة",IF(F175&lt;cfg_VAL_DATE,"✔ منتهية","✈ جارية في تاريخ التقرير"))))))</f>
        <v/>
      </c>
      <c r="Q175" s="79"/>
      <c r="R175" s="110" t="n">
        <f aca="false">IF(OR(OR($B175="",$E175="",$F175=""),L175&lt;&gt;"لا"),0,MAX(0,MIN(F175,cfg_Y_START-1)-E175+1))</f>
        <v>0</v>
      </c>
      <c r="S175" s="110" t="n">
        <f aca="false">IF(OR(OR($B175="",$E175="",$F175=""),L175&lt;&gt;"لا"),0,MAX(0,MIN(F175,cfg_VAL_DATE)-E175+1))</f>
        <v>0</v>
      </c>
      <c r="T175" s="110" t="n">
        <f aca="false">IF(OR(OR($B175="",$E175="",$F175=""),K175&lt;&gt;"نعم"),0,IF(M175="نعم",IF(AND(ISNUMBER(O175),N(O175)&lt;=cfg_VAL_M),G175,0),MAX(0,MIN(F175,cfg_VAL_DATE)-MAX(E175,cfg_Y_START)+1)))</f>
        <v>0</v>
      </c>
      <c r="V175" s="110" t="n">
        <f aca="false">IF(OR($B175="",$E175="",$F175=""),0,MAX(0,MIN($F175,EOMONTH(DATE(cfg_FY,1,1),0))-MAX($E175,DATE(cfg_FY,1,1))+1)*(1-IF($M175="نعم",0,N($J175))))</f>
        <v>0</v>
      </c>
      <c r="W175" s="110" t="n">
        <f aca="false">IF(OR($B175="",$E175="",$F175=""),0,MAX(0,MIN($F175,EOMONTH(DATE(cfg_FY,2,1),0))-MAX($E175,DATE(cfg_FY,2,1))+1)*(1-IF($M175="نعم",0,N($J175))))</f>
        <v>0</v>
      </c>
      <c r="X175" s="110" t="n">
        <f aca="false">IF(OR($B175="",$E175="",$F175=""),0,MAX(0,MIN($F175,EOMONTH(DATE(cfg_FY,3,1),0))-MAX($E175,DATE(cfg_FY,3,1))+1)*(1-IF($M175="نعم",0,N($J175))))</f>
        <v>0</v>
      </c>
      <c r="Y175" s="110" t="n">
        <f aca="false">IF(OR($B175="",$E175="",$F175=""),0,MAX(0,MIN($F175,EOMONTH(DATE(cfg_FY,4,1),0))-MAX($E175,DATE(cfg_FY,4,1))+1)*(1-IF($M175="نعم",0,N($J175))))</f>
        <v>0</v>
      </c>
      <c r="Z175" s="110" t="n">
        <f aca="false">IF(OR($B175="",$E175="",$F175=""),0,MAX(0,MIN($F175,EOMONTH(DATE(cfg_FY,5,1),0))-MAX($E175,DATE(cfg_FY,5,1))+1)*(1-IF($M175="نعم",0,N($J175))))</f>
        <v>0</v>
      </c>
      <c r="AA175" s="110" t="n">
        <f aca="false">IF(OR($B175="",$E175="",$F175=""),0,MAX(0,MIN($F175,EOMONTH(DATE(cfg_FY,6,1),0))-MAX($E175,DATE(cfg_FY,6,1))+1)*(1-IF($M175="نعم",0,N($J175))))</f>
        <v>0</v>
      </c>
      <c r="AB175" s="110" t="n">
        <f aca="false">IF(OR($B175="",$E175="",$F175=""),0,MAX(0,MIN($F175,EOMONTH(DATE(cfg_FY,7,1),0))-MAX($E175,DATE(cfg_FY,7,1))+1)*(1-IF($M175="نعم",0,N($J175))))</f>
        <v>0</v>
      </c>
      <c r="AC175" s="110" t="n">
        <f aca="false">IF(OR($B175="",$E175="",$F175=""),0,MAX(0,MIN($F175,EOMONTH(DATE(cfg_FY,8,1),0))-MAX($E175,DATE(cfg_FY,8,1))+1)*(1-IF($M175="نعم",0,N($J175))))</f>
        <v>0</v>
      </c>
      <c r="AD175" s="110" t="n">
        <f aca="false">IF(OR($B175="",$E175="",$F175=""),0,MAX(0,MIN($F175,EOMONTH(DATE(cfg_FY,9,1),0))-MAX($E175,DATE(cfg_FY,9,1))+1)*(1-IF($M175="نعم",0,N($J175))))</f>
        <v>0</v>
      </c>
      <c r="AE175" s="110" t="n">
        <f aca="false">IF(OR($B175="",$E175="",$F175=""),0,MAX(0,MIN($F175,EOMONTH(DATE(cfg_FY,10,1),0))-MAX($E175,DATE(cfg_FY,10,1))+1)*(1-IF($M175="نعم",0,N($J175))))</f>
        <v>0</v>
      </c>
      <c r="AF175" s="110" t="n">
        <f aca="false">IF(OR($B175="",$E175="",$F175=""),0,MAX(0,MIN($F175,EOMONTH(DATE(cfg_FY,11,1),0))-MAX($E175,DATE(cfg_FY,11,1))+1)*(1-IF($M175="نعم",0,N($J175))))</f>
        <v>0</v>
      </c>
      <c r="AG175" s="110" t="n">
        <f aca="false">IF(OR($B175="",$E175="",$F175=""),0,MAX(0,MIN($F175,EOMONTH(DATE(cfg_FY,12,1),0))-MAX($E175,DATE(cfg_FY,12,1))+1)*(1-IF($M175="نعم",0,N($J175))))</f>
        <v>0</v>
      </c>
      <c r="AH175" s="110" t="n">
        <f aca="false">IF(OR(OR($B175="",$E175="",$F175=""),$L175&lt;&gt;"لا"),0,MAX(0,MIN($F175,EOMONTH(DATE(cfg_FY,1,1),0))-$E175+1))</f>
        <v>0</v>
      </c>
      <c r="AI175" s="110" t="n">
        <f aca="false">IF(OR(OR($B175="",$E175="",$F175=""),$L175&lt;&gt;"لا"),0,MAX(0,MIN($F175,EOMONTH(DATE(cfg_FY,2,1),0))-$E175+1))</f>
        <v>0</v>
      </c>
      <c r="AJ175" s="110" t="n">
        <f aca="false">IF(OR(OR($B175="",$E175="",$F175=""),$L175&lt;&gt;"لا"),0,MAX(0,MIN($F175,EOMONTH(DATE(cfg_FY,3,1),0))-$E175+1))</f>
        <v>0</v>
      </c>
      <c r="AK175" s="110" t="n">
        <f aca="false">IF(OR(OR($B175="",$E175="",$F175=""),$L175&lt;&gt;"لا"),0,MAX(0,MIN($F175,EOMONTH(DATE(cfg_FY,4,1),0))-$E175+1))</f>
        <v>0</v>
      </c>
      <c r="AL175" s="110" t="n">
        <f aca="false">IF(OR(OR($B175="",$E175="",$F175=""),$L175&lt;&gt;"لا"),0,MAX(0,MIN($F175,EOMONTH(DATE(cfg_FY,5,1),0))-$E175+1))</f>
        <v>0</v>
      </c>
      <c r="AM175" s="110" t="n">
        <f aca="false">IF(OR(OR($B175="",$E175="",$F175=""),$L175&lt;&gt;"لا"),0,MAX(0,MIN($F175,EOMONTH(DATE(cfg_FY,6,1),0))-$E175+1))</f>
        <v>0</v>
      </c>
      <c r="AN175" s="110" t="n">
        <f aca="false">IF(OR(OR($B175="",$E175="",$F175=""),$L175&lt;&gt;"لا"),0,MAX(0,MIN($F175,EOMONTH(DATE(cfg_FY,7,1),0))-$E175+1))</f>
        <v>0</v>
      </c>
      <c r="AO175" s="110" t="n">
        <f aca="false">IF(OR(OR($B175="",$E175="",$F175=""),$L175&lt;&gt;"لا"),0,MAX(0,MIN($F175,EOMONTH(DATE(cfg_FY,8,1),0))-$E175+1))</f>
        <v>0</v>
      </c>
      <c r="AP175" s="110" t="n">
        <f aca="false">IF(OR(OR($B175="",$E175="",$F175=""),$L175&lt;&gt;"لا"),0,MAX(0,MIN($F175,EOMONTH(DATE(cfg_FY,9,1),0))-$E175+1))</f>
        <v>0</v>
      </c>
      <c r="AQ175" s="110" t="n">
        <f aca="false">IF(OR(OR($B175="",$E175="",$F175=""),$L175&lt;&gt;"لا"),0,MAX(0,MIN($F175,EOMONTH(DATE(cfg_FY,10,1),0))-$E175+1))</f>
        <v>0</v>
      </c>
      <c r="AR175" s="110" t="n">
        <f aca="false">IF(OR(OR($B175="",$E175="",$F175=""),$L175&lt;&gt;"لا"),0,MAX(0,MIN($F175,EOMONTH(DATE(cfg_FY,11,1),0))-$E175+1))</f>
        <v>0</v>
      </c>
      <c r="AS175" s="110" t="n">
        <f aca="false">IF(OR(OR($B175="",$E175="",$F175=""),$L175&lt;&gt;"لا"),0,MAX(0,MIN($F175,EOMONTH(DATE(cfg_FY,12,1),0))-$E175+1))</f>
        <v>0</v>
      </c>
      <c r="AT175" s="110" t="n">
        <f aca="false">IF(OR(OR($B175="",$E175="",$F175=""),$K175&lt;&gt;"نعم",$M175="نعم"),0,MAX(0,MIN($F175,EOMONTH(DATE(cfg_FY,1,1),0))-MAX($E175,DATE(cfg_FY,1,1))+1))</f>
        <v>0</v>
      </c>
      <c r="AU175" s="110" t="n">
        <f aca="false">IF(OR(OR($B175="",$E175="",$F175=""),$K175&lt;&gt;"نعم",$M175="نعم"),0,MAX(0,MIN($F175,EOMONTH(DATE(cfg_FY,2,1),0))-MAX($E175,DATE(cfg_FY,2,1))+1))</f>
        <v>0</v>
      </c>
      <c r="AV175" s="110" t="n">
        <f aca="false">IF(OR(OR($B175="",$E175="",$F175=""),$K175&lt;&gt;"نعم",$M175="نعم"),0,MAX(0,MIN($F175,EOMONTH(DATE(cfg_FY,3,1),0))-MAX($E175,DATE(cfg_FY,3,1))+1))</f>
        <v>0</v>
      </c>
      <c r="AW175" s="110" t="n">
        <f aca="false">IF(OR(OR($B175="",$E175="",$F175=""),$K175&lt;&gt;"نعم",$M175="نعم"),0,MAX(0,MIN($F175,EOMONTH(DATE(cfg_FY,4,1),0))-MAX($E175,DATE(cfg_FY,4,1))+1))</f>
        <v>0</v>
      </c>
      <c r="AX175" s="110" t="n">
        <f aca="false">IF(OR(OR($B175="",$E175="",$F175=""),$K175&lt;&gt;"نعم",$M175="نعم"),0,MAX(0,MIN($F175,EOMONTH(DATE(cfg_FY,5,1),0))-MAX($E175,DATE(cfg_FY,5,1))+1))</f>
        <v>0</v>
      </c>
      <c r="AY175" s="110" t="n">
        <f aca="false">IF(OR(OR($B175="",$E175="",$F175=""),$K175&lt;&gt;"نعم",$M175="نعم"),0,MAX(0,MIN($F175,EOMONTH(DATE(cfg_FY,6,1),0))-MAX($E175,DATE(cfg_FY,6,1))+1))</f>
        <v>0</v>
      </c>
      <c r="AZ175" s="110" t="n">
        <f aca="false">IF(OR(OR($B175="",$E175="",$F175=""),$K175&lt;&gt;"نعم",$M175="نعم"),0,MAX(0,MIN($F175,EOMONTH(DATE(cfg_FY,7,1),0))-MAX($E175,DATE(cfg_FY,7,1))+1))</f>
        <v>0</v>
      </c>
      <c r="BA175" s="110" t="n">
        <f aca="false">IF(OR(OR($B175="",$E175="",$F175=""),$K175&lt;&gt;"نعم",$M175="نعم"),0,MAX(0,MIN($F175,EOMONTH(DATE(cfg_FY,8,1),0))-MAX($E175,DATE(cfg_FY,8,1))+1))</f>
        <v>0</v>
      </c>
      <c r="BB175" s="110" t="n">
        <f aca="false">IF(OR(OR($B175="",$E175="",$F175=""),$K175&lt;&gt;"نعم",$M175="نعم"),0,MAX(0,MIN($F175,EOMONTH(DATE(cfg_FY,9,1),0))-MAX($E175,DATE(cfg_FY,9,1))+1))</f>
        <v>0</v>
      </c>
      <c r="BC175" s="110" t="n">
        <f aca="false">IF(OR(OR($B175="",$E175="",$F175=""),$K175&lt;&gt;"نعم",$M175="نعم"),0,MAX(0,MIN($F175,EOMONTH(DATE(cfg_FY,10,1),0))-MAX($E175,DATE(cfg_FY,10,1))+1))</f>
        <v>0</v>
      </c>
      <c r="BD175" s="110" t="n">
        <f aca="false">IF(OR(OR($B175="",$E175="",$F175=""),$K175&lt;&gt;"نعم",$M175="نعم"),0,MAX(0,MIN($F175,EOMONTH(DATE(cfg_FY,11,1),0))-MAX($E175,DATE(cfg_FY,11,1))+1))</f>
        <v>0</v>
      </c>
      <c r="BE175" s="110" t="n">
        <f aca="false">IF(OR(OR($B175="",$E175="",$F175=""),$K175&lt;&gt;"نعم",$M175="نعم"),0,MAX(0,MIN($F175,EOMONTH(DATE(cfg_FY,12,1),0))-MAX($E175,DATE(cfg_FY,12,1))+1))</f>
        <v>0</v>
      </c>
    </row>
    <row r="176" customFormat="false" ht="15" hidden="false" customHeight="false" outlineLevel="0" collapsed="false">
      <c r="A176" s="93" t="str">
        <f aca="false">IF(B176="","",ROW()-5)</f>
        <v/>
      </c>
      <c r="B176" s="79"/>
      <c r="C176" s="80" t="str">
        <f aca="false">IF(B176="","",IFERROR(INDEX(الموظفون!$C$6:$C$105,MATCH(B176,الموظفون!$B$6:$B$105,0)),"✖ رقم غير موجود"))</f>
        <v/>
      </c>
      <c r="D176" s="79"/>
      <c r="E176" s="94"/>
      <c r="F176" s="94"/>
      <c r="G176" s="57" t="str">
        <f aca="false">IF(OR($B176="",$E176="",$F176=""),"",MAX(0,F176-E176+1))</f>
        <v/>
      </c>
      <c r="H176" s="58" t="str">
        <f aca="false">IF(D176="","",IFERROR(VLOOKUP(D176,cfg_LT,2,FALSE()),1))</f>
        <v/>
      </c>
      <c r="I176" s="82"/>
      <c r="J176" s="58" t="str">
        <f aca="false">IF(D176="","",IF(I176&lt;&gt;"",I176,H176))</f>
        <v/>
      </c>
      <c r="K176" s="80" t="str">
        <f aca="false">IF(D176="","",IFERROR(VLOOKUP($D176,cfg_LT,3,FALSE()),""))</f>
        <v/>
      </c>
      <c r="L176" s="80" t="str">
        <f aca="false">IF(D176="","",IFERROR(VLOOKUP($D176,cfg_LT,4,FALSE()),""))</f>
        <v/>
      </c>
      <c r="M176" s="80" t="str">
        <f aca="false">IF(D176="","",IFERROR(VLOOKUP($D176,cfg_LT,5,FALSE()),""))</f>
        <v/>
      </c>
      <c r="N176" s="97" t="n">
        <f aca="false">IF(OR(OR($B176="",$E176="",$F176=""),M176&lt;&gt;"نعم"),0,G176*J176*IFERROR(INDEX(الموظفون!$R$6:$R$105,MATCH(B176,الموظفون!$B$6:$B$105,0)),0)/cfg_DAYS_M)</f>
        <v>0</v>
      </c>
      <c r="O176" s="93" t="str">
        <f aca="false">IF(OR(OR($B176="",$E176="",$F176=""),M176&lt;&gt;"نعم"),"",IF(YEAR(E176)=cfg_FY,MONTH(E176),""))</f>
        <v/>
      </c>
      <c r="P176" s="80" t="str">
        <f aca="false">IF(B176="","",IF(OR(D176="",E176="",F176=""),"⚠ أكمل النوع والتواريخ",IF(F176&lt;E176,"✖ النهاية قبل البداية",IF(COUNTIFS($B$6:$B$505,B176,$E$6:$E$505,"&lt;="&amp;F176,$F$6:$F$505,"&gt;="&amp;E176)&gt;1,"⚠ تداخل مع سجل آخر",IF(E176&gt;cfg_VAL_DATE,"⏳ قادمة",IF(F176&lt;cfg_VAL_DATE,"✔ منتهية","✈ جارية في تاريخ التقرير"))))))</f>
        <v/>
      </c>
      <c r="Q176" s="79"/>
      <c r="R176" s="57" t="n">
        <f aca="false">IF(OR(OR($B176="",$E176="",$F176=""),L176&lt;&gt;"لا"),0,MAX(0,MIN(F176,cfg_Y_START-1)-E176+1))</f>
        <v>0</v>
      </c>
      <c r="S176" s="57" t="n">
        <f aca="false">IF(OR(OR($B176="",$E176="",$F176=""),L176&lt;&gt;"لا"),0,MAX(0,MIN(F176,cfg_VAL_DATE)-E176+1))</f>
        <v>0</v>
      </c>
      <c r="T176" s="57" t="n">
        <f aca="false">IF(OR(OR($B176="",$E176="",$F176=""),K176&lt;&gt;"نعم"),0,IF(M176="نعم",IF(AND(ISNUMBER(O176),N(O176)&lt;=cfg_VAL_M),G176,0),MAX(0,MIN(F176,cfg_VAL_DATE)-MAX(E176,cfg_Y_START)+1)))</f>
        <v>0</v>
      </c>
      <c r="V176" s="57" t="n">
        <f aca="false">IF(OR($B176="",$E176="",$F176=""),0,MAX(0,MIN($F176,EOMONTH(DATE(cfg_FY,1,1),0))-MAX($E176,DATE(cfg_FY,1,1))+1)*(1-IF($M176="نعم",0,N($J176))))</f>
        <v>0</v>
      </c>
      <c r="W176" s="57" t="n">
        <f aca="false">IF(OR($B176="",$E176="",$F176=""),0,MAX(0,MIN($F176,EOMONTH(DATE(cfg_FY,2,1),0))-MAX($E176,DATE(cfg_FY,2,1))+1)*(1-IF($M176="نعم",0,N($J176))))</f>
        <v>0</v>
      </c>
      <c r="X176" s="57" t="n">
        <f aca="false">IF(OR($B176="",$E176="",$F176=""),0,MAX(0,MIN($F176,EOMONTH(DATE(cfg_FY,3,1),0))-MAX($E176,DATE(cfg_FY,3,1))+1)*(1-IF($M176="نعم",0,N($J176))))</f>
        <v>0</v>
      </c>
      <c r="Y176" s="57" t="n">
        <f aca="false">IF(OR($B176="",$E176="",$F176=""),0,MAX(0,MIN($F176,EOMONTH(DATE(cfg_FY,4,1),0))-MAX($E176,DATE(cfg_FY,4,1))+1)*(1-IF($M176="نعم",0,N($J176))))</f>
        <v>0</v>
      </c>
      <c r="Z176" s="57" t="n">
        <f aca="false">IF(OR($B176="",$E176="",$F176=""),0,MAX(0,MIN($F176,EOMONTH(DATE(cfg_FY,5,1),0))-MAX($E176,DATE(cfg_FY,5,1))+1)*(1-IF($M176="نعم",0,N($J176))))</f>
        <v>0</v>
      </c>
      <c r="AA176" s="57" t="n">
        <f aca="false">IF(OR($B176="",$E176="",$F176=""),0,MAX(0,MIN($F176,EOMONTH(DATE(cfg_FY,6,1),0))-MAX($E176,DATE(cfg_FY,6,1))+1)*(1-IF($M176="نعم",0,N($J176))))</f>
        <v>0</v>
      </c>
      <c r="AB176" s="57" t="n">
        <f aca="false">IF(OR($B176="",$E176="",$F176=""),0,MAX(0,MIN($F176,EOMONTH(DATE(cfg_FY,7,1),0))-MAX($E176,DATE(cfg_FY,7,1))+1)*(1-IF($M176="نعم",0,N($J176))))</f>
        <v>0</v>
      </c>
      <c r="AC176" s="57" t="n">
        <f aca="false">IF(OR($B176="",$E176="",$F176=""),0,MAX(0,MIN($F176,EOMONTH(DATE(cfg_FY,8,1),0))-MAX($E176,DATE(cfg_FY,8,1))+1)*(1-IF($M176="نعم",0,N($J176))))</f>
        <v>0</v>
      </c>
      <c r="AD176" s="57" t="n">
        <f aca="false">IF(OR($B176="",$E176="",$F176=""),0,MAX(0,MIN($F176,EOMONTH(DATE(cfg_FY,9,1),0))-MAX($E176,DATE(cfg_FY,9,1))+1)*(1-IF($M176="نعم",0,N($J176))))</f>
        <v>0</v>
      </c>
      <c r="AE176" s="57" t="n">
        <f aca="false">IF(OR($B176="",$E176="",$F176=""),0,MAX(0,MIN($F176,EOMONTH(DATE(cfg_FY,10,1),0))-MAX($E176,DATE(cfg_FY,10,1))+1)*(1-IF($M176="نعم",0,N($J176))))</f>
        <v>0</v>
      </c>
      <c r="AF176" s="57" t="n">
        <f aca="false">IF(OR($B176="",$E176="",$F176=""),0,MAX(0,MIN($F176,EOMONTH(DATE(cfg_FY,11,1),0))-MAX($E176,DATE(cfg_FY,11,1))+1)*(1-IF($M176="نعم",0,N($J176))))</f>
        <v>0</v>
      </c>
      <c r="AG176" s="57" t="n">
        <f aca="false">IF(OR($B176="",$E176="",$F176=""),0,MAX(0,MIN($F176,EOMONTH(DATE(cfg_FY,12,1),0))-MAX($E176,DATE(cfg_FY,12,1))+1)*(1-IF($M176="نعم",0,N($J176))))</f>
        <v>0</v>
      </c>
      <c r="AH176" s="57" t="n">
        <f aca="false">IF(OR(OR($B176="",$E176="",$F176=""),$L176&lt;&gt;"لا"),0,MAX(0,MIN($F176,EOMONTH(DATE(cfg_FY,1,1),0))-$E176+1))</f>
        <v>0</v>
      </c>
      <c r="AI176" s="57" t="n">
        <f aca="false">IF(OR(OR($B176="",$E176="",$F176=""),$L176&lt;&gt;"لا"),0,MAX(0,MIN($F176,EOMONTH(DATE(cfg_FY,2,1),0))-$E176+1))</f>
        <v>0</v>
      </c>
      <c r="AJ176" s="57" t="n">
        <f aca="false">IF(OR(OR($B176="",$E176="",$F176=""),$L176&lt;&gt;"لا"),0,MAX(0,MIN($F176,EOMONTH(DATE(cfg_FY,3,1),0))-$E176+1))</f>
        <v>0</v>
      </c>
      <c r="AK176" s="57" t="n">
        <f aca="false">IF(OR(OR($B176="",$E176="",$F176=""),$L176&lt;&gt;"لا"),0,MAX(0,MIN($F176,EOMONTH(DATE(cfg_FY,4,1),0))-$E176+1))</f>
        <v>0</v>
      </c>
      <c r="AL176" s="57" t="n">
        <f aca="false">IF(OR(OR($B176="",$E176="",$F176=""),$L176&lt;&gt;"لا"),0,MAX(0,MIN($F176,EOMONTH(DATE(cfg_FY,5,1),0))-$E176+1))</f>
        <v>0</v>
      </c>
      <c r="AM176" s="57" t="n">
        <f aca="false">IF(OR(OR($B176="",$E176="",$F176=""),$L176&lt;&gt;"لا"),0,MAX(0,MIN($F176,EOMONTH(DATE(cfg_FY,6,1),0))-$E176+1))</f>
        <v>0</v>
      </c>
      <c r="AN176" s="57" t="n">
        <f aca="false">IF(OR(OR($B176="",$E176="",$F176=""),$L176&lt;&gt;"لا"),0,MAX(0,MIN($F176,EOMONTH(DATE(cfg_FY,7,1),0))-$E176+1))</f>
        <v>0</v>
      </c>
      <c r="AO176" s="57" t="n">
        <f aca="false">IF(OR(OR($B176="",$E176="",$F176=""),$L176&lt;&gt;"لا"),0,MAX(0,MIN($F176,EOMONTH(DATE(cfg_FY,8,1),0))-$E176+1))</f>
        <v>0</v>
      </c>
      <c r="AP176" s="57" t="n">
        <f aca="false">IF(OR(OR($B176="",$E176="",$F176=""),$L176&lt;&gt;"لا"),0,MAX(0,MIN($F176,EOMONTH(DATE(cfg_FY,9,1),0))-$E176+1))</f>
        <v>0</v>
      </c>
      <c r="AQ176" s="57" t="n">
        <f aca="false">IF(OR(OR($B176="",$E176="",$F176=""),$L176&lt;&gt;"لا"),0,MAX(0,MIN($F176,EOMONTH(DATE(cfg_FY,10,1),0))-$E176+1))</f>
        <v>0</v>
      </c>
      <c r="AR176" s="57" t="n">
        <f aca="false">IF(OR(OR($B176="",$E176="",$F176=""),$L176&lt;&gt;"لا"),0,MAX(0,MIN($F176,EOMONTH(DATE(cfg_FY,11,1),0))-$E176+1))</f>
        <v>0</v>
      </c>
      <c r="AS176" s="57" t="n">
        <f aca="false">IF(OR(OR($B176="",$E176="",$F176=""),$L176&lt;&gt;"لا"),0,MAX(0,MIN($F176,EOMONTH(DATE(cfg_FY,12,1),0))-$E176+1))</f>
        <v>0</v>
      </c>
      <c r="AT176" s="57" t="n">
        <f aca="false">IF(OR(OR($B176="",$E176="",$F176=""),$K176&lt;&gt;"نعم",$M176="نعم"),0,MAX(0,MIN($F176,EOMONTH(DATE(cfg_FY,1,1),0))-MAX($E176,DATE(cfg_FY,1,1))+1))</f>
        <v>0</v>
      </c>
      <c r="AU176" s="57" t="n">
        <f aca="false">IF(OR(OR($B176="",$E176="",$F176=""),$K176&lt;&gt;"نعم",$M176="نعم"),0,MAX(0,MIN($F176,EOMONTH(DATE(cfg_FY,2,1),0))-MAX($E176,DATE(cfg_FY,2,1))+1))</f>
        <v>0</v>
      </c>
      <c r="AV176" s="57" t="n">
        <f aca="false">IF(OR(OR($B176="",$E176="",$F176=""),$K176&lt;&gt;"نعم",$M176="نعم"),0,MAX(0,MIN($F176,EOMONTH(DATE(cfg_FY,3,1),0))-MAX($E176,DATE(cfg_FY,3,1))+1))</f>
        <v>0</v>
      </c>
      <c r="AW176" s="57" t="n">
        <f aca="false">IF(OR(OR($B176="",$E176="",$F176=""),$K176&lt;&gt;"نعم",$M176="نعم"),0,MAX(0,MIN($F176,EOMONTH(DATE(cfg_FY,4,1),0))-MAX($E176,DATE(cfg_FY,4,1))+1))</f>
        <v>0</v>
      </c>
      <c r="AX176" s="57" t="n">
        <f aca="false">IF(OR(OR($B176="",$E176="",$F176=""),$K176&lt;&gt;"نعم",$M176="نعم"),0,MAX(0,MIN($F176,EOMONTH(DATE(cfg_FY,5,1),0))-MAX($E176,DATE(cfg_FY,5,1))+1))</f>
        <v>0</v>
      </c>
      <c r="AY176" s="57" t="n">
        <f aca="false">IF(OR(OR($B176="",$E176="",$F176=""),$K176&lt;&gt;"نعم",$M176="نعم"),0,MAX(0,MIN($F176,EOMONTH(DATE(cfg_FY,6,1),0))-MAX($E176,DATE(cfg_FY,6,1))+1))</f>
        <v>0</v>
      </c>
      <c r="AZ176" s="57" t="n">
        <f aca="false">IF(OR(OR($B176="",$E176="",$F176=""),$K176&lt;&gt;"نعم",$M176="نعم"),0,MAX(0,MIN($F176,EOMONTH(DATE(cfg_FY,7,1),0))-MAX($E176,DATE(cfg_FY,7,1))+1))</f>
        <v>0</v>
      </c>
      <c r="BA176" s="57" t="n">
        <f aca="false">IF(OR(OR($B176="",$E176="",$F176=""),$K176&lt;&gt;"نعم",$M176="نعم"),0,MAX(0,MIN($F176,EOMONTH(DATE(cfg_FY,8,1),0))-MAX($E176,DATE(cfg_FY,8,1))+1))</f>
        <v>0</v>
      </c>
      <c r="BB176" s="57" t="n">
        <f aca="false">IF(OR(OR($B176="",$E176="",$F176=""),$K176&lt;&gt;"نعم",$M176="نعم"),0,MAX(0,MIN($F176,EOMONTH(DATE(cfg_FY,9,1),0))-MAX($E176,DATE(cfg_FY,9,1))+1))</f>
        <v>0</v>
      </c>
      <c r="BC176" s="57" t="n">
        <f aca="false">IF(OR(OR($B176="",$E176="",$F176=""),$K176&lt;&gt;"نعم",$M176="نعم"),0,MAX(0,MIN($F176,EOMONTH(DATE(cfg_FY,10,1),0))-MAX($E176,DATE(cfg_FY,10,1))+1))</f>
        <v>0</v>
      </c>
      <c r="BD176" s="57" t="n">
        <f aca="false">IF(OR(OR($B176="",$E176="",$F176=""),$K176&lt;&gt;"نعم",$M176="نعم"),0,MAX(0,MIN($F176,EOMONTH(DATE(cfg_FY,11,1),0))-MAX($E176,DATE(cfg_FY,11,1))+1))</f>
        <v>0</v>
      </c>
      <c r="BE176" s="57" t="n">
        <f aca="false">IF(OR(OR($B176="",$E176="",$F176=""),$K176&lt;&gt;"نعم",$M176="نعم"),0,MAX(0,MIN($F176,EOMONTH(DATE(cfg_FY,12,1),0))-MAX($E176,DATE(cfg_FY,12,1))+1))</f>
        <v>0</v>
      </c>
    </row>
    <row r="177" customFormat="false" ht="15" hidden="false" customHeight="false" outlineLevel="0" collapsed="false">
      <c r="A177" s="100" t="str">
        <f aca="false">IF(B177="","",ROW()-5)</f>
        <v/>
      </c>
      <c r="B177" s="79"/>
      <c r="C177" s="102" t="str">
        <f aca="false">IF(B177="","",IFERROR(INDEX(الموظفون!$C$6:$C$105,MATCH(B177,الموظفون!$B$6:$B$105,0)),"✖ رقم غير موجود"))</f>
        <v/>
      </c>
      <c r="D177" s="79"/>
      <c r="E177" s="94"/>
      <c r="F177" s="94"/>
      <c r="G177" s="110" t="str">
        <f aca="false">IF(OR($B177="",$E177="",$F177=""),"",MAX(0,F177-E177+1))</f>
        <v/>
      </c>
      <c r="H177" s="111" t="str">
        <f aca="false">IF(D177="","",IFERROR(VLOOKUP(D177,cfg_LT,2,FALSE()),1))</f>
        <v/>
      </c>
      <c r="I177" s="82"/>
      <c r="J177" s="111" t="str">
        <f aca="false">IF(D177="","",IF(I177&lt;&gt;"",I177,H177))</f>
        <v/>
      </c>
      <c r="K177" s="102" t="str">
        <f aca="false">IF(D177="","",IFERROR(VLOOKUP($D177,cfg_LT,3,FALSE()),""))</f>
        <v/>
      </c>
      <c r="L177" s="102" t="str">
        <f aca="false">IF(D177="","",IFERROR(VLOOKUP($D177,cfg_LT,4,FALSE()),""))</f>
        <v/>
      </c>
      <c r="M177" s="102" t="str">
        <f aca="false">IF(D177="","",IFERROR(VLOOKUP($D177,cfg_LT,5,FALSE()),""))</f>
        <v/>
      </c>
      <c r="N177" s="101" t="n">
        <f aca="false">IF(OR(OR($B177="",$E177="",$F177=""),M177&lt;&gt;"نعم"),0,G177*J177*IFERROR(INDEX(الموظفون!$R$6:$R$105,MATCH(B177,الموظفون!$B$6:$B$105,0)),0)/cfg_DAYS_M)</f>
        <v>0</v>
      </c>
      <c r="O177" s="100" t="str">
        <f aca="false">IF(OR(OR($B177="",$E177="",$F177=""),M177&lt;&gt;"نعم"),"",IF(YEAR(E177)=cfg_FY,MONTH(E177),""))</f>
        <v/>
      </c>
      <c r="P177" s="102" t="str">
        <f aca="false">IF(B177="","",IF(OR(D177="",E177="",F177=""),"⚠ أكمل النوع والتواريخ",IF(F177&lt;E177,"✖ النهاية قبل البداية",IF(COUNTIFS($B$6:$B$505,B177,$E$6:$E$505,"&lt;="&amp;F177,$F$6:$F$505,"&gt;="&amp;E177)&gt;1,"⚠ تداخل مع سجل آخر",IF(E177&gt;cfg_VAL_DATE,"⏳ قادمة",IF(F177&lt;cfg_VAL_DATE,"✔ منتهية","✈ جارية في تاريخ التقرير"))))))</f>
        <v/>
      </c>
      <c r="Q177" s="79"/>
      <c r="R177" s="110" t="n">
        <f aca="false">IF(OR(OR($B177="",$E177="",$F177=""),L177&lt;&gt;"لا"),0,MAX(0,MIN(F177,cfg_Y_START-1)-E177+1))</f>
        <v>0</v>
      </c>
      <c r="S177" s="110" t="n">
        <f aca="false">IF(OR(OR($B177="",$E177="",$F177=""),L177&lt;&gt;"لا"),0,MAX(0,MIN(F177,cfg_VAL_DATE)-E177+1))</f>
        <v>0</v>
      </c>
      <c r="T177" s="110" t="n">
        <f aca="false">IF(OR(OR($B177="",$E177="",$F177=""),K177&lt;&gt;"نعم"),0,IF(M177="نعم",IF(AND(ISNUMBER(O177),N(O177)&lt;=cfg_VAL_M),G177,0),MAX(0,MIN(F177,cfg_VAL_DATE)-MAX(E177,cfg_Y_START)+1)))</f>
        <v>0</v>
      </c>
      <c r="V177" s="110" t="n">
        <f aca="false">IF(OR($B177="",$E177="",$F177=""),0,MAX(0,MIN($F177,EOMONTH(DATE(cfg_FY,1,1),0))-MAX($E177,DATE(cfg_FY,1,1))+1)*(1-IF($M177="نعم",0,N($J177))))</f>
        <v>0</v>
      </c>
      <c r="W177" s="110" t="n">
        <f aca="false">IF(OR($B177="",$E177="",$F177=""),0,MAX(0,MIN($F177,EOMONTH(DATE(cfg_FY,2,1),0))-MAX($E177,DATE(cfg_FY,2,1))+1)*(1-IF($M177="نعم",0,N($J177))))</f>
        <v>0</v>
      </c>
      <c r="X177" s="110" t="n">
        <f aca="false">IF(OR($B177="",$E177="",$F177=""),0,MAX(0,MIN($F177,EOMONTH(DATE(cfg_FY,3,1),0))-MAX($E177,DATE(cfg_FY,3,1))+1)*(1-IF($M177="نعم",0,N($J177))))</f>
        <v>0</v>
      </c>
      <c r="Y177" s="110" t="n">
        <f aca="false">IF(OR($B177="",$E177="",$F177=""),0,MAX(0,MIN($F177,EOMONTH(DATE(cfg_FY,4,1),0))-MAX($E177,DATE(cfg_FY,4,1))+1)*(1-IF($M177="نعم",0,N($J177))))</f>
        <v>0</v>
      </c>
      <c r="Z177" s="110" t="n">
        <f aca="false">IF(OR($B177="",$E177="",$F177=""),0,MAX(0,MIN($F177,EOMONTH(DATE(cfg_FY,5,1),0))-MAX($E177,DATE(cfg_FY,5,1))+1)*(1-IF($M177="نعم",0,N($J177))))</f>
        <v>0</v>
      </c>
      <c r="AA177" s="110" t="n">
        <f aca="false">IF(OR($B177="",$E177="",$F177=""),0,MAX(0,MIN($F177,EOMONTH(DATE(cfg_FY,6,1),0))-MAX($E177,DATE(cfg_FY,6,1))+1)*(1-IF($M177="نعم",0,N($J177))))</f>
        <v>0</v>
      </c>
      <c r="AB177" s="110" t="n">
        <f aca="false">IF(OR($B177="",$E177="",$F177=""),0,MAX(0,MIN($F177,EOMONTH(DATE(cfg_FY,7,1),0))-MAX($E177,DATE(cfg_FY,7,1))+1)*(1-IF($M177="نعم",0,N($J177))))</f>
        <v>0</v>
      </c>
      <c r="AC177" s="110" t="n">
        <f aca="false">IF(OR($B177="",$E177="",$F177=""),0,MAX(0,MIN($F177,EOMONTH(DATE(cfg_FY,8,1),0))-MAX($E177,DATE(cfg_FY,8,1))+1)*(1-IF($M177="نعم",0,N($J177))))</f>
        <v>0</v>
      </c>
      <c r="AD177" s="110" t="n">
        <f aca="false">IF(OR($B177="",$E177="",$F177=""),0,MAX(0,MIN($F177,EOMONTH(DATE(cfg_FY,9,1),0))-MAX($E177,DATE(cfg_FY,9,1))+1)*(1-IF($M177="نعم",0,N($J177))))</f>
        <v>0</v>
      </c>
      <c r="AE177" s="110" t="n">
        <f aca="false">IF(OR($B177="",$E177="",$F177=""),0,MAX(0,MIN($F177,EOMONTH(DATE(cfg_FY,10,1),0))-MAX($E177,DATE(cfg_FY,10,1))+1)*(1-IF($M177="نعم",0,N($J177))))</f>
        <v>0</v>
      </c>
      <c r="AF177" s="110" t="n">
        <f aca="false">IF(OR($B177="",$E177="",$F177=""),0,MAX(0,MIN($F177,EOMONTH(DATE(cfg_FY,11,1),0))-MAX($E177,DATE(cfg_FY,11,1))+1)*(1-IF($M177="نعم",0,N($J177))))</f>
        <v>0</v>
      </c>
      <c r="AG177" s="110" t="n">
        <f aca="false">IF(OR($B177="",$E177="",$F177=""),0,MAX(0,MIN($F177,EOMONTH(DATE(cfg_FY,12,1),0))-MAX($E177,DATE(cfg_FY,12,1))+1)*(1-IF($M177="نعم",0,N($J177))))</f>
        <v>0</v>
      </c>
      <c r="AH177" s="110" t="n">
        <f aca="false">IF(OR(OR($B177="",$E177="",$F177=""),$L177&lt;&gt;"لا"),0,MAX(0,MIN($F177,EOMONTH(DATE(cfg_FY,1,1),0))-$E177+1))</f>
        <v>0</v>
      </c>
      <c r="AI177" s="110" t="n">
        <f aca="false">IF(OR(OR($B177="",$E177="",$F177=""),$L177&lt;&gt;"لا"),0,MAX(0,MIN($F177,EOMONTH(DATE(cfg_FY,2,1),0))-$E177+1))</f>
        <v>0</v>
      </c>
      <c r="AJ177" s="110" t="n">
        <f aca="false">IF(OR(OR($B177="",$E177="",$F177=""),$L177&lt;&gt;"لا"),0,MAX(0,MIN($F177,EOMONTH(DATE(cfg_FY,3,1),0))-$E177+1))</f>
        <v>0</v>
      </c>
      <c r="AK177" s="110" t="n">
        <f aca="false">IF(OR(OR($B177="",$E177="",$F177=""),$L177&lt;&gt;"لا"),0,MAX(0,MIN($F177,EOMONTH(DATE(cfg_FY,4,1),0))-$E177+1))</f>
        <v>0</v>
      </c>
      <c r="AL177" s="110" t="n">
        <f aca="false">IF(OR(OR($B177="",$E177="",$F177=""),$L177&lt;&gt;"لا"),0,MAX(0,MIN($F177,EOMONTH(DATE(cfg_FY,5,1),0))-$E177+1))</f>
        <v>0</v>
      </c>
      <c r="AM177" s="110" t="n">
        <f aca="false">IF(OR(OR($B177="",$E177="",$F177=""),$L177&lt;&gt;"لا"),0,MAX(0,MIN($F177,EOMONTH(DATE(cfg_FY,6,1),0))-$E177+1))</f>
        <v>0</v>
      </c>
      <c r="AN177" s="110" t="n">
        <f aca="false">IF(OR(OR($B177="",$E177="",$F177=""),$L177&lt;&gt;"لا"),0,MAX(0,MIN($F177,EOMONTH(DATE(cfg_FY,7,1),0))-$E177+1))</f>
        <v>0</v>
      </c>
      <c r="AO177" s="110" t="n">
        <f aca="false">IF(OR(OR($B177="",$E177="",$F177=""),$L177&lt;&gt;"لا"),0,MAX(0,MIN($F177,EOMONTH(DATE(cfg_FY,8,1),0))-$E177+1))</f>
        <v>0</v>
      </c>
      <c r="AP177" s="110" t="n">
        <f aca="false">IF(OR(OR($B177="",$E177="",$F177=""),$L177&lt;&gt;"لا"),0,MAX(0,MIN($F177,EOMONTH(DATE(cfg_FY,9,1),0))-$E177+1))</f>
        <v>0</v>
      </c>
      <c r="AQ177" s="110" t="n">
        <f aca="false">IF(OR(OR($B177="",$E177="",$F177=""),$L177&lt;&gt;"لا"),0,MAX(0,MIN($F177,EOMONTH(DATE(cfg_FY,10,1),0))-$E177+1))</f>
        <v>0</v>
      </c>
      <c r="AR177" s="110" t="n">
        <f aca="false">IF(OR(OR($B177="",$E177="",$F177=""),$L177&lt;&gt;"لا"),0,MAX(0,MIN($F177,EOMONTH(DATE(cfg_FY,11,1),0))-$E177+1))</f>
        <v>0</v>
      </c>
      <c r="AS177" s="110" t="n">
        <f aca="false">IF(OR(OR($B177="",$E177="",$F177=""),$L177&lt;&gt;"لا"),0,MAX(0,MIN($F177,EOMONTH(DATE(cfg_FY,12,1),0))-$E177+1))</f>
        <v>0</v>
      </c>
      <c r="AT177" s="110" t="n">
        <f aca="false">IF(OR(OR($B177="",$E177="",$F177=""),$K177&lt;&gt;"نعم",$M177="نعم"),0,MAX(0,MIN($F177,EOMONTH(DATE(cfg_FY,1,1),0))-MAX($E177,DATE(cfg_FY,1,1))+1))</f>
        <v>0</v>
      </c>
      <c r="AU177" s="110" t="n">
        <f aca="false">IF(OR(OR($B177="",$E177="",$F177=""),$K177&lt;&gt;"نعم",$M177="نعم"),0,MAX(0,MIN($F177,EOMONTH(DATE(cfg_FY,2,1),0))-MAX($E177,DATE(cfg_FY,2,1))+1))</f>
        <v>0</v>
      </c>
      <c r="AV177" s="110" t="n">
        <f aca="false">IF(OR(OR($B177="",$E177="",$F177=""),$K177&lt;&gt;"نعم",$M177="نعم"),0,MAX(0,MIN($F177,EOMONTH(DATE(cfg_FY,3,1),0))-MAX($E177,DATE(cfg_FY,3,1))+1))</f>
        <v>0</v>
      </c>
      <c r="AW177" s="110" t="n">
        <f aca="false">IF(OR(OR($B177="",$E177="",$F177=""),$K177&lt;&gt;"نعم",$M177="نعم"),0,MAX(0,MIN($F177,EOMONTH(DATE(cfg_FY,4,1),0))-MAX($E177,DATE(cfg_FY,4,1))+1))</f>
        <v>0</v>
      </c>
      <c r="AX177" s="110" t="n">
        <f aca="false">IF(OR(OR($B177="",$E177="",$F177=""),$K177&lt;&gt;"نعم",$M177="نعم"),0,MAX(0,MIN($F177,EOMONTH(DATE(cfg_FY,5,1),0))-MAX($E177,DATE(cfg_FY,5,1))+1))</f>
        <v>0</v>
      </c>
      <c r="AY177" s="110" t="n">
        <f aca="false">IF(OR(OR($B177="",$E177="",$F177=""),$K177&lt;&gt;"نعم",$M177="نعم"),0,MAX(0,MIN($F177,EOMONTH(DATE(cfg_FY,6,1),0))-MAX($E177,DATE(cfg_FY,6,1))+1))</f>
        <v>0</v>
      </c>
      <c r="AZ177" s="110" t="n">
        <f aca="false">IF(OR(OR($B177="",$E177="",$F177=""),$K177&lt;&gt;"نعم",$M177="نعم"),0,MAX(0,MIN($F177,EOMONTH(DATE(cfg_FY,7,1),0))-MAX($E177,DATE(cfg_FY,7,1))+1))</f>
        <v>0</v>
      </c>
      <c r="BA177" s="110" t="n">
        <f aca="false">IF(OR(OR($B177="",$E177="",$F177=""),$K177&lt;&gt;"نعم",$M177="نعم"),0,MAX(0,MIN($F177,EOMONTH(DATE(cfg_FY,8,1),0))-MAX($E177,DATE(cfg_FY,8,1))+1))</f>
        <v>0</v>
      </c>
      <c r="BB177" s="110" t="n">
        <f aca="false">IF(OR(OR($B177="",$E177="",$F177=""),$K177&lt;&gt;"نعم",$M177="نعم"),0,MAX(0,MIN($F177,EOMONTH(DATE(cfg_FY,9,1),0))-MAX($E177,DATE(cfg_FY,9,1))+1))</f>
        <v>0</v>
      </c>
      <c r="BC177" s="110" t="n">
        <f aca="false">IF(OR(OR($B177="",$E177="",$F177=""),$K177&lt;&gt;"نعم",$M177="نعم"),0,MAX(0,MIN($F177,EOMONTH(DATE(cfg_FY,10,1),0))-MAX($E177,DATE(cfg_FY,10,1))+1))</f>
        <v>0</v>
      </c>
      <c r="BD177" s="110" t="n">
        <f aca="false">IF(OR(OR($B177="",$E177="",$F177=""),$K177&lt;&gt;"نعم",$M177="نعم"),0,MAX(0,MIN($F177,EOMONTH(DATE(cfg_FY,11,1),0))-MAX($E177,DATE(cfg_FY,11,1))+1))</f>
        <v>0</v>
      </c>
      <c r="BE177" s="110" t="n">
        <f aca="false">IF(OR(OR($B177="",$E177="",$F177=""),$K177&lt;&gt;"نعم",$M177="نعم"),0,MAX(0,MIN($F177,EOMONTH(DATE(cfg_FY,12,1),0))-MAX($E177,DATE(cfg_FY,12,1))+1))</f>
        <v>0</v>
      </c>
    </row>
    <row r="178" customFormat="false" ht="15" hidden="false" customHeight="false" outlineLevel="0" collapsed="false">
      <c r="A178" s="93" t="str">
        <f aca="false">IF(B178="","",ROW()-5)</f>
        <v/>
      </c>
      <c r="B178" s="79"/>
      <c r="C178" s="80" t="str">
        <f aca="false">IF(B178="","",IFERROR(INDEX(الموظفون!$C$6:$C$105,MATCH(B178,الموظفون!$B$6:$B$105,0)),"✖ رقم غير موجود"))</f>
        <v/>
      </c>
      <c r="D178" s="79"/>
      <c r="E178" s="94"/>
      <c r="F178" s="94"/>
      <c r="G178" s="57" t="str">
        <f aca="false">IF(OR($B178="",$E178="",$F178=""),"",MAX(0,F178-E178+1))</f>
        <v/>
      </c>
      <c r="H178" s="58" t="str">
        <f aca="false">IF(D178="","",IFERROR(VLOOKUP(D178,cfg_LT,2,FALSE()),1))</f>
        <v/>
      </c>
      <c r="I178" s="82"/>
      <c r="J178" s="58" t="str">
        <f aca="false">IF(D178="","",IF(I178&lt;&gt;"",I178,H178))</f>
        <v/>
      </c>
      <c r="K178" s="80" t="str">
        <f aca="false">IF(D178="","",IFERROR(VLOOKUP($D178,cfg_LT,3,FALSE()),""))</f>
        <v/>
      </c>
      <c r="L178" s="80" t="str">
        <f aca="false">IF(D178="","",IFERROR(VLOOKUP($D178,cfg_LT,4,FALSE()),""))</f>
        <v/>
      </c>
      <c r="M178" s="80" t="str">
        <f aca="false">IF(D178="","",IFERROR(VLOOKUP($D178,cfg_LT,5,FALSE()),""))</f>
        <v/>
      </c>
      <c r="N178" s="97" t="n">
        <f aca="false">IF(OR(OR($B178="",$E178="",$F178=""),M178&lt;&gt;"نعم"),0,G178*J178*IFERROR(INDEX(الموظفون!$R$6:$R$105,MATCH(B178,الموظفون!$B$6:$B$105,0)),0)/cfg_DAYS_M)</f>
        <v>0</v>
      </c>
      <c r="O178" s="93" t="str">
        <f aca="false">IF(OR(OR($B178="",$E178="",$F178=""),M178&lt;&gt;"نعم"),"",IF(YEAR(E178)=cfg_FY,MONTH(E178),""))</f>
        <v/>
      </c>
      <c r="P178" s="80" t="str">
        <f aca="false">IF(B178="","",IF(OR(D178="",E178="",F178=""),"⚠ أكمل النوع والتواريخ",IF(F178&lt;E178,"✖ النهاية قبل البداية",IF(COUNTIFS($B$6:$B$505,B178,$E$6:$E$505,"&lt;="&amp;F178,$F$6:$F$505,"&gt;="&amp;E178)&gt;1,"⚠ تداخل مع سجل آخر",IF(E178&gt;cfg_VAL_DATE,"⏳ قادمة",IF(F178&lt;cfg_VAL_DATE,"✔ منتهية","✈ جارية في تاريخ التقرير"))))))</f>
        <v/>
      </c>
      <c r="Q178" s="79"/>
      <c r="R178" s="57" t="n">
        <f aca="false">IF(OR(OR($B178="",$E178="",$F178=""),L178&lt;&gt;"لا"),0,MAX(0,MIN(F178,cfg_Y_START-1)-E178+1))</f>
        <v>0</v>
      </c>
      <c r="S178" s="57" t="n">
        <f aca="false">IF(OR(OR($B178="",$E178="",$F178=""),L178&lt;&gt;"لا"),0,MAX(0,MIN(F178,cfg_VAL_DATE)-E178+1))</f>
        <v>0</v>
      </c>
      <c r="T178" s="57" t="n">
        <f aca="false">IF(OR(OR($B178="",$E178="",$F178=""),K178&lt;&gt;"نعم"),0,IF(M178="نعم",IF(AND(ISNUMBER(O178),N(O178)&lt;=cfg_VAL_M),G178,0),MAX(0,MIN(F178,cfg_VAL_DATE)-MAX(E178,cfg_Y_START)+1)))</f>
        <v>0</v>
      </c>
      <c r="V178" s="57" t="n">
        <f aca="false">IF(OR($B178="",$E178="",$F178=""),0,MAX(0,MIN($F178,EOMONTH(DATE(cfg_FY,1,1),0))-MAX($E178,DATE(cfg_FY,1,1))+1)*(1-IF($M178="نعم",0,N($J178))))</f>
        <v>0</v>
      </c>
      <c r="W178" s="57" t="n">
        <f aca="false">IF(OR($B178="",$E178="",$F178=""),0,MAX(0,MIN($F178,EOMONTH(DATE(cfg_FY,2,1),0))-MAX($E178,DATE(cfg_FY,2,1))+1)*(1-IF($M178="نعم",0,N($J178))))</f>
        <v>0</v>
      </c>
      <c r="X178" s="57" t="n">
        <f aca="false">IF(OR($B178="",$E178="",$F178=""),0,MAX(0,MIN($F178,EOMONTH(DATE(cfg_FY,3,1),0))-MAX($E178,DATE(cfg_FY,3,1))+1)*(1-IF($M178="نعم",0,N($J178))))</f>
        <v>0</v>
      </c>
      <c r="Y178" s="57" t="n">
        <f aca="false">IF(OR($B178="",$E178="",$F178=""),0,MAX(0,MIN($F178,EOMONTH(DATE(cfg_FY,4,1),0))-MAX($E178,DATE(cfg_FY,4,1))+1)*(1-IF($M178="نعم",0,N($J178))))</f>
        <v>0</v>
      </c>
      <c r="Z178" s="57" t="n">
        <f aca="false">IF(OR($B178="",$E178="",$F178=""),0,MAX(0,MIN($F178,EOMONTH(DATE(cfg_FY,5,1),0))-MAX($E178,DATE(cfg_FY,5,1))+1)*(1-IF($M178="نعم",0,N($J178))))</f>
        <v>0</v>
      </c>
      <c r="AA178" s="57" t="n">
        <f aca="false">IF(OR($B178="",$E178="",$F178=""),0,MAX(0,MIN($F178,EOMONTH(DATE(cfg_FY,6,1),0))-MAX($E178,DATE(cfg_FY,6,1))+1)*(1-IF($M178="نعم",0,N($J178))))</f>
        <v>0</v>
      </c>
      <c r="AB178" s="57" t="n">
        <f aca="false">IF(OR($B178="",$E178="",$F178=""),0,MAX(0,MIN($F178,EOMONTH(DATE(cfg_FY,7,1),0))-MAX($E178,DATE(cfg_FY,7,1))+1)*(1-IF($M178="نعم",0,N($J178))))</f>
        <v>0</v>
      </c>
      <c r="AC178" s="57" t="n">
        <f aca="false">IF(OR($B178="",$E178="",$F178=""),0,MAX(0,MIN($F178,EOMONTH(DATE(cfg_FY,8,1),0))-MAX($E178,DATE(cfg_FY,8,1))+1)*(1-IF($M178="نعم",0,N($J178))))</f>
        <v>0</v>
      </c>
      <c r="AD178" s="57" t="n">
        <f aca="false">IF(OR($B178="",$E178="",$F178=""),0,MAX(0,MIN($F178,EOMONTH(DATE(cfg_FY,9,1),0))-MAX($E178,DATE(cfg_FY,9,1))+1)*(1-IF($M178="نعم",0,N($J178))))</f>
        <v>0</v>
      </c>
      <c r="AE178" s="57" t="n">
        <f aca="false">IF(OR($B178="",$E178="",$F178=""),0,MAX(0,MIN($F178,EOMONTH(DATE(cfg_FY,10,1),0))-MAX($E178,DATE(cfg_FY,10,1))+1)*(1-IF($M178="نعم",0,N($J178))))</f>
        <v>0</v>
      </c>
      <c r="AF178" s="57" t="n">
        <f aca="false">IF(OR($B178="",$E178="",$F178=""),0,MAX(0,MIN($F178,EOMONTH(DATE(cfg_FY,11,1),0))-MAX($E178,DATE(cfg_FY,11,1))+1)*(1-IF($M178="نعم",0,N($J178))))</f>
        <v>0</v>
      </c>
      <c r="AG178" s="57" t="n">
        <f aca="false">IF(OR($B178="",$E178="",$F178=""),0,MAX(0,MIN($F178,EOMONTH(DATE(cfg_FY,12,1),0))-MAX($E178,DATE(cfg_FY,12,1))+1)*(1-IF($M178="نعم",0,N($J178))))</f>
        <v>0</v>
      </c>
      <c r="AH178" s="57" t="n">
        <f aca="false">IF(OR(OR($B178="",$E178="",$F178=""),$L178&lt;&gt;"لا"),0,MAX(0,MIN($F178,EOMONTH(DATE(cfg_FY,1,1),0))-$E178+1))</f>
        <v>0</v>
      </c>
      <c r="AI178" s="57" t="n">
        <f aca="false">IF(OR(OR($B178="",$E178="",$F178=""),$L178&lt;&gt;"لا"),0,MAX(0,MIN($F178,EOMONTH(DATE(cfg_FY,2,1),0))-$E178+1))</f>
        <v>0</v>
      </c>
      <c r="AJ178" s="57" t="n">
        <f aca="false">IF(OR(OR($B178="",$E178="",$F178=""),$L178&lt;&gt;"لا"),0,MAX(0,MIN($F178,EOMONTH(DATE(cfg_FY,3,1),0))-$E178+1))</f>
        <v>0</v>
      </c>
      <c r="AK178" s="57" t="n">
        <f aca="false">IF(OR(OR($B178="",$E178="",$F178=""),$L178&lt;&gt;"لا"),0,MAX(0,MIN($F178,EOMONTH(DATE(cfg_FY,4,1),0))-$E178+1))</f>
        <v>0</v>
      </c>
      <c r="AL178" s="57" t="n">
        <f aca="false">IF(OR(OR($B178="",$E178="",$F178=""),$L178&lt;&gt;"لا"),0,MAX(0,MIN($F178,EOMONTH(DATE(cfg_FY,5,1),0))-$E178+1))</f>
        <v>0</v>
      </c>
      <c r="AM178" s="57" t="n">
        <f aca="false">IF(OR(OR($B178="",$E178="",$F178=""),$L178&lt;&gt;"لا"),0,MAX(0,MIN($F178,EOMONTH(DATE(cfg_FY,6,1),0))-$E178+1))</f>
        <v>0</v>
      </c>
      <c r="AN178" s="57" t="n">
        <f aca="false">IF(OR(OR($B178="",$E178="",$F178=""),$L178&lt;&gt;"لا"),0,MAX(0,MIN($F178,EOMONTH(DATE(cfg_FY,7,1),0))-$E178+1))</f>
        <v>0</v>
      </c>
      <c r="AO178" s="57" t="n">
        <f aca="false">IF(OR(OR($B178="",$E178="",$F178=""),$L178&lt;&gt;"لا"),0,MAX(0,MIN($F178,EOMONTH(DATE(cfg_FY,8,1),0))-$E178+1))</f>
        <v>0</v>
      </c>
      <c r="AP178" s="57" t="n">
        <f aca="false">IF(OR(OR($B178="",$E178="",$F178=""),$L178&lt;&gt;"لا"),0,MAX(0,MIN($F178,EOMONTH(DATE(cfg_FY,9,1),0))-$E178+1))</f>
        <v>0</v>
      </c>
      <c r="AQ178" s="57" t="n">
        <f aca="false">IF(OR(OR($B178="",$E178="",$F178=""),$L178&lt;&gt;"لا"),0,MAX(0,MIN($F178,EOMONTH(DATE(cfg_FY,10,1),0))-$E178+1))</f>
        <v>0</v>
      </c>
      <c r="AR178" s="57" t="n">
        <f aca="false">IF(OR(OR($B178="",$E178="",$F178=""),$L178&lt;&gt;"لا"),0,MAX(0,MIN($F178,EOMONTH(DATE(cfg_FY,11,1),0))-$E178+1))</f>
        <v>0</v>
      </c>
      <c r="AS178" s="57" t="n">
        <f aca="false">IF(OR(OR($B178="",$E178="",$F178=""),$L178&lt;&gt;"لا"),0,MAX(0,MIN($F178,EOMONTH(DATE(cfg_FY,12,1),0))-$E178+1))</f>
        <v>0</v>
      </c>
      <c r="AT178" s="57" t="n">
        <f aca="false">IF(OR(OR($B178="",$E178="",$F178=""),$K178&lt;&gt;"نعم",$M178="نعم"),0,MAX(0,MIN($F178,EOMONTH(DATE(cfg_FY,1,1),0))-MAX($E178,DATE(cfg_FY,1,1))+1))</f>
        <v>0</v>
      </c>
      <c r="AU178" s="57" t="n">
        <f aca="false">IF(OR(OR($B178="",$E178="",$F178=""),$K178&lt;&gt;"نعم",$M178="نعم"),0,MAX(0,MIN($F178,EOMONTH(DATE(cfg_FY,2,1),0))-MAX($E178,DATE(cfg_FY,2,1))+1))</f>
        <v>0</v>
      </c>
      <c r="AV178" s="57" t="n">
        <f aca="false">IF(OR(OR($B178="",$E178="",$F178=""),$K178&lt;&gt;"نعم",$M178="نعم"),0,MAX(0,MIN($F178,EOMONTH(DATE(cfg_FY,3,1),0))-MAX($E178,DATE(cfg_FY,3,1))+1))</f>
        <v>0</v>
      </c>
      <c r="AW178" s="57" t="n">
        <f aca="false">IF(OR(OR($B178="",$E178="",$F178=""),$K178&lt;&gt;"نعم",$M178="نعم"),0,MAX(0,MIN($F178,EOMONTH(DATE(cfg_FY,4,1),0))-MAX($E178,DATE(cfg_FY,4,1))+1))</f>
        <v>0</v>
      </c>
      <c r="AX178" s="57" t="n">
        <f aca="false">IF(OR(OR($B178="",$E178="",$F178=""),$K178&lt;&gt;"نعم",$M178="نعم"),0,MAX(0,MIN($F178,EOMONTH(DATE(cfg_FY,5,1),0))-MAX($E178,DATE(cfg_FY,5,1))+1))</f>
        <v>0</v>
      </c>
      <c r="AY178" s="57" t="n">
        <f aca="false">IF(OR(OR($B178="",$E178="",$F178=""),$K178&lt;&gt;"نعم",$M178="نعم"),0,MAX(0,MIN($F178,EOMONTH(DATE(cfg_FY,6,1),0))-MAX($E178,DATE(cfg_FY,6,1))+1))</f>
        <v>0</v>
      </c>
      <c r="AZ178" s="57" t="n">
        <f aca="false">IF(OR(OR($B178="",$E178="",$F178=""),$K178&lt;&gt;"نعم",$M178="نعم"),0,MAX(0,MIN($F178,EOMONTH(DATE(cfg_FY,7,1),0))-MAX($E178,DATE(cfg_FY,7,1))+1))</f>
        <v>0</v>
      </c>
      <c r="BA178" s="57" t="n">
        <f aca="false">IF(OR(OR($B178="",$E178="",$F178=""),$K178&lt;&gt;"نعم",$M178="نعم"),0,MAX(0,MIN($F178,EOMONTH(DATE(cfg_FY,8,1),0))-MAX($E178,DATE(cfg_FY,8,1))+1))</f>
        <v>0</v>
      </c>
      <c r="BB178" s="57" t="n">
        <f aca="false">IF(OR(OR($B178="",$E178="",$F178=""),$K178&lt;&gt;"نعم",$M178="نعم"),0,MAX(0,MIN($F178,EOMONTH(DATE(cfg_FY,9,1),0))-MAX($E178,DATE(cfg_FY,9,1))+1))</f>
        <v>0</v>
      </c>
      <c r="BC178" s="57" t="n">
        <f aca="false">IF(OR(OR($B178="",$E178="",$F178=""),$K178&lt;&gt;"نعم",$M178="نعم"),0,MAX(0,MIN($F178,EOMONTH(DATE(cfg_FY,10,1),0))-MAX($E178,DATE(cfg_FY,10,1))+1))</f>
        <v>0</v>
      </c>
      <c r="BD178" s="57" t="n">
        <f aca="false">IF(OR(OR($B178="",$E178="",$F178=""),$K178&lt;&gt;"نعم",$M178="نعم"),0,MAX(0,MIN($F178,EOMONTH(DATE(cfg_FY,11,1),0))-MAX($E178,DATE(cfg_FY,11,1))+1))</f>
        <v>0</v>
      </c>
      <c r="BE178" s="57" t="n">
        <f aca="false">IF(OR(OR($B178="",$E178="",$F178=""),$K178&lt;&gt;"نعم",$M178="نعم"),0,MAX(0,MIN($F178,EOMONTH(DATE(cfg_FY,12,1),0))-MAX($E178,DATE(cfg_FY,12,1))+1))</f>
        <v>0</v>
      </c>
    </row>
    <row r="179" customFormat="false" ht="15" hidden="false" customHeight="false" outlineLevel="0" collapsed="false">
      <c r="A179" s="100" t="str">
        <f aca="false">IF(B179="","",ROW()-5)</f>
        <v/>
      </c>
      <c r="B179" s="79"/>
      <c r="C179" s="102" t="str">
        <f aca="false">IF(B179="","",IFERROR(INDEX(الموظفون!$C$6:$C$105,MATCH(B179,الموظفون!$B$6:$B$105,0)),"✖ رقم غير موجود"))</f>
        <v/>
      </c>
      <c r="D179" s="79"/>
      <c r="E179" s="94"/>
      <c r="F179" s="94"/>
      <c r="G179" s="110" t="str">
        <f aca="false">IF(OR($B179="",$E179="",$F179=""),"",MAX(0,F179-E179+1))</f>
        <v/>
      </c>
      <c r="H179" s="111" t="str">
        <f aca="false">IF(D179="","",IFERROR(VLOOKUP(D179,cfg_LT,2,FALSE()),1))</f>
        <v/>
      </c>
      <c r="I179" s="82"/>
      <c r="J179" s="111" t="str">
        <f aca="false">IF(D179="","",IF(I179&lt;&gt;"",I179,H179))</f>
        <v/>
      </c>
      <c r="K179" s="102" t="str">
        <f aca="false">IF(D179="","",IFERROR(VLOOKUP($D179,cfg_LT,3,FALSE()),""))</f>
        <v/>
      </c>
      <c r="L179" s="102" t="str">
        <f aca="false">IF(D179="","",IFERROR(VLOOKUP($D179,cfg_LT,4,FALSE()),""))</f>
        <v/>
      </c>
      <c r="M179" s="102" t="str">
        <f aca="false">IF(D179="","",IFERROR(VLOOKUP($D179,cfg_LT,5,FALSE()),""))</f>
        <v/>
      </c>
      <c r="N179" s="101" t="n">
        <f aca="false">IF(OR(OR($B179="",$E179="",$F179=""),M179&lt;&gt;"نعم"),0,G179*J179*IFERROR(INDEX(الموظفون!$R$6:$R$105,MATCH(B179,الموظفون!$B$6:$B$105,0)),0)/cfg_DAYS_M)</f>
        <v>0</v>
      </c>
      <c r="O179" s="100" t="str">
        <f aca="false">IF(OR(OR($B179="",$E179="",$F179=""),M179&lt;&gt;"نعم"),"",IF(YEAR(E179)=cfg_FY,MONTH(E179),""))</f>
        <v/>
      </c>
      <c r="P179" s="102" t="str">
        <f aca="false">IF(B179="","",IF(OR(D179="",E179="",F179=""),"⚠ أكمل النوع والتواريخ",IF(F179&lt;E179,"✖ النهاية قبل البداية",IF(COUNTIFS($B$6:$B$505,B179,$E$6:$E$505,"&lt;="&amp;F179,$F$6:$F$505,"&gt;="&amp;E179)&gt;1,"⚠ تداخل مع سجل آخر",IF(E179&gt;cfg_VAL_DATE,"⏳ قادمة",IF(F179&lt;cfg_VAL_DATE,"✔ منتهية","✈ جارية في تاريخ التقرير"))))))</f>
        <v/>
      </c>
      <c r="Q179" s="79"/>
      <c r="R179" s="110" t="n">
        <f aca="false">IF(OR(OR($B179="",$E179="",$F179=""),L179&lt;&gt;"لا"),0,MAX(0,MIN(F179,cfg_Y_START-1)-E179+1))</f>
        <v>0</v>
      </c>
      <c r="S179" s="110" t="n">
        <f aca="false">IF(OR(OR($B179="",$E179="",$F179=""),L179&lt;&gt;"لا"),0,MAX(0,MIN(F179,cfg_VAL_DATE)-E179+1))</f>
        <v>0</v>
      </c>
      <c r="T179" s="110" t="n">
        <f aca="false">IF(OR(OR($B179="",$E179="",$F179=""),K179&lt;&gt;"نعم"),0,IF(M179="نعم",IF(AND(ISNUMBER(O179),N(O179)&lt;=cfg_VAL_M),G179,0),MAX(0,MIN(F179,cfg_VAL_DATE)-MAX(E179,cfg_Y_START)+1)))</f>
        <v>0</v>
      </c>
      <c r="V179" s="110" t="n">
        <f aca="false">IF(OR($B179="",$E179="",$F179=""),0,MAX(0,MIN($F179,EOMONTH(DATE(cfg_FY,1,1),0))-MAX($E179,DATE(cfg_FY,1,1))+1)*(1-IF($M179="نعم",0,N($J179))))</f>
        <v>0</v>
      </c>
      <c r="W179" s="110" t="n">
        <f aca="false">IF(OR($B179="",$E179="",$F179=""),0,MAX(0,MIN($F179,EOMONTH(DATE(cfg_FY,2,1),0))-MAX($E179,DATE(cfg_FY,2,1))+1)*(1-IF($M179="نعم",0,N($J179))))</f>
        <v>0</v>
      </c>
      <c r="X179" s="110" t="n">
        <f aca="false">IF(OR($B179="",$E179="",$F179=""),0,MAX(0,MIN($F179,EOMONTH(DATE(cfg_FY,3,1),0))-MAX($E179,DATE(cfg_FY,3,1))+1)*(1-IF($M179="نعم",0,N($J179))))</f>
        <v>0</v>
      </c>
      <c r="Y179" s="110" t="n">
        <f aca="false">IF(OR($B179="",$E179="",$F179=""),0,MAX(0,MIN($F179,EOMONTH(DATE(cfg_FY,4,1),0))-MAX($E179,DATE(cfg_FY,4,1))+1)*(1-IF($M179="نعم",0,N($J179))))</f>
        <v>0</v>
      </c>
      <c r="Z179" s="110" t="n">
        <f aca="false">IF(OR($B179="",$E179="",$F179=""),0,MAX(0,MIN($F179,EOMONTH(DATE(cfg_FY,5,1),0))-MAX($E179,DATE(cfg_FY,5,1))+1)*(1-IF($M179="نعم",0,N($J179))))</f>
        <v>0</v>
      </c>
      <c r="AA179" s="110" t="n">
        <f aca="false">IF(OR($B179="",$E179="",$F179=""),0,MAX(0,MIN($F179,EOMONTH(DATE(cfg_FY,6,1),0))-MAX($E179,DATE(cfg_FY,6,1))+1)*(1-IF($M179="نعم",0,N($J179))))</f>
        <v>0</v>
      </c>
      <c r="AB179" s="110" t="n">
        <f aca="false">IF(OR($B179="",$E179="",$F179=""),0,MAX(0,MIN($F179,EOMONTH(DATE(cfg_FY,7,1),0))-MAX($E179,DATE(cfg_FY,7,1))+1)*(1-IF($M179="نعم",0,N($J179))))</f>
        <v>0</v>
      </c>
      <c r="AC179" s="110" t="n">
        <f aca="false">IF(OR($B179="",$E179="",$F179=""),0,MAX(0,MIN($F179,EOMONTH(DATE(cfg_FY,8,1),0))-MAX($E179,DATE(cfg_FY,8,1))+1)*(1-IF($M179="نعم",0,N($J179))))</f>
        <v>0</v>
      </c>
      <c r="AD179" s="110" t="n">
        <f aca="false">IF(OR($B179="",$E179="",$F179=""),0,MAX(0,MIN($F179,EOMONTH(DATE(cfg_FY,9,1),0))-MAX($E179,DATE(cfg_FY,9,1))+1)*(1-IF($M179="نعم",0,N($J179))))</f>
        <v>0</v>
      </c>
      <c r="AE179" s="110" t="n">
        <f aca="false">IF(OR($B179="",$E179="",$F179=""),0,MAX(0,MIN($F179,EOMONTH(DATE(cfg_FY,10,1),0))-MAX($E179,DATE(cfg_FY,10,1))+1)*(1-IF($M179="نعم",0,N($J179))))</f>
        <v>0</v>
      </c>
      <c r="AF179" s="110" t="n">
        <f aca="false">IF(OR($B179="",$E179="",$F179=""),0,MAX(0,MIN($F179,EOMONTH(DATE(cfg_FY,11,1),0))-MAX($E179,DATE(cfg_FY,11,1))+1)*(1-IF($M179="نعم",0,N($J179))))</f>
        <v>0</v>
      </c>
      <c r="AG179" s="110" t="n">
        <f aca="false">IF(OR($B179="",$E179="",$F179=""),0,MAX(0,MIN($F179,EOMONTH(DATE(cfg_FY,12,1),0))-MAX($E179,DATE(cfg_FY,12,1))+1)*(1-IF($M179="نعم",0,N($J179))))</f>
        <v>0</v>
      </c>
      <c r="AH179" s="110" t="n">
        <f aca="false">IF(OR(OR($B179="",$E179="",$F179=""),$L179&lt;&gt;"لا"),0,MAX(0,MIN($F179,EOMONTH(DATE(cfg_FY,1,1),0))-$E179+1))</f>
        <v>0</v>
      </c>
      <c r="AI179" s="110" t="n">
        <f aca="false">IF(OR(OR($B179="",$E179="",$F179=""),$L179&lt;&gt;"لا"),0,MAX(0,MIN($F179,EOMONTH(DATE(cfg_FY,2,1),0))-$E179+1))</f>
        <v>0</v>
      </c>
      <c r="AJ179" s="110" t="n">
        <f aca="false">IF(OR(OR($B179="",$E179="",$F179=""),$L179&lt;&gt;"لا"),0,MAX(0,MIN($F179,EOMONTH(DATE(cfg_FY,3,1),0))-$E179+1))</f>
        <v>0</v>
      </c>
      <c r="AK179" s="110" t="n">
        <f aca="false">IF(OR(OR($B179="",$E179="",$F179=""),$L179&lt;&gt;"لا"),0,MAX(0,MIN($F179,EOMONTH(DATE(cfg_FY,4,1),0))-$E179+1))</f>
        <v>0</v>
      </c>
      <c r="AL179" s="110" t="n">
        <f aca="false">IF(OR(OR($B179="",$E179="",$F179=""),$L179&lt;&gt;"لا"),0,MAX(0,MIN($F179,EOMONTH(DATE(cfg_FY,5,1),0))-$E179+1))</f>
        <v>0</v>
      </c>
      <c r="AM179" s="110" t="n">
        <f aca="false">IF(OR(OR($B179="",$E179="",$F179=""),$L179&lt;&gt;"لا"),0,MAX(0,MIN($F179,EOMONTH(DATE(cfg_FY,6,1),0))-$E179+1))</f>
        <v>0</v>
      </c>
      <c r="AN179" s="110" t="n">
        <f aca="false">IF(OR(OR($B179="",$E179="",$F179=""),$L179&lt;&gt;"لا"),0,MAX(0,MIN($F179,EOMONTH(DATE(cfg_FY,7,1),0))-$E179+1))</f>
        <v>0</v>
      </c>
      <c r="AO179" s="110" t="n">
        <f aca="false">IF(OR(OR($B179="",$E179="",$F179=""),$L179&lt;&gt;"لا"),0,MAX(0,MIN($F179,EOMONTH(DATE(cfg_FY,8,1),0))-$E179+1))</f>
        <v>0</v>
      </c>
      <c r="AP179" s="110" t="n">
        <f aca="false">IF(OR(OR($B179="",$E179="",$F179=""),$L179&lt;&gt;"لا"),0,MAX(0,MIN($F179,EOMONTH(DATE(cfg_FY,9,1),0))-$E179+1))</f>
        <v>0</v>
      </c>
      <c r="AQ179" s="110" t="n">
        <f aca="false">IF(OR(OR($B179="",$E179="",$F179=""),$L179&lt;&gt;"لا"),0,MAX(0,MIN($F179,EOMONTH(DATE(cfg_FY,10,1),0))-$E179+1))</f>
        <v>0</v>
      </c>
      <c r="AR179" s="110" t="n">
        <f aca="false">IF(OR(OR($B179="",$E179="",$F179=""),$L179&lt;&gt;"لا"),0,MAX(0,MIN($F179,EOMONTH(DATE(cfg_FY,11,1),0))-$E179+1))</f>
        <v>0</v>
      </c>
      <c r="AS179" s="110" t="n">
        <f aca="false">IF(OR(OR($B179="",$E179="",$F179=""),$L179&lt;&gt;"لا"),0,MAX(0,MIN($F179,EOMONTH(DATE(cfg_FY,12,1),0))-$E179+1))</f>
        <v>0</v>
      </c>
      <c r="AT179" s="110" t="n">
        <f aca="false">IF(OR(OR($B179="",$E179="",$F179=""),$K179&lt;&gt;"نعم",$M179="نعم"),0,MAX(0,MIN($F179,EOMONTH(DATE(cfg_FY,1,1),0))-MAX($E179,DATE(cfg_FY,1,1))+1))</f>
        <v>0</v>
      </c>
      <c r="AU179" s="110" t="n">
        <f aca="false">IF(OR(OR($B179="",$E179="",$F179=""),$K179&lt;&gt;"نعم",$M179="نعم"),0,MAX(0,MIN($F179,EOMONTH(DATE(cfg_FY,2,1),0))-MAX($E179,DATE(cfg_FY,2,1))+1))</f>
        <v>0</v>
      </c>
      <c r="AV179" s="110" t="n">
        <f aca="false">IF(OR(OR($B179="",$E179="",$F179=""),$K179&lt;&gt;"نعم",$M179="نعم"),0,MAX(0,MIN($F179,EOMONTH(DATE(cfg_FY,3,1),0))-MAX($E179,DATE(cfg_FY,3,1))+1))</f>
        <v>0</v>
      </c>
      <c r="AW179" s="110" t="n">
        <f aca="false">IF(OR(OR($B179="",$E179="",$F179=""),$K179&lt;&gt;"نعم",$M179="نعم"),0,MAX(0,MIN($F179,EOMONTH(DATE(cfg_FY,4,1),0))-MAX($E179,DATE(cfg_FY,4,1))+1))</f>
        <v>0</v>
      </c>
      <c r="AX179" s="110" t="n">
        <f aca="false">IF(OR(OR($B179="",$E179="",$F179=""),$K179&lt;&gt;"نعم",$M179="نعم"),0,MAX(0,MIN($F179,EOMONTH(DATE(cfg_FY,5,1),0))-MAX($E179,DATE(cfg_FY,5,1))+1))</f>
        <v>0</v>
      </c>
      <c r="AY179" s="110" t="n">
        <f aca="false">IF(OR(OR($B179="",$E179="",$F179=""),$K179&lt;&gt;"نعم",$M179="نعم"),0,MAX(0,MIN($F179,EOMONTH(DATE(cfg_FY,6,1),0))-MAX($E179,DATE(cfg_FY,6,1))+1))</f>
        <v>0</v>
      </c>
      <c r="AZ179" s="110" t="n">
        <f aca="false">IF(OR(OR($B179="",$E179="",$F179=""),$K179&lt;&gt;"نعم",$M179="نعم"),0,MAX(0,MIN($F179,EOMONTH(DATE(cfg_FY,7,1),0))-MAX($E179,DATE(cfg_FY,7,1))+1))</f>
        <v>0</v>
      </c>
      <c r="BA179" s="110" t="n">
        <f aca="false">IF(OR(OR($B179="",$E179="",$F179=""),$K179&lt;&gt;"نعم",$M179="نعم"),0,MAX(0,MIN($F179,EOMONTH(DATE(cfg_FY,8,1),0))-MAX($E179,DATE(cfg_FY,8,1))+1))</f>
        <v>0</v>
      </c>
      <c r="BB179" s="110" t="n">
        <f aca="false">IF(OR(OR($B179="",$E179="",$F179=""),$K179&lt;&gt;"نعم",$M179="نعم"),0,MAX(0,MIN($F179,EOMONTH(DATE(cfg_FY,9,1),0))-MAX($E179,DATE(cfg_FY,9,1))+1))</f>
        <v>0</v>
      </c>
      <c r="BC179" s="110" t="n">
        <f aca="false">IF(OR(OR($B179="",$E179="",$F179=""),$K179&lt;&gt;"نعم",$M179="نعم"),0,MAX(0,MIN($F179,EOMONTH(DATE(cfg_FY,10,1),0))-MAX($E179,DATE(cfg_FY,10,1))+1))</f>
        <v>0</v>
      </c>
      <c r="BD179" s="110" t="n">
        <f aca="false">IF(OR(OR($B179="",$E179="",$F179=""),$K179&lt;&gt;"نعم",$M179="نعم"),0,MAX(0,MIN($F179,EOMONTH(DATE(cfg_FY,11,1),0))-MAX($E179,DATE(cfg_FY,11,1))+1))</f>
        <v>0</v>
      </c>
      <c r="BE179" s="110" t="n">
        <f aca="false">IF(OR(OR($B179="",$E179="",$F179=""),$K179&lt;&gt;"نعم",$M179="نعم"),0,MAX(0,MIN($F179,EOMONTH(DATE(cfg_FY,12,1),0))-MAX($E179,DATE(cfg_FY,12,1))+1))</f>
        <v>0</v>
      </c>
    </row>
    <row r="180" customFormat="false" ht="15" hidden="false" customHeight="false" outlineLevel="0" collapsed="false">
      <c r="A180" s="93" t="str">
        <f aca="false">IF(B180="","",ROW()-5)</f>
        <v/>
      </c>
      <c r="B180" s="79"/>
      <c r="C180" s="80" t="str">
        <f aca="false">IF(B180="","",IFERROR(INDEX(الموظفون!$C$6:$C$105,MATCH(B180,الموظفون!$B$6:$B$105,0)),"✖ رقم غير موجود"))</f>
        <v/>
      </c>
      <c r="D180" s="79"/>
      <c r="E180" s="94"/>
      <c r="F180" s="94"/>
      <c r="G180" s="57" t="str">
        <f aca="false">IF(OR($B180="",$E180="",$F180=""),"",MAX(0,F180-E180+1))</f>
        <v/>
      </c>
      <c r="H180" s="58" t="str">
        <f aca="false">IF(D180="","",IFERROR(VLOOKUP(D180,cfg_LT,2,FALSE()),1))</f>
        <v/>
      </c>
      <c r="I180" s="82"/>
      <c r="J180" s="58" t="str">
        <f aca="false">IF(D180="","",IF(I180&lt;&gt;"",I180,H180))</f>
        <v/>
      </c>
      <c r="K180" s="80" t="str">
        <f aca="false">IF(D180="","",IFERROR(VLOOKUP($D180,cfg_LT,3,FALSE()),""))</f>
        <v/>
      </c>
      <c r="L180" s="80" t="str">
        <f aca="false">IF(D180="","",IFERROR(VLOOKUP($D180,cfg_LT,4,FALSE()),""))</f>
        <v/>
      </c>
      <c r="M180" s="80" t="str">
        <f aca="false">IF(D180="","",IFERROR(VLOOKUP($D180,cfg_LT,5,FALSE()),""))</f>
        <v/>
      </c>
      <c r="N180" s="97" t="n">
        <f aca="false">IF(OR(OR($B180="",$E180="",$F180=""),M180&lt;&gt;"نعم"),0,G180*J180*IFERROR(INDEX(الموظفون!$R$6:$R$105,MATCH(B180,الموظفون!$B$6:$B$105,0)),0)/cfg_DAYS_M)</f>
        <v>0</v>
      </c>
      <c r="O180" s="93" t="str">
        <f aca="false">IF(OR(OR($B180="",$E180="",$F180=""),M180&lt;&gt;"نعم"),"",IF(YEAR(E180)=cfg_FY,MONTH(E180),""))</f>
        <v/>
      </c>
      <c r="P180" s="80" t="str">
        <f aca="false">IF(B180="","",IF(OR(D180="",E180="",F180=""),"⚠ أكمل النوع والتواريخ",IF(F180&lt;E180,"✖ النهاية قبل البداية",IF(COUNTIFS($B$6:$B$505,B180,$E$6:$E$505,"&lt;="&amp;F180,$F$6:$F$505,"&gt;="&amp;E180)&gt;1,"⚠ تداخل مع سجل آخر",IF(E180&gt;cfg_VAL_DATE,"⏳ قادمة",IF(F180&lt;cfg_VAL_DATE,"✔ منتهية","✈ جارية في تاريخ التقرير"))))))</f>
        <v/>
      </c>
      <c r="Q180" s="79"/>
      <c r="R180" s="57" t="n">
        <f aca="false">IF(OR(OR($B180="",$E180="",$F180=""),L180&lt;&gt;"لا"),0,MAX(0,MIN(F180,cfg_Y_START-1)-E180+1))</f>
        <v>0</v>
      </c>
      <c r="S180" s="57" t="n">
        <f aca="false">IF(OR(OR($B180="",$E180="",$F180=""),L180&lt;&gt;"لا"),0,MAX(0,MIN(F180,cfg_VAL_DATE)-E180+1))</f>
        <v>0</v>
      </c>
      <c r="T180" s="57" t="n">
        <f aca="false">IF(OR(OR($B180="",$E180="",$F180=""),K180&lt;&gt;"نعم"),0,IF(M180="نعم",IF(AND(ISNUMBER(O180),N(O180)&lt;=cfg_VAL_M),G180,0),MAX(0,MIN(F180,cfg_VAL_DATE)-MAX(E180,cfg_Y_START)+1)))</f>
        <v>0</v>
      </c>
      <c r="V180" s="57" t="n">
        <f aca="false">IF(OR($B180="",$E180="",$F180=""),0,MAX(0,MIN($F180,EOMONTH(DATE(cfg_FY,1,1),0))-MAX($E180,DATE(cfg_FY,1,1))+1)*(1-IF($M180="نعم",0,N($J180))))</f>
        <v>0</v>
      </c>
      <c r="W180" s="57" t="n">
        <f aca="false">IF(OR($B180="",$E180="",$F180=""),0,MAX(0,MIN($F180,EOMONTH(DATE(cfg_FY,2,1),0))-MAX($E180,DATE(cfg_FY,2,1))+1)*(1-IF($M180="نعم",0,N($J180))))</f>
        <v>0</v>
      </c>
      <c r="X180" s="57" t="n">
        <f aca="false">IF(OR($B180="",$E180="",$F180=""),0,MAX(0,MIN($F180,EOMONTH(DATE(cfg_FY,3,1),0))-MAX($E180,DATE(cfg_FY,3,1))+1)*(1-IF($M180="نعم",0,N($J180))))</f>
        <v>0</v>
      </c>
      <c r="Y180" s="57" t="n">
        <f aca="false">IF(OR($B180="",$E180="",$F180=""),0,MAX(0,MIN($F180,EOMONTH(DATE(cfg_FY,4,1),0))-MAX($E180,DATE(cfg_FY,4,1))+1)*(1-IF($M180="نعم",0,N($J180))))</f>
        <v>0</v>
      </c>
      <c r="Z180" s="57" t="n">
        <f aca="false">IF(OR($B180="",$E180="",$F180=""),0,MAX(0,MIN($F180,EOMONTH(DATE(cfg_FY,5,1),0))-MAX($E180,DATE(cfg_FY,5,1))+1)*(1-IF($M180="نعم",0,N($J180))))</f>
        <v>0</v>
      </c>
      <c r="AA180" s="57" t="n">
        <f aca="false">IF(OR($B180="",$E180="",$F180=""),0,MAX(0,MIN($F180,EOMONTH(DATE(cfg_FY,6,1),0))-MAX($E180,DATE(cfg_FY,6,1))+1)*(1-IF($M180="نعم",0,N($J180))))</f>
        <v>0</v>
      </c>
      <c r="AB180" s="57" t="n">
        <f aca="false">IF(OR($B180="",$E180="",$F180=""),0,MAX(0,MIN($F180,EOMONTH(DATE(cfg_FY,7,1),0))-MAX($E180,DATE(cfg_FY,7,1))+1)*(1-IF($M180="نعم",0,N($J180))))</f>
        <v>0</v>
      </c>
      <c r="AC180" s="57" t="n">
        <f aca="false">IF(OR($B180="",$E180="",$F180=""),0,MAX(0,MIN($F180,EOMONTH(DATE(cfg_FY,8,1),0))-MAX($E180,DATE(cfg_FY,8,1))+1)*(1-IF($M180="نعم",0,N($J180))))</f>
        <v>0</v>
      </c>
      <c r="AD180" s="57" t="n">
        <f aca="false">IF(OR($B180="",$E180="",$F180=""),0,MAX(0,MIN($F180,EOMONTH(DATE(cfg_FY,9,1),0))-MAX($E180,DATE(cfg_FY,9,1))+1)*(1-IF($M180="نعم",0,N($J180))))</f>
        <v>0</v>
      </c>
      <c r="AE180" s="57" t="n">
        <f aca="false">IF(OR($B180="",$E180="",$F180=""),0,MAX(0,MIN($F180,EOMONTH(DATE(cfg_FY,10,1),0))-MAX($E180,DATE(cfg_FY,10,1))+1)*(1-IF($M180="نعم",0,N($J180))))</f>
        <v>0</v>
      </c>
      <c r="AF180" s="57" t="n">
        <f aca="false">IF(OR($B180="",$E180="",$F180=""),0,MAX(0,MIN($F180,EOMONTH(DATE(cfg_FY,11,1),0))-MAX($E180,DATE(cfg_FY,11,1))+1)*(1-IF($M180="نعم",0,N($J180))))</f>
        <v>0</v>
      </c>
      <c r="AG180" s="57" t="n">
        <f aca="false">IF(OR($B180="",$E180="",$F180=""),0,MAX(0,MIN($F180,EOMONTH(DATE(cfg_FY,12,1),0))-MAX($E180,DATE(cfg_FY,12,1))+1)*(1-IF($M180="نعم",0,N($J180))))</f>
        <v>0</v>
      </c>
      <c r="AH180" s="57" t="n">
        <f aca="false">IF(OR(OR($B180="",$E180="",$F180=""),$L180&lt;&gt;"لا"),0,MAX(0,MIN($F180,EOMONTH(DATE(cfg_FY,1,1),0))-$E180+1))</f>
        <v>0</v>
      </c>
      <c r="AI180" s="57" t="n">
        <f aca="false">IF(OR(OR($B180="",$E180="",$F180=""),$L180&lt;&gt;"لا"),0,MAX(0,MIN($F180,EOMONTH(DATE(cfg_FY,2,1),0))-$E180+1))</f>
        <v>0</v>
      </c>
      <c r="AJ180" s="57" t="n">
        <f aca="false">IF(OR(OR($B180="",$E180="",$F180=""),$L180&lt;&gt;"لا"),0,MAX(0,MIN($F180,EOMONTH(DATE(cfg_FY,3,1),0))-$E180+1))</f>
        <v>0</v>
      </c>
      <c r="AK180" s="57" t="n">
        <f aca="false">IF(OR(OR($B180="",$E180="",$F180=""),$L180&lt;&gt;"لا"),0,MAX(0,MIN($F180,EOMONTH(DATE(cfg_FY,4,1),0))-$E180+1))</f>
        <v>0</v>
      </c>
      <c r="AL180" s="57" t="n">
        <f aca="false">IF(OR(OR($B180="",$E180="",$F180=""),$L180&lt;&gt;"لا"),0,MAX(0,MIN($F180,EOMONTH(DATE(cfg_FY,5,1),0))-$E180+1))</f>
        <v>0</v>
      </c>
      <c r="AM180" s="57" t="n">
        <f aca="false">IF(OR(OR($B180="",$E180="",$F180=""),$L180&lt;&gt;"لا"),0,MAX(0,MIN($F180,EOMONTH(DATE(cfg_FY,6,1),0))-$E180+1))</f>
        <v>0</v>
      </c>
      <c r="AN180" s="57" t="n">
        <f aca="false">IF(OR(OR($B180="",$E180="",$F180=""),$L180&lt;&gt;"لا"),0,MAX(0,MIN($F180,EOMONTH(DATE(cfg_FY,7,1),0))-$E180+1))</f>
        <v>0</v>
      </c>
      <c r="AO180" s="57" t="n">
        <f aca="false">IF(OR(OR($B180="",$E180="",$F180=""),$L180&lt;&gt;"لا"),0,MAX(0,MIN($F180,EOMONTH(DATE(cfg_FY,8,1),0))-$E180+1))</f>
        <v>0</v>
      </c>
      <c r="AP180" s="57" t="n">
        <f aca="false">IF(OR(OR($B180="",$E180="",$F180=""),$L180&lt;&gt;"لا"),0,MAX(0,MIN($F180,EOMONTH(DATE(cfg_FY,9,1),0))-$E180+1))</f>
        <v>0</v>
      </c>
      <c r="AQ180" s="57" t="n">
        <f aca="false">IF(OR(OR($B180="",$E180="",$F180=""),$L180&lt;&gt;"لا"),0,MAX(0,MIN($F180,EOMONTH(DATE(cfg_FY,10,1),0))-$E180+1))</f>
        <v>0</v>
      </c>
      <c r="AR180" s="57" t="n">
        <f aca="false">IF(OR(OR($B180="",$E180="",$F180=""),$L180&lt;&gt;"لا"),0,MAX(0,MIN($F180,EOMONTH(DATE(cfg_FY,11,1),0))-$E180+1))</f>
        <v>0</v>
      </c>
      <c r="AS180" s="57" t="n">
        <f aca="false">IF(OR(OR($B180="",$E180="",$F180=""),$L180&lt;&gt;"لا"),0,MAX(0,MIN($F180,EOMONTH(DATE(cfg_FY,12,1),0))-$E180+1))</f>
        <v>0</v>
      </c>
      <c r="AT180" s="57" t="n">
        <f aca="false">IF(OR(OR($B180="",$E180="",$F180=""),$K180&lt;&gt;"نعم",$M180="نعم"),0,MAX(0,MIN($F180,EOMONTH(DATE(cfg_FY,1,1),0))-MAX($E180,DATE(cfg_FY,1,1))+1))</f>
        <v>0</v>
      </c>
      <c r="AU180" s="57" t="n">
        <f aca="false">IF(OR(OR($B180="",$E180="",$F180=""),$K180&lt;&gt;"نعم",$M180="نعم"),0,MAX(0,MIN($F180,EOMONTH(DATE(cfg_FY,2,1),0))-MAX($E180,DATE(cfg_FY,2,1))+1))</f>
        <v>0</v>
      </c>
      <c r="AV180" s="57" t="n">
        <f aca="false">IF(OR(OR($B180="",$E180="",$F180=""),$K180&lt;&gt;"نعم",$M180="نعم"),0,MAX(0,MIN($F180,EOMONTH(DATE(cfg_FY,3,1),0))-MAX($E180,DATE(cfg_FY,3,1))+1))</f>
        <v>0</v>
      </c>
      <c r="AW180" s="57" t="n">
        <f aca="false">IF(OR(OR($B180="",$E180="",$F180=""),$K180&lt;&gt;"نعم",$M180="نعم"),0,MAX(0,MIN($F180,EOMONTH(DATE(cfg_FY,4,1),0))-MAX($E180,DATE(cfg_FY,4,1))+1))</f>
        <v>0</v>
      </c>
      <c r="AX180" s="57" t="n">
        <f aca="false">IF(OR(OR($B180="",$E180="",$F180=""),$K180&lt;&gt;"نعم",$M180="نعم"),0,MAX(0,MIN($F180,EOMONTH(DATE(cfg_FY,5,1),0))-MAX($E180,DATE(cfg_FY,5,1))+1))</f>
        <v>0</v>
      </c>
      <c r="AY180" s="57" t="n">
        <f aca="false">IF(OR(OR($B180="",$E180="",$F180=""),$K180&lt;&gt;"نعم",$M180="نعم"),0,MAX(0,MIN($F180,EOMONTH(DATE(cfg_FY,6,1),0))-MAX($E180,DATE(cfg_FY,6,1))+1))</f>
        <v>0</v>
      </c>
      <c r="AZ180" s="57" t="n">
        <f aca="false">IF(OR(OR($B180="",$E180="",$F180=""),$K180&lt;&gt;"نعم",$M180="نعم"),0,MAX(0,MIN($F180,EOMONTH(DATE(cfg_FY,7,1),0))-MAX($E180,DATE(cfg_FY,7,1))+1))</f>
        <v>0</v>
      </c>
      <c r="BA180" s="57" t="n">
        <f aca="false">IF(OR(OR($B180="",$E180="",$F180=""),$K180&lt;&gt;"نعم",$M180="نعم"),0,MAX(0,MIN($F180,EOMONTH(DATE(cfg_FY,8,1),0))-MAX($E180,DATE(cfg_FY,8,1))+1))</f>
        <v>0</v>
      </c>
      <c r="BB180" s="57" t="n">
        <f aca="false">IF(OR(OR($B180="",$E180="",$F180=""),$K180&lt;&gt;"نعم",$M180="نعم"),0,MAX(0,MIN($F180,EOMONTH(DATE(cfg_FY,9,1),0))-MAX($E180,DATE(cfg_FY,9,1))+1))</f>
        <v>0</v>
      </c>
      <c r="BC180" s="57" t="n">
        <f aca="false">IF(OR(OR($B180="",$E180="",$F180=""),$K180&lt;&gt;"نعم",$M180="نعم"),0,MAX(0,MIN($F180,EOMONTH(DATE(cfg_FY,10,1),0))-MAX($E180,DATE(cfg_FY,10,1))+1))</f>
        <v>0</v>
      </c>
      <c r="BD180" s="57" t="n">
        <f aca="false">IF(OR(OR($B180="",$E180="",$F180=""),$K180&lt;&gt;"نعم",$M180="نعم"),0,MAX(0,MIN($F180,EOMONTH(DATE(cfg_FY,11,1),0))-MAX($E180,DATE(cfg_FY,11,1))+1))</f>
        <v>0</v>
      </c>
      <c r="BE180" s="57" t="n">
        <f aca="false">IF(OR(OR($B180="",$E180="",$F180=""),$K180&lt;&gt;"نعم",$M180="نعم"),0,MAX(0,MIN($F180,EOMONTH(DATE(cfg_FY,12,1),0))-MAX($E180,DATE(cfg_FY,12,1))+1))</f>
        <v>0</v>
      </c>
    </row>
    <row r="181" customFormat="false" ht="15" hidden="false" customHeight="false" outlineLevel="0" collapsed="false">
      <c r="A181" s="100" t="str">
        <f aca="false">IF(B181="","",ROW()-5)</f>
        <v/>
      </c>
      <c r="B181" s="79"/>
      <c r="C181" s="102" t="str">
        <f aca="false">IF(B181="","",IFERROR(INDEX(الموظفون!$C$6:$C$105,MATCH(B181,الموظفون!$B$6:$B$105,0)),"✖ رقم غير موجود"))</f>
        <v/>
      </c>
      <c r="D181" s="79"/>
      <c r="E181" s="94"/>
      <c r="F181" s="94"/>
      <c r="G181" s="110" t="str">
        <f aca="false">IF(OR($B181="",$E181="",$F181=""),"",MAX(0,F181-E181+1))</f>
        <v/>
      </c>
      <c r="H181" s="111" t="str">
        <f aca="false">IF(D181="","",IFERROR(VLOOKUP(D181,cfg_LT,2,FALSE()),1))</f>
        <v/>
      </c>
      <c r="I181" s="82"/>
      <c r="J181" s="111" t="str">
        <f aca="false">IF(D181="","",IF(I181&lt;&gt;"",I181,H181))</f>
        <v/>
      </c>
      <c r="K181" s="102" t="str">
        <f aca="false">IF(D181="","",IFERROR(VLOOKUP($D181,cfg_LT,3,FALSE()),""))</f>
        <v/>
      </c>
      <c r="L181" s="102" t="str">
        <f aca="false">IF(D181="","",IFERROR(VLOOKUP($D181,cfg_LT,4,FALSE()),""))</f>
        <v/>
      </c>
      <c r="M181" s="102" t="str">
        <f aca="false">IF(D181="","",IFERROR(VLOOKUP($D181,cfg_LT,5,FALSE()),""))</f>
        <v/>
      </c>
      <c r="N181" s="101" t="n">
        <f aca="false">IF(OR(OR($B181="",$E181="",$F181=""),M181&lt;&gt;"نعم"),0,G181*J181*IFERROR(INDEX(الموظفون!$R$6:$R$105,MATCH(B181,الموظفون!$B$6:$B$105,0)),0)/cfg_DAYS_M)</f>
        <v>0</v>
      </c>
      <c r="O181" s="100" t="str">
        <f aca="false">IF(OR(OR($B181="",$E181="",$F181=""),M181&lt;&gt;"نعم"),"",IF(YEAR(E181)=cfg_FY,MONTH(E181),""))</f>
        <v/>
      </c>
      <c r="P181" s="102" t="str">
        <f aca="false">IF(B181="","",IF(OR(D181="",E181="",F181=""),"⚠ أكمل النوع والتواريخ",IF(F181&lt;E181,"✖ النهاية قبل البداية",IF(COUNTIFS($B$6:$B$505,B181,$E$6:$E$505,"&lt;="&amp;F181,$F$6:$F$505,"&gt;="&amp;E181)&gt;1,"⚠ تداخل مع سجل آخر",IF(E181&gt;cfg_VAL_DATE,"⏳ قادمة",IF(F181&lt;cfg_VAL_DATE,"✔ منتهية","✈ جارية في تاريخ التقرير"))))))</f>
        <v/>
      </c>
      <c r="Q181" s="79"/>
      <c r="R181" s="110" t="n">
        <f aca="false">IF(OR(OR($B181="",$E181="",$F181=""),L181&lt;&gt;"لا"),0,MAX(0,MIN(F181,cfg_Y_START-1)-E181+1))</f>
        <v>0</v>
      </c>
      <c r="S181" s="110" t="n">
        <f aca="false">IF(OR(OR($B181="",$E181="",$F181=""),L181&lt;&gt;"لا"),0,MAX(0,MIN(F181,cfg_VAL_DATE)-E181+1))</f>
        <v>0</v>
      </c>
      <c r="T181" s="110" t="n">
        <f aca="false">IF(OR(OR($B181="",$E181="",$F181=""),K181&lt;&gt;"نعم"),0,IF(M181="نعم",IF(AND(ISNUMBER(O181),N(O181)&lt;=cfg_VAL_M),G181,0),MAX(0,MIN(F181,cfg_VAL_DATE)-MAX(E181,cfg_Y_START)+1)))</f>
        <v>0</v>
      </c>
      <c r="V181" s="110" t="n">
        <f aca="false">IF(OR($B181="",$E181="",$F181=""),0,MAX(0,MIN($F181,EOMONTH(DATE(cfg_FY,1,1),0))-MAX($E181,DATE(cfg_FY,1,1))+1)*(1-IF($M181="نعم",0,N($J181))))</f>
        <v>0</v>
      </c>
      <c r="W181" s="110" t="n">
        <f aca="false">IF(OR($B181="",$E181="",$F181=""),0,MAX(0,MIN($F181,EOMONTH(DATE(cfg_FY,2,1),0))-MAX($E181,DATE(cfg_FY,2,1))+1)*(1-IF($M181="نعم",0,N($J181))))</f>
        <v>0</v>
      </c>
      <c r="X181" s="110" t="n">
        <f aca="false">IF(OR($B181="",$E181="",$F181=""),0,MAX(0,MIN($F181,EOMONTH(DATE(cfg_FY,3,1),0))-MAX($E181,DATE(cfg_FY,3,1))+1)*(1-IF($M181="نعم",0,N($J181))))</f>
        <v>0</v>
      </c>
      <c r="Y181" s="110" t="n">
        <f aca="false">IF(OR($B181="",$E181="",$F181=""),0,MAX(0,MIN($F181,EOMONTH(DATE(cfg_FY,4,1),0))-MAX($E181,DATE(cfg_FY,4,1))+1)*(1-IF($M181="نعم",0,N($J181))))</f>
        <v>0</v>
      </c>
      <c r="Z181" s="110" t="n">
        <f aca="false">IF(OR($B181="",$E181="",$F181=""),0,MAX(0,MIN($F181,EOMONTH(DATE(cfg_FY,5,1),0))-MAX($E181,DATE(cfg_FY,5,1))+1)*(1-IF($M181="نعم",0,N($J181))))</f>
        <v>0</v>
      </c>
      <c r="AA181" s="110" t="n">
        <f aca="false">IF(OR($B181="",$E181="",$F181=""),0,MAX(0,MIN($F181,EOMONTH(DATE(cfg_FY,6,1),0))-MAX($E181,DATE(cfg_FY,6,1))+1)*(1-IF($M181="نعم",0,N($J181))))</f>
        <v>0</v>
      </c>
      <c r="AB181" s="110" t="n">
        <f aca="false">IF(OR($B181="",$E181="",$F181=""),0,MAX(0,MIN($F181,EOMONTH(DATE(cfg_FY,7,1),0))-MAX($E181,DATE(cfg_FY,7,1))+1)*(1-IF($M181="نعم",0,N($J181))))</f>
        <v>0</v>
      </c>
      <c r="AC181" s="110" t="n">
        <f aca="false">IF(OR($B181="",$E181="",$F181=""),0,MAX(0,MIN($F181,EOMONTH(DATE(cfg_FY,8,1),0))-MAX($E181,DATE(cfg_FY,8,1))+1)*(1-IF($M181="نعم",0,N($J181))))</f>
        <v>0</v>
      </c>
      <c r="AD181" s="110" t="n">
        <f aca="false">IF(OR($B181="",$E181="",$F181=""),0,MAX(0,MIN($F181,EOMONTH(DATE(cfg_FY,9,1),0))-MAX($E181,DATE(cfg_FY,9,1))+1)*(1-IF($M181="نعم",0,N($J181))))</f>
        <v>0</v>
      </c>
      <c r="AE181" s="110" t="n">
        <f aca="false">IF(OR($B181="",$E181="",$F181=""),0,MAX(0,MIN($F181,EOMONTH(DATE(cfg_FY,10,1),0))-MAX($E181,DATE(cfg_FY,10,1))+1)*(1-IF($M181="نعم",0,N($J181))))</f>
        <v>0</v>
      </c>
      <c r="AF181" s="110" t="n">
        <f aca="false">IF(OR($B181="",$E181="",$F181=""),0,MAX(0,MIN($F181,EOMONTH(DATE(cfg_FY,11,1),0))-MAX($E181,DATE(cfg_FY,11,1))+1)*(1-IF($M181="نعم",0,N($J181))))</f>
        <v>0</v>
      </c>
      <c r="AG181" s="110" t="n">
        <f aca="false">IF(OR($B181="",$E181="",$F181=""),0,MAX(0,MIN($F181,EOMONTH(DATE(cfg_FY,12,1),0))-MAX($E181,DATE(cfg_FY,12,1))+1)*(1-IF($M181="نعم",0,N($J181))))</f>
        <v>0</v>
      </c>
      <c r="AH181" s="110" t="n">
        <f aca="false">IF(OR(OR($B181="",$E181="",$F181=""),$L181&lt;&gt;"لا"),0,MAX(0,MIN($F181,EOMONTH(DATE(cfg_FY,1,1),0))-$E181+1))</f>
        <v>0</v>
      </c>
      <c r="AI181" s="110" t="n">
        <f aca="false">IF(OR(OR($B181="",$E181="",$F181=""),$L181&lt;&gt;"لا"),0,MAX(0,MIN($F181,EOMONTH(DATE(cfg_FY,2,1),0))-$E181+1))</f>
        <v>0</v>
      </c>
      <c r="AJ181" s="110" t="n">
        <f aca="false">IF(OR(OR($B181="",$E181="",$F181=""),$L181&lt;&gt;"لا"),0,MAX(0,MIN($F181,EOMONTH(DATE(cfg_FY,3,1),0))-$E181+1))</f>
        <v>0</v>
      </c>
      <c r="AK181" s="110" t="n">
        <f aca="false">IF(OR(OR($B181="",$E181="",$F181=""),$L181&lt;&gt;"لا"),0,MAX(0,MIN($F181,EOMONTH(DATE(cfg_FY,4,1),0))-$E181+1))</f>
        <v>0</v>
      </c>
      <c r="AL181" s="110" t="n">
        <f aca="false">IF(OR(OR($B181="",$E181="",$F181=""),$L181&lt;&gt;"لا"),0,MAX(0,MIN($F181,EOMONTH(DATE(cfg_FY,5,1),0))-$E181+1))</f>
        <v>0</v>
      </c>
      <c r="AM181" s="110" t="n">
        <f aca="false">IF(OR(OR($B181="",$E181="",$F181=""),$L181&lt;&gt;"لا"),0,MAX(0,MIN($F181,EOMONTH(DATE(cfg_FY,6,1),0))-$E181+1))</f>
        <v>0</v>
      </c>
      <c r="AN181" s="110" t="n">
        <f aca="false">IF(OR(OR($B181="",$E181="",$F181=""),$L181&lt;&gt;"لا"),0,MAX(0,MIN($F181,EOMONTH(DATE(cfg_FY,7,1),0))-$E181+1))</f>
        <v>0</v>
      </c>
      <c r="AO181" s="110" t="n">
        <f aca="false">IF(OR(OR($B181="",$E181="",$F181=""),$L181&lt;&gt;"لا"),0,MAX(0,MIN($F181,EOMONTH(DATE(cfg_FY,8,1),0))-$E181+1))</f>
        <v>0</v>
      </c>
      <c r="AP181" s="110" t="n">
        <f aca="false">IF(OR(OR($B181="",$E181="",$F181=""),$L181&lt;&gt;"لا"),0,MAX(0,MIN($F181,EOMONTH(DATE(cfg_FY,9,1),0))-$E181+1))</f>
        <v>0</v>
      </c>
      <c r="AQ181" s="110" t="n">
        <f aca="false">IF(OR(OR($B181="",$E181="",$F181=""),$L181&lt;&gt;"لا"),0,MAX(0,MIN($F181,EOMONTH(DATE(cfg_FY,10,1),0))-$E181+1))</f>
        <v>0</v>
      </c>
      <c r="AR181" s="110" t="n">
        <f aca="false">IF(OR(OR($B181="",$E181="",$F181=""),$L181&lt;&gt;"لا"),0,MAX(0,MIN($F181,EOMONTH(DATE(cfg_FY,11,1),0))-$E181+1))</f>
        <v>0</v>
      </c>
      <c r="AS181" s="110" t="n">
        <f aca="false">IF(OR(OR($B181="",$E181="",$F181=""),$L181&lt;&gt;"لا"),0,MAX(0,MIN($F181,EOMONTH(DATE(cfg_FY,12,1),0))-$E181+1))</f>
        <v>0</v>
      </c>
      <c r="AT181" s="110" t="n">
        <f aca="false">IF(OR(OR($B181="",$E181="",$F181=""),$K181&lt;&gt;"نعم",$M181="نعم"),0,MAX(0,MIN($F181,EOMONTH(DATE(cfg_FY,1,1),0))-MAX($E181,DATE(cfg_FY,1,1))+1))</f>
        <v>0</v>
      </c>
      <c r="AU181" s="110" t="n">
        <f aca="false">IF(OR(OR($B181="",$E181="",$F181=""),$K181&lt;&gt;"نعم",$M181="نعم"),0,MAX(0,MIN($F181,EOMONTH(DATE(cfg_FY,2,1),0))-MAX($E181,DATE(cfg_FY,2,1))+1))</f>
        <v>0</v>
      </c>
      <c r="AV181" s="110" t="n">
        <f aca="false">IF(OR(OR($B181="",$E181="",$F181=""),$K181&lt;&gt;"نعم",$M181="نعم"),0,MAX(0,MIN($F181,EOMONTH(DATE(cfg_FY,3,1),0))-MAX($E181,DATE(cfg_FY,3,1))+1))</f>
        <v>0</v>
      </c>
      <c r="AW181" s="110" t="n">
        <f aca="false">IF(OR(OR($B181="",$E181="",$F181=""),$K181&lt;&gt;"نعم",$M181="نعم"),0,MAX(0,MIN($F181,EOMONTH(DATE(cfg_FY,4,1),0))-MAX($E181,DATE(cfg_FY,4,1))+1))</f>
        <v>0</v>
      </c>
      <c r="AX181" s="110" t="n">
        <f aca="false">IF(OR(OR($B181="",$E181="",$F181=""),$K181&lt;&gt;"نعم",$M181="نعم"),0,MAX(0,MIN($F181,EOMONTH(DATE(cfg_FY,5,1),0))-MAX($E181,DATE(cfg_FY,5,1))+1))</f>
        <v>0</v>
      </c>
      <c r="AY181" s="110" t="n">
        <f aca="false">IF(OR(OR($B181="",$E181="",$F181=""),$K181&lt;&gt;"نعم",$M181="نعم"),0,MAX(0,MIN($F181,EOMONTH(DATE(cfg_FY,6,1),0))-MAX($E181,DATE(cfg_FY,6,1))+1))</f>
        <v>0</v>
      </c>
      <c r="AZ181" s="110" t="n">
        <f aca="false">IF(OR(OR($B181="",$E181="",$F181=""),$K181&lt;&gt;"نعم",$M181="نعم"),0,MAX(0,MIN($F181,EOMONTH(DATE(cfg_FY,7,1),0))-MAX($E181,DATE(cfg_FY,7,1))+1))</f>
        <v>0</v>
      </c>
      <c r="BA181" s="110" t="n">
        <f aca="false">IF(OR(OR($B181="",$E181="",$F181=""),$K181&lt;&gt;"نعم",$M181="نعم"),0,MAX(0,MIN($F181,EOMONTH(DATE(cfg_FY,8,1),0))-MAX($E181,DATE(cfg_FY,8,1))+1))</f>
        <v>0</v>
      </c>
      <c r="BB181" s="110" t="n">
        <f aca="false">IF(OR(OR($B181="",$E181="",$F181=""),$K181&lt;&gt;"نعم",$M181="نعم"),0,MAX(0,MIN($F181,EOMONTH(DATE(cfg_FY,9,1),0))-MAX($E181,DATE(cfg_FY,9,1))+1))</f>
        <v>0</v>
      </c>
      <c r="BC181" s="110" t="n">
        <f aca="false">IF(OR(OR($B181="",$E181="",$F181=""),$K181&lt;&gt;"نعم",$M181="نعم"),0,MAX(0,MIN($F181,EOMONTH(DATE(cfg_FY,10,1),0))-MAX($E181,DATE(cfg_FY,10,1))+1))</f>
        <v>0</v>
      </c>
      <c r="BD181" s="110" t="n">
        <f aca="false">IF(OR(OR($B181="",$E181="",$F181=""),$K181&lt;&gt;"نعم",$M181="نعم"),0,MAX(0,MIN($F181,EOMONTH(DATE(cfg_FY,11,1),0))-MAX($E181,DATE(cfg_FY,11,1))+1))</f>
        <v>0</v>
      </c>
      <c r="BE181" s="110" t="n">
        <f aca="false">IF(OR(OR($B181="",$E181="",$F181=""),$K181&lt;&gt;"نعم",$M181="نعم"),0,MAX(0,MIN($F181,EOMONTH(DATE(cfg_FY,12,1),0))-MAX($E181,DATE(cfg_FY,12,1))+1))</f>
        <v>0</v>
      </c>
    </row>
    <row r="182" customFormat="false" ht="15" hidden="false" customHeight="false" outlineLevel="0" collapsed="false">
      <c r="A182" s="93" t="str">
        <f aca="false">IF(B182="","",ROW()-5)</f>
        <v/>
      </c>
      <c r="B182" s="79"/>
      <c r="C182" s="80" t="str">
        <f aca="false">IF(B182="","",IFERROR(INDEX(الموظفون!$C$6:$C$105,MATCH(B182,الموظفون!$B$6:$B$105,0)),"✖ رقم غير موجود"))</f>
        <v/>
      </c>
      <c r="D182" s="79"/>
      <c r="E182" s="94"/>
      <c r="F182" s="94"/>
      <c r="G182" s="57" t="str">
        <f aca="false">IF(OR($B182="",$E182="",$F182=""),"",MAX(0,F182-E182+1))</f>
        <v/>
      </c>
      <c r="H182" s="58" t="str">
        <f aca="false">IF(D182="","",IFERROR(VLOOKUP(D182,cfg_LT,2,FALSE()),1))</f>
        <v/>
      </c>
      <c r="I182" s="82"/>
      <c r="J182" s="58" t="str">
        <f aca="false">IF(D182="","",IF(I182&lt;&gt;"",I182,H182))</f>
        <v/>
      </c>
      <c r="K182" s="80" t="str">
        <f aca="false">IF(D182="","",IFERROR(VLOOKUP($D182,cfg_LT,3,FALSE()),""))</f>
        <v/>
      </c>
      <c r="L182" s="80" t="str">
        <f aca="false">IF(D182="","",IFERROR(VLOOKUP($D182,cfg_LT,4,FALSE()),""))</f>
        <v/>
      </c>
      <c r="M182" s="80" t="str">
        <f aca="false">IF(D182="","",IFERROR(VLOOKUP($D182,cfg_LT,5,FALSE()),""))</f>
        <v/>
      </c>
      <c r="N182" s="97" t="n">
        <f aca="false">IF(OR(OR($B182="",$E182="",$F182=""),M182&lt;&gt;"نعم"),0,G182*J182*IFERROR(INDEX(الموظفون!$R$6:$R$105,MATCH(B182,الموظفون!$B$6:$B$105,0)),0)/cfg_DAYS_M)</f>
        <v>0</v>
      </c>
      <c r="O182" s="93" t="str">
        <f aca="false">IF(OR(OR($B182="",$E182="",$F182=""),M182&lt;&gt;"نعم"),"",IF(YEAR(E182)=cfg_FY,MONTH(E182),""))</f>
        <v/>
      </c>
      <c r="P182" s="80" t="str">
        <f aca="false">IF(B182="","",IF(OR(D182="",E182="",F182=""),"⚠ أكمل النوع والتواريخ",IF(F182&lt;E182,"✖ النهاية قبل البداية",IF(COUNTIFS($B$6:$B$505,B182,$E$6:$E$505,"&lt;="&amp;F182,$F$6:$F$505,"&gt;="&amp;E182)&gt;1,"⚠ تداخل مع سجل آخر",IF(E182&gt;cfg_VAL_DATE,"⏳ قادمة",IF(F182&lt;cfg_VAL_DATE,"✔ منتهية","✈ جارية في تاريخ التقرير"))))))</f>
        <v/>
      </c>
      <c r="Q182" s="79"/>
      <c r="R182" s="57" t="n">
        <f aca="false">IF(OR(OR($B182="",$E182="",$F182=""),L182&lt;&gt;"لا"),0,MAX(0,MIN(F182,cfg_Y_START-1)-E182+1))</f>
        <v>0</v>
      </c>
      <c r="S182" s="57" t="n">
        <f aca="false">IF(OR(OR($B182="",$E182="",$F182=""),L182&lt;&gt;"لا"),0,MAX(0,MIN(F182,cfg_VAL_DATE)-E182+1))</f>
        <v>0</v>
      </c>
      <c r="T182" s="57" t="n">
        <f aca="false">IF(OR(OR($B182="",$E182="",$F182=""),K182&lt;&gt;"نعم"),0,IF(M182="نعم",IF(AND(ISNUMBER(O182),N(O182)&lt;=cfg_VAL_M),G182,0),MAX(0,MIN(F182,cfg_VAL_DATE)-MAX(E182,cfg_Y_START)+1)))</f>
        <v>0</v>
      </c>
      <c r="V182" s="57" t="n">
        <f aca="false">IF(OR($B182="",$E182="",$F182=""),0,MAX(0,MIN($F182,EOMONTH(DATE(cfg_FY,1,1),0))-MAX($E182,DATE(cfg_FY,1,1))+1)*(1-IF($M182="نعم",0,N($J182))))</f>
        <v>0</v>
      </c>
      <c r="W182" s="57" t="n">
        <f aca="false">IF(OR($B182="",$E182="",$F182=""),0,MAX(0,MIN($F182,EOMONTH(DATE(cfg_FY,2,1),0))-MAX($E182,DATE(cfg_FY,2,1))+1)*(1-IF($M182="نعم",0,N($J182))))</f>
        <v>0</v>
      </c>
      <c r="X182" s="57" t="n">
        <f aca="false">IF(OR($B182="",$E182="",$F182=""),0,MAX(0,MIN($F182,EOMONTH(DATE(cfg_FY,3,1),0))-MAX($E182,DATE(cfg_FY,3,1))+1)*(1-IF($M182="نعم",0,N($J182))))</f>
        <v>0</v>
      </c>
      <c r="Y182" s="57" t="n">
        <f aca="false">IF(OR($B182="",$E182="",$F182=""),0,MAX(0,MIN($F182,EOMONTH(DATE(cfg_FY,4,1),0))-MAX($E182,DATE(cfg_FY,4,1))+1)*(1-IF($M182="نعم",0,N($J182))))</f>
        <v>0</v>
      </c>
      <c r="Z182" s="57" t="n">
        <f aca="false">IF(OR($B182="",$E182="",$F182=""),0,MAX(0,MIN($F182,EOMONTH(DATE(cfg_FY,5,1),0))-MAX($E182,DATE(cfg_FY,5,1))+1)*(1-IF($M182="نعم",0,N($J182))))</f>
        <v>0</v>
      </c>
      <c r="AA182" s="57" t="n">
        <f aca="false">IF(OR($B182="",$E182="",$F182=""),0,MAX(0,MIN($F182,EOMONTH(DATE(cfg_FY,6,1),0))-MAX($E182,DATE(cfg_FY,6,1))+1)*(1-IF($M182="نعم",0,N($J182))))</f>
        <v>0</v>
      </c>
      <c r="AB182" s="57" t="n">
        <f aca="false">IF(OR($B182="",$E182="",$F182=""),0,MAX(0,MIN($F182,EOMONTH(DATE(cfg_FY,7,1),0))-MAX($E182,DATE(cfg_FY,7,1))+1)*(1-IF($M182="نعم",0,N($J182))))</f>
        <v>0</v>
      </c>
      <c r="AC182" s="57" t="n">
        <f aca="false">IF(OR($B182="",$E182="",$F182=""),0,MAX(0,MIN($F182,EOMONTH(DATE(cfg_FY,8,1),0))-MAX($E182,DATE(cfg_FY,8,1))+1)*(1-IF($M182="نعم",0,N($J182))))</f>
        <v>0</v>
      </c>
      <c r="AD182" s="57" t="n">
        <f aca="false">IF(OR($B182="",$E182="",$F182=""),0,MAX(0,MIN($F182,EOMONTH(DATE(cfg_FY,9,1),0))-MAX($E182,DATE(cfg_FY,9,1))+1)*(1-IF($M182="نعم",0,N($J182))))</f>
        <v>0</v>
      </c>
      <c r="AE182" s="57" t="n">
        <f aca="false">IF(OR($B182="",$E182="",$F182=""),0,MAX(0,MIN($F182,EOMONTH(DATE(cfg_FY,10,1),0))-MAX($E182,DATE(cfg_FY,10,1))+1)*(1-IF($M182="نعم",0,N($J182))))</f>
        <v>0</v>
      </c>
      <c r="AF182" s="57" t="n">
        <f aca="false">IF(OR($B182="",$E182="",$F182=""),0,MAX(0,MIN($F182,EOMONTH(DATE(cfg_FY,11,1),0))-MAX($E182,DATE(cfg_FY,11,1))+1)*(1-IF($M182="نعم",0,N($J182))))</f>
        <v>0</v>
      </c>
      <c r="AG182" s="57" t="n">
        <f aca="false">IF(OR($B182="",$E182="",$F182=""),0,MAX(0,MIN($F182,EOMONTH(DATE(cfg_FY,12,1),0))-MAX($E182,DATE(cfg_FY,12,1))+1)*(1-IF($M182="نعم",0,N($J182))))</f>
        <v>0</v>
      </c>
      <c r="AH182" s="57" t="n">
        <f aca="false">IF(OR(OR($B182="",$E182="",$F182=""),$L182&lt;&gt;"لا"),0,MAX(0,MIN($F182,EOMONTH(DATE(cfg_FY,1,1),0))-$E182+1))</f>
        <v>0</v>
      </c>
      <c r="AI182" s="57" t="n">
        <f aca="false">IF(OR(OR($B182="",$E182="",$F182=""),$L182&lt;&gt;"لا"),0,MAX(0,MIN($F182,EOMONTH(DATE(cfg_FY,2,1),0))-$E182+1))</f>
        <v>0</v>
      </c>
      <c r="AJ182" s="57" t="n">
        <f aca="false">IF(OR(OR($B182="",$E182="",$F182=""),$L182&lt;&gt;"لا"),0,MAX(0,MIN($F182,EOMONTH(DATE(cfg_FY,3,1),0))-$E182+1))</f>
        <v>0</v>
      </c>
      <c r="AK182" s="57" t="n">
        <f aca="false">IF(OR(OR($B182="",$E182="",$F182=""),$L182&lt;&gt;"لا"),0,MAX(0,MIN($F182,EOMONTH(DATE(cfg_FY,4,1),0))-$E182+1))</f>
        <v>0</v>
      </c>
      <c r="AL182" s="57" t="n">
        <f aca="false">IF(OR(OR($B182="",$E182="",$F182=""),$L182&lt;&gt;"لا"),0,MAX(0,MIN($F182,EOMONTH(DATE(cfg_FY,5,1),0))-$E182+1))</f>
        <v>0</v>
      </c>
      <c r="AM182" s="57" t="n">
        <f aca="false">IF(OR(OR($B182="",$E182="",$F182=""),$L182&lt;&gt;"لا"),0,MAX(0,MIN($F182,EOMONTH(DATE(cfg_FY,6,1),0))-$E182+1))</f>
        <v>0</v>
      </c>
      <c r="AN182" s="57" t="n">
        <f aca="false">IF(OR(OR($B182="",$E182="",$F182=""),$L182&lt;&gt;"لا"),0,MAX(0,MIN($F182,EOMONTH(DATE(cfg_FY,7,1),0))-$E182+1))</f>
        <v>0</v>
      </c>
      <c r="AO182" s="57" t="n">
        <f aca="false">IF(OR(OR($B182="",$E182="",$F182=""),$L182&lt;&gt;"لا"),0,MAX(0,MIN($F182,EOMONTH(DATE(cfg_FY,8,1),0))-$E182+1))</f>
        <v>0</v>
      </c>
      <c r="AP182" s="57" t="n">
        <f aca="false">IF(OR(OR($B182="",$E182="",$F182=""),$L182&lt;&gt;"لا"),0,MAX(0,MIN($F182,EOMONTH(DATE(cfg_FY,9,1),0))-$E182+1))</f>
        <v>0</v>
      </c>
      <c r="AQ182" s="57" t="n">
        <f aca="false">IF(OR(OR($B182="",$E182="",$F182=""),$L182&lt;&gt;"لا"),0,MAX(0,MIN($F182,EOMONTH(DATE(cfg_FY,10,1),0))-$E182+1))</f>
        <v>0</v>
      </c>
      <c r="AR182" s="57" t="n">
        <f aca="false">IF(OR(OR($B182="",$E182="",$F182=""),$L182&lt;&gt;"لا"),0,MAX(0,MIN($F182,EOMONTH(DATE(cfg_FY,11,1),0))-$E182+1))</f>
        <v>0</v>
      </c>
      <c r="AS182" s="57" t="n">
        <f aca="false">IF(OR(OR($B182="",$E182="",$F182=""),$L182&lt;&gt;"لا"),0,MAX(0,MIN($F182,EOMONTH(DATE(cfg_FY,12,1),0))-$E182+1))</f>
        <v>0</v>
      </c>
      <c r="AT182" s="57" t="n">
        <f aca="false">IF(OR(OR($B182="",$E182="",$F182=""),$K182&lt;&gt;"نعم",$M182="نعم"),0,MAX(0,MIN($F182,EOMONTH(DATE(cfg_FY,1,1),0))-MAX($E182,DATE(cfg_FY,1,1))+1))</f>
        <v>0</v>
      </c>
      <c r="AU182" s="57" t="n">
        <f aca="false">IF(OR(OR($B182="",$E182="",$F182=""),$K182&lt;&gt;"نعم",$M182="نعم"),0,MAX(0,MIN($F182,EOMONTH(DATE(cfg_FY,2,1),0))-MAX($E182,DATE(cfg_FY,2,1))+1))</f>
        <v>0</v>
      </c>
      <c r="AV182" s="57" t="n">
        <f aca="false">IF(OR(OR($B182="",$E182="",$F182=""),$K182&lt;&gt;"نعم",$M182="نعم"),0,MAX(0,MIN($F182,EOMONTH(DATE(cfg_FY,3,1),0))-MAX($E182,DATE(cfg_FY,3,1))+1))</f>
        <v>0</v>
      </c>
      <c r="AW182" s="57" t="n">
        <f aca="false">IF(OR(OR($B182="",$E182="",$F182=""),$K182&lt;&gt;"نعم",$M182="نعم"),0,MAX(0,MIN($F182,EOMONTH(DATE(cfg_FY,4,1),0))-MAX($E182,DATE(cfg_FY,4,1))+1))</f>
        <v>0</v>
      </c>
      <c r="AX182" s="57" t="n">
        <f aca="false">IF(OR(OR($B182="",$E182="",$F182=""),$K182&lt;&gt;"نعم",$M182="نعم"),0,MAX(0,MIN($F182,EOMONTH(DATE(cfg_FY,5,1),0))-MAX($E182,DATE(cfg_FY,5,1))+1))</f>
        <v>0</v>
      </c>
      <c r="AY182" s="57" t="n">
        <f aca="false">IF(OR(OR($B182="",$E182="",$F182=""),$K182&lt;&gt;"نعم",$M182="نعم"),0,MAX(0,MIN($F182,EOMONTH(DATE(cfg_FY,6,1),0))-MAX($E182,DATE(cfg_FY,6,1))+1))</f>
        <v>0</v>
      </c>
      <c r="AZ182" s="57" t="n">
        <f aca="false">IF(OR(OR($B182="",$E182="",$F182=""),$K182&lt;&gt;"نعم",$M182="نعم"),0,MAX(0,MIN($F182,EOMONTH(DATE(cfg_FY,7,1),0))-MAX($E182,DATE(cfg_FY,7,1))+1))</f>
        <v>0</v>
      </c>
      <c r="BA182" s="57" t="n">
        <f aca="false">IF(OR(OR($B182="",$E182="",$F182=""),$K182&lt;&gt;"نعم",$M182="نعم"),0,MAX(0,MIN($F182,EOMONTH(DATE(cfg_FY,8,1),0))-MAX($E182,DATE(cfg_FY,8,1))+1))</f>
        <v>0</v>
      </c>
      <c r="BB182" s="57" t="n">
        <f aca="false">IF(OR(OR($B182="",$E182="",$F182=""),$K182&lt;&gt;"نعم",$M182="نعم"),0,MAX(0,MIN($F182,EOMONTH(DATE(cfg_FY,9,1),0))-MAX($E182,DATE(cfg_FY,9,1))+1))</f>
        <v>0</v>
      </c>
      <c r="BC182" s="57" t="n">
        <f aca="false">IF(OR(OR($B182="",$E182="",$F182=""),$K182&lt;&gt;"نعم",$M182="نعم"),0,MAX(0,MIN($F182,EOMONTH(DATE(cfg_FY,10,1),0))-MAX($E182,DATE(cfg_FY,10,1))+1))</f>
        <v>0</v>
      </c>
      <c r="BD182" s="57" t="n">
        <f aca="false">IF(OR(OR($B182="",$E182="",$F182=""),$K182&lt;&gt;"نعم",$M182="نعم"),0,MAX(0,MIN($F182,EOMONTH(DATE(cfg_FY,11,1),0))-MAX($E182,DATE(cfg_FY,11,1))+1))</f>
        <v>0</v>
      </c>
      <c r="BE182" s="57" t="n">
        <f aca="false">IF(OR(OR($B182="",$E182="",$F182=""),$K182&lt;&gt;"نعم",$M182="نعم"),0,MAX(0,MIN($F182,EOMONTH(DATE(cfg_FY,12,1),0))-MAX($E182,DATE(cfg_FY,12,1))+1))</f>
        <v>0</v>
      </c>
    </row>
    <row r="183" customFormat="false" ht="15" hidden="false" customHeight="false" outlineLevel="0" collapsed="false">
      <c r="A183" s="100" t="str">
        <f aca="false">IF(B183="","",ROW()-5)</f>
        <v/>
      </c>
      <c r="B183" s="79"/>
      <c r="C183" s="102" t="str">
        <f aca="false">IF(B183="","",IFERROR(INDEX(الموظفون!$C$6:$C$105,MATCH(B183,الموظفون!$B$6:$B$105,0)),"✖ رقم غير موجود"))</f>
        <v/>
      </c>
      <c r="D183" s="79"/>
      <c r="E183" s="94"/>
      <c r="F183" s="94"/>
      <c r="G183" s="110" t="str">
        <f aca="false">IF(OR($B183="",$E183="",$F183=""),"",MAX(0,F183-E183+1))</f>
        <v/>
      </c>
      <c r="H183" s="111" t="str">
        <f aca="false">IF(D183="","",IFERROR(VLOOKUP(D183,cfg_LT,2,FALSE()),1))</f>
        <v/>
      </c>
      <c r="I183" s="82"/>
      <c r="J183" s="111" t="str">
        <f aca="false">IF(D183="","",IF(I183&lt;&gt;"",I183,H183))</f>
        <v/>
      </c>
      <c r="K183" s="102" t="str">
        <f aca="false">IF(D183="","",IFERROR(VLOOKUP($D183,cfg_LT,3,FALSE()),""))</f>
        <v/>
      </c>
      <c r="L183" s="102" t="str">
        <f aca="false">IF(D183="","",IFERROR(VLOOKUP($D183,cfg_LT,4,FALSE()),""))</f>
        <v/>
      </c>
      <c r="M183" s="102" t="str">
        <f aca="false">IF(D183="","",IFERROR(VLOOKUP($D183,cfg_LT,5,FALSE()),""))</f>
        <v/>
      </c>
      <c r="N183" s="101" t="n">
        <f aca="false">IF(OR(OR($B183="",$E183="",$F183=""),M183&lt;&gt;"نعم"),0,G183*J183*IFERROR(INDEX(الموظفون!$R$6:$R$105,MATCH(B183,الموظفون!$B$6:$B$105,0)),0)/cfg_DAYS_M)</f>
        <v>0</v>
      </c>
      <c r="O183" s="100" t="str">
        <f aca="false">IF(OR(OR($B183="",$E183="",$F183=""),M183&lt;&gt;"نعم"),"",IF(YEAR(E183)=cfg_FY,MONTH(E183),""))</f>
        <v/>
      </c>
      <c r="P183" s="102" t="str">
        <f aca="false">IF(B183="","",IF(OR(D183="",E183="",F183=""),"⚠ أكمل النوع والتواريخ",IF(F183&lt;E183,"✖ النهاية قبل البداية",IF(COUNTIFS($B$6:$B$505,B183,$E$6:$E$505,"&lt;="&amp;F183,$F$6:$F$505,"&gt;="&amp;E183)&gt;1,"⚠ تداخل مع سجل آخر",IF(E183&gt;cfg_VAL_DATE,"⏳ قادمة",IF(F183&lt;cfg_VAL_DATE,"✔ منتهية","✈ جارية في تاريخ التقرير"))))))</f>
        <v/>
      </c>
      <c r="Q183" s="79"/>
      <c r="R183" s="110" t="n">
        <f aca="false">IF(OR(OR($B183="",$E183="",$F183=""),L183&lt;&gt;"لا"),0,MAX(0,MIN(F183,cfg_Y_START-1)-E183+1))</f>
        <v>0</v>
      </c>
      <c r="S183" s="110" t="n">
        <f aca="false">IF(OR(OR($B183="",$E183="",$F183=""),L183&lt;&gt;"لا"),0,MAX(0,MIN(F183,cfg_VAL_DATE)-E183+1))</f>
        <v>0</v>
      </c>
      <c r="T183" s="110" t="n">
        <f aca="false">IF(OR(OR($B183="",$E183="",$F183=""),K183&lt;&gt;"نعم"),0,IF(M183="نعم",IF(AND(ISNUMBER(O183),N(O183)&lt;=cfg_VAL_M),G183,0),MAX(0,MIN(F183,cfg_VAL_DATE)-MAX(E183,cfg_Y_START)+1)))</f>
        <v>0</v>
      </c>
      <c r="V183" s="110" t="n">
        <f aca="false">IF(OR($B183="",$E183="",$F183=""),0,MAX(0,MIN($F183,EOMONTH(DATE(cfg_FY,1,1),0))-MAX($E183,DATE(cfg_FY,1,1))+1)*(1-IF($M183="نعم",0,N($J183))))</f>
        <v>0</v>
      </c>
      <c r="W183" s="110" t="n">
        <f aca="false">IF(OR($B183="",$E183="",$F183=""),0,MAX(0,MIN($F183,EOMONTH(DATE(cfg_FY,2,1),0))-MAX($E183,DATE(cfg_FY,2,1))+1)*(1-IF($M183="نعم",0,N($J183))))</f>
        <v>0</v>
      </c>
      <c r="X183" s="110" t="n">
        <f aca="false">IF(OR($B183="",$E183="",$F183=""),0,MAX(0,MIN($F183,EOMONTH(DATE(cfg_FY,3,1),0))-MAX($E183,DATE(cfg_FY,3,1))+1)*(1-IF($M183="نعم",0,N($J183))))</f>
        <v>0</v>
      </c>
      <c r="Y183" s="110" t="n">
        <f aca="false">IF(OR($B183="",$E183="",$F183=""),0,MAX(0,MIN($F183,EOMONTH(DATE(cfg_FY,4,1),0))-MAX($E183,DATE(cfg_FY,4,1))+1)*(1-IF($M183="نعم",0,N($J183))))</f>
        <v>0</v>
      </c>
      <c r="Z183" s="110" t="n">
        <f aca="false">IF(OR($B183="",$E183="",$F183=""),0,MAX(0,MIN($F183,EOMONTH(DATE(cfg_FY,5,1),0))-MAX($E183,DATE(cfg_FY,5,1))+1)*(1-IF($M183="نعم",0,N($J183))))</f>
        <v>0</v>
      </c>
      <c r="AA183" s="110" t="n">
        <f aca="false">IF(OR($B183="",$E183="",$F183=""),0,MAX(0,MIN($F183,EOMONTH(DATE(cfg_FY,6,1),0))-MAX($E183,DATE(cfg_FY,6,1))+1)*(1-IF($M183="نعم",0,N($J183))))</f>
        <v>0</v>
      </c>
      <c r="AB183" s="110" t="n">
        <f aca="false">IF(OR($B183="",$E183="",$F183=""),0,MAX(0,MIN($F183,EOMONTH(DATE(cfg_FY,7,1),0))-MAX($E183,DATE(cfg_FY,7,1))+1)*(1-IF($M183="نعم",0,N($J183))))</f>
        <v>0</v>
      </c>
      <c r="AC183" s="110" t="n">
        <f aca="false">IF(OR($B183="",$E183="",$F183=""),0,MAX(0,MIN($F183,EOMONTH(DATE(cfg_FY,8,1),0))-MAX($E183,DATE(cfg_FY,8,1))+1)*(1-IF($M183="نعم",0,N($J183))))</f>
        <v>0</v>
      </c>
      <c r="AD183" s="110" t="n">
        <f aca="false">IF(OR($B183="",$E183="",$F183=""),0,MAX(0,MIN($F183,EOMONTH(DATE(cfg_FY,9,1),0))-MAX($E183,DATE(cfg_FY,9,1))+1)*(1-IF($M183="نعم",0,N($J183))))</f>
        <v>0</v>
      </c>
      <c r="AE183" s="110" t="n">
        <f aca="false">IF(OR($B183="",$E183="",$F183=""),0,MAX(0,MIN($F183,EOMONTH(DATE(cfg_FY,10,1),0))-MAX($E183,DATE(cfg_FY,10,1))+1)*(1-IF($M183="نعم",0,N($J183))))</f>
        <v>0</v>
      </c>
      <c r="AF183" s="110" t="n">
        <f aca="false">IF(OR($B183="",$E183="",$F183=""),0,MAX(0,MIN($F183,EOMONTH(DATE(cfg_FY,11,1),0))-MAX($E183,DATE(cfg_FY,11,1))+1)*(1-IF($M183="نعم",0,N($J183))))</f>
        <v>0</v>
      </c>
      <c r="AG183" s="110" t="n">
        <f aca="false">IF(OR($B183="",$E183="",$F183=""),0,MAX(0,MIN($F183,EOMONTH(DATE(cfg_FY,12,1),0))-MAX($E183,DATE(cfg_FY,12,1))+1)*(1-IF($M183="نعم",0,N($J183))))</f>
        <v>0</v>
      </c>
      <c r="AH183" s="110" t="n">
        <f aca="false">IF(OR(OR($B183="",$E183="",$F183=""),$L183&lt;&gt;"لا"),0,MAX(0,MIN($F183,EOMONTH(DATE(cfg_FY,1,1),0))-$E183+1))</f>
        <v>0</v>
      </c>
      <c r="AI183" s="110" t="n">
        <f aca="false">IF(OR(OR($B183="",$E183="",$F183=""),$L183&lt;&gt;"لا"),0,MAX(0,MIN($F183,EOMONTH(DATE(cfg_FY,2,1),0))-$E183+1))</f>
        <v>0</v>
      </c>
      <c r="AJ183" s="110" t="n">
        <f aca="false">IF(OR(OR($B183="",$E183="",$F183=""),$L183&lt;&gt;"لا"),0,MAX(0,MIN($F183,EOMONTH(DATE(cfg_FY,3,1),0))-$E183+1))</f>
        <v>0</v>
      </c>
      <c r="AK183" s="110" t="n">
        <f aca="false">IF(OR(OR($B183="",$E183="",$F183=""),$L183&lt;&gt;"لا"),0,MAX(0,MIN($F183,EOMONTH(DATE(cfg_FY,4,1),0))-$E183+1))</f>
        <v>0</v>
      </c>
      <c r="AL183" s="110" t="n">
        <f aca="false">IF(OR(OR($B183="",$E183="",$F183=""),$L183&lt;&gt;"لا"),0,MAX(0,MIN($F183,EOMONTH(DATE(cfg_FY,5,1),0))-$E183+1))</f>
        <v>0</v>
      </c>
      <c r="AM183" s="110" t="n">
        <f aca="false">IF(OR(OR($B183="",$E183="",$F183=""),$L183&lt;&gt;"لا"),0,MAX(0,MIN($F183,EOMONTH(DATE(cfg_FY,6,1),0))-$E183+1))</f>
        <v>0</v>
      </c>
      <c r="AN183" s="110" t="n">
        <f aca="false">IF(OR(OR($B183="",$E183="",$F183=""),$L183&lt;&gt;"لا"),0,MAX(0,MIN($F183,EOMONTH(DATE(cfg_FY,7,1),0))-$E183+1))</f>
        <v>0</v>
      </c>
      <c r="AO183" s="110" t="n">
        <f aca="false">IF(OR(OR($B183="",$E183="",$F183=""),$L183&lt;&gt;"لا"),0,MAX(0,MIN($F183,EOMONTH(DATE(cfg_FY,8,1),0))-$E183+1))</f>
        <v>0</v>
      </c>
      <c r="AP183" s="110" t="n">
        <f aca="false">IF(OR(OR($B183="",$E183="",$F183=""),$L183&lt;&gt;"لا"),0,MAX(0,MIN($F183,EOMONTH(DATE(cfg_FY,9,1),0))-$E183+1))</f>
        <v>0</v>
      </c>
      <c r="AQ183" s="110" t="n">
        <f aca="false">IF(OR(OR($B183="",$E183="",$F183=""),$L183&lt;&gt;"لا"),0,MAX(0,MIN($F183,EOMONTH(DATE(cfg_FY,10,1),0))-$E183+1))</f>
        <v>0</v>
      </c>
      <c r="AR183" s="110" t="n">
        <f aca="false">IF(OR(OR($B183="",$E183="",$F183=""),$L183&lt;&gt;"لا"),0,MAX(0,MIN($F183,EOMONTH(DATE(cfg_FY,11,1),0))-$E183+1))</f>
        <v>0</v>
      </c>
      <c r="AS183" s="110" t="n">
        <f aca="false">IF(OR(OR($B183="",$E183="",$F183=""),$L183&lt;&gt;"لا"),0,MAX(0,MIN($F183,EOMONTH(DATE(cfg_FY,12,1),0))-$E183+1))</f>
        <v>0</v>
      </c>
      <c r="AT183" s="110" t="n">
        <f aca="false">IF(OR(OR($B183="",$E183="",$F183=""),$K183&lt;&gt;"نعم",$M183="نعم"),0,MAX(0,MIN($F183,EOMONTH(DATE(cfg_FY,1,1),0))-MAX($E183,DATE(cfg_FY,1,1))+1))</f>
        <v>0</v>
      </c>
      <c r="AU183" s="110" t="n">
        <f aca="false">IF(OR(OR($B183="",$E183="",$F183=""),$K183&lt;&gt;"نعم",$M183="نعم"),0,MAX(0,MIN($F183,EOMONTH(DATE(cfg_FY,2,1),0))-MAX($E183,DATE(cfg_FY,2,1))+1))</f>
        <v>0</v>
      </c>
      <c r="AV183" s="110" t="n">
        <f aca="false">IF(OR(OR($B183="",$E183="",$F183=""),$K183&lt;&gt;"نعم",$M183="نعم"),0,MAX(0,MIN($F183,EOMONTH(DATE(cfg_FY,3,1),0))-MAX($E183,DATE(cfg_FY,3,1))+1))</f>
        <v>0</v>
      </c>
      <c r="AW183" s="110" t="n">
        <f aca="false">IF(OR(OR($B183="",$E183="",$F183=""),$K183&lt;&gt;"نعم",$M183="نعم"),0,MAX(0,MIN($F183,EOMONTH(DATE(cfg_FY,4,1),0))-MAX($E183,DATE(cfg_FY,4,1))+1))</f>
        <v>0</v>
      </c>
      <c r="AX183" s="110" t="n">
        <f aca="false">IF(OR(OR($B183="",$E183="",$F183=""),$K183&lt;&gt;"نعم",$M183="نعم"),0,MAX(0,MIN($F183,EOMONTH(DATE(cfg_FY,5,1),0))-MAX($E183,DATE(cfg_FY,5,1))+1))</f>
        <v>0</v>
      </c>
      <c r="AY183" s="110" t="n">
        <f aca="false">IF(OR(OR($B183="",$E183="",$F183=""),$K183&lt;&gt;"نعم",$M183="نعم"),0,MAX(0,MIN($F183,EOMONTH(DATE(cfg_FY,6,1),0))-MAX($E183,DATE(cfg_FY,6,1))+1))</f>
        <v>0</v>
      </c>
      <c r="AZ183" s="110" t="n">
        <f aca="false">IF(OR(OR($B183="",$E183="",$F183=""),$K183&lt;&gt;"نعم",$M183="نعم"),0,MAX(0,MIN($F183,EOMONTH(DATE(cfg_FY,7,1),0))-MAX($E183,DATE(cfg_FY,7,1))+1))</f>
        <v>0</v>
      </c>
      <c r="BA183" s="110" t="n">
        <f aca="false">IF(OR(OR($B183="",$E183="",$F183=""),$K183&lt;&gt;"نعم",$M183="نعم"),0,MAX(0,MIN($F183,EOMONTH(DATE(cfg_FY,8,1),0))-MAX($E183,DATE(cfg_FY,8,1))+1))</f>
        <v>0</v>
      </c>
      <c r="BB183" s="110" t="n">
        <f aca="false">IF(OR(OR($B183="",$E183="",$F183=""),$K183&lt;&gt;"نعم",$M183="نعم"),0,MAX(0,MIN($F183,EOMONTH(DATE(cfg_FY,9,1),0))-MAX($E183,DATE(cfg_FY,9,1))+1))</f>
        <v>0</v>
      </c>
      <c r="BC183" s="110" t="n">
        <f aca="false">IF(OR(OR($B183="",$E183="",$F183=""),$K183&lt;&gt;"نعم",$M183="نعم"),0,MAX(0,MIN($F183,EOMONTH(DATE(cfg_FY,10,1),0))-MAX($E183,DATE(cfg_FY,10,1))+1))</f>
        <v>0</v>
      </c>
      <c r="BD183" s="110" t="n">
        <f aca="false">IF(OR(OR($B183="",$E183="",$F183=""),$K183&lt;&gt;"نعم",$M183="نعم"),0,MAX(0,MIN($F183,EOMONTH(DATE(cfg_FY,11,1),0))-MAX($E183,DATE(cfg_FY,11,1))+1))</f>
        <v>0</v>
      </c>
      <c r="BE183" s="110" t="n">
        <f aca="false">IF(OR(OR($B183="",$E183="",$F183=""),$K183&lt;&gt;"نعم",$M183="نعم"),0,MAX(0,MIN($F183,EOMONTH(DATE(cfg_FY,12,1),0))-MAX($E183,DATE(cfg_FY,12,1))+1))</f>
        <v>0</v>
      </c>
    </row>
    <row r="184" customFormat="false" ht="15" hidden="false" customHeight="false" outlineLevel="0" collapsed="false">
      <c r="A184" s="93" t="str">
        <f aca="false">IF(B184="","",ROW()-5)</f>
        <v/>
      </c>
      <c r="B184" s="79"/>
      <c r="C184" s="80" t="str">
        <f aca="false">IF(B184="","",IFERROR(INDEX(الموظفون!$C$6:$C$105,MATCH(B184,الموظفون!$B$6:$B$105,0)),"✖ رقم غير موجود"))</f>
        <v/>
      </c>
      <c r="D184" s="79"/>
      <c r="E184" s="94"/>
      <c r="F184" s="94"/>
      <c r="G184" s="57" t="str">
        <f aca="false">IF(OR($B184="",$E184="",$F184=""),"",MAX(0,F184-E184+1))</f>
        <v/>
      </c>
      <c r="H184" s="58" t="str">
        <f aca="false">IF(D184="","",IFERROR(VLOOKUP(D184,cfg_LT,2,FALSE()),1))</f>
        <v/>
      </c>
      <c r="I184" s="82"/>
      <c r="J184" s="58" t="str">
        <f aca="false">IF(D184="","",IF(I184&lt;&gt;"",I184,H184))</f>
        <v/>
      </c>
      <c r="K184" s="80" t="str">
        <f aca="false">IF(D184="","",IFERROR(VLOOKUP($D184,cfg_LT,3,FALSE()),""))</f>
        <v/>
      </c>
      <c r="L184" s="80" t="str">
        <f aca="false">IF(D184="","",IFERROR(VLOOKUP($D184,cfg_LT,4,FALSE()),""))</f>
        <v/>
      </c>
      <c r="M184" s="80" t="str">
        <f aca="false">IF(D184="","",IFERROR(VLOOKUP($D184,cfg_LT,5,FALSE()),""))</f>
        <v/>
      </c>
      <c r="N184" s="97" t="n">
        <f aca="false">IF(OR(OR($B184="",$E184="",$F184=""),M184&lt;&gt;"نعم"),0,G184*J184*IFERROR(INDEX(الموظفون!$R$6:$R$105,MATCH(B184,الموظفون!$B$6:$B$105,0)),0)/cfg_DAYS_M)</f>
        <v>0</v>
      </c>
      <c r="O184" s="93" t="str">
        <f aca="false">IF(OR(OR($B184="",$E184="",$F184=""),M184&lt;&gt;"نعم"),"",IF(YEAR(E184)=cfg_FY,MONTH(E184),""))</f>
        <v/>
      </c>
      <c r="P184" s="80" t="str">
        <f aca="false">IF(B184="","",IF(OR(D184="",E184="",F184=""),"⚠ أكمل النوع والتواريخ",IF(F184&lt;E184,"✖ النهاية قبل البداية",IF(COUNTIFS($B$6:$B$505,B184,$E$6:$E$505,"&lt;="&amp;F184,$F$6:$F$505,"&gt;="&amp;E184)&gt;1,"⚠ تداخل مع سجل آخر",IF(E184&gt;cfg_VAL_DATE,"⏳ قادمة",IF(F184&lt;cfg_VAL_DATE,"✔ منتهية","✈ جارية في تاريخ التقرير"))))))</f>
        <v/>
      </c>
      <c r="Q184" s="79"/>
      <c r="R184" s="57" t="n">
        <f aca="false">IF(OR(OR($B184="",$E184="",$F184=""),L184&lt;&gt;"لا"),0,MAX(0,MIN(F184,cfg_Y_START-1)-E184+1))</f>
        <v>0</v>
      </c>
      <c r="S184" s="57" t="n">
        <f aca="false">IF(OR(OR($B184="",$E184="",$F184=""),L184&lt;&gt;"لا"),0,MAX(0,MIN(F184,cfg_VAL_DATE)-E184+1))</f>
        <v>0</v>
      </c>
      <c r="T184" s="57" t="n">
        <f aca="false">IF(OR(OR($B184="",$E184="",$F184=""),K184&lt;&gt;"نعم"),0,IF(M184="نعم",IF(AND(ISNUMBER(O184),N(O184)&lt;=cfg_VAL_M),G184,0),MAX(0,MIN(F184,cfg_VAL_DATE)-MAX(E184,cfg_Y_START)+1)))</f>
        <v>0</v>
      </c>
      <c r="V184" s="57" t="n">
        <f aca="false">IF(OR($B184="",$E184="",$F184=""),0,MAX(0,MIN($F184,EOMONTH(DATE(cfg_FY,1,1),0))-MAX($E184,DATE(cfg_FY,1,1))+1)*(1-IF($M184="نعم",0,N($J184))))</f>
        <v>0</v>
      </c>
      <c r="W184" s="57" t="n">
        <f aca="false">IF(OR($B184="",$E184="",$F184=""),0,MAX(0,MIN($F184,EOMONTH(DATE(cfg_FY,2,1),0))-MAX($E184,DATE(cfg_FY,2,1))+1)*(1-IF($M184="نعم",0,N($J184))))</f>
        <v>0</v>
      </c>
      <c r="X184" s="57" t="n">
        <f aca="false">IF(OR($B184="",$E184="",$F184=""),0,MAX(0,MIN($F184,EOMONTH(DATE(cfg_FY,3,1),0))-MAX($E184,DATE(cfg_FY,3,1))+1)*(1-IF($M184="نعم",0,N($J184))))</f>
        <v>0</v>
      </c>
      <c r="Y184" s="57" t="n">
        <f aca="false">IF(OR($B184="",$E184="",$F184=""),0,MAX(0,MIN($F184,EOMONTH(DATE(cfg_FY,4,1),0))-MAX($E184,DATE(cfg_FY,4,1))+1)*(1-IF($M184="نعم",0,N($J184))))</f>
        <v>0</v>
      </c>
      <c r="Z184" s="57" t="n">
        <f aca="false">IF(OR($B184="",$E184="",$F184=""),0,MAX(0,MIN($F184,EOMONTH(DATE(cfg_FY,5,1),0))-MAX($E184,DATE(cfg_FY,5,1))+1)*(1-IF($M184="نعم",0,N($J184))))</f>
        <v>0</v>
      </c>
      <c r="AA184" s="57" t="n">
        <f aca="false">IF(OR($B184="",$E184="",$F184=""),0,MAX(0,MIN($F184,EOMONTH(DATE(cfg_FY,6,1),0))-MAX($E184,DATE(cfg_FY,6,1))+1)*(1-IF($M184="نعم",0,N($J184))))</f>
        <v>0</v>
      </c>
      <c r="AB184" s="57" t="n">
        <f aca="false">IF(OR($B184="",$E184="",$F184=""),0,MAX(0,MIN($F184,EOMONTH(DATE(cfg_FY,7,1),0))-MAX($E184,DATE(cfg_FY,7,1))+1)*(1-IF($M184="نعم",0,N($J184))))</f>
        <v>0</v>
      </c>
      <c r="AC184" s="57" t="n">
        <f aca="false">IF(OR($B184="",$E184="",$F184=""),0,MAX(0,MIN($F184,EOMONTH(DATE(cfg_FY,8,1),0))-MAX($E184,DATE(cfg_FY,8,1))+1)*(1-IF($M184="نعم",0,N($J184))))</f>
        <v>0</v>
      </c>
      <c r="AD184" s="57" t="n">
        <f aca="false">IF(OR($B184="",$E184="",$F184=""),0,MAX(0,MIN($F184,EOMONTH(DATE(cfg_FY,9,1),0))-MAX($E184,DATE(cfg_FY,9,1))+1)*(1-IF($M184="نعم",0,N($J184))))</f>
        <v>0</v>
      </c>
      <c r="AE184" s="57" t="n">
        <f aca="false">IF(OR($B184="",$E184="",$F184=""),0,MAX(0,MIN($F184,EOMONTH(DATE(cfg_FY,10,1),0))-MAX($E184,DATE(cfg_FY,10,1))+1)*(1-IF($M184="نعم",0,N($J184))))</f>
        <v>0</v>
      </c>
      <c r="AF184" s="57" t="n">
        <f aca="false">IF(OR($B184="",$E184="",$F184=""),0,MAX(0,MIN($F184,EOMONTH(DATE(cfg_FY,11,1),0))-MAX($E184,DATE(cfg_FY,11,1))+1)*(1-IF($M184="نعم",0,N($J184))))</f>
        <v>0</v>
      </c>
      <c r="AG184" s="57" t="n">
        <f aca="false">IF(OR($B184="",$E184="",$F184=""),0,MAX(0,MIN($F184,EOMONTH(DATE(cfg_FY,12,1),0))-MAX($E184,DATE(cfg_FY,12,1))+1)*(1-IF($M184="نعم",0,N($J184))))</f>
        <v>0</v>
      </c>
      <c r="AH184" s="57" t="n">
        <f aca="false">IF(OR(OR($B184="",$E184="",$F184=""),$L184&lt;&gt;"لا"),0,MAX(0,MIN($F184,EOMONTH(DATE(cfg_FY,1,1),0))-$E184+1))</f>
        <v>0</v>
      </c>
      <c r="AI184" s="57" t="n">
        <f aca="false">IF(OR(OR($B184="",$E184="",$F184=""),$L184&lt;&gt;"لا"),0,MAX(0,MIN($F184,EOMONTH(DATE(cfg_FY,2,1),0))-$E184+1))</f>
        <v>0</v>
      </c>
      <c r="AJ184" s="57" t="n">
        <f aca="false">IF(OR(OR($B184="",$E184="",$F184=""),$L184&lt;&gt;"لا"),0,MAX(0,MIN($F184,EOMONTH(DATE(cfg_FY,3,1),0))-$E184+1))</f>
        <v>0</v>
      </c>
      <c r="AK184" s="57" t="n">
        <f aca="false">IF(OR(OR($B184="",$E184="",$F184=""),$L184&lt;&gt;"لا"),0,MAX(0,MIN($F184,EOMONTH(DATE(cfg_FY,4,1),0))-$E184+1))</f>
        <v>0</v>
      </c>
      <c r="AL184" s="57" t="n">
        <f aca="false">IF(OR(OR($B184="",$E184="",$F184=""),$L184&lt;&gt;"لا"),0,MAX(0,MIN($F184,EOMONTH(DATE(cfg_FY,5,1),0))-$E184+1))</f>
        <v>0</v>
      </c>
      <c r="AM184" s="57" t="n">
        <f aca="false">IF(OR(OR($B184="",$E184="",$F184=""),$L184&lt;&gt;"لا"),0,MAX(0,MIN($F184,EOMONTH(DATE(cfg_FY,6,1),0))-$E184+1))</f>
        <v>0</v>
      </c>
      <c r="AN184" s="57" t="n">
        <f aca="false">IF(OR(OR($B184="",$E184="",$F184=""),$L184&lt;&gt;"لا"),0,MAX(0,MIN($F184,EOMONTH(DATE(cfg_FY,7,1),0))-$E184+1))</f>
        <v>0</v>
      </c>
      <c r="AO184" s="57" t="n">
        <f aca="false">IF(OR(OR($B184="",$E184="",$F184=""),$L184&lt;&gt;"لا"),0,MAX(0,MIN($F184,EOMONTH(DATE(cfg_FY,8,1),0))-$E184+1))</f>
        <v>0</v>
      </c>
      <c r="AP184" s="57" t="n">
        <f aca="false">IF(OR(OR($B184="",$E184="",$F184=""),$L184&lt;&gt;"لا"),0,MAX(0,MIN($F184,EOMONTH(DATE(cfg_FY,9,1),0))-$E184+1))</f>
        <v>0</v>
      </c>
      <c r="AQ184" s="57" t="n">
        <f aca="false">IF(OR(OR($B184="",$E184="",$F184=""),$L184&lt;&gt;"لا"),0,MAX(0,MIN($F184,EOMONTH(DATE(cfg_FY,10,1),0))-$E184+1))</f>
        <v>0</v>
      </c>
      <c r="AR184" s="57" t="n">
        <f aca="false">IF(OR(OR($B184="",$E184="",$F184=""),$L184&lt;&gt;"لا"),0,MAX(0,MIN($F184,EOMONTH(DATE(cfg_FY,11,1),0))-$E184+1))</f>
        <v>0</v>
      </c>
      <c r="AS184" s="57" t="n">
        <f aca="false">IF(OR(OR($B184="",$E184="",$F184=""),$L184&lt;&gt;"لا"),0,MAX(0,MIN($F184,EOMONTH(DATE(cfg_FY,12,1),0))-$E184+1))</f>
        <v>0</v>
      </c>
      <c r="AT184" s="57" t="n">
        <f aca="false">IF(OR(OR($B184="",$E184="",$F184=""),$K184&lt;&gt;"نعم",$M184="نعم"),0,MAX(0,MIN($F184,EOMONTH(DATE(cfg_FY,1,1),0))-MAX($E184,DATE(cfg_FY,1,1))+1))</f>
        <v>0</v>
      </c>
      <c r="AU184" s="57" t="n">
        <f aca="false">IF(OR(OR($B184="",$E184="",$F184=""),$K184&lt;&gt;"نعم",$M184="نعم"),0,MAX(0,MIN($F184,EOMONTH(DATE(cfg_FY,2,1),0))-MAX($E184,DATE(cfg_FY,2,1))+1))</f>
        <v>0</v>
      </c>
      <c r="AV184" s="57" t="n">
        <f aca="false">IF(OR(OR($B184="",$E184="",$F184=""),$K184&lt;&gt;"نعم",$M184="نعم"),0,MAX(0,MIN($F184,EOMONTH(DATE(cfg_FY,3,1),0))-MAX($E184,DATE(cfg_FY,3,1))+1))</f>
        <v>0</v>
      </c>
      <c r="AW184" s="57" t="n">
        <f aca="false">IF(OR(OR($B184="",$E184="",$F184=""),$K184&lt;&gt;"نعم",$M184="نعم"),0,MAX(0,MIN($F184,EOMONTH(DATE(cfg_FY,4,1),0))-MAX($E184,DATE(cfg_FY,4,1))+1))</f>
        <v>0</v>
      </c>
      <c r="AX184" s="57" t="n">
        <f aca="false">IF(OR(OR($B184="",$E184="",$F184=""),$K184&lt;&gt;"نعم",$M184="نعم"),0,MAX(0,MIN($F184,EOMONTH(DATE(cfg_FY,5,1),0))-MAX($E184,DATE(cfg_FY,5,1))+1))</f>
        <v>0</v>
      </c>
      <c r="AY184" s="57" t="n">
        <f aca="false">IF(OR(OR($B184="",$E184="",$F184=""),$K184&lt;&gt;"نعم",$M184="نعم"),0,MAX(0,MIN($F184,EOMONTH(DATE(cfg_FY,6,1),0))-MAX($E184,DATE(cfg_FY,6,1))+1))</f>
        <v>0</v>
      </c>
      <c r="AZ184" s="57" t="n">
        <f aca="false">IF(OR(OR($B184="",$E184="",$F184=""),$K184&lt;&gt;"نعم",$M184="نعم"),0,MAX(0,MIN($F184,EOMONTH(DATE(cfg_FY,7,1),0))-MAX($E184,DATE(cfg_FY,7,1))+1))</f>
        <v>0</v>
      </c>
      <c r="BA184" s="57" t="n">
        <f aca="false">IF(OR(OR($B184="",$E184="",$F184=""),$K184&lt;&gt;"نعم",$M184="نعم"),0,MAX(0,MIN($F184,EOMONTH(DATE(cfg_FY,8,1),0))-MAX($E184,DATE(cfg_FY,8,1))+1))</f>
        <v>0</v>
      </c>
      <c r="BB184" s="57" t="n">
        <f aca="false">IF(OR(OR($B184="",$E184="",$F184=""),$K184&lt;&gt;"نعم",$M184="نعم"),0,MAX(0,MIN($F184,EOMONTH(DATE(cfg_FY,9,1),0))-MAX($E184,DATE(cfg_FY,9,1))+1))</f>
        <v>0</v>
      </c>
      <c r="BC184" s="57" t="n">
        <f aca="false">IF(OR(OR($B184="",$E184="",$F184=""),$K184&lt;&gt;"نعم",$M184="نعم"),0,MAX(0,MIN($F184,EOMONTH(DATE(cfg_FY,10,1),0))-MAX($E184,DATE(cfg_FY,10,1))+1))</f>
        <v>0</v>
      </c>
      <c r="BD184" s="57" t="n">
        <f aca="false">IF(OR(OR($B184="",$E184="",$F184=""),$K184&lt;&gt;"نعم",$M184="نعم"),0,MAX(0,MIN($F184,EOMONTH(DATE(cfg_FY,11,1),0))-MAX($E184,DATE(cfg_FY,11,1))+1))</f>
        <v>0</v>
      </c>
      <c r="BE184" s="57" t="n">
        <f aca="false">IF(OR(OR($B184="",$E184="",$F184=""),$K184&lt;&gt;"نعم",$M184="نعم"),0,MAX(0,MIN($F184,EOMONTH(DATE(cfg_FY,12,1),0))-MAX($E184,DATE(cfg_FY,12,1))+1))</f>
        <v>0</v>
      </c>
    </row>
    <row r="185" customFormat="false" ht="15" hidden="false" customHeight="false" outlineLevel="0" collapsed="false">
      <c r="A185" s="100" t="str">
        <f aca="false">IF(B185="","",ROW()-5)</f>
        <v/>
      </c>
      <c r="B185" s="79"/>
      <c r="C185" s="102" t="str">
        <f aca="false">IF(B185="","",IFERROR(INDEX(الموظفون!$C$6:$C$105,MATCH(B185,الموظفون!$B$6:$B$105,0)),"✖ رقم غير موجود"))</f>
        <v/>
      </c>
      <c r="D185" s="79"/>
      <c r="E185" s="94"/>
      <c r="F185" s="94"/>
      <c r="G185" s="110" t="str">
        <f aca="false">IF(OR($B185="",$E185="",$F185=""),"",MAX(0,F185-E185+1))</f>
        <v/>
      </c>
      <c r="H185" s="111" t="str">
        <f aca="false">IF(D185="","",IFERROR(VLOOKUP(D185,cfg_LT,2,FALSE()),1))</f>
        <v/>
      </c>
      <c r="I185" s="82"/>
      <c r="J185" s="111" t="str">
        <f aca="false">IF(D185="","",IF(I185&lt;&gt;"",I185,H185))</f>
        <v/>
      </c>
      <c r="K185" s="102" t="str">
        <f aca="false">IF(D185="","",IFERROR(VLOOKUP($D185,cfg_LT,3,FALSE()),""))</f>
        <v/>
      </c>
      <c r="L185" s="102" t="str">
        <f aca="false">IF(D185="","",IFERROR(VLOOKUP($D185,cfg_LT,4,FALSE()),""))</f>
        <v/>
      </c>
      <c r="M185" s="102" t="str">
        <f aca="false">IF(D185="","",IFERROR(VLOOKUP($D185,cfg_LT,5,FALSE()),""))</f>
        <v/>
      </c>
      <c r="N185" s="101" t="n">
        <f aca="false">IF(OR(OR($B185="",$E185="",$F185=""),M185&lt;&gt;"نعم"),0,G185*J185*IFERROR(INDEX(الموظفون!$R$6:$R$105,MATCH(B185,الموظفون!$B$6:$B$105,0)),0)/cfg_DAYS_M)</f>
        <v>0</v>
      </c>
      <c r="O185" s="100" t="str">
        <f aca="false">IF(OR(OR($B185="",$E185="",$F185=""),M185&lt;&gt;"نعم"),"",IF(YEAR(E185)=cfg_FY,MONTH(E185),""))</f>
        <v/>
      </c>
      <c r="P185" s="102" t="str">
        <f aca="false">IF(B185="","",IF(OR(D185="",E185="",F185=""),"⚠ أكمل النوع والتواريخ",IF(F185&lt;E185,"✖ النهاية قبل البداية",IF(COUNTIFS($B$6:$B$505,B185,$E$6:$E$505,"&lt;="&amp;F185,$F$6:$F$505,"&gt;="&amp;E185)&gt;1,"⚠ تداخل مع سجل آخر",IF(E185&gt;cfg_VAL_DATE,"⏳ قادمة",IF(F185&lt;cfg_VAL_DATE,"✔ منتهية","✈ جارية في تاريخ التقرير"))))))</f>
        <v/>
      </c>
      <c r="Q185" s="79"/>
      <c r="R185" s="110" t="n">
        <f aca="false">IF(OR(OR($B185="",$E185="",$F185=""),L185&lt;&gt;"لا"),0,MAX(0,MIN(F185,cfg_Y_START-1)-E185+1))</f>
        <v>0</v>
      </c>
      <c r="S185" s="110" t="n">
        <f aca="false">IF(OR(OR($B185="",$E185="",$F185=""),L185&lt;&gt;"لا"),0,MAX(0,MIN(F185,cfg_VAL_DATE)-E185+1))</f>
        <v>0</v>
      </c>
      <c r="T185" s="110" t="n">
        <f aca="false">IF(OR(OR($B185="",$E185="",$F185=""),K185&lt;&gt;"نعم"),0,IF(M185="نعم",IF(AND(ISNUMBER(O185),N(O185)&lt;=cfg_VAL_M),G185,0),MAX(0,MIN(F185,cfg_VAL_DATE)-MAX(E185,cfg_Y_START)+1)))</f>
        <v>0</v>
      </c>
      <c r="V185" s="110" t="n">
        <f aca="false">IF(OR($B185="",$E185="",$F185=""),0,MAX(0,MIN($F185,EOMONTH(DATE(cfg_FY,1,1),0))-MAX($E185,DATE(cfg_FY,1,1))+1)*(1-IF($M185="نعم",0,N($J185))))</f>
        <v>0</v>
      </c>
      <c r="W185" s="110" t="n">
        <f aca="false">IF(OR($B185="",$E185="",$F185=""),0,MAX(0,MIN($F185,EOMONTH(DATE(cfg_FY,2,1),0))-MAX($E185,DATE(cfg_FY,2,1))+1)*(1-IF($M185="نعم",0,N($J185))))</f>
        <v>0</v>
      </c>
      <c r="X185" s="110" t="n">
        <f aca="false">IF(OR($B185="",$E185="",$F185=""),0,MAX(0,MIN($F185,EOMONTH(DATE(cfg_FY,3,1),0))-MAX($E185,DATE(cfg_FY,3,1))+1)*(1-IF($M185="نعم",0,N($J185))))</f>
        <v>0</v>
      </c>
      <c r="Y185" s="110" t="n">
        <f aca="false">IF(OR($B185="",$E185="",$F185=""),0,MAX(0,MIN($F185,EOMONTH(DATE(cfg_FY,4,1),0))-MAX($E185,DATE(cfg_FY,4,1))+1)*(1-IF($M185="نعم",0,N($J185))))</f>
        <v>0</v>
      </c>
      <c r="Z185" s="110" t="n">
        <f aca="false">IF(OR($B185="",$E185="",$F185=""),0,MAX(0,MIN($F185,EOMONTH(DATE(cfg_FY,5,1),0))-MAX($E185,DATE(cfg_FY,5,1))+1)*(1-IF($M185="نعم",0,N($J185))))</f>
        <v>0</v>
      </c>
      <c r="AA185" s="110" t="n">
        <f aca="false">IF(OR($B185="",$E185="",$F185=""),0,MAX(0,MIN($F185,EOMONTH(DATE(cfg_FY,6,1),0))-MAX($E185,DATE(cfg_FY,6,1))+1)*(1-IF($M185="نعم",0,N($J185))))</f>
        <v>0</v>
      </c>
      <c r="AB185" s="110" t="n">
        <f aca="false">IF(OR($B185="",$E185="",$F185=""),0,MAX(0,MIN($F185,EOMONTH(DATE(cfg_FY,7,1),0))-MAX($E185,DATE(cfg_FY,7,1))+1)*(1-IF($M185="نعم",0,N($J185))))</f>
        <v>0</v>
      </c>
      <c r="AC185" s="110" t="n">
        <f aca="false">IF(OR($B185="",$E185="",$F185=""),0,MAX(0,MIN($F185,EOMONTH(DATE(cfg_FY,8,1),0))-MAX($E185,DATE(cfg_FY,8,1))+1)*(1-IF($M185="نعم",0,N($J185))))</f>
        <v>0</v>
      </c>
      <c r="AD185" s="110" t="n">
        <f aca="false">IF(OR($B185="",$E185="",$F185=""),0,MAX(0,MIN($F185,EOMONTH(DATE(cfg_FY,9,1),0))-MAX($E185,DATE(cfg_FY,9,1))+1)*(1-IF($M185="نعم",0,N($J185))))</f>
        <v>0</v>
      </c>
      <c r="AE185" s="110" t="n">
        <f aca="false">IF(OR($B185="",$E185="",$F185=""),0,MAX(0,MIN($F185,EOMONTH(DATE(cfg_FY,10,1),0))-MAX($E185,DATE(cfg_FY,10,1))+1)*(1-IF($M185="نعم",0,N($J185))))</f>
        <v>0</v>
      </c>
      <c r="AF185" s="110" t="n">
        <f aca="false">IF(OR($B185="",$E185="",$F185=""),0,MAX(0,MIN($F185,EOMONTH(DATE(cfg_FY,11,1),0))-MAX($E185,DATE(cfg_FY,11,1))+1)*(1-IF($M185="نعم",0,N($J185))))</f>
        <v>0</v>
      </c>
      <c r="AG185" s="110" t="n">
        <f aca="false">IF(OR($B185="",$E185="",$F185=""),0,MAX(0,MIN($F185,EOMONTH(DATE(cfg_FY,12,1),0))-MAX($E185,DATE(cfg_FY,12,1))+1)*(1-IF($M185="نعم",0,N($J185))))</f>
        <v>0</v>
      </c>
      <c r="AH185" s="110" t="n">
        <f aca="false">IF(OR(OR($B185="",$E185="",$F185=""),$L185&lt;&gt;"لا"),0,MAX(0,MIN($F185,EOMONTH(DATE(cfg_FY,1,1),0))-$E185+1))</f>
        <v>0</v>
      </c>
      <c r="AI185" s="110" t="n">
        <f aca="false">IF(OR(OR($B185="",$E185="",$F185=""),$L185&lt;&gt;"لا"),0,MAX(0,MIN($F185,EOMONTH(DATE(cfg_FY,2,1),0))-$E185+1))</f>
        <v>0</v>
      </c>
      <c r="AJ185" s="110" t="n">
        <f aca="false">IF(OR(OR($B185="",$E185="",$F185=""),$L185&lt;&gt;"لا"),0,MAX(0,MIN($F185,EOMONTH(DATE(cfg_FY,3,1),0))-$E185+1))</f>
        <v>0</v>
      </c>
      <c r="AK185" s="110" t="n">
        <f aca="false">IF(OR(OR($B185="",$E185="",$F185=""),$L185&lt;&gt;"لا"),0,MAX(0,MIN($F185,EOMONTH(DATE(cfg_FY,4,1),0))-$E185+1))</f>
        <v>0</v>
      </c>
      <c r="AL185" s="110" t="n">
        <f aca="false">IF(OR(OR($B185="",$E185="",$F185=""),$L185&lt;&gt;"لا"),0,MAX(0,MIN($F185,EOMONTH(DATE(cfg_FY,5,1),0))-$E185+1))</f>
        <v>0</v>
      </c>
      <c r="AM185" s="110" t="n">
        <f aca="false">IF(OR(OR($B185="",$E185="",$F185=""),$L185&lt;&gt;"لا"),0,MAX(0,MIN($F185,EOMONTH(DATE(cfg_FY,6,1),0))-$E185+1))</f>
        <v>0</v>
      </c>
      <c r="AN185" s="110" t="n">
        <f aca="false">IF(OR(OR($B185="",$E185="",$F185=""),$L185&lt;&gt;"لا"),0,MAX(0,MIN($F185,EOMONTH(DATE(cfg_FY,7,1),0))-$E185+1))</f>
        <v>0</v>
      </c>
      <c r="AO185" s="110" t="n">
        <f aca="false">IF(OR(OR($B185="",$E185="",$F185=""),$L185&lt;&gt;"لا"),0,MAX(0,MIN($F185,EOMONTH(DATE(cfg_FY,8,1),0))-$E185+1))</f>
        <v>0</v>
      </c>
      <c r="AP185" s="110" t="n">
        <f aca="false">IF(OR(OR($B185="",$E185="",$F185=""),$L185&lt;&gt;"لا"),0,MAX(0,MIN($F185,EOMONTH(DATE(cfg_FY,9,1),0))-$E185+1))</f>
        <v>0</v>
      </c>
      <c r="AQ185" s="110" t="n">
        <f aca="false">IF(OR(OR($B185="",$E185="",$F185=""),$L185&lt;&gt;"لا"),0,MAX(0,MIN($F185,EOMONTH(DATE(cfg_FY,10,1),0))-$E185+1))</f>
        <v>0</v>
      </c>
      <c r="AR185" s="110" t="n">
        <f aca="false">IF(OR(OR($B185="",$E185="",$F185=""),$L185&lt;&gt;"لا"),0,MAX(0,MIN($F185,EOMONTH(DATE(cfg_FY,11,1),0))-$E185+1))</f>
        <v>0</v>
      </c>
      <c r="AS185" s="110" t="n">
        <f aca="false">IF(OR(OR($B185="",$E185="",$F185=""),$L185&lt;&gt;"لا"),0,MAX(0,MIN($F185,EOMONTH(DATE(cfg_FY,12,1),0))-$E185+1))</f>
        <v>0</v>
      </c>
      <c r="AT185" s="110" t="n">
        <f aca="false">IF(OR(OR($B185="",$E185="",$F185=""),$K185&lt;&gt;"نعم",$M185="نعم"),0,MAX(0,MIN($F185,EOMONTH(DATE(cfg_FY,1,1),0))-MAX($E185,DATE(cfg_FY,1,1))+1))</f>
        <v>0</v>
      </c>
      <c r="AU185" s="110" t="n">
        <f aca="false">IF(OR(OR($B185="",$E185="",$F185=""),$K185&lt;&gt;"نعم",$M185="نعم"),0,MAX(0,MIN($F185,EOMONTH(DATE(cfg_FY,2,1),0))-MAX($E185,DATE(cfg_FY,2,1))+1))</f>
        <v>0</v>
      </c>
      <c r="AV185" s="110" t="n">
        <f aca="false">IF(OR(OR($B185="",$E185="",$F185=""),$K185&lt;&gt;"نعم",$M185="نعم"),0,MAX(0,MIN($F185,EOMONTH(DATE(cfg_FY,3,1),0))-MAX($E185,DATE(cfg_FY,3,1))+1))</f>
        <v>0</v>
      </c>
      <c r="AW185" s="110" t="n">
        <f aca="false">IF(OR(OR($B185="",$E185="",$F185=""),$K185&lt;&gt;"نعم",$M185="نعم"),0,MAX(0,MIN($F185,EOMONTH(DATE(cfg_FY,4,1),0))-MAX($E185,DATE(cfg_FY,4,1))+1))</f>
        <v>0</v>
      </c>
      <c r="AX185" s="110" t="n">
        <f aca="false">IF(OR(OR($B185="",$E185="",$F185=""),$K185&lt;&gt;"نعم",$M185="نعم"),0,MAX(0,MIN($F185,EOMONTH(DATE(cfg_FY,5,1),0))-MAX($E185,DATE(cfg_FY,5,1))+1))</f>
        <v>0</v>
      </c>
      <c r="AY185" s="110" t="n">
        <f aca="false">IF(OR(OR($B185="",$E185="",$F185=""),$K185&lt;&gt;"نعم",$M185="نعم"),0,MAX(0,MIN($F185,EOMONTH(DATE(cfg_FY,6,1),0))-MAX($E185,DATE(cfg_FY,6,1))+1))</f>
        <v>0</v>
      </c>
      <c r="AZ185" s="110" t="n">
        <f aca="false">IF(OR(OR($B185="",$E185="",$F185=""),$K185&lt;&gt;"نعم",$M185="نعم"),0,MAX(0,MIN($F185,EOMONTH(DATE(cfg_FY,7,1),0))-MAX($E185,DATE(cfg_FY,7,1))+1))</f>
        <v>0</v>
      </c>
      <c r="BA185" s="110" t="n">
        <f aca="false">IF(OR(OR($B185="",$E185="",$F185=""),$K185&lt;&gt;"نعم",$M185="نعم"),0,MAX(0,MIN($F185,EOMONTH(DATE(cfg_FY,8,1),0))-MAX($E185,DATE(cfg_FY,8,1))+1))</f>
        <v>0</v>
      </c>
      <c r="BB185" s="110" t="n">
        <f aca="false">IF(OR(OR($B185="",$E185="",$F185=""),$K185&lt;&gt;"نعم",$M185="نعم"),0,MAX(0,MIN($F185,EOMONTH(DATE(cfg_FY,9,1),0))-MAX($E185,DATE(cfg_FY,9,1))+1))</f>
        <v>0</v>
      </c>
      <c r="BC185" s="110" t="n">
        <f aca="false">IF(OR(OR($B185="",$E185="",$F185=""),$K185&lt;&gt;"نعم",$M185="نعم"),0,MAX(0,MIN($F185,EOMONTH(DATE(cfg_FY,10,1),0))-MAX($E185,DATE(cfg_FY,10,1))+1))</f>
        <v>0</v>
      </c>
      <c r="BD185" s="110" t="n">
        <f aca="false">IF(OR(OR($B185="",$E185="",$F185=""),$K185&lt;&gt;"نعم",$M185="نعم"),0,MAX(0,MIN($F185,EOMONTH(DATE(cfg_FY,11,1),0))-MAX($E185,DATE(cfg_FY,11,1))+1))</f>
        <v>0</v>
      </c>
      <c r="BE185" s="110" t="n">
        <f aca="false">IF(OR(OR($B185="",$E185="",$F185=""),$K185&lt;&gt;"نعم",$M185="نعم"),0,MAX(0,MIN($F185,EOMONTH(DATE(cfg_FY,12,1),0))-MAX($E185,DATE(cfg_FY,12,1))+1))</f>
        <v>0</v>
      </c>
    </row>
    <row r="186" customFormat="false" ht="15" hidden="false" customHeight="false" outlineLevel="0" collapsed="false">
      <c r="A186" s="93" t="str">
        <f aca="false">IF(B186="","",ROW()-5)</f>
        <v/>
      </c>
      <c r="B186" s="79"/>
      <c r="C186" s="80" t="str">
        <f aca="false">IF(B186="","",IFERROR(INDEX(الموظفون!$C$6:$C$105,MATCH(B186,الموظفون!$B$6:$B$105,0)),"✖ رقم غير موجود"))</f>
        <v/>
      </c>
      <c r="D186" s="79"/>
      <c r="E186" s="94"/>
      <c r="F186" s="94"/>
      <c r="G186" s="57" t="str">
        <f aca="false">IF(OR($B186="",$E186="",$F186=""),"",MAX(0,F186-E186+1))</f>
        <v/>
      </c>
      <c r="H186" s="58" t="str">
        <f aca="false">IF(D186="","",IFERROR(VLOOKUP(D186,cfg_LT,2,FALSE()),1))</f>
        <v/>
      </c>
      <c r="I186" s="82"/>
      <c r="J186" s="58" t="str">
        <f aca="false">IF(D186="","",IF(I186&lt;&gt;"",I186,H186))</f>
        <v/>
      </c>
      <c r="K186" s="80" t="str">
        <f aca="false">IF(D186="","",IFERROR(VLOOKUP($D186,cfg_LT,3,FALSE()),""))</f>
        <v/>
      </c>
      <c r="L186" s="80" t="str">
        <f aca="false">IF(D186="","",IFERROR(VLOOKUP($D186,cfg_LT,4,FALSE()),""))</f>
        <v/>
      </c>
      <c r="M186" s="80" t="str">
        <f aca="false">IF(D186="","",IFERROR(VLOOKUP($D186,cfg_LT,5,FALSE()),""))</f>
        <v/>
      </c>
      <c r="N186" s="97" t="n">
        <f aca="false">IF(OR(OR($B186="",$E186="",$F186=""),M186&lt;&gt;"نعم"),0,G186*J186*IFERROR(INDEX(الموظفون!$R$6:$R$105,MATCH(B186,الموظفون!$B$6:$B$105,0)),0)/cfg_DAYS_M)</f>
        <v>0</v>
      </c>
      <c r="O186" s="93" t="str">
        <f aca="false">IF(OR(OR($B186="",$E186="",$F186=""),M186&lt;&gt;"نعم"),"",IF(YEAR(E186)=cfg_FY,MONTH(E186),""))</f>
        <v/>
      </c>
      <c r="P186" s="80" t="str">
        <f aca="false">IF(B186="","",IF(OR(D186="",E186="",F186=""),"⚠ أكمل النوع والتواريخ",IF(F186&lt;E186,"✖ النهاية قبل البداية",IF(COUNTIFS($B$6:$B$505,B186,$E$6:$E$505,"&lt;="&amp;F186,$F$6:$F$505,"&gt;="&amp;E186)&gt;1,"⚠ تداخل مع سجل آخر",IF(E186&gt;cfg_VAL_DATE,"⏳ قادمة",IF(F186&lt;cfg_VAL_DATE,"✔ منتهية","✈ جارية في تاريخ التقرير"))))))</f>
        <v/>
      </c>
      <c r="Q186" s="79"/>
      <c r="R186" s="57" t="n">
        <f aca="false">IF(OR(OR($B186="",$E186="",$F186=""),L186&lt;&gt;"لا"),0,MAX(0,MIN(F186,cfg_Y_START-1)-E186+1))</f>
        <v>0</v>
      </c>
      <c r="S186" s="57" t="n">
        <f aca="false">IF(OR(OR($B186="",$E186="",$F186=""),L186&lt;&gt;"لا"),0,MAX(0,MIN(F186,cfg_VAL_DATE)-E186+1))</f>
        <v>0</v>
      </c>
      <c r="T186" s="57" t="n">
        <f aca="false">IF(OR(OR($B186="",$E186="",$F186=""),K186&lt;&gt;"نعم"),0,IF(M186="نعم",IF(AND(ISNUMBER(O186),N(O186)&lt;=cfg_VAL_M),G186,0),MAX(0,MIN(F186,cfg_VAL_DATE)-MAX(E186,cfg_Y_START)+1)))</f>
        <v>0</v>
      </c>
      <c r="V186" s="57" t="n">
        <f aca="false">IF(OR($B186="",$E186="",$F186=""),0,MAX(0,MIN($F186,EOMONTH(DATE(cfg_FY,1,1),0))-MAX($E186,DATE(cfg_FY,1,1))+1)*(1-IF($M186="نعم",0,N($J186))))</f>
        <v>0</v>
      </c>
      <c r="W186" s="57" t="n">
        <f aca="false">IF(OR($B186="",$E186="",$F186=""),0,MAX(0,MIN($F186,EOMONTH(DATE(cfg_FY,2,1),0))-MAX($E186,DATE(cfg_FY,2,1))+1)*(1-IF($M186="نعم",0,N($J186))))</f>
        <v>0</v>
      </c>
      <c r="X186" s="57" t="n">
        <f aca="false">IF(OR($B186="",$E186="",$F186=""),0,MAX(0,MIN($F186,EOMONTH(DATE(cfg_FY,3,1),0))-MAX($E186,DATE(cfg_FY,3,1))+1)*(1-IF($M186="نعم",0,N($J186))))</f>
        <v>0</v>
      </c>
      <c r="Y186" s="57" t="n">
        <f aca="false">IF(OR($B186="",$E186="",$F186=""),0,MAX(0,MIN($F186,EOMONTH(DATE(cfg_FY,4,1),0))-MAX($E186,DATE(cfg_FY,4,1))+1)*(1-IF($M186="نعم",0,N($J186))))</f>
        <v>0</v>
      </c>
      <c r="Z186" s="57" t="n">
        <f aca="false">IF(OR($B186="",$E186="",$F186=""),0,MAX(0,MIN($F186,EOMONTH(DATE(cfg_FY,5,1),0))-MAX($E186,DATE(cfg_FY,5,1))+1)*(1-IF($M186="نعم",0,N($J186))))</f>
        <v>0</v>
      </c>
      <c r="AA186" s="57" t="n">
        <f aca="false">IF(OR($B186="",$E186="",$F186=""),0,MAX(0,MIN($F186,EOMONTH(DATE(cfg_FY,6,1),0))-MAX($E186,DATE(cfg_FY,6,1))+1)*(1-IF($M186="نعم",0,N($J186))))</f>
        <v>0</v>
      </c>
      <c r="AB186" s="57" t="n">
        <f aca="false">IF(OR($B186="",$E186="",$F186=""),0,MAX(0,MIN($F186,EOMONTH(DATE(cfg_FY,7,1),0))-MAX($E186,DATE(cfg_FY,7,1))+1)*(1-IF($M186="نعم",0,N($J186))))</f>
        <v>0</v>
      </c>
      <c r="AC186" s="57" t="n">
        <f aca="false">IF(OR($B186="",$E186="",$F186=""),0,MAX(0,MIN($F186,EOMONTH(DATE(cfg_FY,8,1),0))-MAX($E186,DATE(cfg_FY,8,1))+1)*(1-IF($M186="نعم",0,N($J186))))</f>
        <v>0</v>
      </c>
      <c r="AD186" s="57" t="n">
        <f aca="false">IF(OR($B186="",$E186="",$F186=""),0,MAX(0,MIN($F186,EOMONTH(DATE(cfg_FY,9,1),0))-MAX($E186,DATE(cfg_FY,9,1))+1)*(1-IF($M186="نعم",0,N($J186))))</f>
        <v>0</v>
      </c>
      <c r="AE186" s="57" t="n">
        <f aca="false">IF(OR($B186="",$E186="",$F186=""),0,MAX(0,MIN($F186,EOMONTH(DATE(cfg_FY,10,1),0))-MAX($E186,DATE(cfg_FY,10,1))+1)*(1-IF($M186="نعم",0,N($J186))))</f>
        <v>0</v>
      </c>
      <c r="AF186" s="57" t="n">
        <f aca="false">IF(OR($B186="",$E186="",$F186=""),0,MAX(0,MIN($F186,EOMONTH(DATE(cfg_FY,11,1),0))-MAX($E186,DATE(cfg_FY,11,1))+1)*(1-IF($M186="نعم",0,N($J186))))</f>
        <v>0</v>
      </c>
      <c r="AG186" s="57" t="n">
        <f aca="false">IF(OR($B186="",$E186="",$F186=""),0,MAX(0,MIN($F186,EOMONTH(DATE(cfg_FY,12,1),0))-MAX($E186,DATE(cfg_FY,12,1))+1)*(1-IF($M186="نعم",0,N($J186))))</f>
        <v>0</v>
      </c>
      <c r="AH186" s="57" t="n">
        <f aca="false">IF(OR(OR($B186="",$E186="",$F186=""),$L186&lt;&gt;"لا"),0,MAX(0,MIN($F186,EOMONTH(DATE(cfg_FY,1,1),0))-$E186+1))</f>
        <v>0</v>
      </c>
      <c r="AI186" s="57" t="n">
        <f aca="false">IF(OR(OR($B186="",$E186="",$F186=""),$L186&lt;&gt;"لا"),0,MAX(0,MIN($F186,EOMONTH(DATE(cfg_FY,2,1),0))-$E186+1))</f>
        <v>0</v>
      </c>
      <c r="AJ186" s="57" t="n">
        <f aca="false">IF(OR(OR($B186="",$E186="",$F186=""),$L186&lt;&gt;"لا"),0,MAX(0,MIN($F186,EOMONTH(DATE(cfg_FY,3,1),0))-$E186+1))</f>
        <v>0</v>
      </c>
      <c r="AK186" s="57" t="n">
        <f aca="false">IF(OR(OR($B186="",$E186="",$F186=""),$L186&lt;&gt;"لا"),0,MAX(0,MIN($F186,EOMONTH(DATE(cfg_FY,4,1),0))-$E186+1))</f>
        <v>0</v>
      </c>
      <c r="AL186" s="57" t="n">
        <f aca="false">IF(OR(OR($B186="",$E186="",$F186=""),$L186&lt;&gt;"لا"),0,MAX(0,MIN($F186,EOMONTH(DATE(cfg_FY,5,1),0))-$E186+1))</f>
        <v>0</v>
      </c>
      <c r="AM186" s="57" t="n">
        <f aca="false">IF(OR(OR($B186="",$E186="",$F186=""),$L186&lt;&gt;"لا"),0,MAX(0,MIN($F186,EOMONTH(DATE(cfg_FY,6,1),0))-$E186+1))</f>
        <v>0</v>
      </c>
      <c r="AN186" s="57" t="n">
        <f aca="false">IF(OR(OR($B186="",$E186="",$F186=""),$L186&lt;&gt;"لا"),0,MAX(0,MIN($F186,EOMONTH(DATE(cfg_FY,7,1),0))-$E186+1))</f>
        <v>0</v>
      </c>
      <c r="AO186" s="57" t="n">
        <f aca="false">IF(OR(OR($B186="",$E186="",$F186=""),$L186&lt;&gt;"لا"),0,MAX(0,MIN($F186,EOMONTH(DATE(cfg_FY,8,1),0))-$E186+1))</f>
        <v>0</v>
      </c>
      <c r="AP186" s="57" t="n">
        <f aca="false">IF(OR(OR($B186="",$E186="",$F186=""),$L186&lt;&gt;"لا"),0,MAX(0,MIN($F186,EOMONTH(DATE(cfg_FY,9,1),0))-$E186+1))</f>
        <v>0</v>
      </c>
      <c r="AQ186" s="57" t="n">
        <f aca="false">IF(OR(OR($B186="",$E186="",$F186=""),$L186&lt;&gt;"لا"),0,MAX(0,MIN($F186,EOMONTH(DATE(cfg_FY,10,1),0))-$E186+1))</f>
        <v>0</v>
      </c>
      <c r="AR186" s="57" t="n">
        <f aca="false">IF(OR(OR($B186="",$E186="",$F186=""),$L186&lt;&gt;"لا"),0,MAX(0,MIN($F186,EOMONTH(DATE(cfg_FY,11,1),0))-$E186+1))</f>
        <v>0</v>
      </c>
      <c r="AS186" s="57" t="n">
        <f aca="false">IF(OR(OR($B186="",$E186="",$F186=""),$L186&lt;&gt;"لا"),0,MAX(0,MIN($F186,EOMONTH(DATE(cfg_FY,12,1),0))-$E186+1))</f>
        <v>0</v>
      </c>
      <c r="AT186" s="57" t="n">
        <f aca="false">IF(OR(OR($B186="",$E186="",$F186=""),$K186&lt;&gt;"نعم",$M186="نعم"),0,MAX(0,MIN($F186,EOMONTH(DATE(cfg_FY,1,1),0))-MAX($E186,DATE(cfg_FY,1,1))+1))</f>
        <v>0</v>
      </c>
      <c r="AU186" s="57" t="n">
        <f aca="false">IF(OR(OR($B186="",$E186="",$F186=""),$K186&lt;&gt;"نعم",$M186="نعم"),0,MAX(0,MIN($F186,EOMONTH(DATE(cfg_FY,2,1),0))-MAX($E186,DATE(cfg_FY,2,1))+1))</f>
        <v>0</v>
      </c>
      <c r="AV186" s="57" t="n">
        <f aca="false">IF(OR(OR($B186="",$E186="",$F186=""),$K186&lt;&gt;"نعم",$M186="نعم"),0,MAX(0,MIN($F186,EOMONTH(DATE(cfg_FY,3,1),0))-MAX($E186,DATE(cfg_FY,3,1))+1))</f>
        <v>0</v>
      </c>
      <c r="AW186" s="57" t="n">
        <f aca="false">IF(OR(OR($B186="",$E186="",$F186=""),$K186&lt;&gt;"نعم",$M186="نعم"),0,MAX(0,MIN($F186,EOMONTH(DATE(cfg_FY,4,1),0))-MAX($E186,DATE(cfg_FY,4,1))+1))</f>
        <v>0</v>
      </c>
      <c r="AX186" s="57" t="n">
        <f aca="false">IF(OR(OR($B186="",$E186="",$F186=""),$K186&lt;&gt;"نعم",$M186="نعم"),0,MAX(0,MIN($F186,EOMONTH(DATE(cfg_FY,5,1),0))-MAX($E186,DATE(cfg_FY,5,1))+1))</f>
        <v>0</v>
      </c>
      <c r="AY186" s="57" t="n">
        <f aca="false">IF(OR(OR($B186="",$E186="",$F186=""),$K186&lt;&gt;"نعم",$M186="نعم"),0,MAX(0,MIN($F186,EOMONTH(DATE(cfg_FY,6,1),0))-MAX($E186,DATE(cfg_FY,6,1))+1))</f>
        <v>0</v>
      </c>
      <c r="AZ186" s="57" t="n">
        <f aca="false">IF(OR(OR($B186="",$E186="",$F186=""),$K186&lt;&gt;"نعم",$M186="نعم"),0,MAX(0,MIN($F186,EOMONTH(DATE(cfg_FY,7,1),0))-MAX($E186,DATE(cfg_FY,7,1))+1))</f>
        <v>0</v>
      </c>
      <c r="BA186" s="57" t="n">
        <f aca="false">IF(OR(OR($B186="",$E186="",$F186=""),$K186&lt;&gt;"نعم",$M186="نعم"),0,MAX(0,MIN($F186,EOMONTH(DATE(cfg_FY,8,1),0))-MAX($E186,DATE(cfg_FY,8,1))+1))</f>
        <v>0</v>
      </c>
      <c r="BB186" s="57" t="n">
        <f aca="false">IF(OR(OR($B186="",$E186="",$F186=""),$K186&lt;&gt;"نعم",$M186="نعم"),0,MAX(0,MIN($F186,EOMONTH(DATE(cfg_FY,9,1),0))-MAX($E186,DATE(cfg_FY,9,1))+1))</f>
        <v>0</v>
      </c>
      <c r="BC186" s="57" t="n">
        <f aca="false">IF(OR(OR($B186="",$E186="",$F186=""),$K186&lt;&gt;"نعم",$M186="نعم"),0,MAX(0,MIN($F186,EOMONTH(DATE(cfg_FY,10,1),0))-MAX($E186,DATE(cfg_FY,10,1))+1))</f>
        <v>0</v>
      </c>
      <c r="BD186" s="57" t="n">
        <f aca="false">IF(OR(OR($B186="",$E186="",$F186=""),$K186&lt;&gt;"نعم",$M186="نعم"),0,MAX(0,MIN($F186,EOMONTH(DATE(cfg_FY,11,1),0))-MAX($E186,DATE(cfg_FY,11,1))+1))</f>
        <v>0</v>
      </c>
      <c r="BE186" s="57" t="n">
        <f aca="false">IF(OR(OR($B186="",$E186="",$F186=""),$K186&lt;&gt;"نعم",$M186="نعم"),0,MAX(0,MIN($F186,EOMONTH(DATE(cfg_FY,12,1),0))-MAX($E186,DATE(cfg_FY,12,1))+1))</f>
        <v>0</v>
      </c>
    </row>
    <row r="187" customFormat="false" ht="15" hidden="false" customHeight="false" outlineLevel="0" collapsed="false">
      <c r="A187" s="100" t="str">
        <f aca="false">IF(B187="","",ROW()-5)</f>
        <v/>
      </c>
      <c r="B187" s="79"/>
      <c r="C187" s="102" t="str">
        <f aca="false">IF(B187="","",IFERROR(INDEX(الموظفون!$C$6:$C$105,MATCH(B187,الموظفون!$B$6:$B$105,0)),"✖ رقم غير موجود"))</f>
        <v/>
      </c>
      <c r="D187" s="79"/>
      <c r="E187" s="94"/>
      <c r="F187" s="94"/>
      <c r="G187" s="110" t="str">
        <f aca="false">IF(OR($B187="",$E187="",$F187=""),"",MAX(0,F187-E187+1))</f>
        <v/>
      </c>
      <c r="H187" s="111" t="str">
        <f aca="false">IF(D187="","",IFERROR(VLOOKUP(D187,cfg_LT,2,FALSE()),1))</f>
        <v/>
      </c>
      <c r="I187" s="82"/>
      <c r="J187" s="111" t="str">
        <f aca="false">IF(D187="","",IF(I187&lt;&gt;"",I187,H187))</f>
        <v/>
      </c>
      <c r="K187" s="102" t="str">
        <f aca="false">IF(D187="","",IFERROR(VLOOKUP($D187,cfg_LT,3,FALSE()),""))</f>
        <v/>
      </c>
      <c r="L187" s="102" t="str">
        <f aca="false">IF(D187="","",IFERROR(VLOOKUP($D187,cfg_LT,4,FALSE()),""))</f>
        <v/>
      </c>
      <c r="M187" s="102" t="str">
        <f aca="false">IF(D187="","",IFERROR(VLOOKUP($D187,cfg_LT,5,FALSE()),""))</f>
        <v/>
      </c>
      <c r="N187" s="101" t="n">
        <f aca="false">IF(OR(OR($B187="",$E187="",$F187=""),M187&lt;&gt;"نعم"),0,G187*J187*IFERROR(INDEX(الموظفون!$R$6:$R$105,MATCH(B187,الموظفون!$B$6:$B$105,0)),0)/cfg_DAYS_M)</f>
        <v>0</v>
      </c>
      <c r="O187" s="100" t="str">
        <f aca="false">IF(OR(OR($B187="",$E187="",$F187=""),M187&lt;&gt;"نعم"),"",IF(YEAR(E187)=cfg_FY,MONTH(E187),""))</f>
        <v/>
      </c>
      <c r="P187" s="102" t="str">
        <f aca="false">IF(B187="","",IF(OR(D187="",E187="",F187=""),"⚠ أكمل النوع والتواريخ",IF(F187&lt;E187,"✖ النهاية قبل البداية",IF(COUNTIFS($B$6:$B$505,B187,$E$6:$E$505,"&lt;="&amp;F187,$F$6:$F$505,"&gt;="&amp;E187)&gt;1,"⚠ تداخل مع سجل آخر",IF(E187&gt;cfg_VAL_DATE,"⏳ قادمة",IF(F187&lt;cfg_VAL_DATE,"✔ منتهية","✈ جارية في تاريخ التقرير"))))))</f>
        <v/>
      </c>
      <c r="Q187" s="79"/>
      <c r="R187" s="110" t="n">
        <f aca="false">IF(OR(OR($B187="",$E187="",$F187=""),L187&lt;&gt;"لا"),0,MAX(0,MIN(F187,cfg_Y_START-1)-E187+1))</f>
        <v>0</v>
      </c>
      <c r="S187" s="110" t="n">
        <f aca="false">IF(OR(OR($B187="",$E187="",$F187=""),L187&lt;&gt;"لا"),0,MAX(0,MIN(F187,cfg_VAL_DATE)-E187+1))</f>
        <v>0</v>
      </c>
      <c r="T187" s="110" t="n">
        <f aca="false">IF(OR(OR($B187="",$E187="",$F187=""),K187&lt;&gt;"نعم"),0,IF(M187="نعم",IF(AND(ISNUMBER(O187),N(O187)&lt;=cfg_VAL_M),G187,0),MAX(0,MIN(F187,cfg_VAL_DATE)-MAX(E187,cfg_Y_START)+1)))</f>
        <v>0</v>
      </c>
      <c r="V187" s="110" t="n">
        <f aca="false">IF(OR($B187="",$E187="",$F187=""),0,MAX(0,MIN($F187,EOMONTH(DATE(cfg_FY,1,1),0))-MAX($E187,DATE(cfg_FY,1,1))+1)*(1-IF($M187="نعم",0,N($J187))))</f>
        <v>0</v>
      </c>
      <c r="W187" s="110" t="n">
        <f aca="false">IF(OR($B187="",$E187="",$F187=""),0,MAX(0,MIN($F187,EOMONTH(DATE(cfg_FY,2,1),0))-MAX($E187,DATE(cfg_FY,2,1))+1)*(1-IF($M187="نعم",0,N($J187))))</f>
        <v>0</v>
      </c>
      <c r="X187" s="110" t="n">
        <f aca="false">IF(OR($B187="",$E187="",$F187=""),0,MAX(0,MIN($F187,EOMONTH(DATE(cfg_FY,3,1),0))-MAX($E187,DATE(cfg_FY,3,1))+1)*(1-IF($M187="نعم",0,N($J187))))</f>
        <v>0</v>
      </c>
      <c r="Y187" s="110" t="n">
        <f aca="false">IF(OR($B187="",$E187="",$F187=""),0,MAX(0,MIN($F187,EOMONTH(DATE(cfg_FY,4,1),0))-MAX($E187,DATE(cfg_FY,4,1))+1)*(1-IF($M187="نعم",0,N($J187))))</f>
        <v>0</v>
      </c>
      <c r="Z187" s="110" t="n">
        <f aca="false">IF(OR($B187="",$E187="",$F187=""),0,MAX(0,MIN($F187,EOMONTH(DATE(cfg_FY,5,1),0))-MAX($E187,DATE(cfg_FY,5,1))+1)*(1-IF($M187="نعم",0,N($J187))))</f>
        <v>0</v>
      </c>
      <c r="AA187" s="110" t="n">
        <f aca="false">IF(OR($B187="",$E187="",$F187=""),0,MAX(0,MIN($F187,EOMONTH(DATE(cfg_FY,6,1),0))-MAX($E187,DATE(cfg_FY,6,1))+1)*(1-IF($M187="نعم",0,N($J187))))</f>
        <v>0</v>
      </c>
      <c r="AB187" s="110" t="n">
        <f aca="false">IF(OR($B187="",$E187="",$F187=""),0,MAX(0,MIN($F187,EOMONTH(DATE(cfg_FY,7,1),0))-MAX($E187,DATE(cfg_FY,7,1))+1)*(1-IF($M187="نعم",0,N($J187))))</f>
        <v>0</v>
      </c>
      <c r="AC187" s="110" t="n">
        <f aca="false">IF(OR($B187="",$E187="",$F187=""),0,MAX(0,MIN($F187,EOMONTH(DATE(cfg_FY,8,1),0))-MAX($E187,DATE(cfg_FY,8,1))+1)*(1-IF($M187="نعم",0,N($J187))))</f>
        <v>0</v>
      </c>
      <c r="AD187" s="110" t="n">
        <f aca="false">IF(OR($B187="",$E187="",$F187=""),0,MAX(0,MIN($F187,EOMONTH(DATE(cfg_FY,9,1),0))-MAX($E187,DATE(cfg_FY,9,1))+1)*(1-IF($M187="نعم",0,N($J187))))</f>
        <v>0</v>
      </c>
      <c r="AE187" s="110" t="n">
        <f aca="false">IF(OR($B187="",$E187="",$F187=""),0,MAX(0,MIN($F187,EOMONTH(DATE(cfg_FY,10,1),0))-MAX($E187,DATE(cfg_FY,10,1))+1)*(1-IF($M187="نعم",0,N($J187))))</f>
        <v>0</v>
      </c>
      <c r="AF187" s="110" t="n">
        <f aca="false">IF(OR($B187="",$E187="",$F187=""),0,MAX(0,MIN($F187,EOMONTH(DATE(cfg_FY,11,1),0))-MAX($E187,DATE(cfg_FY,11,1))+1)*(1-IF($M187="نعم",0,N($J187))))</f>
        <v>0</v>
      </c>
      <c r="AG187" s="110" t="n">
        <f aca="false">IF(OR($B187="",$E187="",$F187=""),0,MAX(0,MIN($F187,EOMONTH(DATE(cfg_FY,12,1),0))-MAX($E187,DATE(cfg_FY,12,1))+1)*(1-IF($M187="نعم",0,N($J187))))</f>
        <v>0</v>
      </c>
      <c r="AH187" s="110" t="n">
        <f aca="false">IF(OR(OR($B187="",$E187="",$F187=""),$L187&lt;&gt;"لا"),0,MAX(0,MIN($F187,EOMONTH(DATE(cfg_FY,1,1),0))-$E187+1))</f>
        <v>0</v>
      </c>
      <c r="AI187" s="110" t="n">
        <f aca="false">IF(OR(OR($B187="",$E187="",$F187=""),$L187&lt;&gt;"لا"),0,MAX(0,MIN($F187,EOMONTH(DATE(cfg_FY,2,1),0))-$E187+1))</f>
        <v>0</v>
      </c>
      <c r="AJ187" s="110" t="n">
        <f aca="false">IF(OR(OR($B187="",$E187="",$F187=""),$L187&lt;&gt;"لا"),0,MAX(0,MIN($F187,EOMONTH(DATE(cfg_FY,3,1),0))-$E187+1))</f>
        <v>0</v>
      </c>
      <c r="AK187" s="110" t="n">
        <f aca="false">IF(OR(OR($B187="",$E187="",$F187=""),$L187&lt;&gt;"لا"),0,MAX(0,MIN($F187,EOMONTH(DATE(cfg_FY,4,1),0))-$E187+1))</f>
        <v>0</v>
      </c>
      <c r="AL187" s="110" t="n">
        <f aca="false">IF(OR(OR($B187="",$E187="",$F187=""),$L187&lt;&gt;"لا"),0,MAX(0,MIN($F187,EOMONTH(DATE(cfg_FY,5,1),0))-$E187+1))</f>
        <v>0</v>
      </c>
      <c r="AM187" s="110" t="n">
        <f aca="false">IF(OR(OR($B187="",$E187="",$F187=""),$L187&lt;&gt;"لا"),0,MAX(0,MIN($F187,EOMONTH(DATE(cfg_FY,6,1),0))-$E187+1))</f>
        <v>0</v>
      </c>
      <c r="AN187" s="110" t="n">
        <f aca="false">IF(OR(OR($B187="",$E187="",$F187=""),$L187&lt;&gt;"لا"),0,MAX(0,MIN($F187,EOMONTH(DATE(cfg_FY,7,1),0))-$E187+1))</f>
        <v>0</v>
      </c>
      <c r="AO187" s="110" t="n">
        <f aca="false">IF(OR(OR($B187="",$E187="",$F187=""),$L187&lt;&gt;"لا"),0,MAX(0,MIN($F187,EOMONTH(DATE(cfg_FY,8,1),0))-$E187+1))</f>
        <v>0</v>
      </c>
      <c r="AP187" s="110" t="n">
        <f aca="false">IF(OR(OR($B187="",$E187="",$F187=""),$L187&lt;&gt;"لا"),0,MAX(0,MIN($F187,EOMONTH(DATE(cfg_FY,9,1),0))-$E187+1))</f>
        <v>0</v>
      </c>
      <c r="AQ187" s="110" t="n">
        <f aca="false">IF(OR(OR($B187="",$E187="",$F187=""),$L187&lt;&gt;"لا"),0,MAX(0,MIN($F187,EOMONTH(DATE(cfg_FY,10,1),0))-$E187+1))</f>
        <v>0</v>
      </c>
      <c r="AR187" s="110" t="n">
        <f aca="false">IF(OR(OR($B187="",$E187="",$F187=""),$L187&lt;&gt;"لا"),0,MAX(0,MIN($F187,EOMONTH(DATE(cfg_FY,11,1),0))-$E187+1))</f>
        <v>0</v>
      </c>
      <c r="AS187" s="110" t="n">
        <f aca="false">IF(OR(OR($B187="",$E187="",$F187=""),$L187&lt;&gt;"لا"),0,MAX(0,MIN($F187,EOMONTH(DATE(cfg_FY,12,1),0))-$E187+1))</f>
        <v>0</v>
      </c>
      <c r="AT187" s="110" t="n">
        <f aca="false">IF(OR(OR($B187="",$E187="",$F187=""),$K187&lt;&gt;"نعم",$M187="نعم"),0,MAX(0,MIN($F187,EOMONTH(DATE(cfg_FY,1,1),0))-MAX($E187,DATE(cfg_FY,1,1))+1))</f>
        <v>0</v>
      </c>
      <c r="AU187" s="110" t="n">
        <f aca="false">IF(OR(OR($B187="",$E187="",$F187=""),$K187&lt;&gt;"نعم",$M187="نعم"),0,MAX(0,MIN($F187,EOMONTH(DATE(cfg_FY,2,1),0))-MAX($E187,DATE(cfg_FY,2,1))+1))</f>
        <v>0</v>
      </c>
      <c r="AV187" s="110" t="n">
        <f aca="false">IF(OR(OR($B187="",$E187="",$F187=""),$K187&lt;&gt;"نعم",$M187="نعم"),0,MAX(0,MIN($F187,EOMONTH(DATE(cfg_FY,3,1),0))-MAX($E187,DATE(cfg_FY,3,1))+1))</f>
        <v>0</v>
      </c>
      <c r="AW187" s="110" t="n">
        <f aca="false">IF(OR(OR($B187="",$E187="",$F187=""),$K187&lt;&gt;"نعم",$M187="نعم"),0,MAX(0,MIN($F187,EOMONTH(DATE(cfg_FY,4,1),0))-MAX($E187,DATE(cfg_FY,4,1))+1))</f>
        <v>0</v>
      </c>
      <c r="AX187" s="110" t="n">
        <f aca="false">IF(OR(OR($B187="",$E187="",$F187=""),$K187&lt;&gt;"نعم",$M187="نعم"),0,MAX(0,MIN($F187,EOMONTH(DATE(cfg_FY,5,1),0))-MAX($E187,DATE(cfg_FY,5,1))+1))</f>
        <v>0</v>
      </c>
      <c r="AY187" s="110" t="n">
        <f aca="false">IF(OR(OR($B187="",$E187="",$F187=""),$K187&lt;&gt;"نعم",$M187="نعم"),0,MAX(0,MIN($F187,EOMONTH(DATE(cfg_FY,6,1),0))-MAX($E187,DATE(cfg_FY,6,1))+1))</f>
        <v>0</v>
      </c>
      <c r="AZ187" s="110" t="n">
        <f aca="false">IF(OR(OR($B187="",$E187="",$F187=""),$K187&lt;&gt;"نعم",$M187="نعم"),0,MAX(0,MIN($F187,EOMONTH(DATE(cfg_FY,7,1),0))-MAX($E187,DATE(cfg_FY,7,1))+1))</f>
        <v>0</v>
      </c>
      <c r="BA187" s="110" t="n">
        <f aca="false">IF(OR(OR($B187="",$E187="",$F187=""),$K187&lt;&gt;"نعم",$M187="نعم"),0,MAX(0,MIN($F187,EOMONTH(DATE(cfg_FY,8,1),0))-MAX($E187,DATE(cfg_FY,8,1))+1))</f>
        <v>0</v>
      </c>
      <c r="BB187" s="110" t="n">
        <f aca="false">IF(OR(OR($B187="",$E187="",$F187=""),$K187&lt;&gt;"نعم",$M187="نعم"),0,MAX(0,MIN($F187,EOMONTH(DATE(cfg_FY,9,1),0))-MAX($E187,DATE(cfg_FY,9,1))+1))</f>
        <v>0</v>
      </c>
      <c r="BC187" s="110" t="n">
        <f aca="false">IF(OR(OR($B187="",$E187="",$F187=""),$K187&lt;&gt;"نعم",$M187="نعم"),0,MAX(0,MIN($F187,EOMONTH(DATE(cfg_FY,10,1),0))-MAX($E187,DATE(cfg_FY,10,1))+1))</f>
        <v>0</v>
      </c>
      <c r="BD187" s="110" t="n">
        <f aca="false">IF(OR(OR($B187="",$E187="",$F187=""),$K187&lt;&gt;"نعم",$M187="نعم"),0,MAX(0,MIN($F187,EOMONTH(DATE(cfg_FY,11,1),0))-MAX($E187,DATE(cfg_FY,11,1))+1))</f>
        <v>0</v>
      </c>
      <c r="BE187" s="110" t="n">
        <f aca="false">IF(OR(OR($B187="",$E187="",$F187=""),$K187&lt;&gt;"نعم",$M187="نعم"),0,MAX(0,MIN($F187,EOMONTH(DATE(cfg_FY,12,1),0))-MAX($E187,DATE(cfg_FY,12,1))+1))</f>
        <v>0</v>
      </c>
    </row>
    <row r="188" customFormat="false" ht="15" hidden="false" customHeight="false" outlineLevel="0" collapsed="false">
      <c r="A188" s="93" t="str">
        <f aca="false">IF(B188="","",ROW()-5)</f>
        <v/>
      </c>
      <c r="B188" s="79"/>
      <c r="C188" s="80" t="str">
        <f aca="false">IF(B188="","",IFERROR(INDEX(الموظفون!$C$6:$C$105,MATCH(B188,الموظفون!$B$6:$B$105,0)),"✖ رقم غير موجود"))</f>
        <v/>
      </c>
      <c r="D188" s="79"/>
      <c r="E188" s="94"/>
      <c r="F188" s="94"/>
      <c r="G188" s="57" t="str">
        <f aca="false">IF(OR($B188="",$E188="",$F188=""),"",MAX(0,F188-E188+1))</f>
        <v/>
      </c>
      <c r="H188" s="58" t="str">
        <f aca="false">IF(D188="","",IFERROR(VLOOKUP(D188,cfg_LT,2,FALSE()),1))</f>
        <v/>
      </c>
      <c r="I188" s="82"/>
      <c r="J188" s="58" t="str">
        <f aca="false">IF(D188="","",IF(I188&lt;&gt;"",I188,H188))</f>
        <v/>
      </c>
      <c r="K188" s="80" t="str">
        <f aca="false">IF(D188="","",IFERROR(VLOOKUP($D188,cfg_LT,3,FALSE()),""))</f>
        <v/>
      </c>
      <c r="L188" s="80" t="str">
        <f aca="false">IF(D188="","",IFERROR(VLOOKUP($D188,cfg_LT,4,FALSE()),""))</f>
        <v/>
      </c>
      <c r="M188" s="80" t="str">
        <f aca="false">IF(D188="","",IFERROR(VLOOKUP($D188,cfg_LT,5,FALSE()),""))</f>
        <v/>
      </c>
      <c r="N188" s="97" t="n">
        <f aca="false">IF(OR(OR($B188="",$E188="",$F188=""),M188&lt;&gt;"نعم"),0,G188*J188*IFERROR(INDEX(الموظفون!$R$6:$R$105,MATCH(B188,الموظفون!$B$6:$B$105,0)),0)/cfg_DAYS_M)</f>
        <v>0</v>
      </c>
      <c r="O188" s="93" t="str">
        <f aca="false">IF(OR(OR($B188="",$E188="",$F188=""),M188&lt;&gt;"نعم"),"",IF(YEAR(E188)=cfg_FY,MONTH(E188),""))</f>
        <v/>
      </c>
      <c r="P188" s="80" t="str">
        <f aca="false">IF(B188="","",IF(OR(D188="",E188="",F188=""),"⚠ أكمل النوع والتواريخ",IF(F188&lt;E188,"✖ النهاية قبل البداية",IF(COUNTIFS($B$6:$B$505,B188,$E$6:$E$505,"&lt;="&amp;F188,$F$6:$F$505,"&gt;="&amp;E188)&gt;1,"⚠ تداخل مع سجل آخر",IF(E188&gt;cfg_VAL_DATE,"⏳ قادمة",IF(F188&lt;cfg_VAL_DATE,"✔ منتهية","✈ جارية في تاريخ التقرير"))))))</f>
        <v/>
      </c>
      <c r="Q188" s="79"/>
      <c r="R188" s="57" t="n">
        <f aca="false">IF(OR(OR($B188="",$E188="",$F188=""),L188&lt;&gt;"لا"),0,MAX(0,MIN(F188,cfg_Y_START-1)-E188+1))</f>
        <v>0</v>
      </c>
      <c r="S188" s="57" t="n">
        <f aca="false">IF(OR(OR($B188="",$E188="",$F188=""),L188&lt;&gt;"لا"),0,MAX(0,MIN(F188,cfg_VAL_DATE)-E188+1))</f>
        <v>0</v>
      </c>
      <c r="T188" s="57" t="n">
        <f aca="false">IF(OR(OR($B188="",$E188="",$F188=""),K188&lt;&gt;"نعم"),0,IF(M188="نعم",IF(AND(ISNUMBER(O188),N(O188)&lt;=cfg_VAL_M),G188,0),MAX(0,MIN(F188,cfg_VAL_DATE)-MAX(E188,cfg_Y_START)+1)))</f>
        <v>0</v>
      </c>
      <c r="V188" s="57" t="n">
        <f aca="false">IF(OR($B188="",$E188="",$F188=""),0,MAX(0,MIN($F188,EOMONTH(DATE(cfg_FY,1,1),0))-MAX($E188,DATE(cfg_FY,1,1))+1)*(1-IF($M188="نعم",0,N($J188))))</f>
        <v>0</v>
      </c>
      <c r="W188" s="57" t="n">
        <f aca="false">IF(OR($B188="",$E188="",$F188=""),0,MAX(0,MIN($F188,EOMONTH(DATE(cfg_FY,2,1),0))-MAX($E188,DATE(cfg_FY,2,1))+1)*(1-IF($M188="نعم",0,N($J188))))</f>
        <v>0</v>
      </c>
      <c r="X188" s="57" t="n">
        <f aca="false">IF(OR($B188="",$E188="",$F188=""),0,MAX(0,MIN($F188,EOMONTH(DATE(cfg_FY,3,1),0))-MAX($E188,DATE(cfg_FY,3,1))+1)*(1-IF($M188="نعم",0,N($J188))))</f>
        <v>0</v>
      </c>
      <c r="Y188" s="57" t="n">
        <f aca="false">IF(OR($B188="",$E188="",$F188=""),0,MAX(0,MIN($F188,EOMONTH(DATE(cfg_FY,4,1),0))-MAX($E188,DATE(cfg_FY,4,1))+1)*(1-IF($M188="نعم",0,N($J188))))</f>
        <v>0</v>
      </c>
      <c r="Z188" s="57" t="n">
        <f aca="false">IF(OR($B188="",$E188="",$F188=""),0,MAX(0,MIN($F188,EOMONTH(DATE(cfg_FY,5,1),0))-MAX($E188,DATE(cfg_FY,5,1))+1)*(1-IF($M188="نعم",0,N($J188))))</f>
        <v>0</v>
      </c>
      <c r="AA188" s="57" t="n">
        <f aca="false">IF(OR($B188="",$E188="",$F188=""),0,MAX(0,MIN($F188,EOMONTH(DATE(cfg_FY,6,1),0))-MAX($E188,DATE(cfg_FY,6,1))+1)*(1-IF($M188="نعم",0,N($J188))))</f>
        <v>0</v>
      </c>
      <c r="AB188" s="57" t="n">
        <f aca="false">IF(OR($B188="",$E188="",$F188=""),0,MAX(0,MIN($F188,EOMONTH(DATE(cfg_FY,7,1),0))-MAX($E188,DATE(cfg_FY,7,1))+1)*(1-IF($M188="نعم",0,N($J188))))</f>
        <v>0</v>
      </c>
      <c r="AC188" s="57" t="n">
        <f aca="false">IF(OR($B188="",$E188="",$F188=""),0,MAX(0,MIN($F188,EOMONTH(DATE(cfg_FY,8,1),0))-MAX($E188,DATE(cfg_FY,8,1))+1)*(1-IF($M188="نعم",0,N($J188))))</f>
        <v>0</v>
      </c>
      <c r="AD188" s="57" t="n">
        <f aca="false">IF(OR($B188="",$E188="",$F188=""),0,MAX(0,MIN($F188,EOMONTH(DATE(cfg_FY,9,1),0))-MAX($E188,DATE(cfg_FY,9,1))+1)*(1-IF($M188="نعم",0,N($J188))))</f>
        <v>0</v>
      </c>
      <c r="AE188" s="57" t="n">
        <f aca="false">IF(OR($B188="",$E188="",$F188=""),0,MAX(0,MIN($F188,EOMONTH(DATE(cfg_FY,10,1),0))-MAX($E188,DATE(cfg_FY,10,1))+1)*(1-IF($M188="نعم",0,N($J188))))</f>
        <v>0</v>
      </c>
      <c r="AF188" s="57" t="n">
        <f aca="false">IF(OR($B188="",$E188="",$F188=""),0,MAX(0,MIN($F188,EOMONTH(DATE(cfg_FY,11,1),0))-MAX($E188,DATE(cfg_FY,11,1))+1)*(1-IF($M188="نعم",0,N($J188))))</f>
        <v>0</v>
      </c>
      <c r="AG188" s="57" t="n">
        <f aca="false">IF(OR($B188="",$E188="",$F188=""),0,MAX(0,MIN($F188,EOMONTH(DATE(cfg_FY,12,1),0))-MAX($E188,DATE(cfg_FY,12,1))+1)*(1-IF($M188="نعم",0,N($J188))))</f>
        <v>0</v>
      </c>
      <c r="AH188" s="57" t="n">
        <f aca="false">IF(OR(OR($B188="",$E188="",$F188=""),$L188&lt;&gt;"لا"),0,MAX(0,MIN($F188,EOMONTH(DATE(cfg_FY,1,1),0))-$E188+1))</f>
        <v>0</v>
      </c>
      <c r="AI188" s="57" t="n">
        <f aca="false">IF(OR(OR($B188="",$E188="",$F188=""),$L188&lt;&gt;"لا"),0,MAX(0,MIN($F188,EOMONTH(DATE(cfg_FY,2,1),0))-$E188+1))</f>
        <v>0</v>
      </c>
      <c r="AJ188" s="57" t="n">
        <f aca="false">IF(OR(OR($B188="",$E188="",$F188=""),$L188&lt;&gt;"لا"),0,MAX(0,MIN($F188,EOMONTH(DATE(cfg_FY,3,1),0))-$E188+1))</f>
        <v>0</v>
      </c>
      <c r="AK188" s="57" t="n">
        <f aca="false">IF(OR(OR($B188="",$E188="",$F188=""),$L188&lt;&gt;"لا"),0,MAX(0,MIN($F188,EOMONTH(DATE(cfg_FY,4,1),0))-$E188+1))</f>
        <v>0</v>
      </c>
      <c r="AL188" s="57" t="n">
        <f aca="false">IF(OR(OR($B188="",$E188="",$F188=""),$L188&lt;&gt;"لا"),0,MAX(0,MIN($F188,EOMONTH(DATE(cfg_FY,5,1),0))-$E188+1))</f>
        <v>0</v>
      </c>
      <c r="AM188" s="57" t="n">
        <f aca="false">IF(OR(OR($B188="",$E188="",$F188=""),$L188&lt;&gt;"لا"),0,MAX(0,MIN($F188,EOMONTH(DATE(cfg_FY,6,1),0))-$E188+1))</f>
        <v>0</v>
      </c>
      <c r="AN188" s="57" t="n">
        <f aca="false">IF(OR(OR($B188="",$E188="",$F188=""),$L188&lt;&gt;"لا"),0,MAX(0,MIN($F188,EOMONTH(DATE(cfg_FY,7,1),0))-$E188+1))</f>
        <v>0</v>
      </c>
      <c r="AO188" s="57" t="n">
        <f aca="false">IF(OR(OR($B188="",$E188="",$F188=""),$L188&lt;&gt;"لا"),0,MAX(0,MIN($F188,EOMONTH(DATE(cfg_FY,8,1),0))-$E188+1))</f>
        <v>0</v>
      </c>
      <c r="AP188" s="57" t="n">
        <f aca="false">IF(OR(OR($B188="",$E188="",$F188=""),$L188&lt;&gt;"لا"),0,MAX(0,MIN($F188,EOMONTH(DATE(cfg_FY,9,1),0))-$E188+1))</f>
        <v>0</v>
      </c>
      <c r="AQ188" s="57" t="n">
        <f aca="false">IF(OR(OR($B188="",$E188="",$F188=""),$L188&lt;&gt;"لا"),0,MAX(0,MIN($F188,EOMONTH(DATE(cfg_FY,10,1),0))-$E188+1))</f>
        <v>0</v>
      </c>
      <c r="AR188" s="57" t="n">
        <f aca="false">IF(OR(OR($B188="",$E188="",$F188=""),$L188&lt;&gt;"لا"),0,MAX(0,MIN($F188,EOMONTH(DATE(cfg_FY,11,1),0))-$E188+1))</f>
        <v>0</v>
      </c>
      <c r="AS188" s="57" t="n">
        <f aca="false">IF(OR(OR($B188="",$E188="",$F188=""),$L188&lt;&gt;"لا"),0,MAX(0,MIN($F188,EOMONTH(DATE(cfg_FY,12,1),0))-$E188+1))</f>
        <v>0</v>
      </c>
      <c r="AT188" s="57" t="n">
        <f aca="false">IF(OR(OR($B188="",$E188="",$F188=""),$K188&lt;&gt;"نعم",$M188="نعم"),0,MAX(0,MIN($F188,EOMONTH(DATE(cfg_FY,1,1),0))-MAX($E188,DATE(cfg_FY,1,1))+1))</f>
        <v>0</v>
      </c>
      <c r="AU188" s="57" t="n">
        <f aca="false">IF(OR(OR($B188="",$E188="",$F188=""),$K188&lt;&gt;"نعم",$M188="نعم"),0,MAX(0,MIN($F188,EOMONTH(DATE(cfg_FY,2,1),0))-MAX($E188,DATE(cfg_FY,2,1))+1))</f>
        <v>0</v>
      </c>
      <c r="AV188" s="57" t="n">
        <f aca="false">IF(OR(OR($B188="",$E188="",$F188=""),$K188&lt;&gt;"نعم",$M188="نعم"),0,MAX(0,MIN($F188,EOMONTH(DATE(cfg_FY,3,1),0))-MAX($E188,DATE(cfg_FY,3,1))+1))</f>
        <v>0</v>
      </c>
      <c r="AW188" s="57" t="n">
        <f aca="false">IF(OR(OR($B188="",$E188="",$F188=""),$K188&lt;&gt;"نعم",$M188="نعم"),0,MAX(0,MIN($F188,EOMONTH(DATE(cfg_FY,4,1),0))-MAX($E188,DATE(cfg_FY,4,1))+1))</f>
        <v>0</v>
      </c>
      <c r="AX188" s="57" t="n">
        <f aca="false">IF(OR(OR($B188="",$E188="",$F188=""),$K188&lt;&gt;"نعم",$M188="نعم"),0,MAX(0,MIN($F188,EOMONTH(DATE(cfg_FY,5,1),0))-MAX($E188,DATE(cfg_FY,5,1))+1))</f>
        <v>0</v>
      </c>
      <c r="AY188" s="57" t="n">
        <f aca="false">IF(OR(OR($B188="",$E188="",$F188=""),$K188&lt;&gt;"نعم",$M188="نعم"),0,MAX(0,MIN($F188,EOMONTH(DATE(cfg_FY,6,1),0))-MAX($E188,DATE(cfg_FY,6,1))+1))</f>
        <v>0</v>
      </c>
      <c r="AZ188" s="57" t="n">
        <f aca="false">IF(OR(OR($B188="",$E188="",$F188=""),$K188&lt;&gt;"نعم",$M188="نعم"),0,MAX(0,MIN($F188,EOMONTH(DATE(cfg_FY,7,1),0))-MAX($E188,DATE(cfg_FY,7,1))+1))</f>
        <v>0</v>
      </c>
      <c r="BA188" s="57" t="n">
        <f aca="false">IF(OR(OR($B188="",$E188="",$F188=""),$K188&lt;&gt;"نعم",$M188="نعم"),0,MAX(0,MIN($F188,EOMONTH(DATE(cfg_FY,8,1),0))-MAX($E188,DATE(cfg_FY,8,1))+1))</f>
        <v>0</v>
      </c>
      <c r="BB188" s="57" t="n">
        <f aca="false">IF(OR(OR($B188="",$E188="",$F188=""),$K188&lt;&gt;"نعم",$M188="نعم"),0,MAX(0,MIN($F188,EOMONTH(DATE(cfg_FY,9,1),0))-MAX($E188,DATE(cfg_FY,9,1))+1))</f>
        <v>0</v>
      </c>
      <c r="BC188" s="57" t="n">
        <f aca="false">IF(OR(OR($B188="",$E188="",$F188=""),$K188&lt;&gt;"نعم",$M188="نعم"),0,MAX(0,MIN($F188,EOMONTH(DATE(cfg_FY,10,1),0))-MAX($E188,DATE(cfg_FY,10,1))+1))</f>
        <v>0</v>
      </c>
      <c r="BD188" s="57" t="n">
        <f aca="false">IF(OR(OR($B188="",$E188="",$F188=""),$K188&lt;&gt;"نعم",$M188="نعم"),0,MAX(0,MIN($F188,EOMONTH(DATE(cfg_FY,11,1),0))-MAX($E188,DATE(cfg_FY,11,1))+1))</f>
        <v>0</v>
      </c>
      <c r="BE188" s="57" t="n">
        <f aca="false">IF(OR(OR($B188="",$E188="",$F188=""),$K188&lt;&gt;"نعم",$M188="نعم"),0,MAX(0,MIN($F188,EOMONTH(DATE(cfg_FY,12,1),0))-MAX($E188,DATE(cfg_FY,12,1))+1))</f>
        <v>0</v>
      </c>
    </row>
    <row r="189" customFormat="false" ht="15" hidden="false" customHeight="false" outlineLevel="0" collapsed="false">
      <c r="A189" s="100" t="str">
        <f aca="false">IF(B189="","",ROW()-5)</f>
        <v/>
      </c>
      <c r="B189" s="79"/>
      <c r="C189" s="102" t="str">
        <f aca="false">IF(B189="","",IFERROR(INDEX(الموظفون!$C$6:$C$105,MATCH(B189,الموظفون!$B$6:$B$105,0)),"✖ رقم غير موجود"))</f>
        <v/>
      </c>
      <c r="D189" s="79"/>
      <c r="E189" s="94"/>
      <c r="F189" s="94"/>
      <c r="G189" s="110" t="str">
        <f aca="false">IF(OR($B189="",$E189="",$F189=""),"",MAX(0,F189-E189+1))</f>
        <v/>
      </c>
      <c r="H189" s="111" t="str">
        <f aca="false">IF(D189="","",IFERROR(VLOOKUP(D189,cfg_LT,2,FALSE()),1))</f>
        <v/>
      </c>
      <c r="I189" s="82"/>
      <c r="J189" s="111" t="str">
        <f aca="false">IF(D189="","",IF(I189&lt;&gt;"",I189,H189))</f>
        <v/>
      </c>
      <c r="K189" s="102" t="str">
        <f aca="false">IF(D189="","",IFERROR(VLOOKUP($D189,cfg_LT,3,FALSE()),""))</f>
        <v/>
      </c>
      <c r="L189" s="102" t="str">
        <f aca="false">IF(D189="","",IFERROR(VLOOKUP($D189,cfg_LT,4,FALSE()),""))</f>
        <v/>
      </c>
      <c r="M189" s="102" t="str">
        <f aca="false">IF(D189="","",IFERROR(VLOOKUP($D189,cfg_LT,5,FALSE()),""))</f>
        <v/>
      </c>
      <c r="N189" s="101" t="n">
        <f aca="false">IF(OR(OR($B189="",$E189="",$F189=""),M189&lt;&gt;"نعم"),0,G189*J189*IFERROR(INDEX(الموظفون!$R$6:$R$105,MATCH(B189,الموظفون!$B$6:$B$105,0)),0)/cfg_DAYS_M)</f>
        <v>0</v>
      </c>
      <c r="O189" s="100" t="str">
        <f aca="false">IF(OR(OR($B189="",$E189="",$F189=""),M189&lt;&gt;"نعم"),"",IF(YEAR(E189)=cfg_FY,MONTH(E189),""))</f>
        <v/>
      </c>
      <c r="P189" s="102" t="str">
        <f aca="false">IF(B189="","",IF(OR(D189="",E189="",F189=""),"⚠ أكمل النوع والتواريخ",IF(F189&lt;E189,"✖ النهاية قبل البداية",IF(COUNTIFS($B$6:$B$505,B189,$E$6:$E$505,"&lt;="&amp;F189,$F$6:$F$505,"&gt;="&amp;E189)&gt;1,"⚠ تداخل مع سجل آخر",IF(E189&gt;cfg_VAL_DATE,"⏳ قادمة",IF(F189&lt;cfg_VAL_DATE,"✔ منتهية","✈ جارية في تاريخ التقرير"))))))</f>
        <v/>
      </c>
      <c r="Q189" s="79"/>
      <c r="R189" s="110" t="n">
        <f aca="false">IF(OR(OR($B189="",$E189="",$F189=""),L189&lt;&gt;"لا"),0,MAX(0,MIN(F189,cfg_Y_START-1)-E189+1))</f>
        <v>0</v>
      </c>
      <c r="S189" s="110" t="n">
        <f aca="false">IF(OR(OR($B189="",$E189="",$F189=""),L189&lt;&gt;"لا"),0,MAX(0,MIN(F189,cfg_VAL_DATE)-E189+1))</f>
        <v>0</v>
      </c>
      <c r="T189" s="110" t="n">
        <f aca="false">IF(OR(OR($B189="",$E189="",$F189=""),K189&lt;&gt;"نعم"),0,IF(M189="نعم",IF(AND(ISNUMBER(O189),N(O189)&lt;=cfg_VAL_M),G189,0),MAX(0,MIN(F189,cfg_VAL_DATE)-MAX(E189,cfg_Y_START)+1)))</f>
        <v>0</v>
      </c>
      <c r="V189" s="110" t="n">
        <f aca="false">IF(OR($B189="",$E189="",$F189=""),0,MAX(0,MIN($F189,EOMONTH(DATE(cfg_FY,1,1),0))-MAX($E189,DATE(cfg_FY,1,1))+1)*(1-IF($M189="نعم",0,N($J189))))</f>
        <v>0</v>
      </c>
      <c r="W189" s="110" t="n">
        <f aca="false">IF(OR($B189="",$E189="",$F189=""),0,MAX(0,MIN($F189,EOMONTH(DATE(cfg_FY,2,1),0))-MAX($E189,DATE(cfg_FY,2,1))+1)*(1-IF($M189="نعم",0,N($J189))))</f>
        <v>0</v>
      </c>
      <c r="X189" s="110" t="n">
        <f aca="false">IF(OR($B189="",$E189="",$F189=""),0,MAX(0,MIN($F189,EOMONTH(DATE(cfg_FY,3,1),0))-MAX($E189,DATE(cfg_FY,3,1))+1)*(1-IF($M189="نعم",0,N($J189))))</f>
        <v>0</v>
      </c>
      <c r="Y189" s="110" t="n">
        <f aca="false">IF(OR($B189="",$E189="",$F189=""),0,MAX(0,MIN($F189,EOMONTH(DATE(cfg_FY,4,1),0))-MAX($E189,DATE(cfg_FY,4,1))+1)*(1-IF($M189="نعم",0,N($J189))))</f>
        <v>0</v>
      </c>
      <c r="Z189" s="110" t="n">
        <f aca="false">IF(OR($B189="",$E189="",$F189=""),0,MAX(0,MIN($F189,EOMONTH(DATE(cfg_FY,5,1),0))-MAX($E189,DATE(cfg_FY,5,1))+1)*(1-IF($M189="نعم",0,N($J189))))</f>
        <v>0</v>
      </c>
      <c r="AA189" s="110" t="n">
        <f aca="false">IF(OR($B189="",$E189="",$F189=""),0,MAX(0,MIN($F189,EOMONTH(DATE(cfg_FY,6,1),0))-MAX($E189,DATE(cfg_FY,6,1))+1)*(1-IF($M189="نعم",0,N($J189))))</f>
        <v>0</v>
      </c>
      <c r="AB189" s="110" t="n">
        <f aca="false">IF(OR($B189="",$E189="",$F189=""),0,MAX(0,MIN($F189,EOMONTH(DATE(cfg_FY,7,1),0))-MAX($E189,DATE(cfg_FY,7,1))+1)*(1-IF($M189="نعم",0,N($J189))))</f>
        <v>0</v>
      </c>
      <c r="AC189" s="110" t="n">
        <f aca="false">IF(OR($B189="",$E189="",$F189=""),0,MAX(0,MIN($F189,EOMONTH(DATE(cfg_FY,8,1),0))-MAX($E189,DATE(cfg_FY,8,1))+1)*(1-IF($M189="نعم",0,N($J189))))</f>
        <v>0</v>
      </c>
      <c r="AD189" s="110" t="n">
        <f aca="false">IF(OR($B189="",$E189="",$F189=""),0,MAX(0,MIN($F189,EOMONTH(DATE(cfg_FY,9,1),0))-MAX($E189,DATE(cfg_FY,9,1))+1)*(1-IF($M189="نعم",0,N($J189))))</f>
        <v>0</v>
      </c>
      <c r="AE189" s="110" t="n">
        <f aca="false">IF(OR($B189="",$E189="",$F189=""),0,MAX(0,MIN($F189,EOMONTH(DATE(cfg_FY,10,1),0))-MAX($E189,DATE(cfg_FY,10,1))+1)*(1-IF($M189="نعم",0,N($J189))))</f>
        <v>0</v>
      </c>
      <c r="AF189" s="110" t="n">
        <f aca="false">IF(OR($B189="",$E189="",$F189=""),0,MAX(0,MIN($F189,EOMONTH(DATE(cfg_FY,11,1),0))-MAX($E189,DATE(cfg_FY,11,1))+1)*(1-IF($M189="نعم",0,N($J189))))</f>
        <v>0</v>
      </c>
      <c r="AG189" s="110" t="n">
        <f aca="false">IF(OR($B189="",$E189="",$F189=""),0,MAX(0,MIN($F189,EOMONTH(DATE(cfg_FY,12,1),0))-MAX($E189,DATE(cfg_FY,12,1))+1)*(1-IF($M189="نعم",0,N($J189))))</f>
        <v>0</v>
      </c>
      <c r="AH189" s="110" t="n">
        <f aca="false">IF(OR(OR($B189="",$E189="",$F189=""),$L189&lt;&gt;"لا"),0,MAX(0,MIN($F189,EOMONTH(DATE(cfg_FY,1,1),0))-$E189+1))</f>
        <v>0</v>
      </c>
      <c r="AI189" s="110" t="n">
        <f aca="false">IF(OR(OR($B189="",$E189="",$F189=""),$L189&lt;&gt;"لا"),0,MAX(0,MIN($F189,EOMONTH(DATE(cfg_FY,2,1),0))-$E189+1))</f>
        <v>0</v>
      </c>
      <c r="AJ189" s="110" t="n">
        <f aca="false">IF(OR(OR($B189="",$E189="",$F189=""),$L189&lt;&gt;"لا"),0,MAX(0,MIN($F189,EOMONTH(DATE(cfg_FY,3,1),0))-$E189+1))</f>
        <v>0</v>
      </c>
      <c r="AK189" s="110" t="n">
        <f aca="false">IF(OR(OR($B189="",$E189="",$F189=""),$L189&lt;&gt;"لا"),0,MAX(0,MIN($F189,EOMONTH(DATE(cfg_FY,4,1),0))-$E189+1))</f>
        <v>0</v>
      </c>
      <c r="AL189" s="110" t="n">
        <f aca="false">IF(OR(OR($B189="",$E189="",$F189=""),$L189&lt;&gt;"لا"),0,MAX(0,MIN($F189,EOMONTH(DATE(cfg_FY,5,1),0))-$E189+1))</f>
        <v>0</v>
      </c>
      <c r="AM189" s="110" t="n">
        <f aca="false">IF(OR(OR($B189="",$E189="",$F189=""),$L189&lt;&gt;"لا"),0,MAX(0,MIN($F189,EOMONTH(DATE(cfg_FY,6,1),0))-$E189+1))</f>
        <v>0</v>
      </c>
      <c r="AN189" s="110" t="n">
        <f aca="false">IF(OR(OR($B189="",$E189="",$F189=""),$L189&lt;&gt;"لا"),0,MAX(0,MIN($F189,EOMONTH(DATE(cfg_FY,7,1),0))-$E189+1))</f>
        <v>0</v>
      </c>
      <c r="AO189" s="110" t="n">
        <f aca="false">IF(OR(OR($B189="",$E189="",$F189=""),$L189&lt;&gt;"لا"),0,MAX(0,MIN($F189,EOMONTH(DATE(cfg_FY,8,1),0))-$E189+1))</f>
        <v>0</v>
      </c>
      <c r="AP189" s="110" t="n">
        <f aca="false">IF(OR(OR($B189="",$E189="",$F189=""),$L189&lt;&gt;"لا"),0,MAX(0,MIN($F189,EOMONTH(DATE(cfg_FY,9,1),0))-$E189+1))</f>
        <v>0</v>
      </c>
      <c r="AQ189" s="110" t="n">
        <f aca="false">IF(OR(OR($B189="",$E189="",$F189=""),$L189&lt;&gt;"لا"),0,MAX(0,MIN($F189,EOMONTH(DATE(cfg_FY,10,1),0))-$E189+1))</f>
        <v>0</v>
      </c>
      <c r="AR189" s="110" t="n">
        <f aca="false">IF(OR(OR($B189="",$E189="",$F189=""),$L189&lt;&gt;"لا"),0,MAX(0,MIN($F189,EOMONTH(DATE(cfg_FY,11,1),0))-$E189+1))</f>
        <v>0</v>
      </c>
      <c r="AS189" s="110" t="n">
        <f aca="false">IF(OR(OR($B189="",$E189="",$F189=""),$L189&lt;&gt;"لا"),0,MAX(0,MIN($F189,EOMONTH(DATE(cfg_FY,12,1),0))-$E189+1))</f>
        <v>0</v>
      </c>
      <c r="AT189" s="110" t="n">
        <f aca="false">IF(OR(OR($B189="",$E189="",$F189=""),$K189&lt;&gt;"نعم",$M189="نعم"),0,MAX(0,MIN($F189,EOMONTH(DATE(cfg_FY,1,1),0))-MAX($E189,DATE(cfg_FY,1,1))+1))</f>
        <v>0</v>
      </c>
      <c r="AU189" s="110" t="n">
        <f aca="false">IF(OR(OR($B189="",$E189="",$F189=""),$K189&lt;&gt;"نعم",$M189="نعم"),0,MAX(0,MIN($F189,EOMONTH(DATE(cfg_FY,2,1),0))-MAX($E189,DATE(cfg_FY,2,1))+1))</f>
        <v>0</v>
      </c>
      <c r="AV189" s="110" t="n">
        <f aca="false">IF(OR(OR($B189="",$E189="",$F189=""),$K189&lt;&gt;"نعم",$M189="نعم"),0,MAX(0,MIN($F189,EOMONTH(DATE(cfg_FY,3,1),0))-MAX($E189,DATE(cfg_FY,3,1))+1))</f>
        <v>0</v>
      </c>
      <c r="AW189" s="110" t="n">
        <f aca="false">IF(OR(OR($B189="",$E189="",$F189=""),$K189&lt;&gt;"نعم",$M189="نعم"),0,MAX(0,MIN($F189,EOMONTH(DATE(cfg_FY,4,1),0))-MAX($E189,DATE(cfg_FY,4,1))+1))</f>
        <v>0</v>
      </c>
      <c r="AX189" s="110" t="n">
        <f aca="false">IF(OR(OR($B189="",$E189="",$F189=""),$K189&lt;&gt;"نعم",$M189="نعم"),0,MAX(0,MIN($F189,EOMONTH(DATE(cfg_FY,5,1),0))-MAX($E189,DATE(cfg_FY,5,1))+1))</f>
        <v>0</v>
      </c>
      <c r="AY189" s="110" t="n">
        <f aca="false">IF(OR(OR($B189="",$E189="",$F189=""),$K189&lt;&gt;"نعم",$M189="نعم"),0,MAX(0,MIN($F189,EOMONTH(DATE(cfg_FY,6,1),0))-MAX($E189,DATE(cfg_FY,6,1))+1))</f>
        <v>0</v>
      </c>
      <c r="AZ189" s="110" t="n">
        <f aca="false">IF(OR(OR($B189="",$E189="",$F189=""),$K189&lt;&gt;"نعم",$M189="نعم"),0,MAX(0,MIN($F189,EOMONTH(DATE(cfg_FY,7,1),0))-MAX($E189,DATE(cfg_FY,7,1))+1))</f>
        <v>0</v>
      </c>
      <c r="BA189" s="110" t="n">
        <f aca="false">IF(OR(OR($B189="",$E189="",$F189=""),$K189&lt;&gt;"نعم",$M189="نعم"),0,MAX(0,MIN($F189,EOMONTH(DATE(cfg_FY,8,1),0))-MAX($E189,DATE(cfg_FY,8,1))+1))</f>
        <v>0</v>
      </c>
      <c r="BB189" s="110" t="n">
        <f aca="false">IF(OR(OR($B189="",$E189="",$F189=""),$K189&lt;&gt;"نعم",$M189="نعم"),0,MAX(0,MIN($F189,EOMONTH(DATE(cfg_FY,9,1),0))-MAX($E189,DATE(cfg_FY,9,1))+1))</f>
        <v>0</v>
      </c>
      <c r="BC189" s="110" t="n">
        <f aca="false">IF(OR(OR($B189="",$E189="",$F189=""),$K189&lt;&gt;"نعم",$M189="نعم"),0,MAX(0,MIN($F189,EOMONTH(DATE(cfg_FY,10,1),0))-MAX($E189,DATE(cfg_FY,10,1))+1))</f>
        <v>0</v>
      </c>
      <c r="BD189" s="110" t="n">
        <f aca="false">IF(OR(OR($B189="",$E189="",$F189=""),$K189&lt;&gt;"نعم",$M189="نعم"),0,MAX(0,MIN($F189,EOMONTH(DATE(cfg_FY,11,1),0))-MAX($E189,DATE(cfg_FY,11,1))+1))</f>
        <v>0</v>
      </c>
      <c r="BE189" s="110" t="n">
        <f aca="false">IF(OR(OR($B189="",$E189="",$F189=""),$K189&lt;&gt;"نعم",$M189="نعم"),0,MAX(0,MIN($F189,EOMONTH(DATE(cfg_FY,12,1),0))-MAX($E189,DATE(cfg_FY,12,1))+1))</f>
        <v>0</v>
      </c>
    </row>
    <row r="190" customFormat="false" ht="15" hidden="false" customHeight="false" outlineLevel="0" collapsed="false">
      <c r="A190" s="93" t="str">
        <f aca="false">IF(B190="","",ROW()-5)</f>
        <v/>
      </c>
      <c r="B190" s="79"/>
      <c r="C190" s="80" t="str">
        <f aca="false">IF(B190="","",IFERROR(INDEX(الموظفون!$C$6:$C$105,MATCH(B190,الموظفون!$B$6:$B$105,0)),"✖ رقم غير موجود"))</f>
        <v/>
      </c>
      <c r="D190" s="79"/>
      <c r="E190" s="94"/>
      <c r="F190" s="94"/>
      <c r="G190" s="57" t="str">
        <f aca="false">IF(OR($B190="",$E190="",$F190=""),"",MAX(0,F190-E190+1))</f>
        <v/>
      </c>
      <c r="H190" s="58" t="str">
        <f aca="false">IF(D190="","",IFERROR(VLOOKUP(D190,cfg_LT,2,FALSE()),1))</f>
        <v/>
      </c>
      <c r="I190" s="82"/>
      <c r="J190" s="58" t="str">
        <f aca="false">IF(D190="","",IF(I190&lt;&gt;"",I190,H190))</f>
        <v/>
      </c>
      <c r="K190" s="80" t="str">
        <f aca="false">IF(D190="","",IFERROR(VLOOKUP($D190,cfg_LT,3,FALSE()),""))</f>
        <v/>
      </c>
      <c r="L190" s="80" t="str">
        <f aca="false">IF(D190="","",IFERROR(VLOOKUP($D190,cfg_LT,4,FALSE()),""))</f>
        <v/>
      </c>
      <c r="M190" s="80" t="str">
        <f aca="false">IF(D190="","",IFERROR(VLOOKUP($D190,cfg_LT,5,FALSE()),""))</f>
        <v/>
      </c>
      <c r="N190" s="97" t="n">
        <f aca="false">IF(OR(OR($B190="",$E190="",$F190=""),M190&lt;&gt;"نعم"),0,G190*J190*IFERROR(INDEX(الموظفون!$R$6:$R$105,MATCH(B190,الموظفون!$B$6:$B$105,0)),0)/cfg_DAYS_M)</f>
        <v>0</v>
      </c>
      <c r="O190" s="93" t="str">
        <f aca="false">IF(OR(OR($B190="",$E190="",$F190=""),M190&lt;&gt;"نعم"),"",IF(YEAR(E190)=cfg_FY,MONTH(E190),""))</f>
        <v/>
      </c>
      <c r="P190" s="80" t="str">
        <f aca="false">IF(B190="","",IF(OR(D190="",E190="",F190=""),"⚠ أكمل النوع والتواريخ",IF(F190&lt;E190,"✖ النهاية قبل البداية",IF(COUNTIFS($B$6:$B$505,B190,$E$6:$E$505,"&lt;="&amp;F190,$F$6:$F$505,"&gt;="&amp;E190)&gt;1,"⚠ تداخل مع سجل آخر",IF(E190&gt;cfg_VAL_DATE,"⏳ قادمة",IF(F190&lt;cfg_VAL_DATE,"✔ منتهية","✈ جارية في تاريخ التقرير"))))))</f>
        <v/>
      </c>
      <c r="Q190" s="79"/>
      <c r="R190" s="57" t="n">
        <f aca="false">IF(OR(OR($B190="",$E190="",$F190=""),L190&lt;&gt;"لا"),0,MAX(0,MIN(F190,cfg_Y_START-1)-E190+1))</f>
        <v>0</v>
      </c>
      <c r="S190" s="57" t="n">
        <f aca="false">IF(OR(OR($B190="",$E190="",$F190=""),L190&lt;&gt;"لا"),0,MAX(0,MIN(F190,cfg_VAL_DATE)-E190+1))</f>
        <v>0</v>
      </c>
      <c r="T190" s="57" t="n">
        <f aca="false">IF(OR(OR($B190="",$E190="",$F190=""),K190&lt;&gt;"نعم"),0,IF(M190="نعم",IF(AND(ISNUMBER(O190),N(O190)&lt;=cfg_VAL_M),G190,0),MAX(0,MIN(F190,cfg_VAL_DATE)-MAX(E190,cfg_Y_START)+1)))</f>
        <v>0</v>
      </c>
      <c r="V190" s="57" t="n">
        <f aca="false">IF(OR($B190="",$E190="",$F190=""),0,MAX(0,MIN($F190,EOMONTH(DATE(cfg_FY,1,1),0))-MAX($E190,DATE(cfg_FY,1,1))+1)*(1-IF($M190="نعم",0,N($J190))))</f>
        <v>0</v>
      </c>
      <c r="W190" s="57" t="n">
        <f aca="false">IF(OR($B190="",$E190="",$F190=""),0,MAX(0,MIN($F190,EOMONTH(DATE(cfg_FY,2,1),0))-MAX($E190,DATE(cfg_FY,2,1))+1)*(1-IF($M190="نعم",0,N($J190))))</f>
        <v>0</v>
      </c>
      <c r="X190" s="57" t="n">
        <f aca="false">IF(OR($B190="",$E190="",$F190=""),0,MAX(0,MIN($F190,EOMONTH(DATE(cfg_FY,3,1),0))-MAX($E190,DATE(cfg_FY,3,1))+1)*(1-IF($M190="نعم",0,N($J190))))</f>
        <v>0</v>
      </c>
      <c r="Y190" s="57" t="n">
        <f aca="false">IF(OR($B190="",$E190="",$F190=""),0,MAX(0,MIN($F190,EOMONTH(DATE(cfg_FY,4,1),0))-MAX($E190,DATE(cfg_FY,4,1))+1)*(1-IF($M190="نعم",0,N($J190))))</f>
        <v>0</v>
      </c>
      <c r="Z190" s="57" t="n">
        <f aca="false">IF(OR($B190="",$E190="",$F190=""),0,MAX(0,MIN($F190,EOMONTH(DATE(cfg_FY,5,1),0))-MAX($E190,DATE(cfg_FY,5,1))+1)*(1-IF($M190="نعم",0,N($J190))))</f>
        <v>0</v>
      </c>
      <c r="AA190" s="57" t="n">
        <f aca="false">IF(OR($B190="",$E190="",$F190=""),0,MAX(0,MIN($F190,EOMONTH(DATE(cfg_FY,6,1),0))-MAX($E190,DATE(cfg_FY,6,1))+1)*(1-IF($M190="نعم",0,N($J190))))</f>
        <v>0</v>
      </c>
      <c r="AB190" s="57" t="n">
        <f aca="false">IF(OR($B190="",$E190="",$F190=""),0,MAX(0,MIN($F190,EOMONTH(DATE(cfg_FY,7,1),0))-MAX($E190,DATE(cfg_FY,7,1))+1)*(1-IF($M190="نعم",0,N($J190))))</f>
        <v>0</v>
      </c>
      <c r="AC190" s="57" t="n">
        <f aca="false">IF(OR($B190="",$E190="",$F190=""),0,MAX(0,MIN($F190,EOMONTH(DATE(cfg_FY,8,1),0))-MAX($E190,DATE(cfg_FY,8,1))+1)*(1-IF($M190="نعم",0,N($J190))))</f>
        <v>0</v>
      </c>
      <c r="AD190" s="57" t="n">
        <f aca="false">IF(OR($B190="",$E190="",$F190=""),0,MAX(0,MIN($F190,EOMONTH(DATE(cfg_FY,9,1),0))-MAX($E190,DATE(cfg_FY,9,1))+1)*(1-IF($M190="نعم",0,N($J190))))</f>
        <v>0</v>
      </c>
      <c r="AE190" s="57" t="n">
        <f aca="false">IF(OR($B190="",$E190="",$F190=""),0,MAX(0,MIN($F190,EOMONTH(DATE(cfg_FY,10,1),0))-MAX($E190,DATE(cfg_FY,10,1))+1)*(1-IF($M190="نعم",0,N($J190))))</f>
        <v>0</v>
      </c>
      <c r="AF190" s="57" t="n">
        <f aca="false">IF(OR($B190="",$E190="",$F190=""),0,MAX(0,MIN($F190,EOMONTH(DATE(cfg_FY,11,1),0))-MAX($E190,DATE(cfg_FY,11,1))+1)*(1-IF($M190="نعم",0,N($J190))))</f>
        <v>0</v>
      </c>
      <c r="AG190" s="57" t="n">
        <f aca="false">IF(OR($B190="",$E190="",$F190=""),0,MAX(0,MIN($F190,EOMONTH(DATE(cfg_FY,12,1),0))-MAX($E190,DATE(cfg_FY,12,1))+1)*(1-IF($M190="نعم",0,N($J190))))</f>
        <v>0</v>
      </c>
      <c r="AH190" s="57" t="n">
        <f aca="false">IF(OR(OR($B190="",$E190="",$F190=""),$L190&lt;&gt;"لا"),0,MAX(0,MIN($F190,EOMONTH(DATE(cfg_FY,1,1),0))-$E190+1))</f>
        <v>0</v>
      </c>
      <c r="AI190" s="57" t="n">
        <f aca="false">IF(OR(OR($B190="",$E190="",$F190=""),$L190&lt;&gt;"لا"),0,MAX(0,MIN($F190,EOMONTH(DATE(cfg_FY,2,1),0))-$E190+1))</f>
        <v>0</v>
      </c>
      <c r="AJ190" s="57" t="n">
        <f aca="false">IF(OR(OR($B190="",$E190="",$F190=""),$L190&lt;&gt;"لا"),0,MAX(0,MIN($F190,EOMONTH(DATE(cfg_FY,3,1),0))-$E190+1))</f>
        <v>0</v>
      </c>
      <c r="AK190" s="57" t="n">
        <f aca="false">IF(OR(OR($B190="",$E190="",$F190=""),$L190&lt;&gt;"لا"),0,MAX(0,MIN($F190,EOMONTH(DATE(cfg_FY,4,1),0))-$E190+1))</f>
        <v>0</v>
      </c>
      <c r="AL190" s="57" t="n">
        <f aca="false">IF(OR(OR($B190="",$E190="",$F190=""),$L190&lt;&gt;"لا"),0,MAX(0,MIN($F190,EOMONTH(DATE(cfg_FY,5,1),0))-$E190+1))</f>
        <v>0</v>
      </c>
      <c r="AM190" s="57" t="n">
        <f aca="false">IF(OR(OR($B190="",$E190="",$F190=""),$L190&lt;&gt;"لا"),0,MAX(0,MIN($F190,EOMONTH(DATE(cfg_FY,6,1),0))-$E190+1))</f>
        <v>0</v>
      </c>
      <c r="AN190" s="57" t="n">
        <f aca="false">IF(OR(OR($B190="",$E190="",$F190=""),$L190&lt;&gt;"لا"),0,MAX(0,MIN($F190,EOMONTH(DATE(cfg_FY,7,1),0))-$E190+1))</f>
        <v>0</v>
      </c>
      <c r="AO190" s="57" t="n">
        <f aca="false">IF(OR(OR($B190="",$E190="",$F190=""),$L190&lt;&gt;"لا"),0,MAX(0,MIN($F190,EOMONTH(DATE(cfg_FY,8,1),0))-$E190+1))</f>
        <v>0</v>
      </c>
      <c r="AP190" s="57" t="n">
        <f aca="false">IF(OR(OR($B190="",$E190="",$F190=""),$L190&lt;&gt;"لا"),0,MAX(0,MIN($F190,EOMONTH(DATE(cfg_FY,9,1),0))-$E190+1))</f>
        <v>0</v>
      </c>
      <c r="AQ190" s="57" t="n">
        <f aca="false">IF(OR(OR($B190="",$E190="",$F190=""),$L190&lt;&gt;"لا"),0,MAX(0,MIN($F190,EOMONTH(DATE(cfg_FY,10,1),0))-$E190+1))</f>
        <v>0</v>
      </c>
      <c r="AR190" s="57" t="n">
        <f aca="false">IF(OR(OR($B190="",$E190="",$F190=""),$L190&lt;&gt;"لا"),0,MAX(0,MIN($F190,EOMONTH(DATE(cfg_FY,11,1),0))-$E190+1))</f>
        <v>0</v>
      </c>
      <c r="AS190" s="57" t="n">
        <f aca="false">IF(OR(OR($B190="",$E190="",$F190=""),$L190&lt;&gt;"لا"),0,MAX(0,MIN($F190,EOMONTH(DATE(cfg_FY,12,1),0))-$E190+1))</f>
        <v>0</v>
      </c>
      <c r="AT190" s="57" t="n">
        <f aca="false">IF(OR(OR($B190="",$E190="",$F190=""),$K190&lt;&gt;"نعم",$M190="نعم"),0,MAX(0,MIN($F190,EOMONTH(DATE(cfg_FY,1,1),0))-MAX($E190,DATE(cfg_FY,1,1))+1))</f>
        <v>0</v>
      </c>
      <c r="AU190" s="57" t="n">
        <f aca="false">IF(OR(OR($B190="",$E190="",$F190=""),$K190&lt;&gt;"نعم",$M190="نعم"),0,MAX(0,MIN($F190,EOMONTH(DATE(cfg_FY,2,1),0))-MAX($E190,DATE(cfg_FY,2,1))+1))</f>
        <v>0</v>
      </c>
      <c r="AV190" s="57" t="n">
        <f aca="false">IF(OR(OR($B190="",$E190="",$F190=""),$K190&lt;&gt;"نعم",$M190="نعم"),0,MAX(0,MIN($F190,EOMONTH(DATE(cfg_FY,3,1),0))-MAX($E190,DATE(cfg_FY,3,1))+1))</f>
        <v>0</v>
      </c>
      <c r="AW190" s="57" t="n">
        <f aca="false">IF(OR(OR($B190="",$E190="",$F190=""),$K190&lt;&gt;"نعم",$M190="نعم"),0,MAX(0,MIN($F190,EOMONTH(DATE(cfg_FY,4,1),0))-MAX($E190,DATE(cfg_FY,4,1))+1))</f>
        <v>0</v>
      </c>
      <c r="AX190" s="57" t="n">
        <f aca="false">IF(OR(OR($B190="",$E190="",$F190=""),$K190&lt;&gt;"نعم",$M190="نعم"),0,MAX(0,MIN($F190,EOMONTH(DATE(cfg_FY,5,1),0))-MAX($E190,DATE(cfg_FY,5,1))+1))</f>
        <v>0</v>
      </c>
      <c r="AY190" s="57" t="n">
        <f aca="false">IF(OR(OR($B190="",$E190="",$F190=""),$K190&lt;&gt;"نعم",$M190="نعم"),0,MAX(0,MIN($F190,EOMONTH(DATE(cfg_FY,6,1),0))-MAX($E190,DATE(cfg_FY,6,1))+1))</f>
        <v>0</v>
      </c>
      <c r="AZ190" s="57" t="n">
        <f aca="false">IF(OR(OR($B190="",$E190="",$F190=""),$K190&lt;&gt;"نعم",$M190="نعم"),0,MAX(0,MIN($F190,EOMONTH(DATE(cfg_FY,7,1),0))-MAX($E190,DATE(cfg_FY,7,1))+1))</f>
        <v>0</v>
      </c>
      <c r="BA190" s="57" t="n">
        <f aca="false">IF(OR(OR($B190="",$E190="",$F190=""),$K190&lt;&gt;"نعم",$M190="نعم"),0,MAX(0,MIN($F190,EOMONTH(DATE(cfg_FY,8,1),0))-MAX($E190,DATE(cfg_FY,8,1))+1))</f>
        <v>0</v>
      </c>
      <c r="BB190" s="57" t="n">
        <f aca="false">IF(OR(OR($B190="",$E190="",$F190=""),$K190&lt;&gt;"نعم",$M190="نعم"),0,MAX(0,MIN($F190,EOMONTH(DATE(cfg_FY,9,1),0))-MAX($E190,DATE(cfg_FY,9,1))+1))</f>
        <v>0</v>
      </c>
      <c r="BC190" s="57" t="n">
        <f aca="false">IF(OR(OR($B190="",$E190="",$F190=""),$K190&lt;&gt;"نعم",$M190="نعم"),0,MAX(0,MIN($F190,EOMONTH(DATE(cfg_FY,10,1),0))-MAX($E190,DATE(cfg_FY,10,1))+1))</f>
        <v>0</v>
      </c>
      <c r="BD190" s="57" t="n">
        <f aca="false">IF(OR(OR($B190="",$E190="",$F190=""),$K190&lt;&gt;"نعم",$M190="نعم"),0,MAX(0,MIN($F190,EOMONTH(DATE(cfg_FY,11,1),0))-MAX($E190,DATE(cfg_FY,11,1))+1))</f>
        <v>0</v>
      </c>
      <c r="BE190" s="57" t="n">
        <f aca="false">IF(OR(OR($B190="",$E190="",$F190=""),$K190&lt;&gt;"نعم",$M190="نعم"),0,MAX(0,MIN($F190,EOMONTH(DATE(cfg_FY,12,1),0))-MAX($E190,DATE(cfg_FY,12,1))+1))</f>
        <v>0</v>
      </c>
    </row>
    <row r="191" customFormat="false" ht="15" hidden="false" customHeight="false" outlineLevel="0" collapsed="false">
      <c r="A191" s="100" t="str">
        <f aca="false">IF(B191="","",ROW()-5)</f>
        <v/>
      </c>
      <c r="B191" s="79"/>
      <c r="C191" s="102" t="str">
        <f aca="false">IF(B191="","",IFERROR(INDEX(الموظفون!$C$6:$C$105,MATCH(B191,الموظفون!$B$6:$B$105,0)),"✖ رقم غير موجود"))</f>
        <v/>
      </c>
      <c r="D191" s="79"/>
      <c r="E191" s="94"/>
      <c r="F191" s="94"/>
      <c r="G191" s="110" t="str">
        <f aca="false">IF(OR($B191="",$E191="",$F191=""),"",MAX(0,F191-E191+1))</f>
        <v/>
      </c>
      <c r="H191" s="111" t="str">
        <f aca="false">IF(D191="","",IFERROR(VLOOKUP(D191,cfg_LT,2,FALSE()),1))</f>
        <v/>
      </c>
      <c r="I191" s="82"/>
      <c r="J191" s="111" t="str">
        <f aca="false">IF(D191="","",IF(I191&lt;&gt;"",I191,H191))</f>
        <v/>
      </c>
      <c r="K191" s="102" t="str">
        <f aca="false">IF(D191="","",IFERROR(VLOOKUP($D191,cfg_LT,3,FALSE()),""))</f>
        <v/>
      </c>
      <c r="L191" s="102" t="str">
        <f aca="false">IF(D191="","",IFERROR(VLOOKUP($D191,cfg_LT,4,FALSE()),""))</f>
        <v/>
      </c>
      <c r="M191" s="102" t="str">
        <f aca="false">IF(D191="","",IFERROR(VLOOKUP($D191,cfg_LT,5,FALSE()),""))</f>
        <v/>
      </c>
      <c r="N191" s="101" t="n">
        <f aca="false">IF(OR(OR($B191="",$E191="",$F191=""),M191&lt;&gt;"نعم"),0,G191*J191*IFERROR(INDEX(الموظفون!$R$6:$R$105,MATCH(B191,الموظفون!$B$6:$B$105,0)),0)/cfg_DAYS_M)</f>
        <v>0</v>
      </c>
      <c r="O191" s="100" t="str">
        <f aca="false">IF(OR(OR($B191="",$E191="",$F191=""),M191&lt;&gt;"نعم"),"",IF(YEAR(E191)=cfg_FY,MONTH(E191),""))</f>
        <v/>
      </c>
      <c r="P191" s="102" t="str">
        <f aca="false">IF(B191="","",IF(OR(D191="",E191="",F191=""),"⚠ أكمل النوع والتواريخ",IF(F191&lt;E191,"✖ النهاية قبل البداية",IF(COUNTIFS($B$6:$B$505,B191,$E$6:$E$505,"&lt;="&amp;F191,$F$6:$F$505,"&gt;="&amp;E191)&gt;1,"⚠ تداخل مع سجل آخر",IF(E191&gt;cfg_VAL_DATE,"⏳ قادمة",IF(F191&lt;cfg_VAL_DATE,"✔ منتهية","✈ جارية في تاريخ التقرير"))))))</f>
        <v/>
      </c>
      <c r="Q191" s="79"/>
      <c r="R191" s="110" t="n">
        <f aca="false">IF(OR(OR($B191="",$E191="",$F191=""),L191&lt;&gt;"لا"),0,MAX(0,MIN(F191,cfg_Y_START-1)-E191+1))</f>
        <v>0</v>
      </c>
      <c r="S191" s="110" t="n">
        <f aca="false">IF(OR(OR($B191="",$E191="",$F191=""),L191&lt;&gt;"لا"),0,MAX(0,MIN(F191,cfg_VAL_DATE)-E191+1))</f>
        <v>0</v>
      </c>
      <c r="T191" s="110" t="n">
        <f aca="false">IF(OR(OR($B191="",$E191="",$F191=""),K191&lt;&gt;"نعم"),0,IF(M191="نعم",IF(AND(ISNUMBER(O191),N(O191)&lt;=cfg_VAL_M),G191,0),MAX(0,MIN(F191,cfg_VAL_DATE)-MAX(E191,cfg_Y_START)+1)))</f>
        <v>0</v>
      </c>
      <c r="V191" s="110" t="n">
        <f aca="false">IF(OR($B191="",$E191="",$F191=""),0,MAX(0,MIN($F191,EOMONTH(DATE(cfg_FY,1,1),0))-MAX($E191,DATE(cfg_FY,1,1))+1)*(1-IF($M191="نعم",0,N($J191))))</f>
        <v>0</v>
      </c>
      <c r="W191" s="110" t="n">
        <f aca="false">IF(OR($B191="",$E191="",$F191=""),0,MAX(0,MIN($F191,EOMONTH(DATE(cfg_FY,2,1),0))-MAX($E191,DATE(cfg_FY,2,1))+1)*(1-IF($M191="نعم",0,N($J191))))</f>
        <v>0</v>
      </c>
      <c r="X191" s="110" t="n">
        <f aca="false">IF(OR($B191="",$E191="",$F191=""),0,MAX(0,MIN($F191,EOMONTH(DATE(cfg_FY,3,1),0))-MAX($E191,DATE(cfg_FY,3,1))+1)*(1-IF($M191="نعم",0,N($J191))))</f>
        <v>0</v>
      </c>
      <c r="Y191" s="110" t="n">
        <f aca="false">IF(OR($B191="",$E191="",$F191=""),0,MAX(0,MIN($F191,EOMONTH(DATE(cfg_FY,4,1),0))-MAX($E191,DATE(cfg_FY,4,1))+1)*(1-IF($M191="نعم",0,N($J191))))</f>
        <v>0</v>
      </c>
      <c r="Z191" s="110" t="n">
        <f aca="false">IF(OR($B191="",$E191="",$F191=""),0,MAX(0,MIN($F191,EOMONTH(DATE(cfg_FY,5,1),0))-MAX($E191,DATE(cfg_FY,5,1))+1)*(1-IF($M191="نعم",0,N($J191))))</f>
        <v>0</v>
      </c>
      <c r="AA191" s="110" t="n">
        <f aca="false">IF(OR($B191="",$E191="",$F191=""),0,MAX(0,MIN($F191,EOMONTH(DATE(cfg_FY,6,1),0))-MAX($E191,DATE(cfg_FY,6,1))+1)*(1-IF($M191="نعم",0,N($J191))))</f>
        <v>0</v>
      </c>
      <c r="AB191" s="110" t="n">
        <f aca="false">IF(OR($B191="",$E191="",$F191=""),0,MAX(0,MIN($F191,EOMONTH(DATE(cfg_FY,7,1),0))-MAX($E191,DATE(cfg_FY,7,1))+1)*(1-IF($M191="نعم",0,N($J191))))</f>
        <v>0</v>
      </c>
      <c r="AC191" s="110" t="n">
        <f aca="false">IF(OR($B191="",$E191="",$F191=""),0,MAX(0,MIN($F191,EOMONTH(DATE(cfg_FY,8,1),0))-MAX($E191,DATE(cfg_FY,8,1))+1)*(1-IF($M191="نعم",0,N($J191))))</f>
        <v>0</v>
      </c>
      <c r="AD191" s="110" t="n">
        <f aca="false">IF(OR($B191="",$E191="",$F191=""),0,MAX(0,MIN($F191,EOMONTH(DATE(cfg_FY,9,1),0))-MAX($E191,DATE(cfg_FY,9,1))+1)*(1-IF($M191="نعم",0,N($J191))))</f>
        <v>0</v>
      </c>
      <c r="AE191" s="110" t="n">
        <f aca="false">IF(OR($B191="",$E191="",$F191=""),0,MAX(0,MIN($F191,EOMONTH(DATE(cfg_FY,10,1),0))-MAX($E191,DATE(cfg_FY,10,1))+1)*(1-IF($M191="نعم",0,N($J191))))</f>
        <v>0</v>
      </c>
      <c r="AF191" s="110" t="n">
        <f aca="false">IF(OR($B191="",$E191="",$F191=""),0,MAX(0,MIN($F191,EOMONTH(DATE(cfg_FY,11,1),0))-MAX($E191,DATE(cfg_FY,11,1))+1)*(1-IF($M191="نعم",0,N($J191))))</f>
        <v>0</v>
      </c>
      <c r="AG191" s="110" t="n">
        <f aca="false">IF(OR($B191="",$E191="",$F191=""),0,MAX(0,MIN($F191,EOMONTH(DATE(cfg_FY,12,1),0))-MAX($E191,DATE(cfg_FY,12,1))+1)*(1-IF($M191="نعم",0,N($J191))))</f>
        <v>0</v>
      </c>
      <c r="AH191" s="110" t="n">
        <f aca="false">IF(OR(OR($B191="",$E191="",$F191=""),$L191&lt;&gt;"لا"),0,MAX(0,MIN($F191,EOMONTH(DATE(cfg_FY,1,1),0))-$E191+1))</f>
        <v>0</v>
      </c>
      <c r="AI191" s="110" t="n">
        <f aca="false">IF(OR(OR($B191="",$E191="",$F191=""),$L191&lt;&gt;"لا"),0,MAX(0,MIN($F191,EOMONTH(DATE(cfg_FY,2,1),0))-$E191+1))</f>
        <v>0</v>
      </c>
      <c r="AJ191" s="110" t="n">
        <f aca="false">IF(OR(OR($B191="",$E191="",$F191=""),$L191&lt;&gt;"لا"),0,MAX(0,MIN($F191,EOMONTH(DATE(cfg_FY,3,1),0))-$E191+1))</f>
        <v>0</v>
      </c>
      <c r="AK191" s="110" t="n">
        <f aca="false">IF(OR(OR($B191="",$E191="",$F191=""),$L191&lt;&gt;"لا"),0,MAX(0,MIN($F191,EOMONTH(DATE(cfg_FY,4,1),0))-$E191+1))</f>
        <v>0</v>
      </c>
      <c r="AL191" s="110" t="n">
        <f aca="false">IF(OR(OR($B191="",$E191="",$F191=""),$L191&lt;&gt;"لا"),0,MAX(0,MIN($F191,EOMONTH(DATE(cfg_FY,5,1),0))-$E191+1))</f>
        <v>0</v>
      </c>
      <c r="AM191" s="110" t="n">
        <f aca="false">IF(OR(OR($B191="",$E191="",$F191=""),$L191&lt;&gt;"لا"),0,MAX(0,MIN($F191,EOMONTH(DATE(cfg_FY,6,1),0))-$E191+1))</f>
        <v>0</v>
      </c>
      <c r="AN191" s="110" t="n">
        <f aca="false">IF(OR(OR($B191="",$E191="",$F191=""),$L191&lt;&gt;"لا"),0,MAX(0,MIN($F191,EOMONTH(DATE(cfg_FY,7,1),0))-$E191+1))</f>
        <v>0</v>
      </c>
      <c r="AO191" s="110" t="n">
        <f aca="false">IF(OR(OR($B191="",$E191="",$F191=""),$L191&lt;&gt;"لا"),0,MAX(0,MIN($F191,EOMONTH(DATE(cfg_FY,8,1),0))-$E191+1))</f>
        <v>0</v>
      </c>
      <c r="AP191" s="110" t="n">
        <f aca="false">IF(OR(OR($B191="",$E191="",$F191=""),$L191&lt;&gt;"لا"),0,MAX(0,MIN($F191,EOMONTH(DATE(cfg_FY,9,1),0))-$E191+1))</f>
        <v>0</v>
      </c>
      <c r="AQ191" s="110" t="n">
        <f aca="false">IF(OR(OR($B191="",$E191="",$F191=""),$L191&lt;&gt;"لا"),0,MAX(0,MIN($F191,EOMONTH(DATE(cfg_FY,10,1),0))-$E191+1))</f>
        <v>0</v>
      </c>
      <c r="AR191" s="110" t="n">
        <f aca="false">IF(OR(OR($B191="",$E191="",$F191=""),$L191&lt;&gt;"لا"),0,MAX(0,MIN($F191,EOMONTH(DATE(cfg_FY,11,1),0))-$E191+1))</f>
        <v>0</v>
      </c>
      <c r="AS191" s="110" t="n">
        <f aca="false">IF(OR(OR($B191="",$E191="",$F191=""),$L191&lt;&gt;"لا"),0,MAX(0,MIN($F191,EOMONTH(DATE(cfg_FY,12,1),0))-$E191+1))</f>
        <v>0</v>
      </c>
      <c r="AT191" s="110" t="n">
        <f aca="false">IF(OR(OR($B191="",$E191="",$F191=""),$K191&lt;&gt;"نعم",$M191="نعم"),0,MAX(0,MIN($F191,EOMONTH(DATE(cfg_FY,1,1),0))-MAX($E191,DATE(cfg_FY,1,1))+1))</f>
        <v>0</v>
      </c>
      <c r="AU191" s="110" t="n">
        <f aca="false">IF(OR(OR($B191="",$E191="",$F191=""),$K191&lt;&gt;"نعم",$M191="نعم"),0,MAX(0,MIN($F191,EOMONTH(DATE(cfg_FY,2,1),0))-MAX($E191,DATE(cfg_FY,2,1))+1))</f>
        <v>0</v>
      </c>
      <c r="AV191" s="110" t="n">
        <f aca="false">IF(OR(OR($B191="",$E191="",$F191=""),$K191&lt;&gt;"نعم",$M191="نعم"),0,MAX(0,MIN($F191,EOMONTH(DATE(cfg_FY,3,1),0))-MAX($E191,DATE(cfg_FY,3,1))+1))</f>
        <v>0</v>
      </c>
      <c r="AW191" s="110" t="n">
        <f aca="false">IF(OR(OR($B191="",$E191="",$F191=""),$K191&lt;&gt;"نعم",$M191="نعم"),0,MAX(0,MIN($F191,EOMONTH(DATE(cfg_FY,4,1),0))-MAX($E191,DATE(cfg_FY,4,1))+1))</f>
        <v>0</v>
      </c>
      <c r="AX191" s="110" t="n">
        <f aca="false">IF(OR(OR($B191="",$E191="",$F191=""),$K191&lt;&gt;"نعم",$M191="نعم"),0,MAX(0,MIN($F191,EOMONTH(DATE(cfg_FY,5,1),0))-MAX($E191,DATE(cfg_FY,5,1))+1))</f>
        <v>0</v>
      </c>
      <c r="AY191" s="110" t="n">
        <f aca="false">IF(OR(OR($B191="",$E191="",$F191=""),$K191&lt;&gt;"نعم",$M191="نعم"),0,MAX(0,MIN($F191,EOMONTH(DATE(cfg_FY,6,1),0))-MAX($E191,DATE(cfg_FY,6,1))+1))</f>
        <v>0</v>
      </c>
      <c r="AZ191" s="110" t="n">
        <f aca="false">IF(OR(OR($B191="",$E191="",$F191=""),$K191&lt;&gt;"نعم",$M191="نعم"),0,MAX(0,MIN($F191,EOMONTH(DATE(cfg_FY,7,1),0))-MAX($E191,DATE(cfg_FY,7,1))+1))</f>
        <v>0</v>
      </c>
      <c r="BA191" s="110" t="n">
        <f aca="false">IF(OR(OR($B191="",$E191="",$F191=""),$K191&lt;&gt;"نعم",$M191="نعم"),0,MAX(0,MIN($F191,EOMONTH(DATE(cfg_FY,8,1),0))-MAX($E191,DATE(cfg_FY,8,1))+1))</f>
        <v>0</v>
      </c>
      <c r="BB191" s="110" t="n">
        <f aca="false">IF(OR(OR($B191="",$E191="",$F191=""),$K191&lt;&gt;"نعم",$M191="نعم"),0,MAX(0,MIN($F191,EOMONTH(DATE(cfg_FY,9,1),0))-MAX($E191,DATE(cfg_FY,9,1))+1))</f>
        <v>0</v>
      </c>
      <c r="BC191" s="110" t="n">
        <f aca="false">IF(OR(OR($B191="",$E191="",$F191=""),$K191&lt;&gt;"نعم",$M191="نعم"),0,MAX(0,MIN($F191,EOMONTH(DATE(cfg_FY,10,1),0))-MAX($E191,DATE(cfg_FY,10,1))+1))</f>
        <v>0</v>
      </c>
      <c r="BD191" s="110" t="n">
        <f aca="false">IF(OR(OR($B191="",$E191="",$F191=""),$K191&lt;&gt;"نعم",$M191="نعم"),0,MAX(0,MIN($F191,EOMONTH(DATE(cfg_FY,11,1),0))-MAX($E191,DATE(cfg_FY,11,1))+1))</f>
        <v>0</v>
      </c>
      <c r="BE191" s="110" t="n">
        <f aca="false">IF(OR(OR($B191="",$E191="",$F191=""),$K191&lt;&gt;"نعم",$M191="نعم"),0,MAX(0,MIN($F191,EOMONTH(DATE(cfg_FY,12,1),0))-MAX($E191,DATE(cfg_FY,12,1))+1))</f>
        <v>0</v>
      </c>
    </row>
    <row r="192" customFormat="false" ht="15" hidden="false" customHeight="false" outlineLevel="0" collapsed="false">
      <c r="A192" s="93" t="str">
        <f aca="false">IF(B192="","",ROW()-5)</f>
        <v/>
      </c>
      <c r="B192" s="79"/>
      <c r="C192" s="80" t="str">
        <f aca="false">IF(B192="","",IFERROR(INDEX(الموظفون!$C$6:$C$105,MATCH(B192,الموظفون!$B$6:$B$105,0)),"✖ رقم غير موجود"))</f>
        <v/>
      </c>
      <c r="D192" s="79"/>
      <c r="E192" s="94"/>
      <c r="F192" s="94"/>
      <c r="G192" s="57" t="str">
        <f aca="false">IF(OR($B192="",$E192="",$F192=""),"",MAX(0,F192-E192+1))</f>
        <v/>
      </c>
      <c r="H192" s="58" t="str">
        <f aca="false">IF(D192="","",IFERROR(VLOOKUP(D192,cfg_LT,2,FALSE()),1))</f>
        <v/>
      </c>
      <c r="I192" s="82"/>
      <c r="J192" s="58" t="str">
        <f aca="false">IF(D192="","",IF(I192&lt;&gt;"",I192,H192))</f>
        <v/>
      </c>
      <c r="K192" s="80" t="str">
        <f aca="false">IF(D192="","",IFERROR(VLOOKUP($D192,cfg_LT,3,FALSE()),""))</f>
        <v/>
      </c>
      <c r="L192" s="80" t="str">
        <f aca="false">IF(D192="","",IFERROR(VLOOKUP($D192,cfg_LT,4,FALSE()),""))</f>
        <v/>
      </c>
      <c r="M192" s="80" t="str">
        <f aca="false">IF(D192="","",IFERROR(VLOOKUP($D192,cfg_LT,5,FALSE()),""))</f>
        <v/>
      </c>
      <c r="N192" s="97" t="n">
        <f aca="false">IF(OR(OR($B192="",$E192="",$F192=""),M192&lt;&gt;"نعم"),0,G192*J192*IFERROR(INDEX(الموظفون!$R$6:$R$105,MATCH(B192,الموظفون!$B$6:$B$105,0)),0)/cfg_DAYS_M)</f>
        <v>0</v>
      </c>
      <c r="O192" s="93" t="str">
        <f aca="false">IF(OR(OR($B192="",$E192="",$F192=""),M192&lt;&gt;"نعم"),"",IF(YEAR(E192)=cfg_FY,MONTH(E192),""))</f>
        <v/>
      </c>
      <c r="P192" s="80" t="str">
        <f aca="false">IF(B192="","",IF(OR(D192="",E192="",F192=""),"⚠ أكمل النوع والتواريخ",IF(F192&lt;E192,"✖ النهاية قبل البداية",IF(COUNTIFS($B$6:$B$505,B192,$E$6:$E$505,"&lt;="&amp;F192,$F$6:$F$505,"&gt;="&amp;E192)&gt;1,"⚠ تداخل مع سجل آخر",IF(E192&gt;cfg_VAL_DATE,"⏳ قادمة",IF(F192&lt;cfg_VAL_DATE,"✔ منتهية","✈ جارية في تاريخ التقرير"))))))</f>
        <v/>
      </c>
      <c r="Q192" s="79"/>
      <c r="R192" s="57" t="n">
        <f aca="false">IF(OR(OR($B192="",$E192="",$F192=""),L192&lt;&gt;"لا"),0,MAX(0,MIN(F192,cfg_Y_START-1)-E192+1))</f>
        <v>0</v>
      </c>
      <c r="S192" s="57" t="n">
        <f aca="false">IF(OR(OR($B192="",$E192="",$F192=""),L192&lt;&gt;"لا"),0,MAX(0,MIN(F192,cfg_VAL_DATE)-E192+1))</f>
        <v>0</v>
      </c>
      <c r="T192" s="57" t="n">
        <f aca="false">IF(OR(OR($B192="",$E192="",$F192=""),K192&lt;&gt;"نعم"),0,IF(M192="نعم",IF(AND(ISNUMBER(O192),N(O192)&lt;=cfg_VAL_M),G192,0),MAX(0,MIN(F192,cfg_VAL_DATE)-MAX(E192,cfg_Y_START)+1)))</f>
        <v>0</v>
      </c>
      <c r="V192" s="57" t="n">
        <f aca="false">IF(OR($B192="",$E192="",$F192=""),0,MAX(0,MIN($F192,EOMONTH(DATE(cfg_FY,1,1),0))-MAX($E192,DATE(cfg_FY,1,1))+1)*(1-IF($M192="نعم",0,N($J192))))</f>
        <v>0</v>
      </c>
      <c r="W192" s="57" t="n">
        <f aca="false">IF(OR($B192="",$E192="",$F192=""),0,MAX(0,MIN($F192,EOMONTH(DATE(cfg_FY,2,1),0))-MAX($E192,DATE(cfg_FY,2,1))+1)*(1-IF($M192="نعم",0,N($J192))))</f>
        <v>0</v>
      </c>
      <c r="X192" s="57" t="n">
        <f aca="false">IF(OR($B192="",$E192="",$F192=""),0,MAX(0,MIN($F192,EOMONTH(DATE(cfg_FY,3,1),0))-MAX($E192,DATE(cfg_FY,3,1))+1)*(1-IF($M192="نعم",0,N($J192))))</f>
        <v>0</v>
      </c>
      <c r="Y192" s="57" t="n">
        <f aca="false">IF(OR($B192="",$E192="",$F192=""),0,MAX(0,MIN($F192,EOMONTH(DATE(cfg_FY,4,1),0))-MAX($E192,DATE(cfg_FY,4,1))+1)*(1-IF($M192="نعم",0,N($J192))))</f>
        <v>0</v>
      </c>
      <c r="Z192" s="57" t="n">
        <f aca="false">IF(OR($B192="",$E192="",$F192=""),0,MAX(0,MIN($F192,EOMONTH(DATE(cfg_FY,5,1),0))-MAX($E192,DATE(cfg_FY,5,1))+1)*(1-IF($M192="نعم",0,N($J192))))</f>
        <v>0</v>
      </c>
      <c r="AA192" s="57" t="n">
        <f aca="false">IF(OR($B192="",$E192="",$F192=""),0,MAX(0,MIN($F192,EOMONTH(DATE(cfg_FY,6,1),0))-MAX($E192,DATE(cfg_FY,6,1))+1)*(1-IF($M192="نعم",0,N($J192))))</f>
        <v>0</v>
      </c>
      <c r="AB192" s="57" t="n">
        <f aca="false">IF(OR($B192="",$E192="",$F192=""),0,MAX(0,MIN($F192,EOMONTH(DATE(cfg_FY,7,1),0))-MAX($E192,DATE(cfg_FY,7,1))+1)*(1-IF($M192="نعم",0,N($J192))))</f>
        <v>0</v>
      </c>
      <c r="AC192" s="57" t="n">
        <f aca="false">IF(OR($B192="",$E192="",$F192=""),0,MAX(0,MIN($F192,EOMONTH(DATE(cfg_FY,8,1),0))-MAX($E192,DATE(cfg_FY,8,1))+1)*(1-IF($M192="نعم",0,N($J192))))</f>
        <v>0</v>
      </c>
      <c r="AD192" s="57" t="n">
        <f aca="false">IF(OR($B192="",$E192="",$F192=""),0,MAX(0,MIN($F192,EOMONTH(DATE(cfg_FY,9,1),0))-MAX($E192,DATE(cfg_FY,9,1))+1)*(1-IF($M192="نعم",0,N($J192))))</f>
        <v>0</v>
      </c>
      <c r="AE192" s="57" t="n">
        <f aca="false">IF(OR($B192="",$E192="",$F192=""),0,MAX(0,MIN($F192,EOMONTH(DATE(cfg_FY,10,1),0))-MAX($E192,DATE(cfg_FY,10,1))+1)*(1-IF($M192="نعم",0,N($J192))))</f>
        <v>0</v>
      </c>
      <c r="AF192" s="57" t="n">
        <f aca="false">IF(OR($B192="",$E192="",$F192=""),0,MAX(0,MIN($F192,EOMONTH(DATE(cfg_FY,11,1),0))-MAX($E192,DATE(cfg_FY,11,1))+1)*(1-IF($M192="نعم",0,N($J192))))</f>
        <v>0</v>
      </c>
      <c r="AG192" s="57" t="n">
        <f aca="false">IF(OR($B192="",$E192="",$F192=""),0,MAX(0,MIN($F192,EOMONTH(DATE(cfg_FY,12,1),0))-MAX($E192,DATE(cfg_FY,12,1))+1)*(1-IF($M192="نعم",0,N($J192))))</f>
        <v>0</v>
      </c>
      <c r="AH192" s="57" t="n">
        <f aca="false">IF(OR(OR($B192="",$E192="",$F192=""),$L192&lt;&gt;"لا"),0,MAX(0,MIN($F192,EOMONTH(DATE(cfg_FY,1,1),0))-$E192+1))</f>
        <v>0</v>
      </c>
      <c r="AI192" s="57" t="n">
        <f aca="false">IF(OR(OR($B192="",$E192="",$F192=""),$L192&lt;&gt;"لا"),0,MAX(0,MIN($F192,EOMONTH(DATE(cfg_FY,2,1),0))-$E192+1))</f>
        <v>0</v>
      </c>
      <c r="AJ192" s="57" t="n">
        <f aca="false">IF(OR(OR($B192="",$E192="",$F192=""),$L192&lt;&gt;"لا"),0,MAX(0,MIN($F192,EOMONTH(DATE(cfg_FY,3,1),0))-$E192+1))</f>
        <v>0</v>
      </c>
      <c r="AK192" s="57" t="n">
        <f aca="false">IF(OR(OR($B192="",$E192="",$F192=""),$L192&lt;&gt;"لا"),0,MAX(0,MIN($F192,EOMONTH(DATE(cfg_FY,4,1),0))-$E192+1))</f>
        <v>0</v>
      </c>
      <c r="AL192" s="57" t="n">
        <f aca="false">IF(OR(OR($B192="",$E192="",$F192=""),$L192&lt;&gt;"لا"),0,MAX(0,MIN($F192,EOMONTH(DATE(cfg_FY,5,1),0))-$E192+1))</f>
        <v>0</v>
      </c>
      <c r="AM192" s="57" t="n">
        <f aca="false">IF(OR(OR($B192="",$E192="",$F192=""),$L192&lt;&gt;"لا"),0,MAX(0,MIN($F192,EOMONTH(DATE(cfg_FY,6,1),0))-$E192+1))</f>
        <v>0</v>
      </c>
      <c r="AN192" s="57" t="n">
        <f aca="false">IF(OR(OR($B192="",$E192="",$F192=""),$L192&lt;&gt;"لا"),0,MAX(0,MIN($F192,EOMONTH(DATE(cfg_FY,7,1),0))-$E192+1))</f>
        <v>0</v>
      </c>
      <c r="AO192" s="57" t="n">
        <f aca="false">IF(OR(OR($B192="",$E192="",$F192=""),$L192&lt;&gt;"لا"),0,MAX(0,MIN($F192,EOMONTH(DATE(cfg_FY,8,1),0))-$E192+1))</f>
        <v>0</v>
      </c>
      <c r="AP192" s="57" t="n">
        <f aca="false">IF(OR(OR($B192="",$E192="",$F192=""),$L192&lt;&gt;"لا"),0,MAX(0,MIN($F192,EOMONTH(DATE(cfg_FY,9,1),0))-$E192+1))</f>
        <v>0</v>
      </c>
      <c r="AQ192" s="57" t="n">
        <f aca="false">IF(OR(OR($B192="",$E192="",$F192=""),$L192&lt;&gt;"لا"),0,MAX(0,MIN($F192,EOMONTH(DATE(cfg_FY,10,1),0))-$E192+1))</f>
        <v>0</v>
      </c>
      <c r="AR192" s="57" t="n">
        <f aca="false">IF(OR(OR($B192="",$E192="",$F192=""),$L192&lt;&gt;"لا"),0,MAX(0,MIN($F192,EOMONTH(DATE(cfg_FY,11,1),0))-$E192+1))</f>
        <v>0</v>
      </c>
      <c r="AS192" s="57" t="n">
        <f aca="false">IF(OR(OR($B192="",$E192="",$F192=""),$L192&lt;&gt;"لا"),0,MAX(0,MIN($F192,EOMONTH(DATE(cfg_FY,12,1),0))-$E192+1))</f>
        <v>0</v>
      </c>
      <c r="AT192" s="57" t="n">
        <f aca="false">IF(OR(OR($B192="",$E192="",$F192=""),$K192&lt;&gt;"نعم",$M192="نعم"),0,MAX(0,MIN($F192,EOMONTH(DATE(cfg_FY,1,1),0))-MAX($E192,DATE(cfg_FY,1,1))+1))</f>
        <v>0</v>
      </c>
      <c r="AU192" s="57" t="n">
        <f aca="false">IF(OR(OR($B192="",$E192="",$F192=""),$K192&lt;&gt;"نعم",$M192="نعم"),0,MAX(0,MIN($F192,EOMONTH(DATE(cfg_FY,2,1),0))-MAX($E192,DATE(cfg_FY,2,1))+1))</f>
        <v>0</v>
      </c>
      <c r="AV192" s="57" t="n">
        <f aca="false">IF(OR(OR($B192="",$E192="",$F192=""),$K192&lt;&gt;"نعم",$M192="نعم"),0,MAX(0,MIN($F192,EOMONTH(DATE(cfg_FY,3,1),0))-MAX($E192,DATE(cfg_FY,3,1))+1))</f>
        <v>0</v>
      </c>
      <c r="AW192" s="57" t="n">
        <f aca="false">IF(OR(OR($B192="",$E192="",$F192=""),$K192&lt;&gt;"نعم",$M192="نعم"),0,MAX(0,MIN($F192,EOMONTH(DATE(cfg_FY,4,1),0))-MAX($E192,DATE(cfg_FY,4,1))+1))</f>
        <v>0</v>
      </c>
      <c r="AX192" s="57" t="n">
        <f aca="false">IF(OR(OR($B192="",$E192="",$F192=""),$K192&lt;&gt;"نعم",$M192="نعم"),0,MAX(0,MIN($F192,EOMONTH(DATE(cfg_FY,5,1),0))-MAX($E192,DATE(cfg_FY,5,1))+1))</f>
        <v>0</v>
      </c>
      <c r="AY192" s="57" t="n">
        <f aca="false">IF(OR(OR($B192="",$E192="",$F192=""),$K192&lt;&gt;"نعم",$M192="نعم"),0,MAX(0,MIN($F192,EOMONTH(DATE(cfg_FY,6,1),0))-MAX($E192,DATE(cfg_FY,6,1))+1))</f>
        <v>0</v>
      </c>
      <c r="AZ192" s="57" t="n">
        <f aca="false">IF(OR(OR($B192="",$E192="",$F192=""),$K192&lt;&gt;"نعم",$M192="نعم"),0,MAX(0,MIN($F192,EOMONTH(DATE(cfg_FY,7,1),0))-MAX($E192,DATE(cfg_FY,7,1))+1))</f>
        <v>0</v>
      </c>
      <c r="BA192" s="57" t="n">
        <f aca="false">IF(OR(OR($B192="",$E192="",$F192=""),$K192&lt;&gt;"نعم",$M192="نعم"),0,MAX(0,MIN($F192,EOMONTH(DATE(cfg_FY,8,1),0))-MAX($E192,DATE(cfg_FY,8,1))+1))</f>
        <v>0</v>
      </c>
      <c r="BB192" s="57" t="n">
        <f aca="false">IF(OR(OR($B192="",$E192="",$F192=""),$K192&lt;&gt;"نعم",$M192="نعم"),0,MAX(0,MIN($F192,EOMONTH(DATE(cfg_FY,9,1),0))-MAX($E192,DATE(cfg_FY,9,1))+1))</f>
        <v>0</v>
      </c>
      <c r="BC192" s="57" t="n">
        <f aca="false">IF(OR(OR($B192="",$E192="",$F192=""),$K192&lt;&gt;"نعم",$M192="نعم"),0,MAX(0,MIN($F192,EOMONTH(DATE(cfg_FY,10,1),0))-MAX($E192,DATE(cfg_FY,10,1))+1))</f>
        <v>0</v>
      </c>
      <c r="BD192" s="57" t="n">
        <f aca="false">IF(OR(OR($B192="",$E192="",$F192=""),$K192&lt;&gt;"نعم",$M192="نعم"),0,MAX(0,MIN($F192,EOMONTH(DATE(cfg_FY,11,1),0))-MAX($E192,DATE(cfg_FY,11,1))+1))</f>
        <v>0</v>
      </c>
      <c r="BE192" s="57" t="n">
        <f aca="false">IF(OR(OR($B192="",$E192="",$F192=""),$K192&lt;&gt;"نعم",$M192="نعم"),0,MAX(0,MIN($F192,EOMONTH(DATE(cfg_FY,12,1),0))-MAX($E192,DATE(cfg_FY,12,1))+1))</f>
        <v>0</v>
      </c>
    </row>
    <row r="193" customFormat="false" ht="15" hidden="false" customHeight="false" outlineLevel="0" collapsed="false">
      <c r="A193" s="100" t="str">
        <f aca="false">IF(B193="","",ROW()-5)</f>
        <v/>
      </c>
      <c r="B193" s="79"/>
      <c r="C193" s="102" t="str">
        <f aca="false">IF(B193="","",IFERROR(INDEX(الموظفون!$C$6:$C$105,MATCH(B193,الموظفون!$B$6:$B$105,0)),"✖ رقم غير موجود"))</f>
        <v/>
      </c>
      <c r="D193" s="79"/>
      <c r="E193" s="94"/>
      <c r="F193" s="94"/>
      <c r="G193" s="110" t="str">
        <f aca="false">IF(OR($B193="",$E193="",$F193=""),"",MAX(0,F193-E193+1))</f>
        <v/>
      </c>
      <c r="H193" s="111" t="str">
        <f aca="false">IF(D193="","",IFERROR(VLOOKUP(D193,cfg_LT,2,FALSE()),1))</f>
        <v/>
      </c>
      <c r="I193" s="82"/>
      <c r="J193" s="111" t="str">
        <f aca="false">IF(D193="","",IF(I193&lt;&gt;"",I193,H193))</f>
        <v/>
      </c>
      <c r="K193" s="102" t="str">
        <f aca="false">IF(D193="","",IFERROR(VLOOKUP($D193,cfg_LT,3,FALSE()),""))</f>
        <v/>
      </c>
      <c r="L193" s="102" t="str">
        <f aca="false">IF(D193="","",IFERROR(VLOOKUP($D193,cfg_LT,4,FALSE()),""))</f>
        <v/>
      </c>
      <c r="M193" s="102" t="str">
        <f aca="false">IF(D193="","",IFERROR(VLOOKUP($D193,cfg_LT,5,FALSE()),""))</f>
        <v/>
      </c>
      <c r="N193" s="101" t="n">
        <f aca="false">IF(OR(OR($B193="",$E193="",$F193=""),M193&lt;&gt;"نعم"),0,G193*J193*IFERROR(INDEX(الموظفون!$R$6:$R$105,MATCH(B193,الموظفون!$B$6:$B$105,0)),0)/cfg_DAYS_M)</f>
        <v>0</v>
      </c>
      <c r="O193" s="100" t="str">
        <f aca="false">IF(OR(OR($B193="",$E193="",$F193=""),M193&lt;&gt;"نعم"),"",IF(YEAR(E193)=cfg_FY,MONTH(E193),""))</f>
        <v/>
      </c>
      <c r="P193" s="102" t="str">
        <f aca="false">IF(B193="","",IF(OR(D193="",E193="",F193=""),"⚠ أكمل النوع والتواريخ",IF(F193&lt;E193,"✖ النهاية قبل البداية",IF(COUNTIFS($B$6:$B$505,B193,$E$6:$E$505,"&lt;="&amp;F193,$F$6:$F$505,"&gt;="&amp;E193)&gt;1,"⚠ تداخل مع سجل آخر",IF(E193&gt;cfg_VAL_DATE,"⏳ قادمة",IF(F193&lt;cfg_VAL_DATE,"✔ منتهية","✈ جارية في تاريخ التقرير"))))))</f>
        <v/>
      </c>
      <c r="Q193" s="79"/>
      <c r="R193" s="110" t="n">
        <f aca="false">IF(OR(OR($B193="",$E193="",$F193=""),L193&lt;&gt;"لا"),0,MAX(0,MIN(F193,cfg_Y_START-1)-E193+1))</f>
        <v>0</v>
      </c>
      <c r="S193" s="110" t="n">
        <f aca="false">IF(OR(OR($B193="",$E193="",$F193=""),L193&lt;&gt;"لا"),0,MAX(0,MIN(F193,cfg_VAL_DATE)-E193+1))</f>
        <v>0</v>
      </c>
      <c r="T193" s="110" t="n">
        <f aca="false">IF(OR(OR($B193="",$E193="",$F193=""),K193&lt;&gt;"نعم"),0,IF(M193="نعم",IF(AND(ISNUMBER(O193),N(O193)&lt;=cfg_VAL_M),G193,0),MAX(0,MIN(F193,cfg_VAL_DATE)-MAX(E193,cfg_Y_START)+1)))</f>
        <v>0</v>
      </c>
      <c r="V193" s="110" t="n">
        <f aca="false">IF(OR($B193="",$E193="",$F193=""),0,MAX(0,MIN($F193,EOMONTH(DATE(cfg_FY,1,1),0))-MAX($E193,DATE(cfg_FY,1,1))+1)*(1-IF($M193="نعم",0,N($J193))))</f>
        <v>0</v>
      </c>
      <c r="W193" s="110" t="n">
        <f aca="false">IF(OR($B193="",$E193="",$F193=""),0,MAX(0,MIN($F193,EOMONTH(DATE(cfg_FY,2,1),0))-MAX($E193,DATE(cfg_FY,2,1))+1)*(1-IF($M193="نعم",0,N($J193))))</f>
        <v>0</v>
      </c>
      <c r="X193" s="110" t="n">
        <f aca="false">IF(OR($B193="",$E193="",$F193=""),0,MAX(0,MIN($F193,EOMONTH(DATE(cfg_FY,3,1),0))-MAX($E193,DATE(cfg_FY,3,1))+1)*(1-IF($M193="نعم",0,N($J193))))</f>
        <v>0</v>
      </c>
      <c r="Y193" s="110" t="n">
        <f aca="false">IF(OR($B193="",$E193="",$F193=""),0,MAX(0,MIN($F193,EOMONTH(DATE(cfg_FY,4,1),0))-MAX($E193,DATE(cfg_FY,4,1))+1)*(1-IF($M193="نعم",0,N($J193))))</f>
        <v>0</v>
      </c>
      <c r="Z193" s="110" t="n">
        <f aca="false">IF(OR($B193="",$E193="",$F193=""),0,MAX(0,MIN($F193,EOMONTH(DATE(cfg_FY,5,1),0))-MAX($E193,DATE(cfg_FY,5,1))+1)*(1-IF($M193="نعم",0,N($J193))))</f>
        <v>0</v>
      </c>
      <c r="AA193" s="110" t="n">
        <f aca="false">IF(OR($B193="",$E193="",$F193=""),0,MAX(0,MIN($F193,EOMONTH(DATE(cfg_FY,6,1),0))-MAX($E193,DATE(cfg_FY,6,1))+1)*(1-IF($M193="نعم",0,N($J193))))</f>
        <v>0</v>
      </c>
      <c r="AB193" s="110" t="n">
        <f aca="false">IF(OR($B193="",$E193="",$F193=""),0,MAX(0,MIN($F193,EOMONTH(DATE(cfg_FY,7,1),0))-MAX($E193,DATE(cfg_FY,7,1))+1)*(1-IF($M193="نعم",0,N($J193))))</f>
        <v>0</v>
      </c>
      <c r="AC193" s="110" t="n">
        <f aca="false">IF(OR($B193="",$E193="",$F193=""),0,MAX(0,MIN($F193,EOMONTH(DATE(cfg_FY,8,1),0))-MAX($E193,DATE(cfg_FY,8,1))+1)*(1-IF($M193="نعم",0,N($J193))))</f>
        <v>0</v>
      </c>
      <c r="AD193" s="110" t="n">
        <f aca="false">IF(OR($B193="",$E193="",$F193=""),0,MAX(0,MIN($F193,EOMONTH(DATE(cfg_FY,9,1),0))-MAX($E193,DATE(cfg_FY,9,1))+1)*(1-IF($M193="نعم",0,N($J193))))</f>
        <v>0</v>
      </c>
      <c r="AE193" s="110" t="n">
        <f aca="false">IF(OR($B193="",$E193="",$F193=""),0,MAX(0,MIN($F193,EOMONTH(DATE(cfg_FY,10,1),0))-MAX($E193,DATE(cfg_FY,10,1))+1)*(1-IF($M193="نعم",0,N($J193))))</f>
        <v>0</v>
      </c>
      <c r="AF193" s="110" t="n">
        <f aca="false">IF(OR($B193="",$E193="",$F193=""),0,MAX(0,MIN($F193,EOMONTH(DATE(cfg_FY,11,1),0))-MAX($E193,DATE(cfg_FY,11,1))+1)*(1-IF($M193="نعم",0,N($J193))))</f>
        <v>0</v>
      </c>
      <c r="AG193" s="110" t="n">
        <f aca="false">IF(OR($B193="",$E193="",$F193=""),0,MAX(0,MIN($F193,EOMONTH(DATE(cfg_FY,12,1),0))-MAX($E193,DATE(cfg_FY,12,1))+1)*(1-IF($M193="نعم",0,N($J193))))</f>
        <v>0</v>
      </c>
      <c r="AH193" s="110" t="n">
        <f aca="false">IF(OR(OR($B193="",$E193="",$F193=""),$L193&lt;&gt;"لا"),0,MAX(0,MIN($F193,EOMONTH(DATE(cfg_FY,1,1),0))-$E193+1))</f>
        <v>0</v>
      </c>
      <c r="AI193" s="110" t="n">
        <f aca="false">IF(OR(OR($B193="",$E193="",$F193=""),$L193&lt;&gt;"لا"),0,MAX(0,MIN($F193,EOMONTH(DATE(cfg_FY,2,1),0))-$E193+1))</f>
        <v>0</v>
      </c>
      <c r="AJ193" s="110" t="n">
        <f aca="false">IF(OR(OR($B193="",$E193="",$F193=""),$L193&lt;&gt;"لا"),0,MAX(0,MIN($F193,EOMONTH(DATE(cfg_FY,3,1),0))-$E193+1))</f>
        <v>0</v>
      </c>
      <c r="AK193" s="110" t="n">
        <f aca="false">IF(OR(OR($B193="",$E193="",$F193=""),$L193&lt;&gt;"لا"),0,MAX(0,MIN($F193,EOMONTH(DATE(cfg_FY,4,1),0))-$E193+1))</f>
        <v>0</v>
      </c>
      <c r="AL193" s="110" t="n">
        <f aca="false">IF(OR(OR($B193="",$E193="",$F193=""),$L193&lt;&gt;"لا"),0,MAX(0,MIN($F193,EOMONTH(DATE(cfg_FY,5,1),0))-$E193+1))</f>
        <v>0</v>
      </c>
      <c r="AM193" s="110" t="n">
        <f aca="false">IF(OR(OR($B193="",$E193="",$F193=""),$L193&lt;&gt;"لا"),0,MAX(0,MIN($F193,EOMONTH(DATE(cfg_FY,6,1),0))-$E193+1))</f>
        <v>0</v>
      </c>
      <c r="AN193" s="110" t="n">
        <f aca="false">IF(OR(OR($B193="",$E193="",$F193=""),$L193&lt;&gt;"لا"),0,MAX(0,MIN($F193,EOMONTH(DATE(cfg_FY,7,1),0))-$E193+1))</f>
        <v>0</v>
      </c>
      <c r="AO193" s="110" t="n">
        <f aca="false">IF(OR(OR($B193="",$E193="",$F193=""),$L193&lt;&gt;"لا"),0,MAX(0,MIN($F193,EOMONTH(DATE(cfg_FY,8,1),0))-$E193+1))</f>
        <v>0</v>
      </c>
      <c r="AP193" s="110" t="n">
        <f aca="false">IF(OR(OR($B193="",$E193="",$F193=""),$L193&lt;&gt;"لا"),0,MAX(0,MIN($F193,EOMONTH(DATE(cfg_FY,9,1),0))-$E193+1))</f>
        <v>0</v>
      </c>
      <c r="AQ193" s="110" t="n">
        <f aca="false">IF(OR(OR($B193="",$E193="",$F193=""),$L193&lt;&gt;"لا"),0,MAX(0,MIN($F193,EOMONTH(DATE(cfg_FY,10,1),0))-$E193+1))</f>
        <v>0</v>
      </c>
      <c r="AR193" s="110" t="n">
        <f aca="false">IF(OR(OR($B193="",$E193="",$F193=""),$L193&lt;&gt;"لا"),0,MAX(0,MIN($F193,EOMONTH(DATE(cfg_FY,11,1),0))-$E193+1))</f>
        <v>0</v>
      </c>
      <c r="AS193" s="110" t="n">
        <f aca="false">IF(OR(OR($B193="",$E193="",$F193=""),$L193&lt;&gt;"لا"),0,MAX(0,MIN($F193,EOMONTH(DATE(cfg_FY,12,1),0))-$E193+1))</f>
        <v>0</v>
      </c>
      <c r="AT193" s="110" t="n">
        <f aca="false">IF(OR(OR($B193="",$E193="",$F193=""),$K193&lt;&gt;"نعم",$M193="نعم"),0,MAX(0,MIN($F193,EOMONTH(DATE(cfg_FY,1,1),0))-MAX($E193,DATE(cfg_FY,1,1))+1))</f>
        <v>0</v>
      </c>
      <c r="AU193" s="110" t="n">
        <f aca="false">IF(OR(OR($B193="",$E193="",$F193=""),$K193&lt;&gt;"نعم",$M193="نعم"),0,MAX(0,MIN($F193,EOMONTH(DATE(cfg_FY,2,1),0))-MAX($E193,DATE(cfg_FY,2,1))+1))</f>
        <v>0</v>
      </c>
      <c r="AV193" s="110" t="n">
        <f aca="false">IF(OR(OR($B193="",$E193="",$F193=""),$K193&lt;&gt;"نعم",$M193="نعم"),0,MAX(0,MIN($F193,EOMONTH(DATE(cfg_FY,3,1),0))-MAX($E193,DATE(cfg_FY,3,1))+1))</f>
        <v>0</v>
      </c>
      <c r="AW193" s="110" t="n">
        <f aca="false">IF(OR(OR($B193="",$E193="",$F193=""),$K193&lt;&gt;"نعم",$M193="نعم"),0,MAX(0,MIN($F193,EOMONTH(DATE(cfg_FY,4,1),0))-MAX($E193,DATE(cfg_FY,4,1))+1))</f>
        <v>0</v>
      </c>
      <c r="AX193" s="110" t="n">
        <f aca="false">IF(OR(OR($B193="",$E193="",$F193=""),$K193&lt;&gt;"نعم",$M193="نعم"),0,MAX(0,MIN($F193,EOMONTH(DATE(cfg_FY,5,1),0))-MAX($E193,DATE(cfg_FY,5,1))+1))</f>
        <v>0</v>
      </c>
      <c r="AY193" s="110" t="n">
        <f aca="false">IF(OR(OR($B193="",$E193="",$F193=""),$K193&lt;&gt;"نعم",$M193="نعم"),0,MAX(0,MIN($F193,EOMONTH(DATE(cfg_FY,6,1),0))-MAX($E193,DATE(cfg_FY,6,1))+1))</f>
        <v>0</v>
      </c>
      <c r="AZ193" s="110" t="n">
        <f aca="false">IF(OR(OR($B193="",$E193="",$F193=""),$K193&lt;&gt;"نعم",$M193="نعم"),0,MAX(0,MIN($F193,EOMONTH(DATE(cfg_FY,7,1),0))-MAX($E193,DATE(cfg_FY,7,1))+1))</f>
        <v>0</v>
      </c>
      <c r="BA193" s="110" t="n">
        <f aca="false">IF(OR(OR($B193="",$E193="",$F193=""),$K193&lt;&gt;"نعم",$M193="نعم"),0,MAX(0,MIN($F193,EOMONTH(DATE(cfg_FY,8,1),0))-MAX($E193,DATE(cfg_FY,8,1))+1))</f>
        <v>0</v>
      </c>
      <c r="BB193" s="110" t="n">
        <f aca="false">IF(OR(OR($B193="",$E193="",$F193=""),$K193&lt;&gt;"نعم",$M193="نعم"),0,MAX(0,MIN($F193,EOMONTH(DATE(cfg_FY,9,1),0))-MAX($E193,DATE(cfg_FY,9,1))+1))</f>
        <v>0</v>
      </c>
      <c r="BC193" s="110" t="n">
        <f aca="false">IF(OR(OR($B193="",$E193="",$F193=""),$K193&lt;&gt;"نعم",$M193="نعم"),0,MAX(0,MIN($F193,EOMONTH(DATE(cfg_FY,10,1),0))-MAX($E193,DATE(cfg_FY,10,1))+1))</f>
        <v>0</v>
      </c>
      <c r="BD193" s="110" t="n">
        <f aca="false">IF(OR(OR($B193="",$E193="",$F193=""),$K193&lt;&gt;"نعم",$M193="نعم"),0,MAX(0,MIN($F193,EOMONTH(DATE(cfg_FY,11,1),0))-MAX($E193,DATE(cfg_FY,11,1))+1))</f>
        <v>0</v>
      </c>
      <c r="BE193" s="110" t="n">
        <f aca="false">IF(OR(OR($B193="",$E193="",$F193=""),$K193&lt;&gt;"نعم",$M193="نعم"),0,MAX(0,MIN($F193,EOMONTH(DATE(cfg_FY,12,1),0))-MAX($E193,DATE(cfg_FY,12,1))+1))</f>
        <v>0</v>
      </c>
    </row>
    <row r="194" customFormat="false" ht="15" hidden="false" customHeight="false" outlineLevel="0" collapsed="false">
      <c r="A194" s="93" t="str">
        <f aca="false">IF(B194="","",ROW()-5)</f>
        <v/>
      </c>
      <c r="B194" s="79"/>
      <c r="C194" s="80" t="str">
        <f aca="false">IF(B194="","",IFERROR(INDEX(الموظفون!$C$6:$C$105,MATCH(B194,الموظفون!$B$6:$B$105,0)),"✖ رقم غير موجود"))</f>
        <v/>
      </c>
      <c r="D194" s="79"/>
      <c r="E194" s="94"/>
      <c r="F194" s="94"/>
      <c r="G194" s="57" t="str">
        <f aca="false">IF(OR($B194="",$E194="",$F194=""),"",MAX(0,F194-E194+1))</f>
        <v/>
      </c>
      <c r="H194" s="58" t="str">
        <f aca="false">IF(D194="","",IFERROR(VLOOKUP(D194,cfg_LT,2,FALSE()),1))</f>
        <v/>
      </c>
      <c r="I194" s="82"/>
      <c r="J194" s="58" t="str">
        <f aca="false">IF(D194="","",IF(I194&lt;&gt;"",I194,H194))</f>
        <v/>
      </c>
      <c r="K194" s="80" t="str">
        <f aca="false">IF(D194="","",IFERROR(VLOOKUP($D194,cfg_LT,3,FALSE()),""))</f>
        <v/>
      </c>
      <c r="L194" s="80" t="str">
        <f aca="false">IF(D194="","",IFERROR(VLOOKUP($D194,cfg_LT,4,FALSE()),""))</f>
        <v/>
      </c>
      <c r="M194" s="80" t="str">
        <f aca="false">IF(D194="","",IFERROR(VLOOKUP($D194,cfg_LT,5,FALSE()),""))</f>
        <v/>
      </c>
      <c r="N194" s="97" t="n">
        <f aca="false">IF(OR(OR($B194="",$E194="",$F194=""),M194&lt;&gt;"نعم"),0,G194*J194*IFERROR(INDEX(الموظفون!$R$6:$R$105,MATCH(B194,الموظفون!$B$6:$B$105,0)),0)/cfg_DAYS_M)</f>
        <v>0</v>
      </c>
      <c r="O194" s="93" t="str">
        <f aca="false">IF(OR(OR($B194="",$E194="",$F194=""),M194&lt;&gt;"نعم"),"",IF(YEAR(E194)=cfg_FY,MONTH(E194),""))</f>
        <v/>
      </c>
      <c r="P194" s="80" t="str">
        <f aca="false">IF(B194="","",IF(OR(D194="",E194="",F194=""),"⚠ أكمل النوع والتواريخ",IF(F194&lt;E194,"✖ النهاية قبل البداية",IF(COUNTIFS($B$6:$B$505,B194,$E$6:$E$505,"&lt;="&amp;F194,$F$6:$F$505,"&gt;="&amp;E194)&gt;1,"⚠ تداخل مع سجل آخر",IF(E194&gt;cfg_VAL_DATE,"⏳ قادمة",IF(F194&lt;cfg_VAL_DATE,"✔ منتهية","✈ جارية في تاريخ التقرير"))))))</f>
        <v/>
      </c>
      <c r="Q194" s="79"/>
      <c r="R194" s="57" t="n">
        <f aca="false">IF(OR(OR($B194="",$E194="",$F194=""),L194&lt;&gt;"لا"),0,MAX(0,MIN(F194,cfg_Y_START-1)-E194+1))</f>
        <v>0</v>
      </c>
      <c r="S194" s="57" t="n">
        <f aca="false">IF(OR(OR($B194="",$E194="",$F194=""),L194&lt;&gt;"لا"),0,MAX(0,MIN(F194,cfg_VAL_DATE)-E194+1))</f>
        <v>0</v>
      </c>
      <c r="T194" s="57" t="n">
        <f aca="false">IF(OR(OR($B194="",$E194="",$F194=""),K194&lt;&gt;"نعم"),0,IF(M194="نعم",IF(AND(ISNUMBER(O194),N(O194)&lt;=cfg_VAL_M),G194,0),MAX(0,MIN(F194,cfg_VAL_DATE)-MAX(E194,cfg_Y_START)+1)))</f>
        <v>0</v>
      </c>
      <c r="V194" s="57" t="n">
        <f aca="false">IF(OR($B194="",$E194="",$F194=""),0,MAX(0,MIN($F194,EOMONTH(DATE(cfg_FY,1,1),0))-MAX($E194,DATE(cfg_FY,1,1))+1)*(1-IF($M194="نعم",0,N($J194))))</f>
        <v>0</v>
      </c>
      <c r="W194" s="57" t="n">
        <f aca="false">IF(OR($B194="",$E194="",$F194=""),0,MAX(0,MIN($F194,EOMONTH(DATE(cfg_FY,2,1),0))-MAX($E194,DATE(cfg_FY,2,1))+1)*(1-IF($M194="نعم",0,N($J194))))</f>
        <v>0</v>
      </c>
      <c r="X194" s="57" t="n">
        <f aca="false">IF(OR($B194="",$E194="",$F194=""),0,MAX(0,MIN($F194,EOMONTH(DATE(cfg_FY,3,1),0))-MAX($E194,DATE(cfg_FY,3,1))+1)*(1-IF($M194="نعم",0,N($J194))))</f>
        <v>0</v>
      </c>
      <c r="Y194" s="57" t="n">
        <f aca="false">IF(OR($B194="",$E194="",$F194=""),0,MAX(0,MIN($F194,EOMONTH(DATE(cfg_FY,4,1),0))-MAX($E194,DATE(cfg_FY,4,1))+1)*(1-IF($M194="نعم",0,N($J194))))</f>
        <v>0</v>
      </c>
      <c r="Z194" s="57" t="n">
        <f aca="false">IF(OR($B194="",$E194="",$F194=""),0,MAX(0,MIN($F194,EOMONTH(DATE(cfg_FY,5,1),0))-MAX($E194,DATE(cfg_FY,5,1))+1)*(1-IF($M194="نعم",0,N($J194))))</f>
        <v>0</v>
      </c>
      <c r="AA194" s="57" t="n">
        <f aca="false">IF(OR($B194="",$E194="",$F194=""),0,MAX(0,MIN($F194,EOMONTH(DATE(cfg_FY,6,1),0))-MAX($E194,DATE(cfg_FY,6,1))+1)*(1-IF($M194="نعم",0,N($J194))))</f>
        <v>0</v>
      </c>
      <c r="AB194" s="57" t="n">
        <f aca="false">IF(OR($B194="",$E194="",$F194=""),0,MAX(0,MIN($F194,EOMONTH(DATE(cfg_FY,7,1),0))-MAX($E194,DATE(cfg_FY,7,1))+1)*(1-IF($M194="نعم",0,N($J194))))</f>
        <v>0</v>
      </c>
      <c r="AC194" s="57" t="n">
        <f aca="false">IF(OR($B194="",$E194="",$F194=""),0,MAX(0,MIN($F194,EOMONTH(DATE(cfg_FY,8,1),0))-MAX($E194,DATE(cfg_FY,8,1))+1)*(1-IF($M194="نعم",0,N($J194))))</f>
        <v>0</v>
      </c>
      <c r="AD194" s="57" t="n">
        <f aca="false">IF(OR($B194="",$E194="",$F194=""),0,MAX(0,MIN($F194,EOMONTH(DATE(cfg_FY,9,1),0))-MAX($E194,DATE(cfg_FY,9,1))+1)*(1-IF($M194="نعم",0,N($J194))))</f>
        <v>0</v>
      </c>
      <c r="AE194" s="57" t="n">
        <f aca="false">IF(OR($B194="",$E194="",$F194=""),0,MAX(0,MIN($F194,EOMONTH(DATE(cfg_FY,10,1),0))-MAX($E194,DATE(cfg_FY,10,1))+1)*(1-IF($M194="نعم",0,N($J194))))</f>
        <v>0</v>
      </c>
      <c r="AF194" s="57" t="n">
        <f aca="false">IF(OR($B194="",$E194="",$F194=""),0,MAX(0,MIN($F194,EOMONTH(DATE(cfg_FY,11,1),0))-MAX($E194,DATE(cfg_FY,11,1))+1)*(1-IF($M194="نعم",0,N($J194))))</f>
        <v>0</v>
      </c>
      <c r="AG194" s="57" t="n">
        <f aca="false">IF(OR($B194="",$E194="",$F194=""),0,MAX(0,MIN($F194,EOMONTH(DATE(cfg_FY,12,1),0))-MAX($E194,DATE(cfg_FY,12,1))+1)*(1-IF($M194="نعم",0,N($J194))))</f>
        <v>0</v>
      </c>
      <c r="AH194" s="57" t="n">
        <f aca="false">IF(OR(OR($B194="",$E194="",$F194=""),$L194&lt;&gt;"لا"),0,MAX(0,MIN($F194,EOMONTH(DATE(cfg_FY,1,1),0))-$E194+1))</f>
        <v>0</v>
      </c>
      <c r="AI194" s="57" t="n">
        <f aca="false">IF(OR(OR($B194="",$E194="",$F194=""),$L194&lt;&gt;"لا"),0,MAX(0,MIN($F194,EOMONTH(DATE(cfg_FY,2,1),0))-$E194+1))</f>
        <v>0</v>
      </c>
      <c r="AJ194" s="57" t="n">
        <f aca="false">IF(OR(OR($B194="",$E194="",$F194=""),$L194&lt;&gt;"لا"),0,MAX(0,MIN($F194,EOMONTH(DATE(cfg_FY,3,1),0))-$E194+1))</f>
        <v>0</v>
      </c>
      <c r="AK194" s="57" t="n">
        <f aca="false">IF(OR(OR($B194="",$E194="",$F194=""),$L194&lt;&gt;"لا"),0,MAX(0,MIN($F194,EOMONTH(DATE(cfg_FY,4,1),0))-$E194+1))</f>
        <v>0</v>
      </c>
      <c r="AL194" s="57" t="n">
        <f aca="false">IF(OR(OR($B194="",$E194="",$F194=""),$L194&lt;&gt;"لا"),0,MAX(0,MIN($F194,EOMONTH(DATE(cfg_FY,5,1),0))-$E194+1))</f>
        <v>0</v>
      </c>
      <c r="AM194" s="57" t="n">
        <f aca="false">IF(OR(OR($B194="",$E194="",$F194=""),$L194&lt;&gt;"لا"),0,MAX(0,MIN($F194,EOMONTH(DATE(cfg_FY,6,1),0))-$E194+1))</f>
        <v>0</v>
      </c>
      <c r="AN194" s="57" t="n">
        <f aca="false">IF(OR(OR($B194="",$E194="",$F194=""),$L194&lt;&gt;"لا"),0,MAX(0,MIN($F194,EOMONTH(DATE(cfg_FY,7,1),0))-$E194+1))</f>
        <v>0</v>
      </c>
      <c r="AO194" s="57" t="n">
        <f aca="false">IF(OR(OR($B194="",$E194="",$F194=""),$L194&lt;&gt;"لا"),0,MAX(0,MIN($F194,EOMONTH(DATE(cfg_FY,8,1),0))-$E194+1))</f>
        <v>0</v>
      </c>
      <c r="AP194" s="57" t="n">
        <f aca="false">IF(OR(OR($B194="",$E194="",$F194=""),$L194&lt;&gt;"لا"),0,MAX(0,MIN($F194,EOMONTH(DATE(cfg_FY,9,1),0))-$E194+1))</f>
        <v>0</v>
      </c>
      <c r="AQ194" s="57" t="n">
        <f aca="false">IF(OR(OR($B194="",$E194="",$F194=""),$L194&lt;&gt;"لا"),0,MAX(0,MIN($F194,EOMONTH(DATE(cfg_FY,10,1),0))-$E194+1))</f>
        <v>0</v>
      </c>
      <c r="AR194" s="57" t="n">
        <f aca="false">IF(OR(OR($B194="",$E194="",$F194=""),$L194&lt;&gt;"لا"),0,MAX(0,MIN($F194,EOMONTH(DATE(cfg_FY,11,1),0))-$E194+1))</f>
        <v>0</v>
      </c>
      <c r="AS194" s="57" t="n">
        <f aca="false">IF(OR(OR($B194="",$E194="",$F194=""),$L194&lt;&gt;"لا"),0,MAX(0,MIN($F194,EOMONTH(DATE(cfg_FY,12,1),0))-$E194+1))</f>
        <v>0</v>
      </c>
      <c r="AT194" s="57" t="n">
        <f aca="false">IF(OR(OR($B194="",$E194="",$F194=""),$K194&lt;&gt;"نعم",$M194="نعم"),0,MAX(0,MIN($F194,EOMONTH(DATE(cfg_FY,1,1),0))-MAX($E194,DATE(cfg_FY,1,1))+1))</f>
        <v>0</v>
      </c>
      <c r="AU194" s="57" t="n">
        <f aca="false">IF(OR(OR($B194="",$E194="",$F194=""),$K194&lt;&gt;"نعم",$M194="نعم"),0,MAX(0,MIN($F194,EOMONTH(DATE(cfg_FY,2,1),0))-MAX($E194,DATE(cfg_FY,2,1))+1))</f>
        <v>0</v>
      </c>
      <c r="AV194" s="57" t="n">
        <f aca="false">IF(OR(OR($B194="",$E194="",$F194=""),$K194&lt;&gt;"نعم",$M194="نعم"),0,MAX(0,MIN($F194,EOMONTH(DATE(cfg_FY,3,1),0))-MAX($E194,DATE(cfg_FY,3,1))+1))</f>
        <v>0</v>
      </c>
      <c r="AW194" s="57" t="n">
        <f aca="false">IF(OR(OR($B194="",$E194="",$F194=""),$K194&lt;&gt;"نعم",$M194="نعم"),0,MAX(0,MIN($F194,EOMONTH(DATE(cfg_FY,4,1),0))-MAX($E194,DATE(cfg_FY,4,1))+1))</f>
        <v>0</v>
      </c>
      <c r="AX194" s="57" t="n">
        <f aca="false">IF(OR(OR($B194="",$E194="",$F194=""),$K194&lt;&gt;"نعم",$M194="نعم"),0,MAX(0,MIN($F194,EOMONTH(DATE(cfg_FY,5,1),0))-MAX($E194,DATE(cfg_FY,5,1))+1))</f>
        <v>0</v>
      </c>
      <c r="AY194" s="57" t="n">
        <f aca="false">IF(OR(OR($B194="",$E194="",$F194=""),$K194&lt;&gt;"نعم",$M194="نعم"),0,MAX(0,MIN($F194,EOMONTH(DATE(cfg_FY,6,1),0))-MAX($E194,DATE(cfg_FY,6,1))+1))</f>
        <v>0</v>
      </c>
      <c r="AZ194" s="57" t="n">
        <f aca="false">IF(OR(OR($B194="",$E194="",$F194=""),$K194&lt;&gt;"نعم",$M194="نعم"),0,MAX(0,MIN($F194,EOMONTH(DATE(cfg_FY,7,1),0))-MAX($E194,DATE(cfg_FY,7,1))+1))</f>
        <v>0</v>
      </c>
      <c r="BA194" s="57" t="n">
        <f aca="false">IF(OR(OR($B194="",$E194="",$F194=""),$K194&lt;&gt;"نعم",$M194="نعم"),0,MAX(0,MIN($F194,EOMONTH(DATE(cfg_FY,8,1),0))-MAX($E194,DATE(cfg_FY,8,1))+1))</f>
        <v>0</v>
      </c>
      <c r="BB194" s="57" t="n">
        <f aca="false">IF(OR(OR($B194="",$E194="",$F194=""),$K194&lt;&gt;"نعم",$M194="نعم"),0,MAX(0,MIN($F194,EOMONTH(DATE(cfg_FY,9,1),0))-MAX($E194,DATE(cfg_FY,9,1))+1))</f>
        <v>0</v>
      </c>
      <c r="BC194" s="57" t="n">
        <f aca="false">IF(OR(OR($B194="",$E194="",$F194=""),$K194&lt;&gt;"نعم",$M194="نعم"),0,MAX(0,MIN($F194,EOMONTH(DATE(cfg_FY,10,1),0))-MAX($E194,DATE(cfg_FY,10,1))+1))</f>
        <v>0</v>
      </c>
      <c r="BD194" s="57" t="n">
        <f aca="false">IF(OR(OR($B194="",$E194="",$F194=""),$K194&lt;&gt;"نعم",$M194="نعم"),0,MAX(0,MIN($F194,EOMONTH(DATE(cfg_FY,11,1),0))-MAX($E194,DATE(cfg_FY,11,1))+1))</f>
        <v>0</v>
      </c>
      <c r="BE194" s="57" t="n">
        <f aca="false">IF(OR(OR($B194="",$E194="",$F194=""),$K194&lt;&gt;"نعم",$M194="نعم"),0,MAX(0,MIN($F194,EOMONTH(DATE(cfg_FY,12,1),0))-MAX($E194,DATE(cfg_FY,12,1))+1))</f>
        <v>0</v>
      </c>
    </row>
    <row r="195" customFormat="false" ht="15" hidden="false" customHeight="false" outlineLevel="0" collapsed="false">
      <c r="A195" s="100" t="str">
        <f aca="false">IF(B195="","",ROW()-5)</f>
        <v/>
      </c>
      <c r="B195" s="79"/>
      <c r="C195" s="102" t="str">
        <f aca="false">IF(B195="","",IFERROR(INDEX(الموظفون!$C$6:$C$105,MATCH(B195,الموظفون!$B$6:$B$105,0)),"✖ رقم غير موجود"))</f>
        <v/>
      </c>
      <c r="D195" s="79"/>
      <c r="E195" s="94"/>
      <c r="F195" s="94"/>
      <c r="G195" s="110" t="str">
        <f aca="false">IF(OR($B195="",$E195="",$F195=""),"",MAX(0,F195-E195+1))</f>
        <v/>
      </c>
      <c r="H195" s="111" t="str">
        <f aca="false">IF(D195="","",IFERROR(VLOOKUP(D195,cfg_LT,2,FALSE()),1))</f>
        <v/>
      </c>
      <c r="I195" s="82"/>
      <c r="J195" s="111" t="str">
        <f aca="false">IF(D195="","",IF(I195&lt;&gt;"",I195,H195))</f>
        <v/>
      </c>
      <c r="K195" s="102" t="str">
        <f aca="false">IF(D195="","",IFERROR(VLOOKUP($D195,cfg_LT,3,FALSE()),""))</f>
        <v/>
      </c>
      <c r="L195" s="102" t="str">
        <f aca="false">IF(D195="","",IFERROR(VLOOKUP($D195,cfg_LT,4,FALSE()),""))</f>
        <v/>
      </c>
      <c r="M195" s="102" t="str">
        <f aca="false">IF(D195="","",IFERROR(VLOOKUP($D195,cfg_LT,5,FALSE()),""))</f>
        <v/>
      </c>
      <c r="N195" s="101" t="n">
        <f aca="false">IF(OR(OR($B195="",$E195="",$F195=""),M195&lt;&gt;"نعم"),0,G195*J195*IFERROR(INDEX(الموظفون!$R$6:$R$105,MATCH(B195,الموظفون!$B$6:$B$105,0)),0)/cfg_DAYS_M)</f>
        <v>0</v>
      </c>
      <c r="O195" s="100" t="str">
        <f aca="false">IF(OR(OR($B195="",$E195="",$F195=""),M195&lt;&gt;"نعم"),"",IF(YEAR(E195)=cfg_FY,MONTH(E195),""))</f>
        <v/>
      </c>
      <c r="P195" s="102" t="str">
        <f aca="false">IF(B195="","",IF(OR(D195="",E195="",F195=""),"⚠ أكمل النوع والتواريخ",IF(F195&lt;E195,"✖ النهاية قبل البداية",IF(COUNTIFS($B$6:$B$505,B195,$E$6:$E$505,"&lt;="&amp;F195,$F$6:$F$505,"&gt;="&amp;E195)&gt;1,"⚠ تداخل مع سجل آخر",IF(E195&gt;cfg_VAL_DATE,"⏳ قادمة",IF(F195&lt;cfg_VAL_DATE,"✔ منتهية","✈ جارية في تاريخ التقرير"))))))</f>
        <v/>
      </c>
      <c r="Q195" s="79"/>
      <c r="R195" s="110" t="n">
        <f aca="false">IF(OR(OR($B195="",$E195="",$F195=""),L195&lt;&gt;"لا"),0,MAX(0,MIN(F195,cfg_Y_START-1)-E195+1))</f>
        <v>0</v>
      </c>
      <c r="S195" s="110" t="n">
        <f aca="false">IF(OR(OR($B195="",$E195="",$F195=""),L195&lt;&gt;"لا"),0,MAX(0,MIN(F195,cfg_VAL_DATE)-E195+1))</f>
        <v>0</v>
      </c>
      <c r="T195" s="110" t="n">
        <f aca="false">IF(OR(OR($B195="",$E195="",$F195=""),K195&lt;&gt;"نعم"),0,IF(M195="نعم",IF(AND(ISNUMBER(O195),N(O195)&lt;=cfg_VAL_M),G195,0),MAX(0,MIN(F195,cfg_VAL_DATE)-MAX(E195,cfg_Y_START)+1)))</f>
        <v>0</v>
      </c>
      <c r="V195" s="110" t="n">
        <f aca="false">IF(OR($B195="",$E195="",$F195=""),0,MAX(0,MIN($F195,EOMONTH(DATE(cfg_FY,1,1),0))-MAX($E195,DATE(cfg_FY,1,1))+1)*(1-IF($M195="نعم",0,N($J195))))</f>
        <v>0</v>
      </c>
      <c r="W195" s="110" t="n">
        <f aca="false">IF(OR($B195="",$E195="",$F195=""),0,MAX(0,MIN($F195,EOMONTH(DATE(cfg_FY,2,1),0))-MAX($E195,DATE(cfg_FY,2,1))+1)*(1-IF($M195="نعم",0,N($J195))))</f>
        <v>0</v>
      </c>
      <c r="X195" s="110" t="n">
        <f aca="false">IF(OR($B195="",$E195="",$F195=""),0,MAX(0,MIN($F195,EOMONTH(DATE(cfg_FY,3,1),0))-MAX($E195,DATE(cfg_FY,3,1))+1)*(1-IF($M195="نعم",0,N($J195))))</f>
        <v>0</v>
      </c>
      <c r="Y195" s="110" t="n">
        <f aca="false">IF(OR($B195="",$E195="",$F195=""),0,MAX(0,MIN($F195,EOMONTH(DATE(cfg_FY,4,1),0))-MAX($E195,DATE(cfg_FY,4,1))+1)*(1-IF($M195="نعم",0,N($J195))))</f>
        <v>0</v>
      </c>
      <c r="Z195" s="110" t="n">
        <f aca="false">IF(OR($B195="",$E195="",$F195=""),0,MAX(0,MIN($F195,EOMONTH(DATE(cfg_FY,5,1),0))-MAX($E195,DATE(cfg_FY,5,1))+1)*(1-IF($M195="نعم",0,N($J195))))</f>
        <v>0</v>
      </c>
      <c r="AA195" s="110" t="n">
        <f aca="false">IF(OR($B195="",$E195="",$F195=""),0,MAX(0,MIN($F195,EOMONTH(DATE(cfg_FY,6,1),0))-MAX($E195,DATE(cfg_FY,6,1))+1)*(1-IF($M195="نعم",0,N($J195))))</f>
        <v>0</v>
      </c>
      <c r="AB195" s="110" t="n">
        <f aca="false">IF(OR($B195="",$E195="",$F195=""),0,MAX(0,MIN($F195,EOMONTH(DATE(cfg_FY,7,1),0))-MAX($E195,DATE(cfg_FY,7,1))+1)*(1-IF($M195="نعم",0,N($J195))))</f>
        <v>0</v>
      </c>
      <c r="AC195" s="110" t="n">
        <f aca="false">IF(OR($B195="",$E195="",$F195=""),0,MAX(0,MIN($F195,EOMONTH(DATE(cfg_FY,8,1),0))-MAX($E195,DATE(cfg_FY,8,1))+1)*(1-IF($M195="نعم",0,N($J195))))</f>
        <v>0</v>
      </c>
      <c r="AD195" s="110" t="n">
        <f aca="false">IF(OR($B195="",$E195="",$F195=""),0,MAX(0,MIN($F195,EOMONTH(DATE(cfg_FY,9,1),0))-MAX($E195,DATE(cfg_FY,9,1))+1)*(1-IF($M195="نعم",0,N($J195))))</f>
        <v>0</v>
      </c>
      <c r="AE195" s="110" t="n">
        <f aca="false">IF(OR($B195="",$E195="",$F195=""),0,MAX(0,MIN($F195,EOMONTH(DATE(cfg_FY,10,1),0))-MAX($E195,DATE(cfg_FY,10,1))+1)*(1-IF($M195="نعم",0,N($J195))))</f>
        <v>0</v>
      </c>
      <c r="AF195" s="110" t="n">
        <f aca="false">IF(OR($B195="",$E195="",$F195=""),0,MAX(0,MIN($F195,EOMONTH(DATE(cfg_FY,11,1),0))-MAX($E195,DATE(cfg_FY,11,1))+1)*(1-IF($M195="نعم",0,N($J195))))</f>
        <v>0</v>
      </c>
      <c r="AG195" s="110" t="n">
        <f aca="false">IF(OR($B195="",$E195="",$F195=""),0,MAX(0,MIN($F195,EOMONTH(DATE(cfg_FY,12,1),0))-MAX($E195,DATE(cfg_FY,12,1))+1)*(1-IF($M195="نعم",0,N($J195))))</f>
        <v>0</v>
      </c>
      <c r="AH195" s="110" t="n">
        <f aca="false">IF(OR(OR($B195="",$E195="",$F195=""),$L195&lt;&gt;"لا"),0,MAX(0,MIN($F195,EOMONTH(DATE(cfg_FY,1,1),0))-$E195+1))</f>
        <v>0</v>
      </c>
      <c r="AI195" s="110" t="n">
        <f aca="false">IF(OR(OR($B195="",$E195="",$F195=""),$L195&lt;&gt;"لا"),0,MAX(0,MIN($F195,EOMONTH(DATE(cfg_FY,2,1),0))-$E195+1))</f>
        <v>0</v>
      </c>
      <c r="AJ195" s="110" t="n">
        <f aca="false">IF(OR(OR($B195="",$E195="",$F195=""),$L195&lt;&gt;"لا"),0,MAX(0,MIN($F195,EOMONTH(DATE(cfg_FY,3,1),0))-$E195+1))</f>
        <v>0</v>
      </c>
      <c r="AK195" s="110" t="n">
        <f aca="false">IF(OR(OR($B195="",$E195="",$F195=""),$L195&lt;&gt;"لا"),0,MAX(0,MIN($F195,EOMONTH(DATE(cfg_FY,4,1),0))-$E195+1))</f>
        <v>0</v>
      </c>
      <c r="AL195" s="110" t="n">
        <f aca="false">IF(OR(OR($B195="",$E195="",$F195=""),$L195&lt;&gt;"لا"),0,MAX(0,MIN($F195,EOMONTH(DATE(cfg_FY,5,1),0))-$E195+1))</f>
        <v>0</v>
      </c>
      <c r="AM195" s="110" t="n">
        <f aca="false">IF(OR(OR($B195="",$E195="",$F195=""),$L195&lt;&gt;"لا"),0,MAX(0,MIN($F195,EOMONTH(DATE(cfg_FY,6,1),0))-$E195+1))</f>
        <v>0</v>
      </c>
      <c r="AN195" s="110" t="n">
        <f aca="false">IF(OR(OR($B195="",$E195="",$F195=""),$L195&lt;&gt;"لا"),0,MAX(0,MIN($F195,EOMONTH(DATE(cfg_FY,7,1),0))-$E195+1))</f>
        <v>0</v>
      </c>
      <c r="AO195" s="110" t="n">
        <f aca="false">IF(OR(OR($B195="",$E195="",$F195=""),$L195&lt;&gt;"لا"),0,MAX(0,MIN($F195,EOMONTH(DATE(cfg_FY,8,1),0))-$E195+1))</f>
        <v>0</v>
      </c>
      <c r="AP195" s="110" t="n">
        <f aca="false">IF(OR(OR($B195="",$E195="",$F195=""),$L195&lt;&gt;"لا"),0,MAX(0,MIN($F195,EOMONTH(DATE(cfg_FY,9,1),0))-$E195+1))</f>
        <v>0</v>
      </c>
      <c r="AQ195" s="110" t="n">
        <f aca="false">IF(OR(OR($B195="",$E195="",$F195=""),$L195&lt;&gt;"لا"),0,MAX(0,MIN($F195,EOMONTH(DATE(cfg_FY,10,1),0))-$E195+1))</f>
        <v>0</v>
      </c>
      <c r="AR195" s="110" t="n">
        <f aca="false">IF(OR(OR($B195="",$E195="",$F195=""),$L195&lt;&gt;"لا"),0,MAX(0,MIN($F195,EOMONTH(DATE(cfg_FY,11,1),0))-$E195+1))</f>
        <v>0</v>
      </c>
      <c r="AS195" s="110" t="n">
        <f aca="false">IF(OR(OR($B195="",$E195="",$F195=""),$L195&lt;&gt;"لا"),0,MAX(0,MIN($F195,EOMONTH(DATE(cfg_FY,12,1),0))-$E195+1))</f>
        <v>0</v>
      </c>
      <c r="AT195" s="110" t="n">
        <f aca="false">IF(OR(OR($B195="",$E195="",$F195=""),$K195&lt;&gt;"نعم",$M195="نعم"),0,MAX(0,MIN($F195,EOMONTH(DATE(cfg_FY,1,1),0))-MAX($E195,DATE(cfg_FY,1,1))+1))</f>
        <v>0</v>
      </c>
      <c r="AU195" s="110" t="n">
        <f aca="false">IF(OR(OR($B195="",$E195="",$F195=""),$K195&lt;&gt;"نعم",$M195="نعم"),0,MAX(0,MIN($F195,EOMONTH(DATE(cfg_FY,2,1),0))-MAX($E195,DATE(cfg_FY,2,1))+1))</f>
        <v>0</v>
      </c>
      <c r="AV195" s="110" t="n">
        <f aca="false">IF(OR(OR($B195="",$E195="",$F195=""),$K195&lt;&gt;"نعم",$M195="نعم"),0,MAX(0,MIN($F195,EOMONTH(DATE(cfg_FY,3,1),0))-MAX($E195,DATE(cfg_FY,3,1))+1))</f>
        <v>0</v>
      </c>
      <c r="AW195" s="110" t="n">
        <f aca="false">IF(OR(OR($B195="",$E195="",$F195=""),$K195&lt;&gt;"نعم",$M195="نعم"),0,MAX(0,MIN($F195,EOMONTH(DATE(cfg_FY,4,1),0))-MAX($E195,DATE(cfg_FY,4,1))+1))</f>
        <v>0</v>
      </c>
      <c r="AX195" s="110" t="n">
        <f aca="false">IF(OR(OR($B195="",$E195="",$F195=""),$K195&lt;&gt;"نعم",$M195="نعم"),0,MAX(0,MIN($F195,EOMONTH(DATE(cfg_FY,5,1),0))-MAX($E195,DATE(cfg_FY,5,1))+1))</f>
        <v>0</v>
      </c>
      <c r="AY195" s="110" t="n">
        <f aca="false">IF(OR(OR($B195="",$E195="",$F195=""),$K195&lt;&gt;"نعم",$M195="نعم"),0,MAX(0,MIN($F195,EOMONTH(DATE(cfg_FY,6,1),0))-MAX($E195,DATE(cfg_FY,6,1))+1))</f>
        <v>0</v>
      </c>
      <c r="AZ195" s="110" t="n">
        <f aca="false">IF(OR(OR($B195="",$E195="",$F195=""),$K195&lt;&gt;"نعم",$M195="نعم"),0,MAX(0,MIN($F195,EOMONTH(DATE(cfg_FY,7,1),0))-MAX($E195,DATE(cfg_FY,7,1))+1))</f>
        <v>0</v>
      </c>
      <c r="BA195" s="110" t="n">
        <f aca="false">IF(OR(OR($B195="",$E195="",$F195=""),$K195&lt;&gt;"نعم",$M195="نعم"),0,MAX(0,MIN($F195,EOMONTH(DATE(cfg_FY,8,1),0))-MAX($E195,DATE(cfg_FY,8,1))+1))</f>
        <v>0</v>
      </c>
      <c r="BB195" s="110" t="n">
        <f aca="false">IF(OR(OR($B195="",$E195="",$F195=""),$K195&lt;&gt;"نعم",$M195="نعم"),0,MAX(0,MIN($F195,EOMONTH(DATE(cfg_FY,9,1),0))-MAX($E195,DATE(cfg_FY,9,1))+1))</f>
        <v>0</v>
      </c>
      <c r="BC195" s="110" t="n">
        <f aca="false">IF(OR(OR($B195="",$E195="",$F195=""),$K195&lt;&gt;"نعم",$M195="نعم"),0,MAX(0,MIN($F195,EOMONTH(DATE(cfg_FY,10,1),0))-MAX($E195,DATE(cfg_FY,10,1))+1))</f>
        <v>0</v>
      </c>
      <c r="BD195" s="110" t="n">
        <f aca="false">IF(OR(OR($B195="",$E195="",$F195=""),$K195&lt;&gt;"نعم",$M195="نعم"),0,MAX(0,MIN($F195,EOMONTH(DATE(cfg_FY,11,1),0))-MAX($E195,DATE(cfg_FY,11,1))+1))</f>
        <v>0</v>
      </c>
      <c r="BE195" s="110" t="n">
        <f aca="false">IF(OR(OR($B195="",$E195="",$F195=""),$K195&lt;&gt;"نعم",$M195="نعم"),0,MAX(0,MIN($F195,EOMONTH(DATE(cfg_FY,12,1),0))-MAX($E195,DATE(cfg_FY,12,1))+1))</f>
        <v>0</v>
      </c>
    </row>
    <row r="196" customFormat="false" ht="15" hidden="false" customHeight="false" outlineLevel="0" collapsed="false">
      <c r="A196" s="93" t="str">
        <f aca="false">IF(B196="","",ROW()-5)</f>
        <v/>
      </c>
      <c r="B196" s="79"/>
      <c r="C196" s="80" t="str">
        <f aca="false">IF(B196="","",IFERROR(INDEX(الموظفون!$C$6:$C$105,MATCH(B196,الموظفون!$B$6:$B$105,0)),"✖ رقم غير موجود"))</f>
        <v/>
      </c>
      <c r="D196" s="79"/>
      <c r="E196" s="94"/>
      <c r="F196" s="94"/>
      <c r="G196" s="57" t="str">
        <f aca="false">IF(OR($B196="",$E196="",$F196=""),"",MAX(0,F196-E196+1))</f>
        <v/>
      </c>
      <c r="H196" s="58" t="str">
        <f aca="false">IF(D196="","",IFERROR(VLOOKUP(D196,cfg_LT,2,FALSE()),1))</f>
        <v/>
      </c>
      <c r="I196" s="82"/>
      <c r="J196" s="58" t="str">
        <f aca="false">IF(D196="","",IF(I196&lt;&gt;"",I196,H196))</f>
        <v/>
      </c>
      <c r="K196" s="80" t="str">
        <f aca="false">IF(D196="","",IFERROR(VLOOKUP($D196,cfg_LT,3,FALSE()),""))</f>
        <v/>
      </c>
      <c r="L196" s="80" t="str">
        <f aca="false">IF(D196="","",IFERROR(VLOOKUP($D196,cfg_LT,4,FALSE()),""))</f>
        <v/>
      </c>
      <c r="M196" s="80" t="str">
        <f aca="false">IF(D196="","",IFERROR(VLOOKUP($D196,cfg_LT,5,FALSE()),""))</f>
        <v/>
      </c>
      <c r="N196" s="97" t="n">
        <f aca="false">IF(OR(OR($B196="",$E196="",$F196=""),M196&lt;&gt;"نعم"),0,G196*J196*IFERROR(INDEX(الموظفون!$R$6:$R$105,MATCH(B196,الموظفون!$B$6:$B$105,0)),0)/cfg_DAYS_M)</f>
        <v>0</v>
      </c>
      <c r="O196" s="93" t="str">
        <f aca="false">IF(OR(OR($B196="",$E196="",$F196=""),M196&lt;&gt;"نعم"),"",IF(YEAR(E196)=cfg_FY,MONTH(E196),""))</f>
        <v/>
      </c>
      <c r="P196" s="80" t="str">
        <f aca="false">IF(B196="","",IF(OR(D196="",E196="",F196=""),"⚠ أكمل النوع والتواريخ",IF(F196&lt;E196,"✖ النهاية قبل البداية",IF(COUNTIFS($B$6:$B$505,B196,$E$6:$E$505,"&lt;="&amp;F196,$F$6:$F$505,"&gt;="&amp;E196)&gt;1,"⚠ تداخل مع سجل آخر",IF(E196&gt;cfg_VAL_DATE,"⏳ قادمة",IF(F196&lt;cfg_VAL_DATE,"✔ منتهية","✈ جارية في تاريخ التقرير"))))))</f>
        <v/>
      </c>
      <c r="Q196" s="79"/>
      <c r="R196" s="57" t="n">
        <f aca="false">IF(OR(OR($B196="",$E196="",$F196=""),L196&lt;&gt;"لا"),0,MAX(0,MIN(F196,cfg_Y_START-1)-E196+1))</f>
        <v>0</v>
      </c>
      <c r="S196" s="57" t="n">
        <f aca="false">IF(OR(OR($B196="",$E196="",$F196=""),L196&lt;&gt;"لا"),0,MAX(0,MIN(F196,cfg_VAL_DATE)-E196+1))</f>
        <v>0</v>
      </c>
      <c r="T196" s="57" t="n">
        <f aca="false">IF(OR(OR($B196="",$E196="",$F196=""),K196&lt;&gt;"نعم"),0,IF(M196="نعم",IF(AND(ISNUMBER(O196),N(O196)&lt;=cfg_VAL_M),G196,0),MAX(0,MIN(F196,cfg_VAL_DATE)-MAX(E196,cfg_Y_START)+1)))</f>
        <v>0</v>
      </c>
      <c r="V196" s="57" t="n">
        <f aca="false">IF(OR($B196="",$E196="",$F196=""),0,MAX(0,MIN($F196,EOMONTH(DATE(cfg_FY,1,1),0))-MAX($E196,DATE(cfg_FY,1,1))+1)*(1-IF($M196="نعم",0,N($J196))))</f>
        <v>0</v>
      </c>
      <c r="W196" s="57" t="n">
        <f aca="false">IF(OR($B196="",$E196="",$F196=""),0,MAX(0,MIN($F196,EOMONTH(DATE(cfg_FY,2,1),0))-MAX($E196,DATE(cfg_FY,2,1))+1)*(1-IF($M196="نعم",0,N($J196))))</f>
        <v>0</v>
      </c>
      <c r="X196" s="57" t="n">
        <f aca="false">IF(OR($B196="",$E196="",$F196=""),0,MAX(0,MIN($F196,EOMONTH(DATE(cfg_FY,3,1),0))-MAX($E196,DATE(cfg_FY,3,1))+1)*(1-IF($M196="نعم",0,N($J196))))</f>
        <v>0</v>
      </c>
      <c r="Y196" s="57" t="n">
        <f aca="false">IF(OR($B196="",$E196="",$F196=""),0,MAX(0,MIN($F196,EOMONTH(DATE(cfg_FY,4,1),0))-MAX($E196,DATE(cfg_FY,4,1))+1)*(1-IF($M196="نعم",0,N($J196))))</f>
        <v>0</v>
      </c>
      <c r="Z196" s="57" t="n">
        <f aca="false">IF(OR($B196="",$E196="",$F196=""),0,MAX(0,MIN($F196,EOMONTH(DATE(cfg_FY,5,1),0))-MAX($E196,DATE(cfg_FY,5,1))+1)*(1-IF($M196="نعم",0,N($J196))))</f>
        <v>0</v>
      </c>
      <c r="AA196" s="57" t="n">
        <f aca="false">IF(OR($B196="",$E196="",$F196=""),0,MAX(0,MIN($F196,EOMONTH(DATE(cfg_FY,6,1),0))-MAX($E196,DATE(cfg_FY,6,1))+1)*(1-IF($M196="نعم",0,N($J196))))</f>
        <v>0</v>
      </c>
      <c r="AB196" s="57" t="n">
        <f aca="false">IF(OR($B196="",$E196="",$F196=""),0,MAX(0,MIN($F196,EOMONTH(DATE(cfg_FY,7,1),0))-MAX($E196,DATE(cfg_FY,7,1))+1)*(1-IF($M196="نعم",0,N($J196))))</f>
        <v>0</v>
      </c>
      <c r="AC196" s="57" t="n">
        <f aca="false">IF(OR($B196="",$E196="",$F196=""),0,MAX(0,MIN($F196,EOMONTH(DATE(cfg_FY,8,1),0))-MAX($E196,DATE(cfg_FY,8,1))+1)*(1-IF($M196="نعم",0,N($J196))))</f>
        <v>0</v>
      </c>
      <c r="AD196" s="57" t="n">
        <f aca="false">IF(OR($B196="",$E196="",$F196=""),0,MAX(0,MIN($F196,EOMONTH(DATE(cfg_FY,9,1),0))-MAX($E196,DATE(cfg_FY,9,1))+1)*(1-IF($M196="نعم",0,N($J196))))</f>
        <v>0</v>
      </c>
      <c r="AE196" s="57" t="n">
        <f aca="false">IF(OR($B196="",$E196="",$F196=""),0,MAX(0,MIN($F196,EOMONTH(DATE(cfg_FY,10,1),0))-MAX($E196,DATE(cfg_FY,10,1))+1)*(1-IF($M196="نعم",0,N($J196))))</f>
        <v>0</v>
      </c>
      <c r="AF196" s="57" t="n">
        <f aca="false">IF(OR($B196="",$E196="",$F196=""),0,MAX(0,MIN($F196,EOMONTH(DATE(cfg_FY,11,1),0))-MAX($E196,DATE(cfg_FY,11,1))+1)*(1-IF($M196="نعم",0,N($J196))))</f>
        <v>0</v>
      </c>
      <c r="AG196" s="57" t="n">
        <f aca="false">IF(OR($B196="",$E196="",$F196=""),0,MAX(0,MIN($F196,EOMONTH(DATE(cfg_FY,12,1),0))-MAX($E196,DATE(cfg_FY,12,1))+1)*(1-IF($M196="نعم",0,N($J196))))</f>
        <v>0</v>
      </c>
      <c r="AH196" s="57" t="n">
        <f aca="false">IF(OR(OR($B196="",$E196="",$F196=""),$L196&lt;&gt;"لا"),0,MAX(0,MIN($F196,EOMONTH(DATE(cfg_FY,1,1),0))-$E196+1))</f>
        <v>0</v>
      </c>
      <c r="AI196" s="57" t="n">
        <f aca="false">IF(OR(OR($B196="",$E196="",$F196=""),$L196&lt;&gt;"لا"),0,MAX(0,MIN($F196,EOMONTH(DATE(cfg_FY,2,1),0))-$E196+1))</f>
        <v>0</v>
      </c>
      <c r="AJ196" s="57" t="n">
        <f aca="false">IF(OR(OR($B196="",$E196="",$F196=""),$L196&lt;&gt;"لا"),0,MAX(0,MIN($F196,EOMONTH(DATE(cfg_FY,3,1),0))-$E196+1))</f>
        <v>0</v>
      </c>
      <c r="AK196" s="57" t="n">
        <f aca="false">IF(OR(OR($B196="",$E196="",$F196=""),$L196&lt;&gt;"لا"),0,MAX(0,MIN($F196,EOMONTH(DATE(cfg_FY,4,1),0))-$E196+1))</f>
        <v>0</v>
      </c>
      <c r="AL196" s="57" t="n">
        <f aca="false">IF(OR(OR($B196="",$E196="",$F196=""),$L196&lt;&gt;"لا"),0,MAX(0,MIN($F196,EOMONTH(DATE(cfg_FY,5,1),0))-$E196+1))</f>
        <v>0</v>
      </c>
      <c r="AM196" s="57" t="n">
        <f aca="false">IF(OR(OR($B196="",$E196="",$F196=""),$L196&lt;&gt;"لا"),0,MAX(0,MIN($F196,EOMONTH(DATE(cfg_FY,6,1),0))-$E196+1))</f>
        <v>0</v>
      </c>
      <c r="AN196" s="57" t="n">
        <f aca="false">IF(OR(OR($B196="",$E196="",$F196=""),$L196&lt;&gt;"لا"),0,MAX(0,MIN($F196,EOMONTH(DATE(cfg_FY,7,1),0))-$E196+1))</f>
        <v>0</v>
      </c>
      <c r="AO196" s="57" t="n">
        <f aca="false">IF(OR(OR($B196="",$E196="",$F196=""),$L196&lt;&gt;"لا"),0,MAX(0,MIN($F196,EOMONTH(DATE(cfg_FY,8,1),0))-$E196+1))</f>
        <v>0</v>
      </c>
      <c r="AP196" s="57" t="n">
        <f aca="false">IF(OR(OR($B196="",$E196="",$F196=""),$L196&lt;&gt;"لا"),0,MAX(0,MIN($F196,EOMONTH(DATE(cfg_FY,9,1),0))-$E196+1))</f>
        <v>0</v>
      </c>
      <c r="AQ196" s="57" t="n">
        <f aca="false">IF(OR(OR($B196="",$E196="",$F196=""),$L196&lt;&gt;"لا"),0,MAX(0,MIN($F196,EOMONTH(DATE(cfg_FY,10,1),0))-$E196+1))</f>
        <v>0</v>
      </c>
      <c r="AR196" s="57" t="n">
        <f aca="false">IF(OR(OR($B196="",$E196="",$F196=""),$L196&lt;&gt;"لا"),0,MAX(0,MIN($F196,EOMONTH(DATE(cfg_FY,11,1),0))-$E196+1))</f>
        <v>0</v>
      </c>
      <c r="AS196" s="57" t="n">
        <f aca="false">IF(OR(OR($B196="",$E196="",$F196=""),$L196&lt;&gt;"لا"),0,MAX(0,MIN($F196,EOMONTH(DATE(cfg_FY,12,1),0))-$E196+1))</f>
        <v>0</v>
      </c>
      <c r="AT196" s="57" t="n">
        <f aca="false">IF(OR(OR($B196="",$E196="",$F196=""),$K196&lt;&gt;"نعم",$M196="نعم"),0,MAX(0,MIN($F196,EOMONTH(DATE(cfg_FY,1,1),0))-MAX($E196,DATE(cfg_FY,1,1))+1))</f>
        <v>0</v>
      </c>
      <c r="AU196" s="57" t="n">
        <f aca="false">IF(OR(OR($B196="",$E196="",$F196=""),$K196&lt;&gt;"نعم",$M196="نعم"),0,MAX(0,MIN($F196,EOMONTH(DATE(cfg_FY,2,1),0))-MAX($E196,DATE(cfg_FY,2,1))+1))</f>
        <v>0</v>
      </c>
      <c r="AV196" s="57" t="n">
        <f aca="false">IF(OR(OR($B196="",$E196="",$F196=""),$K196&lt;&gt;"نعم",$M196="نعم"),0,MAX(0,MIN($F196,EOMONTH(DATE(cfg_FY,3,1),0))-MAX($E196,DATE(cfg_FY,3,1))+1))</f>
        <v>0</v>
      </c>
      <c r="AW196" s="57" t="n">
        <f aca="false">IF(OR(OR($B196="",$E196="",$F196=""),$K196&lt;&gt;"نعم",$M196="نعم"),0,MAX(0,MIN($F196,EOMONTH(DATE(cfg_FY,4,1),0))-MAX($E196,DATE(cfg_FY,4,1))+1))</f>
        <v>0</v>
      </c>
      <c r="AX196" s="57" t="n">
        <f aca="false">IF(OR(OR($B196="",$E196="",$F196=""),$K196&lt;&gt;"نعم",$M196="نعم"),0,MAX(0,MIN($F196,EOMONTH(DATE(cfg_FY,5,1),0))-MAX($E196,DATE(cfg_FY,5,1))+1))</f>
        <v>0</v>
      </c>
      <c r="AY196" s="57" t="n">
        <f aca="false">IF(OR(OR($B196="",$E196="",$F196=""),$K196&lt;&gt;"نعم",$M196="نعم"),0,MAX(0,MIN($F196,EOMONTH(DATE(cfg_FY,6,1),0))-MAX($E196,DATE(cfg_FY,6,1))+1))</f>
        <v>0</v>
      </c>
      <c r="AZ196" s="57" t="n">
        <f aca="false">IF(OR(OR($B196="",$E196="",$F196=""),$K196&lt;&gt;"نعم",$M196="نعم"),0,MAX(0,MIN($F196,EOMONTH(DATE(cfg_FY,7,1),0))-MAX($E196,DATE(cfg_FY,7,1))+1))</f>
        <v>0</v>
      </c>
      <c r="BA196" s="57" t="n">
        <f aca="false">IF(OR(OR($B196="",$E196="",$F196=""),$K196&lt;&gt;"نعم",$M196="نعم"),0,MAX(0,MIN($F196,EOMONTH(DATE(cfg_FY,8,1),0))-MAX($E196,DATE(cfg_FY,8,1))+1))</f>
        <v>0</v>
      </c>
      <c r="BB196" s="57" t="n">
        <f aca="false">IF(OR(OR($B196="",$E196="",$F196=""),$K196&lt;&gt;"نعم",$M196="نعم"),0,MAX(0,MIN($F196,EOMONTH(DATE(cfg_FY,9,1),0))-MAX($E196,DATE(cfg_FY,9,1))+1))</f>
        <v>0</v>
      </c>
      <c r="BC196" s="57" t="n">
        <f aca="false">IF(OR(OR($B196="",$E196="",$F196=""),$K196&lt;&gt;"نعم",$M196="نعم"),0,MAX(0,MIN($F196,EOMONTH(DATE(cfg_FY,10,1),0))-MAX($E196,DATE(cfg_FY,10,1))+1))</f>
        <v>0</v>
      </c>
      <c r="BD196" s="57" t="n">
        <f aca="false">IF(OR(OR($B196="",$E196="",$F196=""),$K196&lt;&gt;"نعم",$M196="نعم"),0,MAX(0,MIN($F196,EOMONTH(DATE(cfg_FY,11,1),0))-MAX($E196,DATE(cfg_FY,11,1))+1))</f>
        <v>0</v>
      </c>
      <c r="BE196" s="57" t="n">
        <f aca="false">IF(OR(OR($B196="",$E196="",$F196=""),$K196&lt;&gt;"نعم",$M196="نعم"),0,MAX(0,MIN($F196,EOMONTH(DATE(cfg_FY,12,1),0))-MAX($E196,DATE(cfg_FY,12,1))+1))</f>
        <v>0</v>
      </c>
    </row>
    <row r="197" customFormat="false" ht="15" hidden="false" customHeight="false" outlineLevel="0" collapsed="false">
      <c r="A197" s="100" t="str">
        <f aca="false">IF(B197="","",ROW()-5)</f>
        <v/>
      </c>
      <c r="B197" s="79"/>
      <c r="C197" s="102" t="str">
        <f aca="false">IF(B197="","",IFERROR(INDEX(الموظفون!$C$6:$C$105,MATCH(B197,الموظفون!$B$6:$B$105,0)),"✖ رقم غير موجود"))</f>
        <v/>
      </c>
      <c r="D197" s="79"/>
      <c r="E197" s="94"/>
      <c r="F197" s="94"/>
      <c r="G197" s="110" t="str">
        <f aca="false">IF(OR($B197="",$E197="",$F197=""),"",MAX(0,F197-E197+1))</f>
        <v/>
      </c>
      <c r="H197" s="111" t="str">
        <f aca="false">IF(D197="","",IFERROR(VLOOKUP(D197,cfg_LT,2,FALSE()),1))</f>
        <v/>
      </c>
      <c r="I197" s="82"/>
      <c r="J197" s="111" t="str">
        <f aca="false">IF(D197="","",IF(I197&lt;&gt;"",I197,H197))</f>
        <v/>
      </c>
      <c r="K197" s="102" t="str">
        <f aca="false">IF(D197="","",IFERROR(VLOOKUP($D197,cfg_LT,3,FALSE()),""))</f>
        <v/>
      </c>
      <c r="L197" s="102" t="str">
        <f aca="false">IF(D197="","",IFERROR(VLOOKUP($D197,cfg_LT,4,FALSE()),""))</f>
        <v/>
      </c>
      <c r="M197" s="102" t="str">
        <f aca="false">IF(D197="","",IFERROR(VLOOKUP($D197,cfg_LT,5,FALSE()),""))</f>
        <v/>
      </c>
      <c r="N197" s="101" t="n">
        <f aca="false">IF(OR(OR($B197="",$E197="",$F197=""),M197&lt;&gt;"نعم"),0,G197*J197*IFERROR(INDEX(الموظفون!$R$6:$R$105,MATCH(B197,الموظفون!$B$6:$B$105,0)),0)/cfg_DAYS_M)</f>
        <v>0</v>
      </c>
      <c r="O197" s="100" t="str">
        <f aca="false">IF(OR(OR($B197="",$E197="",$F197=""),M197&lt;&gt;"نعم"),"",IF(YEAR(E197)=cfg_FY,MONTH(E197),""))</f>
        <v/>
      </c>
      <c r="P197" s="102" t="str">
        <f aca="false">IF(B197="","",IF(OR(D197="",E197="",F197=""),"⚠ أكمل النوع والتواريخ",IF(F197&lt;E197,"✖ النهاية قبل البداية",IF(COUNTIFS($B$6:$B$505,B197,$E$6:$E$505,"&lt;="&amp;F197,$F$6:$F$505,"&gt;="&amp;E197)&gt;1,"⚠ تداخل مع سجل آخر",IF(E197&gt;cfg_VAL_DATE,"⏳ قادمة",IF(F197&lt;cfg_VAL_DATE,"✔ منتهية","✈ جارية في تاريخ التقرير"))))))</f>
        <v/>
      </c>
      <c r="Q197" s="79"/>
      <c r="R197" s="110" t="n">
        <f aca="false">IF(OR(OR($B197="",$E197="",$F197=""),L197&lt;&gt;"لا"),0,MAX(0,MIN(F197,cfg_Y_START-1)-E197+1))</f>
        <v>0</v>
      </c>
      <c r="S197" s="110" t="n">
        <f aca="false">IF(OR(OR($B197="",$E197="",$F197=""),L197&lt;&gt;"لا"),0,MAX(0,MIN(F197,cfg_VAL_DATE)-E197+1))</f>
        <v>0</v>
      </c>
      <c r="T197" s="110" t="n">
        <f aca="false">IF(OR(OR($B197="",$E197="",$F197=""),K197&lt;&gt;"نعم"),0,IF(M197="نعم",IF(AND(ISNUMBER(O197),N(O197)&lt;=cfg_VAL_M),G197,0),MAX(0,MIN(F197,cfg_VAL_DATE)-MAX(E197,cfg_Y_START)+1)))</f>
        <v>0</v>
      </c>
      <c r="V197" s="110" t="n">
        <f aca="false">IF(OR($B197="",$E197="",$F197=""),0,MAX(0,MIN($F197,EOMONTH(DATE(cfg_FY,1,1),0))-MAX($E197,DATE(cfg_FY,1,1))+1)*(1-IF($M197="نعم",0,N($J197))))</f>
        <v>0</v>
      </c>
      <c r="W197" s="110" t="n">
        <f aca="false">IF(OR($B197="",$E197="",$F197=""),0,MAX(0,MIN($F197,EOMONTH(DATE(cfg_FY,2,1),0))-MAX($E197,DATE(cfg_FY,2,1))+1)*(1-IF($M197="نعم",0,N($J197))))</f>
        <v>0</v>
      </c>
      <c r="X197" s="110" t="n">
        <f aca="false">IF(OR($B197="",$E197="",$F197=""),0,MAX(0,MIN($F197,EOMONTH(DATE(cfg_FY,3,1),0))-MAX($E197,DATE(cfg_FY,3,1))+1)*(1-IF($M197="نعم",0,N($J197))))</f>
        <v>0</v>
      </c>
      <c r="Y197" s="110" t="n">
        <f aca="false">IF(OR($B197="",$E197="",$F197=""),0,MAX(0,MIN($F197,EOMONTH(DATE(cfg_FY,4,1),0))-MAX($E197,DATE(cfg_FY,4,1))+1)*(1-IF($M197="نعم",0,N($J197))))</f>
        <v>0</v>
      </c>
      <c r="Z197" s="110" t="n">
        <f aca="false">IF(OR($B197="",$E197="",$F197=""),0,MAX(0,MIN($F197,EOMONTH(DATE(cfg_FY,5,1),0))-MAX($E197,DATE(cfg_FY,5,1))+1)*(1-IF($M197="نعم",0,N($J197))))</f>
        <v>0</v>
      </c>
      <c r="AA197" s="110" t="n">
        <f aca="false">IF(OR($B197="",$E197="",$F197=""),0,MAX(0,MIN($F197,EOMONTH(DATE(cfg_FY,6,1),0))-MAX($E197,DATE(cfg_FY,6,1))+1)*(1-IF($M197="نعم",0,N($J197))))</f>
        <v>0</v>
      </c>
      <c r="AB197" s="110" t="n">
        <f aca="false">IF(OR($B197="",$E197="",$F197=""),0,MAX(0,MIN($F197,EOMONTH(DATE(cfg_FY,7,1),0))-MAX($E197,DATE(cfg_FY,7,1))+1)*(1-IF($M197="نعم",0,N($J197))))</f>
        <v>0</v>
      </c>
      <c r="AC197" s="110" t="n">
        <f aca="false">IF(OR($B197="",$E197="",$F197=""),0,MAX(0,MIN($F197,EOMONTH(DATE(cfg_FY,8,1),0))-MAX($E197,DATE(cfg_FY,8,1))+1)*(1-IF($M197="نعم",0,N($J197))))</f>
        <v>0</v>
      </c>
      <c r="AD197" s="110" t="n">
        <f aca="false">IF(OR($B197="",$E197="",$F197=""),0,MAX(0,MIN($F197,EOMONTH(DATE(cfg_FY,9,1),0))-MAX($E197,DATE(cfg_FY,9,1))+1)*(1-IF($M197="نعم",0,N($J197))))</f>
        <v>0</v>
      </c>
      <c r="AE197" s="110" t="n">
        <f aca="false">IF(OR($B197="",$E197="",$F197=""),0,MAX(0,MIN($F197,EOMONTH(DATE(cfg_FY,10,1),0))-MAX($E197,DATE(cfg_FY,10,1))+1)*(1-IF($M197="نعم",0,N($J197))))</f>
        <v>0</v>
      </c>
      <c r="AF197" s="110" t="n">
        <f aca="false">IF(OR($B197="",$E197="",$F197=""),0,MAX(0,MIN($F197,EOMONTH(DATE(cfg_FY,11,1),0))-MAX($E197,DATE(cfg_FY,11,1))+1)*(1-IF($M197="نعم",0,N($J197))))</f>
        <v>0</v>
      </c>
      <c r="AG197" s="110" t="n">
        <f aca="false">IF(OR($B197="",$E197="",$F197=""),0,MAX(0,MIN($F197,EOMONTH(DATE(cfg_FY,12,1),0))-MAX($E197,DATE(cfg_FY,12,1))+1)*(1-IF($M197="نعم",0,N($J197))))</f>
        <v>0</v>
      </c>
      <c r="AH197" s="110" t="n">
        <f aca="false">IF(OR(OR($B197="",$E197="",$F197=""),$L197&lt;&gt;"لا"),0,MAX(0,MIN($F197,EOMONTH(DATE(cfg_FY,1,1),0))-$E197+1))</f>
        <v>0</v>
      </c>
      <c r="AI197" s="110" t="n">
        <f aca="false">IF(OR(OR($B197="",$E197="",$F197=""),$L197&lt;&gt;"لا"),0,MAX(0,MIN($F197,EOMONTH(DATE(cfg_FY,2,1),0))-$E197+1))</f>
        <v>0</v>
      </c>
      <c r="AJ197" s="110" t="n">
        <f aca="false">IF(OR(OR($B197="",$E197="",$F197=""),$L197&lt;&gt;"لا"),0,MAX(0,MIN($F197,EOMONTH(DATE(cfg_FY,3,1),0))-$E197+1))</f>
        <v>0</v>
      </c>
      <c r="AK197" s="110" t="n">
        <f aca="false">IF(OR(OR($B197="",$E197="",$F197=""),$L197&lt;&gt;"لا"),0,MAX(0,MIN($F197,EOMONTH(DATE(cfg_FY,4,1),0))-$E197+1))</f>
        <v>0</v>
      </c>
      <c r="AL197" s="110" t="n">
        <f aca="false">IF(OR(OR($B197="",$E197="",$F197=""),$L197&lt;&gt;"لا"),0,MAX(0,MIN($F197,EOMONTH(DATE(cfg_FY,5,1),0))-$E197+1))</f>
        <v>0</v>
      </c>
      <c r="AM197" s="110" t="n">
        <f aca="false">IF(OR(OR($B197="",$E197="",$F197=""),$L197&lt;&gt;"لا"),0,MAX(0,MIN($F197,EOMONTH(DATE(cfg_FY,6,1),0))-$E197+1))</f>
        <v>0</v>
      </c>
      <c r="AN197" s="110" t="n">
        <f aca="false">IF(OR(OR($B197="",$E197="",$F197=""),$L197&lt;&gt;"لا"),0,MAX(0,MIN($F197,EOMONTH(DATE(cfg_FY,7,1),0))-$E197+1))</f>
        <v>0</v>
      </c>
      <c r="AO197" s="110" t="n">
        <f aca="false">IF(OR(OR($B197="",$E197="",$F197=""),$L197&lt;&gt;"لا"),0,MAX(0,MIN($F197,EOMONTH(DATE(cfg_FY,8,1),0))-$E197+1))</f>
        <v>0</v>
      </c>
      <c r="AP197" s="110" t="n">
        <f aca="false">IF(OR(OR($B197="",$E197="",$F197=""),$L197&lt;&gt;"لا"),0,MAX(0,MIN($F197,EOMONTH(DATE(cfg_FY,9,1),0))-$E197+1))</f>
        <v>0</v>
      </c>
      <c r="AQ197" s="110" t="n">
        <f aca="false">IF(OR(OR($B197="",$E197="",$F197=""),$L197&lt;&gt;"لا"),0,MAX(0,MIN($F197,EOMONTH(DATE(cfg_FY,10,1),0))-$E197+1))</f>
        <v>0</v>
      </c>
      <c r="AR197" s="110" t="n">
        <f aca="false">IF(OR(OR($B197="",$E197="",$F197=""),$L197&lt;&gt;"لا"),0,MAX(0,MIN($F197,EOMONTH(DATE(cfg_FY,11,1),0))-$E197+1))</f>
        <v>0</v>
      </c>
      <c r="AS197" s="110" t="n">
        <f aca="false">IF(OR(OR($B197="",$E197="",$F197=""),$L197&lt;&gt;"لا"),0,MAX(0,MIN($F197,EOMONTH(DATE(cfg_FY,12,1),0))-$E197+1))</f>
        <v>0</v>
      </c>
      <c r="AT197" s="110" t="n">
        <f aca="false">IF(OR(OR($B197="",$E197="",$F197=""),$K197&lt;&gt;"نعم",$M197="نعم"),0,MAX(0,MIN($F197,EOMONTH(DATE(cfg_FY,1,1),0))-MAX($E197,DATE(cfg_FY,1,1))+1))</f>
        <v>0</v>
      </c>
      <c r="AU197" s="110" t="n">
        <f aca="false">IF(OR(OR($B197="",$E197="",$F197=""),$K197&lt;&gt;"نعم",$M197="نعم"),0,MAX(0,MIN($F197,EOMONTH(DATE(cfg_FY,2,1),0))-MAX($E197,DATE(cfg_FY,2,1))+1))</f>
        <v>0</v>
      </c>
      <c r="AV197" s="110" t="n">
        <f aca="false">IF(OR(OR($B197="",$E197="",$F197=""),$K197&lt;&gt;"نعم",$M197="نعم"),0,MAX(0,MIN($F197,EOMONTH(DATE(cfg_FY,3,1),0))-MAX($E197,DATE(cfg_FY,3,1))+1))</f>
        <v>0</v>
      </c>
      <c r="AW197" s="110" t="n">
        <f aca="false">IF(OR(OR($B197="",$E197="",$F197=""),$K197&lt;&gt;"نعم",$M197="نعم"),0,MAX(0,MIN($F197,EOMONTH(DATE(cfg_FY,4,1),0))-MAX($E197,DATE(cfg_FY,4,1))+1))</f>
        <v>0</v>
      </c>
      <c r="AX197" s="110" t="n">
        <f aca="false">IF(OR(OR($B197="",$E197="",$F197=""),$K197&lt;&gt;"نعم",$M197="نعم"),0,MAX(0,MIN($F197,EOMONTH(DATE(cfg_FY,5,1),0))-MAX($E197,DATE(cfg_FY,5,1))+1))</f>
        <v>0</v>
      </c>
      <c r="AY197" s="110" t="n">
        <f aca="false">IF(OR(OR($B197="",$E197="",$F197=""),$K197&lt;&gt;"نعم",$M197="نعم"),0,MAX(0,MIN($F197,EOMONTH(DATE(cfg_FY,6,1),0))-MAX($E197,DATE(cfg_FY,6,1))+1))</f>
        <v>0</v>
      </c>
      <c r="AZ197" s="110" t="n">
        <f aca="false">IF(OR(OR($B197="",$E197="",$F197=""),$K197&lt;&gt;"نعم",$M197="نعم"),0,MAX(0,MIN($F197,EOMONTH(DATE(cfg_FY,7,1),0))-MAX($E197,DATE(cfg_FY,7,1))+1))</f>
        <v>0</v>
      </c>
      <c r="BA197" s="110" t="n">
        <f aca="false">IF(OR(OR($B197="",$E197="",$F197=""),$K197&lt;&gt;"نعم",$M197="نعم"),0,MAX(0,MIN($F197,EOMONTH(DATE(cfg_FY,8,1),0))-MAX($E197,DATE(cfg_FY,8,1))+1))</f>
        <v>0</v>
      </c>
      <c r="BB197" s="110" t="n">
        <f aca="false">IF(OR(OR($B197="",$E197="",$F197=""),$K197&lt;&gt;"نعم",$M197="نعم"),0,MAX(0,MIN($F197,EOMONTH(DATE(cfg_FY,9,1),0))-MAX($E197,DATE(cfg_FY,9,1))+1))</f>
        <v>0</v>
      </c>
      <c r="BC197" s="110" t="n">
        <f aca="false">IF(OR(OR($B197="",$E197="",$F197=""),$K197&lt;&gt;"نعم",$M197="نعم"),0,MAX(0,MIN($F197,EOMONTH(DATE(cfg_FY,10,1),0))-MAX($E197,DATE(cfg_FY,10,1))+1))</f>
        <v>0</v>
      </c>
      <c r="BD197" s="110" t="n">
        <f aca="false">IF(OR(OR($B197="",$E197="",$F197=""),$K197&lt;&gt;"نعم",$M197="نعم"),0,MAX(0,MIN($F197,EOMONTH(DATE(cfg_FY,11,1),0))-MAX($E197,DATE(cfg_FY,11,1))+1))</f>
        <v>0</v>
      </c>
      <c r="BE197" s="110" t="n">
        <f aca="false">IF(OR(OR($B197="",$E197="",$F197=""),$K197&lt;&gt;"نعم",$M197="نعم"),0,MAX(0,MIN($F197,EOMONTH(DATE(cfg_FY,12,1),0))-MAX($E197,DATE(cfg_FY,12,1))+1))</f>
        <v>0</v>
      </c>
    </row>
    <row r="198" customFormat="false" ht="15" hidden="false" customHeight="false" outlineLevel="0" collapsed="false">
      <c r="A198" s="93" t="str">
        <f aca="false">IF(B198="","",ROW()-5)</f>
        <v/>
      </c>
      <c r="B198" s="79"/>
      <c r="C198" s="80" t="str">
        <f aca="false">IF(B198="","",IFERROR(INDEX(الموظفون!$C$6:$C$105,MATCH(B198,الموظفون!$B$6:$B$105,0)),"✖ رقم غير موجود"))</f>
        <v/>
      </c>
      <c r="D198" s="79"/>
      <c r="E198" s="94"/>
      <c r="F198" s="94"/>
      <c r="G198" s="57" t="str">
        <f aca="false">IF(OR($B198="",$E198="",$F198=""),"",MAX(0,F198-E198+1))</f>
        <v/>
      </c>
      <c r="H198" s="58" t="str">
        <f aca="false">IF(D198="","",IFERROR(VLOOKUP(D198,cfg_LT,2,FALSE()),1))</f>
        <v/>
      </c>
      <c r="I198" s="82"/>
      <c r="J198" s="58" t="str">
        <f aca="false">IF(D198="","",IF(I198&lt;&gt;"",I198,H198))</f>
        <v/>
      </c>
      <c r="K198" s="80" t="str">
        <f aca="false">IF(D198="","",IFERROR(VLOOKUP($D198,cfg_LT,3,FALSE()),""))</f>
        <v/>
      </c>
      <c r="L198" s="80" t="str">
        <f aca="false">IF(D198="","",IFERROR(VLOOKUP($D198,cfg_LT,4,FALSE()),""))</f>
        <v/>
      </c>
      <c r="M198" s="80" t="str">
        <f aca="false">IF(D198="","",IFERROR(VLOOKUP($D198,cfg_LT,5,FALSE()),""))</f>
        <v/>
      </c>
      <c r="N198" s="97" t="n">
        <f aca="false">IF(OR(OR($B198="",$E198="",$F198=""),M198&lt;&gt;"نعم"),0,G198*J198*IFERROR(INDEX(الموظفون!$R$6:$R$105,MATCH(B198,الموظفون!$B$6:$B$105,0)),0)/cfg_DAYS_M)</f>
        <v>0</v>
      </c>
      <c r="O198" s="93" t="str">
        <f aca="false">IF(OR(OR($B198="",$E198="",$F198=""),M198&lt;&gt;"نعم"),"",IF(YEAR(E198)=cfg_FY,MONTH(E198),""))</f>
        <v/>
      </c>
      <c r="P198" s="80" t="str">
        <f aca="false">IF(B198="","",IF(OR(D198="",E198="",F198=""),"⚠ أكمل النوع والتواريخ",IF(F198&lt;E198,"✖ النهاية قبل البداية",IF(COUNTIFS($B$6:$B$505,B198,$E$6:$E$505,"&lt;="&amp;F198,$F$6:$F$505,"&gt;="&amp;E198)&gt;1,"⚠ تداخل مع سجل آخر",IF(E198&gt;cfg_VAL_DATE,"⏳ قادمة",IF(F198&lt;cfg_VAL_DATE,"✔ منتهية","✈ جارية في تاريخ التقرير"))))))</f>
        <v/>
      </c>
      <c r="Q198" s="79"/>
      <c r="R198" s="57" t="n">
        <f aca="false">IF(OR(OR($B198="",$E198="",$F198=""),L198&lt;&gt;"لا"),0,MAX(0,MIN(F198,cfg_Y_START-1)-E198+1))</f>
        <v>0</v>
      </c>
      <c r="S198" s="57" t="n">
        <f aca="false">IF(OR(OR($B198="",$E198="",$F198=""),L198&lt;&gt;"لا"),0,MAX(0,MIN(F198,cfg_VAL_DATE)-E198+1))</f>
        <v>0</v>
      </c>
      <c r="T198" s="57" t="n">
        <f aca="false">IF(OR(OR($B198="",$E198="",$F198=""),K198&lt;&gt;"نعم"),0,IF(M198="نعم",IF(AND(ISNUMBER(O198),N(O198)&lt;=cfg_VAL_M),G198,0),MAX(0,MIN(F198,cfg_VAL_DATE)-MAX(E198,cfg_Y_START)+1)))</f>
        <v>0</v>
      </c>
      <c r="V198" s="57" t="n">
        <f aca="false">IF(OR($B198="",$E198="",$F198=""),0,MAX(0,MIN($F198,EOMONTH(DATE(cfg_FY,1,1),0))-MAX($E198,DATE(cfg_FY,1,1))+1)*(1-IF($M198="نعم",0,N($J198))))</f>
        <v>0</v>
      </c>
      <c r="W198" s="57" t="n">
        <f aca="false">IF(OR($B198="",$E198="",$F198=""),0,MAX(0,MIN($F198,EOMONTH(DATE(cfg_FY,2,1),0))-MAX($E198,DATE(cfg_FY,2,1))+1)*(1-IF($M198="نعم",0,N($J198))))</f>
        <v>0</v>
      </c>
      <c r="X198" s="57" t="n">
        <f aca="false">IF(OR($B198="",$E198="",$F198=""),0,MAX(0,MIN($F198,EOMONTH(DATE(cfg_FY,3,1),0))-MAX($E198,DATE(cfg_FY,3,1))+1)*(1-IF($M198="نعم",0,N($J198))))</f>
        <v>0</v>
      </c>
      <c r="Y198" s="57" t="n">
        <f aca="false">IF(OR($B198="",$E198="",$F198=""),0,MAX(0,MIN($F198,EOMONTH(DATE(cfg_FY,4,1),0))-MAX($E198,DATE(cfg_FY,4,1))+1)*(1-IF($M198="نعم",0,N($J198))))</f>
        <v>0</v>
      </c>
      <c r="Z198" s="57" t="n">
        <f aca="false">IF(OR($B198="",$E198="",$F198=""),0,MAX(0,MIN($F198,EOMONTH(DATE(cfg_FY,5,1),0))-MAX($E198,DATE(cfg_FY,5,1))+1)*(1-IF($M198="نعم",0,N($J198))))</f>
        <v>0</v>
      </c>
      <c r="AA198" s="57" t="n">
        <f aca="false">IF(OR($B198="",$E198="",$F198=""),0,MAX(0,MIN($F198,EOMONTH(DATE(cfg_FY,6,1),0))-MAX($E198,DATE(cfg_FY,6,1))+1)*(1-IF($M198="نعم",0,N($J198))))</f>
        <v>0</v>
      </c>
      <c r="AB198" s="57" t="n">
        <f aca="false">IF(OR($B198="",$E198="",$F198=""),0,MAX(0,MIN($F198,EOMONTH(DATE(cfg_FY,7,1),0))-MAX($E198,DATE(cfg_FY,7,1))+1)*(1-IF($M198="نعم",0,N($J198))))</f>
        <v>0</v>
      </c>
      <c r="AC198" s="57" t="n">
        <f aca="false">IF(OR($B198="",$E198="",$F198=""),0,MAX(0,MIN($F198,EOMONTH(DATE(cfg_FY,8,1),0))-MAX($E198,DATE(cfg_FY,8,1))+1)*(1-IF($M198="نعم",0,N($J198))))</f>
        <v>0</v>
      </c>
      <c r="AD198" s="57" t="n">
        <f aca="false">IF(OR($B198="",$E198="",$F198=""),0,MAX(0,MIN($F198,EOMONTH(DATE(cfg_FY,9,1),0))-MAX($E198,DATE(cfg_FY,9,1))+1)*(1-IF($M198="نعم",0,N($J198))))</f>
        <v>0</v>
      </c>
      <c r="AE198" s="57" t="n">
        <f aca="false">IF(OR($B198="",$E198="",$F198=""),0,MAX(0,MIN($F198,EOMONTH(DATE(cfg_FY,10,1),0))-MAX($E198,DATE(cfg_FY,10,1))+1)*(1-IF($M198="نعم",0,N($J198))))</f>
        <v>0</v>
      </c>
      <c r="AF198" s="57" t="n">
        <f aca="false">IF(OR($B198="",$E198="",$F198=""),0,MAX(0,MIN($F198,EOMONTH(DATE(cfg_FY,11,1),0))-MAX($E198,DATE(cfg_FY,11,1))+1)*(1-IF($M198="نعم",0,N($J198))))</f>
        <v>0</v>
      </c>
      <c r="AG198" s="57" t="n">
        <f aca="false">IF(OR($B198="",$E198="",$F198=""),0,MAX(0,MIN($F198,EOMONTH(DATE(cfg_FY,12,1),0))-MAX($E198,DATE(cfg_FY,12,1))+1)*(1-IF($M198="نعم",0,N($J198))))</f>
        <v>0</v>
      </c>
      <c r="AH198" s="57" t="n">
        <f aca="false">IF(OR(OR($B198="",$E198="",$F198=""),$L198&lt;&gt;"لا"),0,MAX(0,MIN($F198,EOMONTH(DATE(cfg_FY,1,1),0))-$E198+1))</f>
        <v>0</v>
      </c>
      <c r="AI198" s="57" t="n">
        <f aca="false">IF(OR(OR($B198="",$E198="",$F198=""),$L198&lt;&gt;"لا"),0,MAX(0,MIN($F198,EOMONTH(DATE(cfg_FY,2,1),0))-$E198+1))</f>
        <v>0</v>
      </c>
      <c r="AJ198" s="57" t="n">
        <f aca="false">IF(OR(OR($B198="",$E198="",$F198=""),$L198&lt;&gt;"لا"),0,MAX(0,MIN($F198,EOMONTH(DATE(cfg_FY,3,1),0))-$E198+1))</f>
        <v>0</v>
      </c>
      <c r="AK198" s="57" t="n">
        <f aca="false">IF(OR(OR($B198="",$E198="",$F198=""),$L198&lt;&gt;"لا"),0,MAX(0,MIN($F198,EOMONTH(DATE(cfg_FY,4,1),0))-$E198+1))</f>
        <v>0</v>
      </c>
      <c r="AL198" s="57" t="n">
        <f aca="false">IF(OR(OR($B198="",$E198="",$F198=""),$L198&lt;&gt;"لا"),0,MAX(0,MIN($F198,EOMONTH(DATE(cfg_FY,5,1),0))-$E198+1))</f>
        <v>0</v>
      </c>
      <c r="AM198" s="57" t="n">
        <f aca="false">IF(OR(OR($B198="",$E198="",$F198=""),$L198&lt;&gt;"لا"),0,MAX(0,MIN($F198,EOMONTH(DATE(cfg_FY,6,1),0))-$E198+1))</f>
        <v>0</v>
      </c>
      <c r="AN198" s="57" t="n">
        <f aca="false">IF(OR(OR($B198="",$E198="",$F198=""),$L198&lt;&gt;"لا"),0,MAX(0,MIN($F198,EOMONTH(DATE(cfg_FY,7,1),0))-$E198+1))</f>
        <v>0</v>
      </c>
      <c r="AO198" s="57" t="n">
        <f aca="false">IF(OR(OR($B198="",$E198="",$F198=""),$L198&lt;&gt;"لا"),0,MAX(0,MIN($F198,EOMONTH(DATE(cfg_FY,8,1),0))-$E198+1))</f>
        <v>0</v>
      </c>
      <c r="AP198" s="57" t="n">
        <f aca="false">IF(OR(OR($B198="",$E198="",$F198=""),$L198&lt;&gt;"لا"),0,MAX(0,MIN($F198,EOMONTH(DATE(cfg_FY,9,1),0))-$E198+1))</f>
        <v>0</v>
      </c>
      <c r="AQ198" s="57" t="n">
        <f aca="false">IF(OR(OR($B198="",$E198="",$F198=""),$L198&lt;&gt;"لا"),0,MAX(0,MIN($F198,EOMONTH(DATE(cfg_FY,10,1),0))-$E198+1))</f>
        <v>0</v>
      </c>
      <c r="AR198" s="57" t="n">
        <f aca="false">IF(OR(OR($B198="",$E198="",$F198=""),$L198&lt;&gt;"لا"),0,MAX(0,MIN($F198,EOMONTH(DATE(cfg_FY,11,1),0))-$E198+1))</f>
        <v>0</v>
      </c>
      <c r="AS198" s="57" t="n">
        <f aca="false">IF(OR(OR($B198="",$E198="",$F198=""),$L198&lt;&gt;"لا"),0,MAX(0,MIN($F198,EOMONTH(DATE(cfg_FY,12,1),0))-$E198+1))</f>
        <v>0</v>
      </c>
      <c r="AT198" s="57" t="n">
        <f aca="false">IF(OR(OR($B198="",$E198="",$F198=""),$K198&lt;&gt;"نعم",$M198="نعم"),0,MAX(0,MIN($F198,EOMONTH(DATE(cfg_FY,1,1),0))-MAX($E198,DATE(cfg_FY,1,1))+1))</f>
        <v>0</v>
      </c>
      <c r="AU198" s="57" t="n">
        <f aca="false">IF(OR(OR($B198="",$E198="",$F198=""),$K198&lt;&gt;"نعم",$M198="نعم"),0,MAX(0,MIN($F198,EOMONTH(DATE(cfg_FY,2,1),0))-MAX($E198,DATE(cfg_FY,2,1))+1))</f>
        <v>0</v>
      </c>
      <c r="AV198" s="57" t="n">
        <f aca="false">IF(OR(OR($B198="",$E198="",$F198=""),$K198&lt;&gt;"نعم",$M198="نعم"),0,MAX(0,MIN($F198,EOMONTH(DATE(cfg_FY,3,1),0))-MAX($E198,DATE(cfg_FY,3,1))+1))</f>
        <v>0</v>
      </c>
      <c r="AW198" s="57" t="n">
        <f aca="false">IF(OR(OR($B198="",$E198="",$F198=""),$K198&lt;&gt;"نعم",$M198="نعم"),0,MAX(0,MIN($F198,EOMONTH(DATE(cfg_FY,4,1),0))-MAX($E198,DATE(cfg_FY,4,1))+1))</f>
        <v>0</v>
      </c>
      <c r="AX198" s="57" t="n">
        <f aca="false">IF(OR(OR($B198="",$E198="",$F198=""),$K198&lt;&gt;"نعم",$M198="نعم"),0,MAX(0,MIN($F198,EOMONTH(DATE(cfg_FY,5,1),0))-MAX($E198,DATE(cfg_FY,5,1))+1))</f>
        <v>0</v>
      </c>
      <c r="AY198" s="57" t="n">
        <f aca="false">IF(OR(OR($B198="",$E198="",$F198=""),$K198&lt;&gt;"نعم",$M198="نعم"),0,MAX(0,MIN($F198,EOMONTH(DATE(cfg_FY,6,1),0))-MAX($E198,DATE(cfg_FY,6,1))+1))</f>
        <v>0</v>
      </c>
      <c r="AZ198" s="57" t="n">
        <f aca="false">IF(OR(OR($B198="",$E198="",$F198=""),$K198&lt;&gt;"نعم",$M198="نعم"),0,MAX(0,MIN($F198,EOMONTH(DATE(cfg_FY,7,1),0))-MAX($E198,DATE(cfg_FY,7,1))+1))</f>
        <v>0</v>
      </c>
      <c r="BA198" s="57" t="n">
        <f aca="false">IF(OR(OR($B198="",$E198="",$F198=""),$K198&lt;&gt;"نعم",$M198="نعم"),0,MAX(0,MIN($F198,EOMONTH(DATE(cfg_FY,8,1),0))-MAX($E198,DATE(cfg_FY,8,1))+1))</f>
        <v>0</v>
      </c>
      <c r="BB198" s="57" t="n">
        <f aca="false">IF(OR(OR($B198="",$E198="",$F198=""),$K198&lt;&gt;"نعم",$M198="نعم"),0,MAX(0,MIN($F198,EOMONTH(DATE(cfg_FY,9,1),0))-MAX($E198,DATE(cfg_FY,9,1))+1))</f>
        <v>0</v>
      </c>
      <c r="BC198" s="57" t="n">
        <f aca="false">IF(OR(OR($B198="",$E198="",$F198=""),$K198&lt;&gt;"نعم",$M198="نعم"),0,MAX(0,MIN($F198,EOMONTH(DATE(cfg_FY,10,1),0))-MAX($E198,DATE(cfg_FY,10,1))+1))</f>
        <v>0</v>
      </c>
      <c r="BD198" s="57" t="n">
        <f aca="false">IF(OR(OR($B198="",$E198="",$F198=""),$K198&lt;&gt;"نعم",$M198="نعم"),0,MAX(0,MIN($F198,EOMONTH(DATE(cfg_FY,11,1),0))-MAX($E198,DATE(cfg_FY,11,1))+1))</f>
        <v>0</v>
      </c>
      <c r="BE198" s="57" t="n">
        <f aca="false">IF(OR(OR($B198="",$E198="",$F198=""),$K198&lt;&gt;"نعم",$M198="نعم"),0,MAX(0,MIN($F198,EOMONTH(DATE(cfg_FY,12,1),0))-MAX($E198,DATE(cfg_FY,12,1))+1))</f>
        <v>0</v>
      </c>
    </row>
    <row r="199" customFormat="false" ht="15" hidden="false" customHeight="false" outlineLevel="0" collapsed="false">
      <c r="A199" s="100" t="str">
        <f aca="false">IF(B199="","",ROW()-5)</f>
        <v/>
      </c>
      <c r="B199" s="79"/>
      <c r="C199" s="102" t="str">
        <f aca="false">IF(B199="","",IFERROR(INDEX(الموظفون!$C$6:$C$105,MATCH(B199,الموظفون!$B$6:$B$105,0)),"✖ رقم غير موجود"))</f>
        <v/>
      </c>
      <c r="D199" s="79"/>
      <c r="E199" s="94"/>
      <c r="F199" s="94"/>
      <c r="G199" s="110" t="str">
        <f aca="false">IF(OR($B199="",$E199="",$F199=""),"",MAX(0,F199-E199+1))</f>
        <v/>
      </c>
      <c r="H199" s="111" t="str">
        <f aca="false">IF(D199="","",IFERROR(VLOOKUP(D199,cfg_LT,2,FALSE()),1))</f>
        <v/>
      </c>
      <c r="I199" s="82"/>
      <c r="J199" s="111" t="str">
        <f aca="false">IF(D199="","",IF(I199&lt;&gt;"",I199,H199))</f>
        <v/>
      </c>
      <c r="K199" s="102" t="str">
        <f aca="false">IF(D199="","",IFERROR(VLOOKUP($D199,cfg_LT,3,FALSE()),""))</f>
        <v/>
      </c>
      <c r="L199" s="102" t="str">
        <f aca="false">IF(D199="","",IFERROR(VLOOKUP($D199,cfg_LT,4,FALSE()),""))</f>
        <v/>
      </c>
      <c r="M199" s="102" t="str">
        <f aca="false">IF(D199="","",IFERROR(VLOOKUP($D199,cfg_LT,5,FALSE()),""))</f>
        <v/>
      </c>
      <c r="N199" s="101" t="n">
        <f aca="false">IF(OR(OR($B199="",$E199="",$F199=""),M199&lt;&gt;"نعم"),0,G199*J199*IFERROR(INDEX(الموظفون!$R$6:$R$105,MATCH(B199,الموظفون!$B$6:$B$105,0)),0)/cfg_DAYS_M)</f>
        <v>0</v>
      </c>
      <c r="O199" s="100" t="str">
        <f aca="false">IF(OR(OR($B199="",$E199="",$F199=""),M199&lt;&gt;"نعم"),"",IF(YEAR(E199)=cfg_FY,MONTH(E199),""))</f>
        <v/>
      </c>
      <c r="P199" s="102" t="str">
        <f aca="false">IF(B199="","",IF(OR(D199="",E199="",F199=""),"⚠ أكمل النوع والتواريخ",IF(F199&lt;E199,"✖ النهاية قبل البداية",IF(COUNTIFS($B$6:$B$505,B199,$E$6:$E$505,"&lt;="&amp;F199,$F$6:$F$505,"&gt;="&amp;E199)&gt;1,"⚠ تداخل مع سجل آخر",IF(E199&gt;cfg_VAL_DATE,"⏳ قادمة",IF(F199&lt;cfg_VAL_DATE,"✔ منتهية","✈ جارية في تاريخ التقرير"))))))</f>
        <v/>
      </c>
      <c r="Q199" s="79"/>
      <c r="R199" s="110" t="n">
        <f aca="false">IF(OR(OR($B199="",$E199="",$F199=""),L199&lt;&gt;"لا"),0,MAX(0,MIN(F199,cfg_Y_START-1)-E199+1))</f>
        <v>0</v>
      </c>
      <c r="S199" s="110" t="n">
        <f aca="false">IF(OR(OR($B199="",$E199="",$F199=""),L199&lt;&gt;"لا"),0,MAX(0,MIN(F199,cfg_VAL_DATE)-E199+1))</f>
        <v>0</v>
      </c>
      <c r="T199" s="110" t="n">
        <f aca="false">IF(OR(OR($B199="",$E199="",$F199=""),K199&lt;&gt;"نعم"),0,IF(M199="نعم",IF(AND(ISNUMBER(O199),N(O199)&lt;=cfg_VAL_M),G199,0),MAX(0,MIN(F199,cfg_VAL_DATE)-MAX(E199,cfg_Y_START)+1)))</f>
        <v>0</v>
      </c>
      <c r="V199" s="110" t="n">
        <f aca="false">IF(OR($B199="",$E199="",$F199=""),0,MAX(0,MIN($F199,EOMONTH(DATE(cfg_FY,1,1),0))-MAX($E199,DATE(cfg_FY,1,1))+1)*(1-IF($M199="نعم",0,N($J199))))</f>
        <v>0</v>
      </c>
      <c r="W199" s="110" t="n">
        <f aca="false">IF(OR($B199="",$E199="",$F199=""),0,MAX(0,MIN($F199,EOMONTH(DATE(cfg_FY,2,1),0))-MAX($E199,DATE(cfg_FY,2,1))+1)*(1-IF($M199="نعم",0,N($J199))))</f>
        <v>0</v>
      </c>
      <c r="X199" s="110" t="n">
        <f aca="false">IF(OR($B199="",$E199="",$F199=""),0,MAX(0,MIN($F199,EOMONTH(DATE(cfg_FY,3,1),0))-MAX($E199,DATE(cfg_FY,3,1))+1)*(1-IF($M199="نعم",0,N($J199))))</f>
        <v>0</v>
      </c>
      <c r="Y199" s="110" t="n">
        <f aca="false">IF(OR($B199="",$E199="",$F199=""),0,MAX(0,MIN($F199,EOMONTH(DATE(cfg_FY,4,1),0))-MAX($E199,DATE(cfg_FY,4,1))+1)*(1-IF($M199="نعم",0,N($J199))))</f>
        <v>0</v>
      </c>
      <c r="Z199" s="110" t="n">
        <f aca="false">IF(OR($B199="",$E199="",$F199=""),0,MAX(0,MIN($F199,EOMONTH(DATE(cfg_FY,5,1),0))-MAX($E199,DATE(cfg_FY,5,1))+1)*(1-IF($M199="نعم",0,N($J199))))</f>
        <v>0</v>
      </c>
      <c r="AA199" s="110" t="n">
        <f aca="false">IF(OR($B199="",$E199="",$F199=""),0,MAX(0,MIN($F199,EOMONTH(DATE(cfg_FY,6,1),0))-MAX($E199,DATE(cfg_FY,6,1))+1)*(1-IF($M199="نعم",0,N($J199))))</f>
        <v>0</v>
      </c>
      <c r="AB199" s="110" t="n">
        <f aca="false">IF(OR($B199="",$E199="",$F199=""),0,MAX(0,MIN($F199,EOMONTH(DATE(cfg_FY,7,1),0))-MAX($E199,DATE(cfg_FY,7,1))+1)*(1-IF($M199="نعم",0,N($J199))))</f>
        <v>0</v>
      </c>
      <c r="AC199" s="110" t="n">
        <f aca="false">IF(OR($B199="",$E199="",$F199=""),0,MAX(0,MIN($F199,EOMONTH(DATE(cfg_FY,8,1),0))-MAX($E199,DATE(cfg_FY,8,1))+1)*(1-IF($M199="نعم",0,N($J199))))</f>
        <v>0</v>
      </c>
      <c r="AD199" s="110" t="n">
        <f aca="false">IF(OR($B199="",$E199="",$F199=""),0,MAX(0,MIN($F199,EOMONTH(DATE(cfg_FY,9,1),0))-MAX($E199,DATE(cfg_FY,9,1))+1)*(1-IF($M199="نعم",0,N($J199))))</f>
        <v>0</v>
      </c>
      <c r="AE199" s="110" t="n">
        <f aca="false">IF(OR($B199="",$E199="",$F199=""),0,MAX(0,MIN($F199,EOMONTH(DATE(cfg_FY,10,1),0))-MAX($E199,DATE(cfg_FY,10,1))+1)*(1-IF($M199="نعم",0,N($J199))))</f>
        <v>0</v>
      </c>
      <c r="AF199" s="110" t="n">
        <f aca="false">IF(OR($B199="",$E199="",$F199=""),0,MAX(0,MIN($F199,EOMONTH(DATE(cfg_FY,11,1),0))-MAX($E199,DATE(cfg_FY,11,1))+1)*(1-IF($M199="نعم",0,N($J199))))</f>
        <v>0</v>
      </c>
      <c r="AG199" s="110" t="n">
        <f aca="false">IF(OR($B199="",$E199="",$F199=""),0,MAX(0,MIN($F199,EOMONTH(DATE(cfg_FY,12,1),0))-MAX($E199,DATE(cfg_FY,12,1))+1)*(1-IF($M199="نعم",0,N($J199))))</f>
        <v>0</v>
      </c>
      <c r="AH199" s="110" t="n">
        <f aca="false">IF(OR(OR($B199="",$E199="",$F199=""),$L199&lt;&gt;"لا"),0,MAX(0,MIN($F199,EOMONTH(DATE(cfg_FY,1,1),0))-$E199+1))</f>
        <v>0</v>
      </c>
      <c r="AI199" s="110" t="n">
        <f aca="false">IF(OR(OR($B199="",$E199="",$F199=""),$L199&lt;&gt;"لا"),0,MAX(0,MIN($F199,EOMONTH(DATE(cfg_FY,2,1),0))-$E199+1))</f>
        <v>0</v>
      </c>
      <c r="AJ199" s="110" t="n">
        <f aca="false">IF(OR(OR($B199="",$E199="",$F199=""),$L199&lt;&gt;"لا"),0,MAX(0,MIN($F199,EOMONTH(DATE(cfg_FY,3,1),0))-$E199+1))</f>
        <v>0</v>
      </c>
      <c r="AK199" s="110" t="n">
        <f aca="false">IF(OR(OR($B199="",$E199="",$F199=""),$L199&lt;&gt;"لا"),0,MAX(0,MIN($F199,EOMONTH(DATE(cfg_FY,4,1),0))-$E199+1))</f>
        <v>0</v>
      </c>
      <c r="AL199" s="110" t="n">
        <f aca="false">IF(OR(OR($B199="",$E199="",$F199=""),$L199&lt;&gt;"لا"),0,MAX(0,MIN($F199,EOMONTH(DATE(cfg_FY,5,1),0))-$E199+1))</f>
        <v>0</v>
      </c>
      <c r="AM199" s="110" t="n">
        <f aca="false">IF(OR(OR($B199="",$E199="",$F199=""),$L199&lt;&gt;"لا"),0,MAX(0,MIN($F199,EOMONTH(DATE(cfg_FY,6,1),0))-$E199+1))</f>
        <v>0</v>
      </c>
      <c r="AN199" s="110" t="n">
        <f aca="false">IF(OR(OR($B199="",$E199="",$F199=""),$L199&lt;&gt;"لا"),0,MAX(0,MIN($F199,EOMONTH(DATE(cfg_FY,7,1),0))-$E199+1))</f>
        <v>0</v>
      </c>
      <c r="AO199" s="110" t="n">
        <f aca="false">IF(OR(OR($B199="",$E199="",$F199=""),$L199&lt;&gt;"لا"),0,MAX(0,MIN($F199,EOMONTH(DATE(cfg_FY,8,1),0))-$E199+1))</f>
        <v>0</v>
      </c>
      <c r="AP199" s="110" t="n">
        <f aca="false">IF(OR(OR($B199="",$E199="",$F199=""),$L199&lt;&gt;"لا"),0,MAX(0,MIN($F199,EOMONTH(DATE(cfg_FY,9,1),0))-$E199+1))</f>
        <v>0</v>
      </c>
      <c r="AQ199" s="110" t="n">
        <f aca="false">IF(OR(OR($B199="",$E199="",$F199=""),$L199&lt;&gt;"لا"),0,MAX(0,MIN($F199,EOMONTH(DATE(cfg_FY,10,1),0))-$E199+1))</f>
        <v>0</v>
      </c>
      <c r="AR199" s="110" t="n">
        <f aca="false">IF(OR(OR($B199="",$E199="",$F199=""),$L199&lt;&gt;"لا"),0,MAX(0,MIN($F199,EOMONTH(DATE(cfg_FY,11,1),0))-$E199+1))</f>
        <v>0</v>
      </c>
      <c r="AS199" s="110" t="n">
        <f aca="false">IF(OR(OR($B199="",$E199="",$F199=""),$L199&lt;&gt;"لا"),0,MAX(0,MIN($F199,EOMONTH(DATE(cfg_FY,12,1),0))-$E199+1))</f>
        <v>0</v>
      </c>
      <c r="AT199" s="110" t="n">
        <f aca="false">IF(OR(OR($B199="",$E199="",$F199=""),$K199&lt;&gt;"نعم",$M199="نعم"),0,MAX(0,MIN($F199,EOMONTH(DATE(cfg_FY,1,1),0))-MAX($E199,DATE(cfg_FY,1,1))+1))</f>
        <v>0</v>
      </c>
      <c r="AU199" s="110" t="n">
        <f aca="false">IF(OR(OR($B199="",$E199="",$F199=""),$K199&lt;&gt;"نعم",$M199="نعم"),0,MAX(0,MIN($F199,EOMONTH(DATE(cfg_FY,2,1),0))-MAX($E199,DATE(cfg_FY,2,1))+1))</f>
        <v>0</v>
      </c>
      <c r="AV199" s="110" t="n">
        <f aca="false">IF(OR(OR($B199="",$E199="",$F199=""),$K199&lt;&gt;"نعم",$M199="نعم"),0,MAX(0,MIN($F199,EOMONTH(DATE(cfg_FY,3,1),0))-MAX($E199,DATE(cfg_FY,3,1))+1))</f>
        <v>0</v>
      </c>
      <c r="AW199" s="110" t="n">
        <f aca="false">IF(OR(OR($B199="",$E199="",$F199=""),$K199&lt;&gt;"نعم",$M199="نعم"),0,MAX(0,MIN($F199,EOMONTH(DATE(cfg_FY,4,1),0))-MAX($E199,DATE(cfg_FY,4,1))+1))</f>
        <v>0</v>
      </c>
      <c r="AX199" s="110" t="n">
        <f aca="false">IF(OR(OR($B199="",$E199="",$F199=""),$K199&lt;&gt;"نعم",$M199="نعم"),0,MAX(0,MIN($F199,EOMONTH(DATE(cfg_FY,5,1),0))-MAX($E199,DATE(cfg_FY,5,1))+1))</f>
        <v>0</v>
      </c>
      <c r="AY199" s="110" t="n">
        <f aca="false">IF(OR(OR($B199="",$E199="",$F199=""),$K199&lt;&gt;"نعم",$M199="نعم"),0,MAX(0,MIN($F199,EOMONTH(DATE(cfg_FY,6,1),0))-MAX($E199,DATE(cfg_FY,6,1))+1))</f>
        <v>0</v>
      </c>
      <c r="AZ199" s="110" t="n">
        <f aca="false">IF(OR(OR($B199="",$E199="",$F199=""),$K199&lt;&gt;"نعم",$M199="نعم"),0,MAX(0,MIN($F199,EOMONTH(DATE(cfg_FY,7,1),0))-MAX($E199,DATE(cfg_FY,7,1))+1))</f>
        <v>0</v>
      </c>
      <c r="BA199" s="110" t="n">
        <f aca="false">IF(OR(OR($B199="",$E199="",$F199=""),$K199&lt;&gt;"نعم",$M199="نعم"),0,MAX(0,MIN($F199,EOMONTH(DATE(cfg_FY,8,1),0))-MAX($E199,DATE(cfg_FY,8,1))+1))</f>
        <v>0</v>
      </c>
      <c r="BB199" s="110" t="n">
        <f aca="false">IF(OR(OR($B199="",$E199="",$F199=""),$K199&lt;&gt;"نعم",$M199="نعم"),0,MAX(0,MIN($F199,EOMONTH(DATE(cfg_FY,9,1),0))-MAX($E199,DATE(cfg_FY,9,1))+1))</f>
        <v>0</v>
      </c>
      <c r="BC199" s="110" t="n">
        <f aca="false">IF(OR(OR($B199="",$E199="",$F199=""),$K199&lt;&gt;"نعم",$M199="نعم"),0,MAX(0,MIN($F199,EOMONTH(DATE(cfg_FY,10,1),0))-MAX($E199,DATE(cfg_FY,10,1))+1))</f>
        <v>0</v>
      </c>
      <c r="BD199" s="110" t="n">
        <f aca="false">IF(OR(OR($B199="",$E199="",$F199=""),$K199&lt;&gt;"نعم",$M199="نعم"),0,MAX(0,MIN($F199,EOMONTH(DATE(cfg_FY,11,1),0))-MAX($E199,DATE(cfg_FY,11,1))+1))</f>
        <v>0</v>
      </c>
      <c r="BE199" s="110" t="n">
        <f aca="false">IF(OR(OR($B199="",$E199="",$F199=""),$K199&lt;&gt;"نعم",$M199="نعم"),0,MAX(0,MIN($F199,EOMONTH(DATE(cfg_FY,12,1),0))-MAX($E199,DATE(cfg_FY,12,1))+1))</f>
        <v>0</v>
      </c>
    </row>
    <row r="200" customFormat="false" ht="15" hidden="false" customHeight="false" outlineLevel="0" collapsed="false">
      <c r="A200" s="93" t="str">
        <f aca="false">IF(B200="","",ROW()-5)</f>
        <v/>
      </c>
      <c r="B200" s="79"/>
      <c r="C200" s="80" t="str">
        <f aca="false">IF(B200="","",IFERROR(INDEX(الموظفون!$C$6:$C$105,MATCH(B200,الموظفون!$B$6:$B$105,0)),"✖ رقم غير موجود"))</f>
        <v/>
      </c>
      <c r="D200" s="79"/>
      <c r="E200" s="94"/>
      <c r="F200" s="94"/>
      <c r="G200" s="57" t="str">
        <f aca="false">IF(OR($B200="",$E200="",$F200=""),"",MAX(0,F200-E200+1))</f>
        <v/>
      </c>
      <c r="H200" s="58" t="str">
        <f aca="false">IF(D200="","",IFERROR(VLOOKUP(D200,cfg_LT,2,FALSE()),1))</f>
        <v/>
      </c>
      <c r="I200" s="82"/>
      <c r="J200" s="58" t="str">
        <f aca="false">IF(D200="","",IF(I200&lt;&gt;"",I200,H200))</f>
        <v/>
      </c>
      <c r="K200" s="80" t="str">
        <f aca="false">IF(D200="","",IFERROR(VLOOKUP($D200,cfg_LT,3,FALSE()),""))</f>
        <v/>
      </c>
      <c r="L200" s="80" t="str">
        <f aca="false">IF(D200="","",IFERROR(VLOOKUP($D200,cfg_LT,4,FALSE()),""))</f>
        <v/>
      </c>
      <c r="M200" s="80" t="str">
        <f aca="false">IF(D200="","",IFERROR(VLOOKUP($D200,cfg_LT,5,FALSE()),""))</f>
        <v/>
      </c>
      <c r="N200" s="97" t="n">
        <f aca="false">IF(OR(OR($B200="",$E200="",$F200=""),M200&lt;&gt;"نعم"),0,G200*J200*IFERROR(INDEX(الموظفون!$R$6:$R$105,MATCH(B200,الموظفون!$B$6:$B$105,0)),0)/cfg_DAYS_M)</f>
        <v>0</v>
      </c>
      <c r="O200" s="93" t="str">
        <f aca="false">IF(OR(OR($B200="",$E200="",$F200=""),M200&lt;&gt;"نعم"),"",IF(YEAR(E200)=cfg_FY,MONTH(E200),""))</f>
        <v/>
      </c>
      <c r="P200" s="80" t="str">
        <f aca="false">IF(B200="","",IF(OR(D200="",E200="",F200=""),"⚠ أكمل النوع والتواريخ",IF(F200&lt;E200,"✖ النهاية قبل البداية",IF(COUNTIFS($B$6:$B$505,B200,$E$6:$E$505,"&lt;="&amp;F200,$F$6:$F$505,"&gt;="&amp;E200)&gt;1,"⚠ تداخل مع سجل آخر",IF(E200&gt;cfg_VAL_DATE,"⏳ قادمة",IF(F200&lt;cfg_VAL_DATE,"✔ منتهية","✈ جارية في تاريخ التقرير"))))))</f>
        <v/>
      </c>
      <c r="Q200" s="79"/>
      <c r="R200" s="57" t="n">
        <f aca="false">IF(OR(OR($B200="",$E200="",$F200=""),L200&lt;&gt;"لا"),0,MAX(0,MIN(F200,cfg_Y_START-1)-E200+1))</f>
        <v>0</v>
      </c>
      <c r="S200" s="57" t="n">
        <f aca="false">IF(OR(OR($B200="",$E200="",$F200=""),L200&lt;&gt;"لا"),0,MAX(0,MIN(F200,cfg_VAL_DATE)-E200+1))</f>
        <v>0</v>
      </c>
      <c r="T200" s="57" t="n">
        <f aca="false">IF(OR(OR($B200="",$E200="",$F200=""),K200&lt;&gt;"نعم"),0,IF(M200="نعم",IF(AND(ISNUMBER(O200),N(O200)&lt;=cfg_VAL_M),G200,0),MAX(0,MIN(F200,cfg_VAL_DATE)-MAX(E200,cfg_Y_START)+1)))</f>
        <v>0</v>
      </c>
      <c r="V200" s="57" t="n">
        <f aca="false">IF(OR($B200="",$E200="",$F200=""),0,MAX(0,MIN($F200,EOMONTH(DATE(cfg_FY,1,1),0))-MAX($E200,DATE(cfg_FY,1,1))+1)*(1-IF($M200="نعم",0,N($J200))))</f>
        <v>0</v>
      </c>
      <c r="W200" s="57" t="n">
        <f aca="false">IF(OR($B200="",$E200="",$F200=""),0,MAX(0,MIN($F200,EOMONTH(DATE(cfg_FY,2,1),0))-MAX($E200,DATE(cfg_FY,2,1))+1)*(1-IF($M200="نعم",0,N($J200))))</f>
        <v>0</v>
      </c>
      <c r="X200" s="57" t="n">
        <f aca="false">IF(OR($B200="",$E200="",$F200=""),0,MAX(0,MIN($F200,EOMONTH(DATE(cfg_FY,3,1),0))-MAX($E200,DATE(cfg_FY,3,1))+1)*(1-IF($M200="نعم",0,N($J200))))</f>
        <v>0</v>
      </c>
      <c r="Y200" s="57" t="n">
        <f aca="false">IF(OR($B200="",$E200="",$F200=""),0,MAX(0,MIN($F200,EOMONTH(DATE(cfg_FY,4,1),0))-MAX($E200,DATE(cfg_FY,4,1))+1)*(1-IF($M200="نعم",0,N($J200))))</f>
        <v>0</v>
      </c>
      <c r="Z200" s="57" t="n">
        <f aca="false">IF(OR($B200="",$E200="",$F200=""),0,MAX(0,MIN($F200,EOMONTH(DATE(cfg_FY,5,1),0))-MAX($E200,DATE(cfg_FY,5,1))+1)*(1-IF($M200="نعم",0,N($J200))))</f>
        <v>0</v>
      </c>
      <c r="AA200" s="57" t="n">
        <f aca="false">IF(OR($B200="",$E200="",$F200=""),0,MAX(0,MIN($F200,EOMONTH(DATE(cfg_FY,6,1),0))-MAX($E200,DATE(cfg_FY,6,1))+1)*(1-IF($M200="نعم",0,N($J200))))</f>
        <v>0</v>
      </c>
      <c r="AB200" s="57" t="n">
        <f aca="false">IF(OR($B200="",$E200="",$F200=""),0,MAX(0,MIN($F200,EOMONTH(DATE(cfg_FY,7,1),0))-MAX($E200,DATE(cfg_FY,7,1))+1)*(1-IF($M200="نعم",0,N($J200))))</f>
        <v>0</v>
      </c>
      <c r="AC200" s="57" t="n">
        <f aca="false">IF(OR($B200="",$E200="",$F200=""),0,MAX(0,MIN($F200,EOMONTH(DATE(cfg_FY,8,1),0))-MAX($E200,DATE(cfg_FY,8,1))+1)*(1-IF($M200="نعم",0,N($J200))))</f>
        <v>0</v>
      </c>
      <c r="AD200" s="57" t="n">
        <f aca="false">IF(OR($B200="",$E200="",$F200=""),0,MAX(0,MIN($F200,EOMONTH(DATE(cfg_FY,9,1),0))-MAX($E200,DATE(cfg_FY,9,1))+1)*(1-IF($M200="نعم",0,N($J200))))</f>
        <v>0</v>
      </c>
      <c r="AE200" s="57" t="n">
        <f aca="false">IF(OR($B200="",$E200="",$F200=""),0,MAX(0,MIN($F200,EOMONTH(DATE(cfg_FY,10,1),0))-MAX($E200,DATE(cfg_FY,10,1))+1)*(1-IF($M200="نعم",0,N($J200))))</f>
        <v>0</v>
      </c>
      <c r="AF200" s="57" t="n">
        <f aca="false">IF(OR($B200="",$E200="",$F200=""),0,MAX(0,MIN($F200,EOMONTH(DATE(cfg_FY,11,1),0))-MAX($E200,DATE(cfg_FY,11,1))+1)*(1-IF($M200="نعم",0,N($J200))))</f>
        <v>0</v>
      </c>
      <c r="AG200" s="57" t="n">
        <f aca="false">IF(OR($B200="",$E200="",$F200=""),0,MAX(0,MIN($F200,EOMONTH(DATE(cfg_FY,12,1),0))-MAX($E200,DATE(cfg_FY,12,1))+1)*(1-IF($M200="نعم",0,N($J200))))</f>
        <v>0</v>
      </c>
      <c r="AH200" s="57" t="n">
        <f aca="false">IF(OR(OR($B200="",$E200="",$F200=""),$L200&lt;&gt;"لا"),0,MAX(0,MIN($F200,EOMONTH(DATE(cfg_FY,1,1),0))-$E200+1))</f>
        <v>0</v>
      </c>
      <c r="AI200" s="57" t="n">
        <f aca="false">IF(OR(OR($B200="",$E200="",$F200=""),$L200&lt;&gt;"لا"),0,MAX(0,MIN($F200,EOMONTH(DATE(cfg_FY,2,1),0))-$E200+1))</f>
        <v>0</v>
      </c>
      <c r="AJ200" s="57" t="n">
        <f aca="false">IF(OR(OR($B200="",$E200="",$F200=""),$L200&lt;&gt;"لا"),0,MAX(0,MIN($F200,EOMONTH(DATE(cfg_FY,3,1),0))-$E200+1))</f>
        <v>0</v>
      </c>
      <c r="AK200" s="57" t="n">
        <f aca="false">IF(OR(OR($B200="",$E200="",$F200=""),$L200&lt;&gt;"لا"),0,MAX(0,MIN($F200,EOMONTH(DATE(cfg_FY,4,1),0))-$E200+1))</f>
        <v>0</v>
      </c>
      <c r="AL200" s="57" t="n">
        <f aca="false">IF(OR(OR($B200="",$E200="",$F200=""),$L200&lt;&gt;"لا"),0,MAX(0,MIN($F200,EOMONTH(DATE(cfg_FY,5,1),0))-$E200+1))</f>
        <v>0</v>
      </c>
      <c r="AM200" s="57" t="n">
        <f aca="false">IF(OR(OR($B200="",$E200="",$F200=""),$L200&lt;&gt;"لا"),0,MAX(0,MIN($F200,EOMONTH(DATE(cfg_FY,6,1),0))-$E200+1))</f>
        <v>0</v>
      </c>
      <c r="AN200" s="57" t="n">
        <f aca="false">IF(OR(OR($B200="",$E200="",$F200=""),$L200&lt;&gt;"لا"),0,MAX(0,MIN($F200,EOMONTH(DATE(cfg_FY,7,1),0))-$E200+1))</f>
        <v>0</v>
      </c>
      <c r="AO200" s="57" t="n">
        <f aca="false">IF(OR(OR($B200="",$E200="",$F200=""),$L200&lt;&gt;"لا"),0,MAX(0,MIN($F200,EOMONTH(DATE(cfg_FY,8,1),0))-$E200+1))</f>
        <v>0</v>
      </c>
      <c r="AP200" s="57" t="n">
        <f aca="false">IF(OR(OR($B200="",$E200="",$F200=""),$L200&lt;&gt;"لا"),0,MAX(0,MIN($F200,EOMONTH(DATE(cfg_FY,9,1),0))-$E200+1))</f>
        <v>0</v>
      </c>
      <c r="AQ200" s="57" t="n">
        <f aca="false">IF(OR(OR($B200="",$E200="",$F200=""),$L200&lt;&gt;"لا"),0,MAX(0,MIN($F200,EOMONTH(DATE(cfg_FY,10,1),0))-$E200+1))</f>
        <v>0</v>
      </c>
      <c r="AR200" s="57" t="n">
        <f aca="false">IF(OR(OR($B200="",$E200="",$F200=""),$L200&lt;&gt;"لا"),0,MAX(0,MIN($F200,EOMONTH(DATE(cfg_FY,11,1),0))-$E200+1))</f>
        <v>0</v>
      </c>
      <c r="AS200" s="57" t="n">
        <f aca="false">IF(OR(OR($B200="",$E200="",$F200=""),$L200&lt;&gt;"لا"),0,MAX(0,MIN($F200,EOMONTH(DATE(cfg_FY,12,1),0))-$E200+1))</f>
        <v>0</v>
      </c>
      <c r="AT200" s="57" t="n">
        <f aca="false">IF(OR(OR($B200="",$E200="",$F200=""),$K200&lt;&gt;"نعم",$M200="نعم"),0,MAX(0,MIN($F200,EOMONTH(DATE(cfg_FY,1,1),0))-MAX($E200,DATE(cfg_FY,1,1))+1))</f>
        <v>0</v>
      </c>
      <c r="AU200" s="57" t="n">
        <f aca="false">IF(OR(OR($B200="",$E200="",$F200=""),$K200&lt;&gt;"نعم",$M200="نعم"),0,MAX(0,MIN($F200,EOMONTH(DATE(cfg_FY,2,1),0))-MAX($E200,DATE(cfg_FY,2,1))+1))</f>
        <v>0</v>
      </c>
      <c r="AV200" s="57" t="n">
        <f aca="false">IF(OR(OR($B200="",$E200="",$F200=""),$K200&lt;&gt;"نعم",$M200="نعم"),0,MAX(0,MIN($F200,EOMONTH(DATE(cfg_FY,3,1),0))-MAX($E200,DATE(cfg_FY,3,1))+1))</f>
        <v>0</v>
      </c>
      <c r="AW200" s="57" t="n">
        <f aca="false">IF(OR(OR($B200="",$E200="",$F200=""),$K200&lt;&gt;"نعم",$M200="نعم"),0,MAX(0,MIN($F200,EOMONTH(DATE(cfg_FY,4,1),0))-MAX($E200,DATE(cfg_FY,4,1))+1))</f>
        <v>0</v>
      </c>
      <c r="AX200" s="57" t="n">
        <f aca="false">IF(OR(OR($B200="",$E200="",$F200=""),$K200&lt;&gt;"نعم",$M200="نعم"),0,MAX(0,MIN($F200,EOMONTH(DATE(cfg_FY,5,1),0))-MAX($E200,DATE(cfg_FY,5,1))+1))</f>
        <v>0</v>
      </c>
      <c r="AY200" s="57" t="n">
        <f aca="false">IF(OR(OR($B200="",$E200="",$F200=""),$K200&lt;&gt;"نعم",$M200="نعم"),0,MAX(0,MIN($F200,EOMONTH(DATE(cfg_FY,6,1),0))-MAX($E200,DATE(cfg_FY,6,1))+1))</f>
        <v>0</v>
      </c>
      <c r="AZ200" s="57" t="n">
        <f aca="false">IF(OR(OR($B200="",$E200="",$F200=""),$K200&lt;&gt;"نعم",$M200="نعم"),0,MAX(0,MIN($F200,EOMONTH(DATE(cfg_FY,7,1),0))-MAX($E200,DATE(cfg_FY,7,1))+1))</f>
        <v>0</v>
      </c>
      <c r="BA200" s="57" t="n">
        <f aca="false">IF(OR(OR($B200="",$E200="",$F200=""),$K200&lt;&gt;"نعم",$M200="نعم"),0,MAX(0,MIN($F200,EOMONTH(DATE(cfg_FY,8,1),0))-MAX($E200,DATE(cfg_FY,8,1))+1))</f>
        <v>0</v>
      </c>
      <c r="BB200" s="57" t="n">
        <f aca="false">IF(OR(OR($B200="",$E200="",$F200=""),$K200&lt;&gt;"نعم",$M200="نعم"),0,MAX(0,MIN($F200,EOMONTH(DATE(cfg_FY,9,1),0))-MAX($E200,DATE(cfg_FY,9,1))+1))</f>
        <v>0</v>
      </c>
      <c r="BC200" s="57" t="n">
        <f aca="false">IF(OR(OR($B200="",$E200="",$F200=""),$K200&lt;&gt;"نعم",$M200="نعم"),0,MAX(0,MIN($F200,EOMONTH(DATE(cfg_FY,10,1),0))-MAX($E200,DATE(cfg_FY,10,1))+1))</f>
        <v>0</v>
      </c>
      <c r="BD200" s="57" t="n">
        <f aca="false">IF(OR(OR($B200="",$E200="",$F200=""),$K200&lt;&gt;"نعم",$M200="نعم"),0,MAX(0,MIN($F200,EOMONTH(DATE(cfg_FY,11,1),0))-MAX($E200,DATE(cfg_FY,11,1))+1))</f>
        <v>0</v>
      </c>
      <c r="BE200" s="57" t="n">
        <f aca="false">IF(OR(OR($B200="",$E200="",$F200=""),$K200&lt;&gt;"نعم",$M200="نعم"),0,MAX(0,MIN($F200,EOMONTH(DATE(cfg_FY,12,1),0))-MAX($E200,DATE(cfg_FY,12,1))+1))</f>
        <v>0</v>
      </c>
    </row>
    <row r="201" customFormat="false" ht="15" hidden="false" customHeight="false" outlineLevel="0" collapsed="false">
      <c r="A201" s="100" t="str">
        <f aca="false">IF(B201="","",ROW()-5)</f>
        <v/>
      </c>
      <c r="B201" s="79"/>
      <c r="C201" s="102" t="str">
        <f aca="false">IF(B201="","",IFERROR(INDEX(الموظفون!$C$6:$C$105,MATCH(B201,الموظفون!$B$6:$B$105,0)),"✖ رقم غير موجود"))</f>
        <v/>
      </c>
      <c r="D201" s="79"/>
      <c r="E201" s="94"/>
      <c r="F201" s="94"/>
      <c r="G201" s="110" t="str">
        <f aca="false">IF(OR($B201="",$E201="",$F201=""),"",MAX(0,F201-E201+1))</f>
        <v/>
      </c>
      <c r="H201" s="111" t="str">
        <f aca="false">IF(D201="","",IFERROR(VLOOKUP(D201,cfg_LT,2,FALSE()),1))</f>
        <v/>
      </c>
      <c r="I201" s="82"/>
      <c r="J201" s="111" t="str">
        <f aca="false">IF(D201="","",IF(I201&lt;&gt;"",I201,H201))</f>
        <v/>
      </c>
      <c r="K201" s="102" t="str">
        <f aca="false">IF(D201="","",IFERROR(VLOOKUP($D201,cfg_LT,3,FALSE()),""))</f>
        <v/>
      </c>
      <c r="L201" s="102" t="str">
        <f aca="false">IF(D201="","",IFERROR(VLOOKUP($D201,cfg_LT,4,FALSE()),""))</f>
        <v/>
      </c>
      <c r="M201" s="102" t="str">
        <f aca="false">IF(D201="","",IFERROR(VLOOKUP($D201,cfg_LT,5,FALSE()),""))</f>
        <v/>
      </c>
      <c r="N201" s="101" t="n">
        <f aca="false">IF(OR(OR($B201="",$E201="",$F201=""),M201&lt;&gt;"نعم"),0,G201*J201*IFERROR(INDEX(الموظفون!$R$6:$R$105,MATCH(B201,الموظفون!$B$6:$B$105,0)),0)/cfg_DAYS_M)</f>
        <v>0</v>
      </c>
      <c r="O201" s="100" t="str">
        <f aca="false">IF(OR(OR($B201="",$E201="",$F201=""),M201&lt;&gt;"نعم"),"",IF(YEAR(E201)=cfg_FY,MONTH(E201),""))</f>
        <v/>
      </c>
      <c r="P201" s="102" t="str">
        <f aca="false">IF(B201="","",IF(OR(D201="",E201="",F201=""),"⚠ أكمل النوع والتواريخ",IF(F201&lt;E201,"✖ النهاية قبل البداية",IF(COUNTIFS($B$6:$B$505,B201,$E$6:$E$505,"&lt;="&amp;F201,$F$6:$F$505,"&gt;="&amp;E201)&gt;1,"⚠ تداخل مع سجل آخر",IF(E201&gt;cfg_VAL_DATE,"⏳ قادمة",IF(F201&lt;cfg_VAL_DATE,"✔ منتهية","✈ جارية في تاريخ التقرير"))))))</f>
        <v/>
      </c>
      <c r="Q201" s="79"/>
      <c r="R201" s="110" t="n">
        <f aca="false">IF(OR(OR($B201="",$E201="",$F201=""),L201&lt;&gt;"لا"),0,MAX(0,MIN(F201,cfg_Y_START-1)-E201+1))</f>
        <v>0</v>
      </c>
      <c r="S201" s="110" t="n">
        <f aca="false">IF(OR(OR($B201="",$E201="",$F201=""),L201&lt;&gt;"لا"),0,MAX(0,MIN(F201,cfg_VAL_DATE)-E201+1))</f>
        <v>0</v>
      </c>
      <c r="T201" s="110" t="n">
        <f aca="false">IF(OR(OR($B201="",$E201="",$F201=""),K201&lt;&gt;"نعم"),0,IF(M201="نعم",IF(AND(ISNUMBER(O201),N(O201)&lt;=cfg_VAL_M),G201,0),MAX(0,MIN(F201,cfg_VAL_DATE)-MAX(E201,cfg_Y_START)+1)))</f>
        <v>0</v>
      </c>
      <c r="V201" s="110" t="n">
        <f aca="false">IF(OR($B201="",$E201="",$F201=""),0,MAX(0,MIN($F201,EOMONTH(DATE(cfg_FY,1,1),0))-MAX($E201,DATE(cfg_FY,1,1))+1)*(1-IF($M201="نعم",0,N($J201))))</f>
        <v>0</v>
      </c>
      <c r="W201" s="110" t="n">
        <f aca="false">IF(OR($B201="",$E201="",$F201=""),0,MAX(0,MIN($F201,EOMONTH(DATE(cfg_FY,2,1),0))-MAX($E201,DATE(cfg_FY,2,1))+1)*(1-IF($M201="نعم",0,N($J201))))</f>
        <v>0</v>
      </c>
      <c r="X201" s="110" t="n">
        <f aca="false">IF(OR($B201="",$E201="",$F201=""),0,MAX(0,MIN($F201,EOMONTH(DATE(cfg_FY,3,1),0))-MAX($E201,DATE(cfg_FY,3,1))+1)*(1-IF($M201="نعم",0,N($J201))))</f>
        <v>0</v>
      </c>
      <c r="Y201" s="110" t="n">
        <f aca="false">IF(OR($B201="",$E201="",$F201=""),0,MAX(0,MIN($F201,EOMONTH(DATE(cfg_FY,4,1),0))-MAX($E201,DATE(cfg_FY,4,1))+1)*(1-IF($M201="نعم",0,N($J201))))</f>
        <v>0</v>
      </c>
      <c r="Z201" s="110" t="n">
        <f aca="false">IF(OR($B201="",$E201="",$F201=""),0,MAX(0,MIN($F201,EOMONTH(DATE(cfg_FY,5,1),0))-MAX($E201,DATE(cfg_FY,5,1))+1)*(1-IF($M201="نعم",0,N($J201))))</f>
        <v>0</v>
      </c>
      <c r="AA201" s="110" t="n">
        <f aca="false">IF(OR($B201="",$E201="",$F201=""),0,MAX(0,MIN($F201,EOMONTH(DATE(cfg_FY,6,1),0))-MAX($E201,DATE(cfg_FY,6,1))+1)*(1-IF($M201="نعم",0,N($J201))))</f>
        <v>0</v>
      </c>
      <c r="AB201" s="110" t="n">
        <f aca="false">IF(OR($B201="",$E201="",$F201=""),0,MAX(0,MIN($F201,EOMONTH(DATE(cfg_FY,7,1),0))-MAX($E201,DATE(cfg_FY,7,1))+1)*(1-IF($M201="نعم",0,N($J201))))</f>
        <v>0</v>
      </c>
      <c r="AC201" s="110" t="n">
        <f aca="false">IF(OR($B201="",$E201="",$F201=""),0,MAX(0,MIN($F201,EOMONTH(DATE(cfg_FY,8,1),0))-MAX($E201,DATE(cfg_FY,8,1))+1)*(1-IF($M201="نعم",0,N($J201))))</f>
        <v>0</v>
      </c>
      <c r="AD201" s="110" t="n">
        <f aca="false">IF(OR($B201="",$E201="",$F201=""),0,MAX(0,MIN($F201,EOMONTH(DATE(cfg_FY,9,1),0))-MAX($E201,DATE(cfg_FY,9,1))+1)*(1-IF($M201="نعم",0,N($J201))))</f>
        <v>0</v>
      </c>
      <c r="AE201" s="110" t="n">
        <f aca="false">IF(OR($B201="",$E201="",$F201=""),0,MAX(0,MIN($F201,EOMONTH(DATE(cfg_FY,10,1),0))-MAX($E201,DATE(cfg_FY,10,1))+1)*(1-IF($M201="نعم",0,N($J201))))</f>
        <v>0</v>
      </c>
      <c r="AF201" s="110" t="n">
        <f aca="false">IF(OR($B201="",$E201="",$F201=""),0,MAX(0,MIN($F201,EOMONTH(DATE(cfg_FY,11,1),0))-MAX($E201,DATE(cfg_FY,11,1))+1)*(1-IF($M201="نعم",0,N($J201))))</f>
        <v>0</v>
      </c>
      <c r="AG201" s="110" t="n">
        <f aca="false">IF(OR($B201="",$E201="",$F201=""),0,MAX(0,MIN($F201,EOMONTH(DATE(cfg_FY,12,1),0))-MAX($E201,DATE(cfg_FY,12,1))+1)*(1-IF($M201="نعم",0,N($J201))))</f>
        <v>0</v>
      </c>
      <c r="AH201" s="110" t="n">
        <f aca="false">IF(OR(OR($B201="",$E201="",$F201=""),$L201&lt;&gt;"لا"),0,MAX(0,MIN($F201,EOMONTH(DATE(cfg_FY,1,1),0))-$E201+1))</f>
        <v>0</v>
      </c>
      <c r="AI201" s="110" t="n">
        <f aca="false">IF(OR(OR($B201="",$E201="",$F201=""),$L201&lt;&gt;"لا"),0,MAX(0,MIN($F201,EOMONTH(DATE(cfg_FY,2,1),0))-$E201+1))</f>
        <v>0</v>
      </c>
      <c r="AJ201" s="110" t="n">
        <f aca="false">IF(OR(OR($B201="",$E201="",$F201=""),$L201&lt;&gt;"لا"),0,MAX(0,MIN($F201,EOMONTH(DATE(cfg_FY,3,1),0))-$E201+1))</f>
        <v>0</v>
      </c>
      <c r="AK201" s="110" t="n">
        <f aca="false">IF(OR(OR($B201="",$E201="",$F201=""),$L201&lt;&gt;"لا"),0,MAX(0,MIN($F201,EOMONTH(DATE(cfg_FY,4,1),0))-$E201+1))</f>
        <v>0</v>
      </c>
      <c r="AL201" s="110" t="n">
        <f aca="false">IF(OR(OR($B201="",$E201="",$F201=""),$L201&lt;&gt;"لا"),0,MAX(0,MIN($F201,EOMONTH(DATE(cfg_FY,5,1),0))-$E201+1))</f>
        <v>0</v>
      </c>
      <c r="AM201" s="110" t="n">
        <f aca="false">IF(OR(OR($B201="",$E201="",$F201=""),$L201&lt;&gt;"لا"),0,MAX(0,MIN($F201,EOMONTH(DATE(cfg_FY,6,1),0))-$E201+1))</f>
        <v>0</v>
      </c>
      <c r="AN201" s="110" t="n">
        <f aca="false">IF(OR(OR($B201="",$E201="",$F201=""),$L201&lt;&gt;"لا"),0,MAX(0,MIN($F201,EOMONTH(DATE(cfg_FY,7,1),0))-$E201+1))</f>
        <v>0</v>
      </c>
      <c r="AO201" s="110" t="n">
        <f aca="false">IF(OR(OR($B201="",$E201="",$F201=""),$L201&lt;&gt;"لا"),0,MAX(0,MIN($F201,EOMONTH(DATE(cfg_FY,8,1),0))-$E201+1))</f>
        <v>0</v>
      </c>
      <c r="AP201" s="110" t="n">
        <f aca="false">IF(OR(OR($B201="",$E201="",$F201=""),$L201&lt;&gt;"لا"),0,MAX(0,MIN($F201,EOMONTH(DATE(cfg_FY,9,1),0))-$E201+1))</f>
        <v>0</v>
      </c>
      <c r="AQ201" s="110" t="n">
        <f aca="false">IF(OR(OR($B201="",$E201="",$F201=""),$L201&lt;&gt;"لا"),0,MAX(0,MIN($F201,EOMONTH(DATE(cfg_FY,10,1),0))-$E201+1))</f>
        <v>0</v>
      </c>
      <c r="AR201" s="110" t="n">
        <f aca="false">IF(OR(OR($B201="",$E201="",$F201=""),$L201&lt;&gt;"لا"),0,MAX(0,MIN($F201,EOMONTH(DATE(cfg_FY,11,1),0))-$E201+1))</f>
        <v>0</v>
      </c>
      <c r="AS201" s="110" t="n">
        <f aca="false">IF(OR(OR($B201="",$E201="",$F201=""),$L201&lt;&gt;"لا"),0,MAX(0,MIN($F201,EOMONTH(DATE(cfg_FY,12,1),0))-$E201+1))</f>
        <v>0</v>
      </c>
      <c r="AT201" s="110" t="n">
        <f aca="false">IF(OR(OR($B201="",$E201="",$F201=""),$K201&lt;&gt;"نعم",$M201="نعم"),0,MAX(0,MIN($F201,EOMONTH(DATE(cfg_FY,1,1),0))-MAX($E201,DATE(cfg_FY,1,1))+1))</f>
        <v>0</v>
      </c>
      <c r="AU201" s="110" t="n">
        <f aca="false">IF(OR(OR($B201="",$E201="",$F201=""),$K201&lt;&gt;"نعم",$M201="نعم"),0,MAX(0,MIN($F201,EOMONTH(DATE(cfg_FY,2,1),0))-MAX($E201,DATE(cfg_FY,2,1))+1))</f>
        <v>0</v>
      </c>
      <c r="AV201" s="110" t="n">
        <f aca="false">IF(OR(OR($B201="",$E201="",$F201=""),$K201&lt;&gt;"نعم",$M201="نعم"),0,MAX(0,MIN($F201,EOMONTH(DATE(cfg_FY,3,1),0))-MAX($E201,DATE(cfg_FY,3,1))+1))</f>
        <v>0</v>
      </c>
      <c r="AW201" s="110" t="n">
        <f aca="false">IF(OR(OR($B201="",$E201="",$F201=""),$K201&lt;&gt;"نعم",$M201="نعم"),0,MAX(0,MIN($F201,EOMONTH(DATE(cfg_FY,4,1),0))-MAX($E201,DATE(cfg_FY,4,1))+1))</f>
        <v>0</v>
      </c>
      <c r="AX201" s="110" t="n">
        <f aca="false">IF(OR(OR($B201="",$E201="",$F201=""),$K201&lt;&gt;"نعم",$M201="نعم"),0,MAX(0,MIN($F201,EOMONTH(DATE(cfg_FY,5,1),0))-MAX($E201,DATE(cfg_FY,5,1))+1))</f>
        <v>0</v>
      </c>
      <c r="AY201" s="110" t="n">
        <f aca="false">IF(OR(OR($B201="",$E201="",$F201=""),$K201&lt;&gt;"نعم",$M201="نعم"),0,MAX(0,MIN($F201,EOMONTH(DATE(cfg_FY,6,1),0))-MAX($E201,DATE(cfg_FY,6,1))+1))</f>
        <v>0</v>
      </c>
      <c r="AZ201" s="110" t="n">
        <f aca="false">IF(OR(OR($B201="",$E201="",$F201=""),$K201&lt;&gt;"نعم",$M201="نعم"),0,MAX(0,MIN($F201,EOMONTH(DATE(cfg_FY,7,1),0))-MAX($E201,DATE(cfg_FY,7,1))+1))</f>
        <v>0</v>
      </c>
      <c r="BA201" s="110" t="n">
        <f aca="false">IF(OR(OR($B201="",$E201="",$F201=""),$K201&lt;&gt;"نعم",$M201="نعم"),0,MAX(0,MIN($F201,EOMONTH(DATE(cfg_FY,8,1),0))-MAX($E201,DATE(cfg_FY,8,1))+1))</f>
        <v>0</v>
      </c>
      <c r="BB201" s="110" t="n">
        <f aca="false">IF(OR(OR($B201="",$E201="",$F201=""),$K201&lt;&gt;"نعم",$M201="نعم"),0,MAX(0,MIN($F201,EOMONTH(DATE(cfg_FY,9,1),0))-MAX($E201,DATE(cfg_FY,9,1))+1))</f>
        <v>0</v>
      </c>
      <c r="BC201" s="110" t="n">
        <f aca="false">IF(OR(OR($B201="",$E201="",$F201=""),$K201&lt;&gt;"نعم",$M201="نعم"),0,MAX(0,MIN($F201,EOMONTH(DATE(cfg_FY,10,1),0))-MAX($E201,DATE(cfg_FY,10,1))+1))</f>
        <v>0</v>
      </c>
      <c r="BD201" s="110" t="n">
        <f aca="false">IF(OR(OR($B201="",$E201="",$F201=""),$K201&lt;&gt;"نعم",$M201="نعم"),0,MAX(0,MIN($F201,EOMONTH(DATE(cfg_FY,11,1),0))-MAX($E201,DATE(cfg_FY,11,1))+1))</f>
        <v>0</v>
      </c>
      <c r="BE201" s="110" t="n">
        <f aca="false">IF(OR(OR($B201="",$E201="",$F201=""),$K201&lt;&gt;"نعم",$M201="نعم"),0,MAX(0,MIN($F201,EOMONTH(DATE(cfg_FY,12,1),0))-MAX($E201,DATE(cfg_FY,12,1))+1))</f>
        <v>0</v>
      </c>
    </row>
    <row r="202" customFormat="false" ht="15" hidden="false" customHeight="false" outlineLevel="0" collapsed="false">
      <c r="A202" s="93" t="str">
        <f aca="false">IF(B202="","",ROW()-5)</f>
        <v/>
      </c>
      <c r="B202" s="79"/>
      <c r="C202" s="80" t="str">
        <f aca="false">IF(B202="","",IFERROR(INDEX(الموظفون!$C$6:$C$105,MATCH(B202,الموظفون!$B$6:$B$105,0)),"✖ رقم غير موجود"))</f>
        <v/>
      </c>
      <c r="D202" s="79"/>
      <c r="E202" s="94"/>
      <c r="F202" s="94"/>
      <c r="G202" s="57" t="str">
        <f aca="false">IF(OR($B202="",$E202="",$F202=""),"",MAX(0,F202-E202+1))</f>
        <v/>
      </c>
      <c r="H202" s="58" t="str">
        <f aca="false">IF(D202="","",IFERROR(VLOOKUP(D202,cfg_LT,2,FALSE()),1))</f>
        <v/>
      </c>
      <c r="I202" s="82"/>
      <c r="J202" s="58" t="str">
        <f aca="false">IF(D202="","",IF(I202&lt;&gt;"",I202,H202))</f>
        <v/>
      </c>
      <c r="K202" s="80" t="str">
        <f aca="false">IF(D202="","",IFERROR(VLOOKUP($D202,cfg_LT,3,FALSE()),""))</f>
        <v/>
      </c>
      <c r="L202" s="80" t="str">
        <f aca="false">IF(D202="","",IFERROR(VLOOKUP($D202,cfg_LT,4,FALSE()),""))</f>
        <v/>
      </c>
      <c r="M202" s="80" t="str">
        <f aca="false">IF(D202="","",IFERROR(VLOOKUP($D202,cfg_LT,5,FALSE()),""))</f>
        <v/>
      </c>
      <c r="N202" s="97" t="n">
        <f aca="false">IF(OR(OR($B202="",$E202="",$F202=""),M202&lt;&gt;"نعم"),0,G202*J202*IFERROR(INDEX(الموظفون!$R$6:$R$105,MATCH(B202,الموظفون!$B$6:$B$105,0)),0)/cfg_DAYS_M)</f>
        <v>0</v>
      </c>
      <c r="O202" s="93" t="str">
        <f aca="false">IF(OR(OR($B202="",$E202="",$F202=""),M202&lt;&gt;"نعم"),"",IF(YEAR(E202)=cfg_FY,MONTH(E202),""))</f>
        <v/>
      </c>
      <c r="P202" s="80" t="str">
        <f aca="false">IF(B202="","",IF(OR(D202="",E202="",F202=""),"⚠ أكمل النوع والتواريخ",IF(F202&lt;E202,"✖ النهاية قبل البداية",IF(COUNTIFS($B$6:$B$505,B202,$E$6:$E$505,"&lt;="&amp;F202,$F$6:$F$505,"&gt;="&amp;E202)&gt;1,"⚠ تداخل مع سجل آخر",IF(E202&gt;cfg_VAL_DATE,"⏳ قادمة",IF(F202&lt;cfg_VAL_DATE,"✔ منتهية","✈ جارية في تاريخ التقرير"))))))</f>
        <v/>
      </c>
      <c r="Q202" s="79"/>
      <c r="R202" s="57" t="n">
        <f aca="false">IF(OR(OR($B202="",$E202="",$F202=""),L202&lt;&gt;"لا"),0,MAX(0,MIN(F202,cfg_Y_START-1)-E202+1))</f>
        <v>0</v>
      </c>
      <c r="S202" s="57" t="n">
        <f aca="false">IF(OR(OR($B202="",$E202="",$F202=""),L202&lt;&gt;"لا"),0,MAX(0,MIN(F202,cfg_VAL_DATE)-E202+1))</f>
        <v>0</v>
      </c>
      <c r="T202" s="57" t="n">
        <f aca="false">IF(OR(OR($B202="",$E202="",$F202=""),K202&lt;&gt;"نعم"),0,IF(M202="نعم",IF(AND(ISNUMBER(O202),N(O202)&lt;=cfg_VAL_M),G202,0),MAX(0,MIN(F202,cfg_VAL_DATE)-MAX(E202,cfg_Y_START)+1)))</f>
        <v>0</v>
      </c>
      <c r="V202" s="57" t="n">
        <f aca="false">IF(OR($B202="",$E202="",$F202=""),0,MAX(0,MIN($F202,EOMONTH(DATE(cfg_FY,1,1),0))-MAX($E202,DATE(cfg_FY,1,1))+1)*(1-IF($M202="نعم",0,N($J202))))</f>
        <v>0</v>
      </c>
      <c r="W202" s="57" t="n">
        <f aca="false">IF(OR($B202="",$E202="",$F202=""),0,MAX(0,MIN($F202,EOMONTH(DATE(cfg_FY,2,1),0))-MAX($E202,DATE(cfg_FY,2,1))+1)*(1-IF($M202="نعم",0,N($J202))))</f>
        <v>0</v>
      </c>
      <c r="X202" s="57" t="n">
        <f aca="false">IF(OR($B202="",$E202="",$F202=""),0,MAX(0,MIN($F202,EOMONTH(DATE(cfg_FY,3,1),0))-MAX($E202,DATE(cfg_FY,3,1))+1)*(1-IF($M202="نعم",0,N($J202))))</f>
        <v>0</v>
      </c>
      <c r="Y202" s="57" t="n">
        <f aca="false">IF(OR($B202="",$E202="",$F202=""),0,MAX(0,MIN($F202,EOMONTH(DATE(cfg_FY,4,1),0))-MAX($E202,DATE(cfg_FY,4,1))+1)*(1-IF($M202="نعم",0,N($J202))))</f>
        <v>0</v>
      </c>
      <c r="Z202" s="57" t="n">
        <f aca="false">IF(OR($B202="",$E202="",$F202=""),0,MAX(0,MIN($F202,EOMONTH(DATE(cfg_FY,5,1),0))-MAX($E202,DATE(cfg_FY,5,1))+1)*(1-IF($M202="نعم",0,N($J202))))</f>
        <v>0</v>
      </c>
      <c r="AA202" s="57" t="n">
        <f aca="false">IF(OR($B202="",$E202="",$F202=""),0,MAX(0,MIN($F202,EOMONTH(DATE(cfg_FY,6,1),0))-MAX($E202,DATE(cfg_FY,6,1))+1)*(1-IF($M202="نعم",0,N($J202))))</f>
        <v>0</v>
      </c>
      <c r="AB202" s="57" t="n">
        <f aca="false">IF(OR($B202="",$E202="",$F202=""),0,MAX(0,MIN($F202,EOMONTH(DATE(cfg_FY,7,1),0))-MAX($E202,DATE(cfg_FY,7,1))+1)*(1-IF($M202="نعم",0,N($J202))))</f>
        <v>0</v>
      </c>
      <c r="AC202" s="57" t="n">
        <f aca="false">IF(OR($B202="",$E202="",$F202=""),0,MAX(0,MIN($F202,EOMONTH(DATE(cfg_FY,8,1),0))-MAX($E202,DATE(cfg_FY,8,1))+1)*(1-IF($M202="نعم",0,N($J202))))</f>
        <v>0</v>
      </c>
      <c r="AD202" s="57" t="n">
        <f aca="false">IF(OR($B202="",$E202="",$F202=""),0,MAX(0,MIN($F202,EOMONTH(DATE(cfg_FY,9,1),0))-MAX($E202,DATE(cfg_FY,9,1))+1)*(1-IF($M202="نعم",0,N($J202))))</f>
        <v>0</v>
      </c>
      <c r="AE202" s="57" t="n">
        <f aca="false">IF(OR($B202="",$E202="",$F202=""),0,MAX(0,MIN($F202,EOMONTH(DATE(cfg_FY,10,1),0))-MAX($E202,DATE(cfg_FY,10,1))+1)*(1-IF($M202="نعم",0,N($J202))))</f>
        <v>0</v>
      </c>
      <c r="AF202" s="57" t="n">
        <f aca="false">IF(OR($B202="",$E202="",$F202=""),0,MAX(0,MIN($F202,EOMONTH(DATE(cfg_FY,11,1),0))-MAX($E202,DATE(cfg_FY,11,1))+1)*(1-IF($M202="نعم",0,N($J202))))</f>
        <v>0</v>
      </c>
      <c r="AG202" s="57" t="n">
        <f aca="false">IF(OR($B202="",$E202="",$F202=""),0,MAX(0,MIN($F202,EOMONTH(DATE(cfg_FY,12,1),0))-MAX($E202,DATE(cfg_FY,12,1))+1)*(1-IF($M202="نعم",0,N($J202))))</f>
        <v>0</v>
      </c>
      <c r="AH202" s="57" t="n">
        <f aca="false">IF(OR(OR($B202="",$E202="",$F202=""),$L202&lt;&gt;"لا"),0,MAX(0,MIN($F202,EOMONTH(DATE(cfg_FY,1,1),0))-$E202+1))</f>
        <v>0</v>
      </c>
      <c r="AI202" s="57" t="n">
        <f aca="false">IF(OR(OR($B202="",$E202="",$F202=""),$L202&lt;&gt;"لا"),0,MAX(0,MIN($F202,EOMONTH(DATE(cfg_FY,2,1),0))-$E202+1))</f>
        <v>0</v>
      </c>
      <c r="AJ202" s="57" t="n">
        <f aca="false">IF(OR(OR($B202="",$E202="",$F202=""),$L202&lt;&gt;"لا"),0,MAX(0,MIN($F202,EOMONTH(DATE(cfg_FY,3,1),0))-$E202+1))</f>
        <v>0</v>
      </c>
      <c r="AK202" s="57" t="n">
        <f aca="false">IF(OR(OR($B202="",$E202="",$F202=""),$L202&lt;&gt;"لا"),0,MAX(0,MIN($F202,EOMONTH(DATE(cfg_FY,4,1),0))-$E202+1))</f>
        <v>0</v>
      </c>
      <c r="AL202" s="57" t="n">
        <f aca="false">IF(OR(OR($B202="",$E202="",$F202=""),$L202&lt;&gt;"لا"),0,MAX(0,MIN($F202,EOMONTH(DATE(cfg_FY,5,1),0))-$E202+1))</f>
        <v>0</v>
      </c>
      <c r="AM202" s="57" t="n">
        <f aca="false">IF(OR(OR($B202="",$E202="",$F202=""),$L202&lt;&gt;"لا"),0,MAX(0,MIN($F202,EOMONTH(DATE(cfg_FY,6,1),0))-$E202+1))</f>
        <v>0</v>
      </c>
      <c r="AN202" s="57" t="n">
        <f aca="false">IF(OR(OR($B202="",$E202="",$F202=""),$L202&lt;&gt;"لا"),0,MAX(0,MIN($F202,EOMONTH(DATE(cfg_FY,7,1),0))-$E202+1))</f>
        <v>0</v>
      </c>
      <c r="AO202" s="57" t="n">
        <f aca="false">IF(OR(OR($B202="",$E202="",$F202=""),$L202&lt;&gt;"لا"),0,MAX(0,MIN($F202,EOMONTH(DATE(cfg_FY,8,1),0))-$E202+1))</f>
        <v>0</v>
      </c>
      <c r="AP202" s="57" t="n">
        <f aca="false">IF(OR(OR($B202="",$E202="",$F202=""),$L202&lt;&gt;"لا"),0,MAX(0,MIN($F202,EOMONTH(DATE(cfg_FY,9,1),0))-$E202+1))</f>
        <v>0</v>
      </c>
      <c r="AQ202" s="57" t="n">
        <f aca="false">IF(OR(OR($B202="",$E202="",$F202=""),$L202&lt;&gt;"لا"),0,MAX(0,MIN($F202,EOMONTH(DATE(cfg_FY,10,1),0))-$E202+1))</f>
        <v>0</v>
      </c>
      <c r="AR202" s="57" t="n">
        <f aca="false">IF(OR(OR($B202="",$E202="",$F202=""),$L202&lt;&gt;"لا"),0,MAX(0,MIN($F202,EOMONTH(DATE(cfg_FY,11,1),0))-$E202+1))</f>
        <v>0</v>
      </c>
      <c r="AS202" s="57" t="n">
        <f aca="false">IF(OR(OR($B202="",$E202="",$F202=""),$L202&lt;&gt;"لا"),0,MAX(0,MIN($F202,EOMONTH(DATE(cfg_FY,12,1),0))-$E202+1))</f>
        <v>0</v>
      </c>
      <c r="AT202" s="57" t="n">
        <f aca="false">IF(OR(OR($B202="",$E202="",$F202=""),$K202&lt;&gt;"نعم",$M202="نعم"),0,MAX(0,MIN($F202,EOMONTH(DATE(cfg_FY,1,1),0))-MAX($E202,DATE(cfg_FY,1,1))+1))</f>
        <v>0</v>
      </c>
      <c r="AU202" s="57" t="n">
        <f aca="false">IF(OR(OR($B202="",$E202="",$F202=""),$K202&lt;&gt;"نعم",$M202="نعم"),0,MAX(0,MIN($F202,EOMONTH(DATE(cfg_FY,2,1),0))-MAX($E202,DATE(cfg_FY,2,1))+1))</f>
        <v>0</v>
      </c>
      <c r="AV202" s="57" t="n">
        <f aca="false">IF(OR(OR($B202="",$E202="",$F202=""),$K202&lt;&gt;"نعم",$M202="نعم"),0,MAX(0,MIN($F202,EOMONTH(DATE(cfg_FY,3,1),0))-MAX($E202,DATE(cfg_FY,3,1))+1))</f>
        <v>0</v>
      </c>
      <c r="AW202" s="57" t="n">
        <f aca="false">IF(OR(OR($B202="",$E202="",$F202=""),$K202&lt;&gt;"نعم",$M202="نعم"),0,MAX(0,MIN($F202,EOMONTH(DATE(cfg_FY,4,1),0))-MAX($E202,DATE(cfg_FY,4,1))+1))</f>
        <v>0</v>
      </c>
      <c r="AX202" s="57" t="n">
        <f aca="false">IF(OR(OR($B202="",$E202="",$F202=""),$K202&lt;&gt;"نعم",$M202="نعم"),0,MAX(0,MIN($F202,EOMONTH(DATE(cfg_FY,5,1),0))-MAX($E202,DATE(cfg_FY,5,1))+1))</f>
        <v>0</v>
      </c>
      <c r="AY202" s="57" t="n">
        <f aca="false">IF(OR(OR($B202="",$E202="",$F202=""),$K202&lt;&gt;"نعم",$M202="نعم"),0,MAX(0,MIN($F202,EOMONTH(DATE(cfg_FY,6,1),0))-MAX($E202,DATE(cfg_FY,6,1))+1))</f>
        <v>0</v>
      </c>
      <c r="AZ202" s="57" t="n">
        <f aca="false">IF(OR(OR($B202="",$E202="",$F202=""),$K202&lt;&gt;"نعم",$M202="نعم"),0,MAX(0,MIN($F202,EOMONTH(DATE(cfg_FY,7,1),0))-MAX($E202,DATE(cfg_FY,7,1))+1))</f>
        <v>0</v>
      </c>
      <c r="BA202" s="57" t="n">
        <f aca="false">IF(OR(OR($B202="",$E202="",$F202=""),$K202&lt;&gt;"نعم",$M202="نعم"),0,MAX(0,MIN($F202,EOMONTH(DATE(cfg_FY,8,1),0))-MAX($E202,DATE(cfg_FY,8,1))+1))</f>
        <v>0</v>
      </c>
      <c r="BB202" s="57" t="n">
        <f aca="false">IF(OR(OR($B202="",$E202="",$F202=""),$K202&lt;&gt;"نعم",$M202="نعم"),0,MAX(0,MIN($F202,EOMONTH(DATE(cfg_FY,9,1),0))-MAX($E202,DATE(cfg_FY,9,1))+1))</f>
        <v>0</v>
      </c>
      <c r="BC202" s="57" t="n">
        <f aca="false">IF(OR(OR($B202="",$E202="",$F202=""),$K202&lt;&gt;"نعم",$M202="نعم"),0,MAX(0,MIN($F202,EOMONTH(DATE(cfg_FY,10,1),0))-MAX($E202,DATE(cfg_FY,10,1))+1))</f>
        <v>0</v>
      </c>
      <c r="BD202" s="57" t="n">
        <f aca="false">IF(OR(OR($B202="",$E202="",$F202=""),$K202&lt;&gt;"نعم",$M202="نعم"),0,MAX(0,MIN($F202,EOMONTH(DATE(cfg_FY,11,1),0))-MAX($E202,DATE(cfg_FY,11,1))+1))</f>
        <v>0</v>
      </c>
      <c r="BE202" s="57" t="n">
        <f aca="false">IF(OR(OR($B202="",$E202="",$F202=""),$K202&lt;&gt;"نعم",$M202="نعم"),0,MAX(0,MIN($F202,EOMONTH(DATE(cfg_FY,12,1),0))-MAX($E202,DATE(cfg_FY,12,1))+1))</f>
        <v>0</v>
      </c>
    </row>
    <row r="203" customFormat="false" ht="15" hidden="false" customHeight="false" outlineLevel="0" collapsed="false">
      <c r="A203" s="100" t="str">
        <f aca="false">IF(B203="","",ROW()-5)</f>
        <v/>
      </c>
      <c r="B203" s="79"/>
      <c r="C203" s="102" t="str">
        <f aca="false">IF(B203="","",IFERROR(INDEX(الموظفون!$C$6:$C$105,MATCH(B203,الموظفون!$B$6:$B$105,0)),"✖ رقم غير موجود"))</f>
        <v/>
      </c>
      <c r="D203" s="79"/>
      <c r="E203" s="94"/>
      <c r="F203" s="94"/>
      <c r="G203" s="110" t="str">
        <f aca="false">IF(OR($B203="",$E203="",$F203=""),"",MAX(0,F203-E203+1))</f>
        <v/>
      </c>
      <c r="H203" s="111" t="str">
        <f aca="false">IF(D203="","",IFERROR(VLOOKUP(D203,cfg_LT,2,FALSE()),1))</f>
        <v/>
      </c>
      <c r="I203" s="82"/>
      <c r="J203" s="111" t="str">
        <f aca="false">IF(D203="","",IF(I203&lt;&gt;"",I203,H203))</f>
        <v/>
      </c>
      <c r="K203" s="102" t="str">
        <f aca="false">IF(D203="","",IFERROR(VLOOKUP($D203,cfg_LT,3,FALSE()),""))</f>
        <v/>
      </c>
      <c r="L203" s="102" t="str">
        <f aca="false">IF(D203="","",IFERROR(VLOOKUP($D203,cfg_LT,4,FALSE()),""))</f>
        <v/>
      </c>
      <c r="M203" s="102" t="str">
        <f aca="false">IF(D203="","",IFERROR(VLOOKUP($D203,cfg_LT,5,FALSE()),""))</f>
        <v/>
      </c>
      <c r="N203" s="101" t="n">
        <f aca="false">IF(OR(OR($B203="",$E203="",$F203=""),M203&lt;&gt;"نعم"),0,G203*J203*IFERROR(INDEX(الموظفون!$R$6:$R$105,MATCH(B203,الموظفون!$B$6:$B$105,0)),0)/cfg_DAYS_M)</f>
        <v>0</v>
      </c>
      <c r="O203" s="100" t="str">
        <f aca="false">IF(OR(OR($B203="",$E203="",$F203=""),M203&lt;&gt;"نعم"),"",IF(YEAR(E203)=cfg_FY,MONTH(E203),""))</f>
        <v/>
      </c>
      <c r="P203" s="102" t="str">
        <f aca="false">IF(B203="","",IF(OR(D203="",E203="",F203=""),"⚠ أكمل النوع والتواريخ",IF(F203&lt;E203,"✖ النهاية قبل البداية",IF(COUNTIFS($B$6:$B$505,B203,$E$6:$E$505,"&lt;="&amp;F203,$F$6:$F$505,"&gt;="&amp;E203)&gt;1,"⚠ تداخل مع سجل آخر",IF(E203&gt;cfg_VAL_DATE,"⏳ قادمة",IF(F203&lt;cfg_VAL_DATE,"✔ منتهية","✈ جارية في تاريخ التقرير"))))))</f>
        <v/>
      </c>
      <c r="Q203" s="79"/>
      <c r="R203" s="110" t="n">
        <f aca="false">IF(OR(OR($B203="",$E203="",$F203=""),L203&lt;&gt;"لا"),0,MAX(0,MIN(F203,cfg_Y_START-1)-E203+1))</f>
        <v>0</v>
      </c>
      <c r="S203" s="110" t="n">
        <f aca="false">IF(OR(OR($B203="",$E203="",$F203=""),L203&lt;&gt;"لا"),0,MAX(0,MIN(F203,cfg_VAL_DATE)-E203+1))</f>
        <v>0</v>
      </c>
      <c r="T203" s="110" t="n">
        <f aca="false">IF(OR(OR($B203="",$E203="",$F203=""),K203&lt;&gt;"نعم"),0,IF(M203="نعم",IF(AND(ISNUMBER(O203),N(O203)&lt;=cfg_VAL_M),G203,0),MAX(0,MIN(F203,cfg_VAL_DATE)-MAX(E203,cfg_Y_START)+1)))</f>
        <v>0</v>
      </c>
      <c r="V203" s="110" t="n">
        <f aca="false">IF(OR($B203="",$E203="",$F203=""),0,MAX(0,MIN($F203,EOMONTH(DATE(cfg_FY,1,1),0))-MAX($E203,DATE(cfg_FY,1,1))+1)*(1-IF($M203="نعم",0,N($J203))))</f>
        <v>0</v>
      </c>
      <c r="W203" s="110" t="n">
        <f aca="false">IF(OR($B203="",$E203="",$F203=""),0,MAX(0,MIN($F203,EOMONTH(DATE(cfg_FY,2,1),0))-MAX($E203,DATE(cfg_FY,2,1))+1)*(1-IF($M203="نعم",0,N($J203))))</f>
        <v>0</v>
      </c>
      <c r="X203" s="110" t="n">
        <f aca="false">IF(OR($B203="",$E203="",$F203=""),0,MAX(0,MIN($F203,EOMONTH(DATE(cfg_FY,3,1),0))-MAX($E203,DATE(cfg_FY,3,1))+1)*(1-IF($M203="نعم",0,N($J203))))</f>
        <v>0</v>
      </c>
      <c r="Y203" s="110" t="n">
        <f aca="false">IF(OR($B203="",$E203="",$F203=""),0,MAX(0,MIN($F203,EOMONTH(DATE(cfg_FY,4,1),0))-MAX($E203,DATE(cfg_FY,4,1))+1)*(1-IF($M203="نعم",0,N($J203))))</f>
        <v>0</v>
      </c>
      <c r="Z203" s="110" t="n">
        <f aca="false">IF(OR($B203="",$E203="",$F203=""),0,MAX(0,MIN($F203,EOMONTH(DATE(cfg_FY,5,1),0))-MAX($E203,DATE(cfg_FY,5,1))+1)*(1-IF($M203="نعم",0,N($J203))))</f>
        <v>0</v>
      </c>
      <c r="AA203" s="110" t="n">
        <f aca="false">IF(OR($B203="",$E203="",$F203=""),0,MAX(0,MIN($F203,EOMONTH(DATE(cfg_FY,6,1),0))-MAX($E203,DATE(cfg_FY,6,1))+1)*(1-IF($M203="نعم",0,N($J203))))</f>
        <v>0</v>
      </c>
      <c r="AB203" s="110" t="n">
        <f aca="false">IF(OR($B203="",$E203="",$F203=""),0,MAX(0,MIN($F203,EOMONTH(DATE(cfg_FY,7,1),0))-MAX($E203,DATE(cfg_FY,7,1))+1)*(1-IF($M203="نعم",0,N($J203))))</f>
        <v>0</v>
      </c>
      <c r="AC203" s="110" t="n">
        <f aca="false">IF(OR($B203="",$E203="",$F203=""),0,MAX(0,MIN($F203,EOMONTH(DATE(cfg_FY,8,1),0))-MAX($E203,DATE(cfg_FY,8,1))+1)*(1-IF($M203="نعم",0,N($J203))))</f>
        <v>0</v>
      </c>
      <c r="AD203" s="110" t="n">
        <f aca="false">IF(OR($B203="",$E203="",$F203=""),0,MAX(0,MIN($F203,EOMONTH(DATE(cfg_FY,9,1),0))-MAX($E203,DATE(cfg_FY,9,1))+1)*(1-IF($M203="نعم",0,N($J203))))</f>
        <v>0</v>
      </c>
      <c r="AE203" s="110" t="n">
        <f aca="false">IF(OR($B203="",$E203="",$F203=""),0,MAX(0,MIN($F203,EOMONTH(DATE(cfg_FY,10,1),0))-MAX($E203,DATE(cfg_FY,10,1))+1)*(1-IF($M203="نعم",0,N($J203))))</f>
        <v>0</v>
      </c>
      <c r="AF203" s="110" t="n">
        <f aca="false">IF(OR($B203="",$E203="",$F203=""),0,MAX(0,MIN($F203,EOMONTH(DATE(cfg_FY,11,1),0))-MAX($E203,DATE(cfg_FY,11,1))+1)*(1-IF($M203="نعم",0,N($J203))))</f>
        <v>0</v>
      </c>
      <c r="AG203" s="110" t="n">
        <f aca="false">IF(OR($B203="",$E203="",$F203=""),0,MAX(0,MIN($F203,EOMONTH(DATE(cfg_FY,12,1),0))-MAX($E203,DATE(cfg_FY,12,1))+1)*(1-IF($M203="نعم",0,N($J203))))</f>
        <v>0</v>
      </c>
      <c r="AH203" s="110" t="n">
        <f aca="false">IF(OR(OR($B203="",$E203="",$F203=""),$L203&lt;&gt;"لا"),0,MAX(0,MIN($F203,EOMONTH(DATE(cfg_FY,1,1),0))-$E203+1))</f>
        <v>0</v>
      </c>
      <c r="AI203" s="110" t="n">
        <f aca="false">IF(OR(OR($B203="",$E203="",$F203=""),$L203&lt;&gt;"لا"),0,MAX(0,MIN($F203,EOMONTH(DATE(cfg_FY,2,1),0))-$E203+1))</f>
        <v>0</v>
      </c>
      <c r="AJ203" s="110" t="n">
        <f aca="false">IF(OR(OR($B203="",$E203="",$F203=""),$L203&lt;&gt;"لا"),0,MAX(0,MIN($F203,EOMONTH(DATE(cfg_FY,3,1),0))-$E203+1))</f>
        <v>0</v>
      </c>
      <c r="AK203" s="110" t="n">
        <f aca="false">IF(OR(OR($B203="",$E203="",$F203=""),$L203&lt;&gt;"لا"),0,MAX(0,MIN($F203,EOMONTH(DATE(cfg_FY,4,1),0))-$E203+1))</f>
        <v>0</v>
      </c>
      <c r="AL203" s="110" t="n">
        <f aca="false">IF(OR(OR($B203="",$E203="",$F203=""),$L203&lt;&gt;"لا"),0,MAX(0,MIN($F203,EOMONTH(DATE(cfg_FY,5,1),0))-$E203+1))</f>
        <v>0</v>
      </c>
      <c r="AM203" s="110" t="n">
        <f aca="false">IF(OR(OR($B203="",$E203="",$F203=""),$L203&lt;&gt;"لا"),0,MAX(0,MIN($F203,EOMONTH(DATE(cfg_FY,6,1),0))-$E203+1))</f>
        <v>0</v>
      </c>
      <c r="AN203" s="110" t="n">
        <f aca="false">IF(OR(OR($B203="",$E203="",$F203=""),$L203&lt;&gt;"لا"),0,MAX(0,MIN($F203,EOMONTH(DATE(cfg_FY,7,1),0))-$E203+1))</f>
        <v>0</v>
      </c>
      <c r="AO203" s="110" t="n">
        <f aca="false">IF(OR(OR($B203="",$E203="",$F203=""),$L203&lt;&gt;"لا"),0,MAX(0,MIN($F203,EOMONTH(DATE(cfg_FY,8,1),0))-$E203+1))</f>
        <v>0</v>
      </c>
      <c r="AP203" s="110" t="n">
        <f aca="false">IF(OR(OR($B203="",$E203="",$F203=""),$L203&lt;&gt;"لا"),0,MAX(0,MIN($F203,EOMONTH(DATE(cfg_FY,9,1),0))-$E203+1))</f>
        <v>0</v>
      </c>
      <c r="AQ203" s="110" t="n">
        <f aca="false">IF(OR(OR($B203="",$E203="",$F203=""),$L203&lt;&gt;"لا"),0,MAX(0,MIN($F203,EOMONTH(DATE(cfg_FY,10,1),0))-$E203+1))</f>
        <v>0</v>
      </c>
      <c r="AR203" s="110" t="n">
        <f aca="false">IF(OR(OR($B203="",$E203="",$F203=""),$L203&lt;&gt;"لا"),0,MAX(0,MIN($F203,EOMONTH(DATE(cfg_FY,11,1),0))-$E203+1))</f>
        <v>0</v>
      </c>
      <c r="AS203" s="110" t="n">
        <f aca="false">IF(OR(OR($B203="",$E203="",$F203=""),$L203&lt;&gt;"لا"),0,MAX(0,MIN($F203,EOMONTH(DATE(cfg_FY,12,1),0))-$E203+1))</f>
        <v>0</v>
      </c>
      <c r="AT203" s="110" t="n">
        <f aca="false">IF(OR(OR($B203="",$E203="",$F203=""),$K203&lt;&gt;"نعم",$M203="نعم"),0,MAX(0,MIN($F203,EOMONTH(DATE(cfg_FY,1,1),0))-MAX($E203,DATE(cfg_FY,1,1))+1))</f>
        <v>0</v>
      </c>
      <c r="AU203" s="110" t="n">
        <f aca="false">IF(OR(OR($B203="",$E203="",$F203=""),$K203&lt;&gt;"نعم",$M203="نعم"),0,MAX(0,MIN($F203,EOMONTH(DATE(cfg_FY,2,1),0))-MAX($E203,DATE(cfg_FY,2,1))+1))</f>
        <v>0</v>
      </c>
      <c r="AV203" s="110" t="n">
        <f aca="false">IF(OR(OR($B203="",$E203="",$F203=""),$K203&lt;&gt;"نعم",$M203="نعم"),0,MAX(0,MIN($F203,EOMONTH(DATE(cfg_FY,3,1),0))-MAX($E203,DATE(cfg_FY,3,1))+1))</f>
        <v>0</v>
      </c>
      <c r="AW203" s="110" t="n">
        <f aca="false">IF(OR(OR($B203="",$E203="",$F203=""),$K203&lt;&gt;"نعم",$M203="نعم"),0,MAX(0,MIN($F203,EOMONTH(DATE(cfg_FY,4,1),0))-MAX($E203,DATE(cfg_FY,4,1))+1))</f>
        <v>0</v>
      </c>
      <c r="AX203" s="110" t="n">
        <f aca="false">IF(OR(OR($B203="",$E203="",$F203=""),$K203&lt;&gt;"نعم",$M203="نعم"),0,MAX(0,MIN($F203,EOMONTH(DATE(cfg_FY,5,1),0))-MAX($E203,DATE(cfg_FY,5,1))+1))</f>
        <v>0</v>
      </c>
      <c r="AY203" s="110" t="n">
        <f aca="false">IF(OR(OR($B203="",$E203="",$F203=""),$K203&lt;&gt;"نعم",$M203="نعم"),0,MAX(0,MIN($F203,EOMONTH(DATE(cfg_FY,6,1),0))-MAX($E203,DATE(cfg_FY,6,1))+1))</f>
        <v>0</v>
      </c>
      <c r="AZ203" s="110" t="n">
        <f aca="false">IF(OR(OR($B203="",$E203="",$F203=""),$K203&lt;&gt;"نعم",$M203="نعم"),0,MAX(0,MIN($F203,EOMONTH(DATE(cfg_FY,7,1),0))-MAX($E203,DATE(cfg_FY,7,1))+1))</f>
        <v>0</v>
      </c>
      <c r="BA203" s="110" t="n">
        <f aca="false">IF(OR(OR($B203="",$E203="",$F203=""),$K203&lt;&gt;"نعم",$M203="نعم"),0,MAX(0,MIN($F203,EOMONTH(DATE(cfg_FY,8,1),0))-MAX($E203,DATE(cfg_FY,8,1))+1))</f>
        <v>0</v>
      </c>
      <c r="BB203" s="110" t="n">
        <f aca="false">IF(OR(OR($B203="",$E203="",$F203=""),$K203&lt;&gt;"نعم",$M203="نعم"),0,MAX(0,MIN($F203,EOMONTH(DATE(cfg_FY,9,1),0))-MAX($E203,DATE(cfg_FY,9,1))+1))</f>
        <v>0</v>
      </c>
      <c r="BC203" s="110" t="n">
        <f aca="false">IF(OR(OR($B203="",$E203="",$F203=""),$K203&lt;&gt;"نعم",$M203="نعم"),0,MAX(0,MIN($F203,EOMONTH(DATE(cfg_FY,10,1),0))-MAX($E203,DATE(cfg_FY,10,1))+1))</f>
        <v>0</v>
      </c>
      <c r="BD203" s="110" t="n">
        <f aca="false">IF(OR(OR($B203="",$E203="",$F203=""),$K203&lt;&gt;"نعم",$M203="نعم"),0,MAX(0,MIN($F203,EOMONTH(DATE(cfg_FY,11,1),0))-MAX($E203,DATE(cfg_FY,11,1))+1))</f>
        <v>0</v>
      </c>
      <c r="BE203" s="110" t="n">
        <f aca="false">IF(OR(OR($B203="",$E203="",$F203=""),$K203&lt;&gt;"نعم",$M203="نعم"),0,MAX(0,MIN($F203,EOMONTH(DATE(cfg_FY,12,1),0))-MAX($E203,DATE(cfg_FY,12,1))+1))</f>
        <v>0</v>
      </c>
    </row>
    <row r="204" customFormat="false" ht="15" hidden="false" customHeight="false" outlineLevel="0" collapsed="false">
      <c r="A204" s="93" t="str">
        <f aca="false">IF(B204="","",ROW()-5)</f>
        <v/>
      </c>
      <c r="B204" s="79"/>
      <c r="C204" s="80" t="str">
        <f aca="false">IF(B204="","",IFERROR(INDEX(الموظفون!$C$6:$C$105,MATCH(B204,الموظفون!$B$6:$B$105,0)),"✖ رقم غير موجود"))</f>
        <v/>
      </c>
      <c r="D204" s="79"/>
      <c r="E204" s="94"/>
      <c r="F204" s="94"/>
      <c r="G204" s="57" t="str">
        <f aca="false">IF(OR($B204="",$E204="",$F204=""),"",MAX(0,F204-E204+1))</f>
        <v/>
      </c>
      <c r="H204" s="58" t="str">
        <f aca="false">IF(D204="","",IFERROR(VLOOKUP(D204,cfg_LT,2,FALSE()),1))</f>
        <v/>
      </c>
      <c r="I204" s="82"/>
      <c r="J204" s="58" t="str">
        <f aca="false">IF(D204="","",IF(I204&lt;&gt;"",I204,H204))</f>
        <v/>
      </c>
      <c r="K204" s="80" t="str">
        <f aca="false">IF(D204="","",IFERROR(VLOOKUP($D204,cfg_LT,3,FALSE()),""))</f>
        <v/>
      </c>
      <c r="L204" s="80" t="str">
        <f aca="false">IF(D204="","",IFERROR(VLOOKUP($D204,cfg_LT,4,FALSE()),""))</f>
        <v/>
      </c>
      <c r="M204" s="80" t="str">
        <f aca="false">IF(D204="","",IFERROR(VLOOKUP($D204,cfg_LT,5,FALSE()),""))</f>
        <v/>
      </c>
      <c r="N204" s="97" t="n">
        <f aca="false">IF(OR(OR($B204="",$E204="",$F204=""),M204&lt;&gt;"نعم"),0,G204*J204*IFERROR(INDEX(الموظفون!$R$6:$R$105,MATCH(B204,الموظفون!$B$6:$B$105,0)),0)/cfg_DAYS_M)</f>
        <v>0</v>
      </c>
      <c r="O204" s="93" t="str">
        <f aca="false">IF(OR(OR($B204="",$E204="",$F204=""),M204&lt;&gt;"نعم"),"",IF(YEAR(E204)=cfg_FY,MONTH(E204),""))</f>
        <v/>
      </c>
      <c r="P204" s="80" t="str">
        <f aca="false">IF(B204="","",IF(OR(D204="",E204="",F204=""),"⚠ أكمل النوع والتواريخ",IF(F204&lt;E204,"✖ النهاية قبل البداية",IF(COUNTIFS($B$6:$B$505,B204,$E$6:$E$505,"&lt;="&amp;F204,$F$6:$F$505,"&gt;="&amp;E204)&gt;1,"⚠ تداخل مع سجل آخر",IF(E204&gt;cfg_VAL_DATE,"⏳ قادمة",IF(F204&lt;cfg_VAL_DATE,"✔ منتهية","✈ جارية في تاريخ التقرير"))))))</f>
        <v/>
      </c>
      <c r="Q204" s="79"/>
      <c r="R204" s="57" t="n">
        <f aca="false">IF(OR(OR($B204="",$E204="",$F204=""),L204&lt;&gt;"لا"),0,MAX(0,MIN(F204,cfg_Y_START-1)-E204+1))</f>
        <v>0</v>
      </c>
      <c r="S204" s="57" t="n">
        <f aca="false">IF(OR(OR($B204="",$E204="",$F204=""),L204&lt;&gt;"لا"),0,MAX(0,MIN(F204,cfg_VAL_DATE)-E204+1))</f>
        <v>0</v>
      </c>
      <c r="T204" s="57" t="n">
        <f aca="false">IF(OR(OR($B204="",$E204="",$F204=""),K204&lt;&gt;"نعم"),0,IF(M204="نعم",IF(AND(ISNUMBER(O204),N(O204)&lt;=cfg_VAL_M),G204,0),MAX(0,MIN(F204,cfg_VAL_DATE)-MAX(E204,cfg_Y_START)+1)))</f>
        <v>0</v>
      </c>
      <c r="V204" s="57" t="n">
        <f aca="false">IF(OR($B204="",$E204="",$F204=""),0,MAX(0,MIN($F204,EOMONTH(DATE(cfg_FY,1,1),0))-MAX($E204,DATE(cfg_FY,1,1))+1)*(1-IF($M204="نعم",0,N($J204))))</f>
        <v>0</v>
      </c>
      <c r="W204" s="57" t="n">
        <f aca="false">IF(OR($B204="",$E204="",$F204=""),0,MAX(0,MIN($F204,EOMONTH(DATE(cfg_FY,2,1),0))-MAX($E204,DATE(cfg_FY,2,1))+1)*(1-IF($M204="نعم",0,N($J204))))</f>
        <v>0</v>
      </c>
      <c r="X204" s="57" t="n">
        <f aca="false">IF(OR($B204="",$E204="",$F204=""),0,MAX(0,MIN($F204,EOMONTH(DATE(cfg_FY,3,1),0))-MAX($E204,DATE(cfg_FY,3,1))+1)*(1-IF($M204="نعم",0,N($J204))))</f>
        <v>0</v>
      </c>
      <c r="Y204" s="57" t="n">
        <f aca="false">IF(OR($B204="",$E204="",$F204=""),0,MAX(0,MIN($F204,EOMONTH(DATE(cfg_FY,4,1),0))-MAX($E204,DATE(cfg_FY,4,1))+1)*(1-IF($M204="نعم",0,N($J204))))</f>
        <v>0</v>
      </c>
      <c r="Z204" s="57" t="n">
        <f aca="false">IF(OR($B204="",$E204="",$F204=""),0,MAX(0,MIN($F204,EOMONTH(DATE(cfg_FY,5,1),0))-MAX($E204,DATE(cfg_FY,5,1))+1)*(1-IF($M204="نعم",0,N($J204))))</f>
        <v>0</v>
      </c>
      <c r="AA204" s="57" t="n">
        <f aca="false">IF(OR($B204="",$E204="",$F204=""),0,MAX(0,MIN($F204,EOMONTH(DATE(cfg_FY,6,1),0))-MAX($E204,DATE(cfg_FY,6,1))+1)*(1-IF($M204="نعم",0,N($J204))))</f>
        <v>0</v>
      </c>
      <c r="AB204" s="57" t="n">
        <f aca="false">IF(OR($B204="",$E204="",$F204=""),0,MAX(0,MIN($F204,EOMONTH(DATE(cfg_FY,7,1),0))-MAX($E204,DATE(cfg_FY,7,1))+1)*(1-IF($M204="نعم",0,N($J204))))</f>
        <v>0</v>
      </c>
      <c r="AC204" s="57" t="n">
        <f aca="false">IF(OR($B204="",$E204="",$F204=""),0,MAX(0,MIN($F204,EOMONTH(DATE(cfg_FY,8,1),0))-MAX($E204,DATE(cfg_FY,8,1))+1)*(1-IF($M204="نعم",0,N($J204))))</f>
        <v>0</v>
      </c>
      <c r="AD204" s="57" t="n">
        <f aca="false">IF(OR($B204="",$E204="",$F204=""),0,MAX(0,MIN($F204,EOMONTH(DATE(cfg_FY,9,1),0))-MAX($E204,DATE(cfg_FY,9,1))+1)*(1-IF($M204="نعم",0,N($J204))))</f>
        <v>0</v>
      </c>
      <c r="AE204" s="57" t="n">
        <f aca="false">IF(OR($B204="",$E204="",$F204=""),0,MAX(0,MIN($F204,EOMONTH(DATE(cfg_FY,10,1),0))-MAX($E204,DATE(cfg_FY,10,1))+1)*(1-IF($M204="نعم",0,N($J204))))</f>
        <v>0</v>
      </c>
      <c r="AF204" s="57" t="n">
        <f aca="false">IF(OR($B204="",$E204="",$F204=""),0,MAX(0,MIN($F204,EOMONTH(DATE(cfg_FY,11,1),0))-MAX($E204,DATE(cfg_FY,11,1))+1)*(1-IF($M204="نعم",0,N($J204))))</f>
        <v>0</v>
      </c>
      <c r="AG204" s="57" t="n">
        <f aca="false">IF(OR($B204="",$E204="",$F204=""),0,MAX(0,MIN($F204,EOMONTH(DATE(cfg_FY,12,1),0))-MAX($E204,DATE(cfg_FY,12,1))+1)*(1-IF($M204="نعم",0,N($J204))))</f>
        <v>0</v>
      </c>
      <c r="AH204" s="57" t="n">
        <f aca="false">IF(OR(OR($B204="",$E204="",$F204=""),$L204&lt;&gt;"لا"),0,MAX(0,MIN($F204,EOMONTH(DATE(cfg_FY,1,1),0))-$E204+1))</f>
        <v>0</v>
      </c>
      <c r="AI204" s="57" t="n">
        <f aca="false">IF(OR(OR($B204="",$E204="",$F204=""),$L204&lt;&gt;"لا"),0,MAX(0,MIN($F204,EOMONTH(DATE(cfg_FY,2,1),0))-$E204+1))</f>
        <v>0</v>
      </c>
      <c r="AJ204" s="57" t="n">
        <f aca="false">IF(OR(OR($B204="",$E204="",$F204=""),$L204&lt;&gt;"لا"),0,MAX(0,MIN($F204,EOMONTH(DATE(cfg_FY,3,1),0))-$E204+1))</f>
        <v>0</v>
      </c>
      <c r="AK204" s="57" t="n">
        <f aca="false">IF(OR(OR($B204="",$E204="",$F204=""),$L204&lt;&gt;"لا"),0,MAX(0,MIN($F204,EOMONTH(DATE(cfg_FY,4,1),0))-$E204+1))</f>
        <v>0</v>
      </c>
      <c r="AL204" s="57" t="n">
        <f aca="false">IF(OR(OR($B204="",$E204="",$F204=""),$L204&lt;&gt;"لا"),0,MAX(0,MIN($F204,EOMONTH(DATE(cfg_FY,5,1),0))-$E204+1))</f>
        <v>0</v>
      </c>
      <c r="AM204" s="57" t="n">
        <f aca="false">IF(OR(OR($B204="",$E204="",$F204=""),$L204&lt;&gt;"لا"),0,MAX(0,MIN($F204,EOMONTH(DATE(cfg_FY,6,1),0))-$E204+1))</f>
        <v>0</v>
      </c>
      <c r="AN204" s="57" t="n">
        <f aca="false">IF(OR(OR($B204="",$E204="",$F204=""),$L204&lt;&gt;"لا"),0,MAX(0,MIN($F204,EOMONTH(DATE(cfg_FY,7,1),0))-$E204+1))</f>
        <v>0</v>
      </c>
      <c r="AO204" s="57" t="n">
        <f aca="false">IF(OR(OR($B204="",$E204="",$F204=""),$L204&lt;&gt;"لا"),0,MAX(0,MIN($F204,EOMONTH(DATE(cfg_FY,8,1),0))-$E204+1))</f>
        <v>0</v>
      </c>
      <c r="AP204" s="57" t="n">
        <f aca="false">IF(OR(OR($B204="",$E204="",$F204=""),$L204&lt;&gt;"لا"),0,MAX(0,MIN($F204,EOMONTH(DATE(cfg_FY,9,1),0))-$E204+1))</f>
        <v>0</v>
      </c>
      <c r="AQ204" s="57" t="n">
        <f aca="false">IF(OR(OR($B204="",$E204="",$F204=""),$L204&lt;&gt;"لا"),0,MAX(0,MIN($F204,EOMONTH(DATE(cfg_FY,10,1),0))-$E204+1))</f>
        <v>0</v>
      </c>
      <c r="AR204" s="57" t="n">
        <f aca="false">IF(OR(OR($B204="",$E204="",$F204=""),$L204&lt;&gt;"لا"),0,MAX(0,MIN($F204,EOMONTH(DATE(cfg_FY,11,1),0))-$E204+1))</f>
        <v>0</v>
      </c>
      <c r="AS204" s="57" t="n">
        <f aca="false">IF(OR(OR($B204="",$E204="",$F204=""),$L204&lt;&gt;"لا"),0,MAX(0,MIN($F204,EOMONTH(DATE(cfg_FY,12,1),0))-$E204+1))</f>
        <v>0</v>
      </c>
      <c r="AT204" s="57" t="n">
        <f aca="false">IF(OR(OR($B204="",$E204="",$F204=""),$K204&lt;&gt;"نعم",$M204="نعم"),0,MAX(0,MIN($F204,EOMONTH(DATE(cfg_FY,1,1),0))-MAX($E204,DATE(cfg_FY,1,1))+1))</f>
        <v>0</v>
      </c>
      <c r="AU204" s="57" t="n">
        <f aca="false">IF(OR(OR($B204="",$E204="",$F204=""),$K204&lt;&gt;"نعم",$M204="نعم"),0,MAX(0,MIN($F204,EOMONTH(DATE(cfg_FY,2,1),0))-MAX($E204,DATE(cfg_FY,2,1))+1))</f>
        <v>0</v>
      </c>
      <c r="AV204" s="57" t="n">
        <f aca="false">IF(OR(OR($B204="",$E204="",$F204=""),$K204&lt;&gt;"نعم",$M204="نعم"),0,MAX(0,MIN($F204,EOMONTH(DATE(cfg_FY,3,1),0))-MAX($E204,DATE(cfg_FY,3,1))+1))</f>
        <v>0</v>
      </c>
      <c r="AW204" s="57" t="n">
        <f aca="false">IF(OR(OR($B204="",$E204="",$F204=""),$K204&lt;&gt;"نعم",$M204="نعم"),0,MAX(0,MIN($F204,EOMONTH(DATE(cfg_FY,4,1),0))-MAX($E204,DATE(cfg_FY,4,1))+1))</f>
        <v>0</v>
      </c>
      <c r="AX204" s="57" t="n">
        <f aca="false">IF(OR(OR($B204="",$E204="",$F204=""),$K204&lt;&gt;"نعم",$M204="نعم"),0,MAX(0,MIN($F204,EOMONTH(DATE(cfg_FY,5,1),0))-MAX($E204,DATE(cfg_FY,5,1))+1))</f>
        <v>0</v>
      </c>
      <c r="AY204" s="57" t="n">
        <f aca="false">IF(OR(OR($B204="",$E204="",$F204=""),$K204&lt;&gt;"نعم",$M204="نعم"),0,MAX(0,MIN($F204,EOMONTH(DATE(cfg_FY,6,1),0))-MAX($E204,DATE(cfg_FY,6,1))+1))</f>
        <v>0</v>
      </c>
      <c r="AZ204" s="57" t="n">
        <f aca="false">IF(OR(OR($B204="",$E204="",$F204=""),$K204&lt;&gt;"نعم",$M204="نعم"),0,MAX(0,MIN($F204,EOMONTH(DATE(cfg_FY,7,1),0))-MAX($E204,DATE(cfg_FY,7,1))+1))</f>
        <v>0</v>
      </c>
      <c r="BA204" s="57" t="n">
        <f aca="false">IF(OR(OR($B204="",$E204="",$F204=""),$K204&lt;&gt;"نعم",$M204="نعم"),0,MAX(0,MIN($F204,EOMONTH(DATE(cfg_FY,8,1),0))-MAX($E204,DATE(cfg_FY,8,1))+1))</f>
        <v>0</v>
      </c>
      <c r="BB204" s="57" t="n">
        <f aca="false">IF(OR(OR($B204="",$E204="",$F204=""),$K204&lt;&gt;"نعم",$M204="نعم"),0,MAX(0,MIN($F204,EOMONTH(DATE(cfg_FY,9,1),0))-MAX($E204,DATE(cfg_FY,9,1))+1))</f>
        <v>0</v>
      </c>
      <c r="BC204" s="57" t="n">
        <f aca="false">IF(OR(OR($B204="",$E204="",$F204=""),$K204&lt;&gt;"نعم",$M204="نعم"),0,MAX(0,MIN($F204,EOMONTH(DATE(cfg_FY,10,1),0))-MAX($E204,DATE(cfg_FY,10,1))+1))</f>
        <v>0</v>
      </c>
      <c r="BD204" s="57" t="n">
        <f aca="false">IF(OR(OR($B204="",$E204="",$F204=""),$K204&lt;&gt;"نعم",$M204="نعم"),0,MAX(0,MIN($F204,EOMONTH(DATE(cfg_FY,11,1),0))-MAX($E204,DATE(cfg_FY,11,1))+1))</f>
        <v>0</v>
      </c>
      <c r="BE204" s="57" t="n">
        <f aca="false">IF(OR(OR($B204="",$E204="",$F204=""),$K204&lt;&gt;"نعم",$M204="نعم"),0,MAX(0,MIN($F204,EOMONTH(DATE(cfg_FY,12,1),0))-MAX($E204,DATE(cfg_FY,12,1))+1))</f>
        <v>0</v>
      </c>
    </row>
    <row r="205" customFormat="false" ht="15" hidden="false" customHeight="false" outlineLevel="0" collapsed="false">
      <c r="A205" s="100" t="str">
        <f aca="false">IF(B205="","",ROW()-5)</f>
        <v/>
      </c>
      <c r="B205" s="79"/>
      <c r="C205" s="102" t="str">
        <f aca="false">IF(B205="","",IFERROR(INDEX(الموظفون!$C$6:$C$105,MATCH(B205,الموظفون!$B$6:$B$105,0)),"✖ رقم غير موجود"))</f>
        <v/>
      </c>
      <c r="D205" s="79"/>
      <c r="E205" s="94"/>
      <c r="F205" s="94"/>
      <c r="G205" s="110" t="str">
        <f aca="false">IF(OR($B205="",$E205="",$F205=""),"",MAX(0,F205-E205+1))</f>
        <v/>
      </c>
      <c r="H205" s="111" t="str">
        <f aca="false">IF(D205="","",IFERROR(VLOOKUP(D205,cfg_LT,2,FALSE()),1))</f>
        <v/>
      </c>
      <c r="I205" s="82"/>
      <c r="J205" s="111" t="str">
        <f aca="false">IF(D205="","",IF(I205&lt;&gt;"",I205,H205))</f>
        <v/>
      </c>
      <c r="K205" s="102" t="str">
        <f aca="false">IF(D205="","",IFERROR(VLOOKUP($D205,cfg_LT,3,FALSE()),""))</f>
        <v/>
      </c>
      <c r="L205" s="102" t="str">
        <f aca="false">IF(D205="","",IFERROR(VLOOKUP($D205,cfg_LT,4,FALSE()),""))</f>
        <v/>
      </c>
      <c r="M205" s="102" t="str">
        <f aca="false">IF(D205="","",IFERROR(VLOOKUP($D205,cfg_LT,5,FALSE()),""))</f>
        <v/>
      </c>
      <c r="N205" s="101" t="n">
        <f aca="false">IF(OR(OR($B205="",$E205="",$F205=""),M205&lt;&gt;"نعم"),0,G205*J205*IFERROR(INDEX(الموظفون!$R$6:$R$105,MATCH(B205,الموظفون!$B$6:$B$105,0)),0)/cfg_DAYS_M)</f>
        <v>0</v>
      </c>
      <c r="O205" s="100" t="str">
        <f aca="false">IF(OR(OR($B205="",$E205="",$F205=""),M205&lt;&gt;"نعم"),"",IF(YEAR(E205)=cfg_FY,MONTH(E205),""))</f>
        <v/>
      </c>
      <c r="P205" s="102" t="str">
        <f aca="false">IF(B205="","",IF(OR(D205="",E205="",F205=""),"⚠ أكمل النوع والتواريخ",IF(F205&lt;E205,"✖ النهاية قبل البداية",IF(COUNTIFS($B$6:$B$505,B205,$E$6:$E$505,"&lt;="&amp;F205,$F$6:$F$505,"&gt;="&amp;E205)&gt;1,"⚠ تداخل مع سجل آخر",IF(E205&gt;cfg_VAL_DATE,"⏳ قادمة",IF(F205&lt;cfg_VAL_DATE,"✔ منتهية","✈ جارية في تاريخ التقرير"))))))</f>
        <v/>
      </c>
      <c r="Q205" s="79"/>
      <c r="R205" s="110" t="n">
        <f aca="false">IF(OR(OR($B205="",$E205="",$F205=""),L205&lt;&gt;"لا"),0,MAX(0,MIN(F205,cfg_Y_START-1)-E205+1))</f>
        <v>0</v>
      </c>
      <c r="S205" s="110" t="n">
        <f aca="false">IF(OR(OR($B205="",$E205="",$F205=""),L205&lt;&gt;"لا"),0,MAX(0,MIN(F205,cfg_VAL_DATE)-E205+1))</f>
        <v>0</v>
      </c>
      <c r="T205" s="110" t="n">
        <f aca="false">IF(OR(OR($B205="",$E205="",$F205=""),K205&lt;&gt;"نعم"),0,IF(M205="نعم",IF(AND(ISNUMBER(O205),N(O205)&lt;=cfg_VAL_M),G205,0),MAX(0,MIN(F205,cfg_VAL_DATE)-MAX(E205,cfg_Y_START)+1)))</f>
        <v>0</v>
      </c>
      <c r="V205" s="110" t="n">
        <f aca="false">IF(OR($B205="",$E205="",$F205=""),0,MAX(0,MIN($F205,EOMONTH(DATE(cfg_FY,1,1),0))-MAX($E205,DATE(cfg_FY,1,1))+1)*(1-IF($M205="نعم",0,N($J205))))</f>
        <v>0</v>
      </c>
      <c r="W205" s="110" t="n">
        <f aca="false">IF(OR($B205="",$E205="",$F205=""),0,MAX(0,MIN($F205,EOMONTH(DATE(cfg_FY,2,1),0))-MAX($E205,DATE(cfg_FY,2,1))+1)*(1-IF($M205="نعم",0,N($J205))))</f>
        <v>0</v>
      </c>
      <c r="X205" s="110" t="n">
        <f aca="false">IF(OR($B205="",$E205="",$F205=""),0,MAX(0,MIN($F205,EOMONTH(DATE(cfg_FY,3,1),0))-MAX($E205,DATE(cfg_FY,3,1))+1)*(1-IF($M205="نعم",0,N($J205))))</f>
        <v>0</v>
      </c>
      <c r="Y205" s="110" t="n">
        <f aca="false">IF(OR($B205="",$E205="",$F205=""),0,MAX(0,MIN($F205,EOMONTH(DATE(cfg_FY,4,1),0))-MAX($E205,DATE(cfg_FY,4,1))+1)*(1-IF($M205="نعم",0,N($J205))))</f>
        <v>0</v>
      </c>
      <c r="Z205" s="110" t="n">
        <f aca="false">IF(OR($B205="",$E205="",$F205=""),0,MAX(0,MIN($F205,EOMONTH(DATE(cfg_FY,5,1),0))-MAX($E205,DATE(cfg_FY,5,1))+1)*(1-IF($M205="نعم",0,N($J205))))</f>
        <v>0</v>
      </c>
      <c r="AA205" s="110" t="n">
        <f aca="false">IF(OR($B205="",$E205="",$F205=""),0,MAX(0,MIN($F205,EOMONTH(DATE(cfg_FY,6,1),0))-MAX($E205,DATE(cfg_FY,6,1))+1)*(1-IF($M205="نعم",0,N($J205))))</f>
        <v>0</v>
      </c>
      <c r="AB205" s="110" t="n">
        <f aca="false">IF(OR($B205="",$E205="",$F205=""),0,MAX(0,MIN($F205,EOMONTH(DATE(cfg_FY,7,1),0))-MAX($E205,DATE(cfg_FY,7,1))+1)*(1-IF($M205="نعم",0,N($J205))))</f>
        <v>0</v>
      </c>
      <c r="AC205" s="110" t="n">
        <f aca="false">IF(OR($B205="",$E205="",$F205=""),0,MAX(0,MIN($F205,EOMONTH(DATE(cfg_FY,8,1),0))-MAX($E205,DATE(cfg_FY,8,1))+1)*(1-IF($M205="نعم",0,N($J205))))</f>
        <v>0</v>
      </c>
      <c r="AD205" s="110" t="n">
        <f aca="false">IF(OR($B205="",$E205="",$F205=""),0,MAX(0,MIN($F205,EOMONTH(DATE(cfg_FY,9,1),0))-MAX($E205,DATE(cfg_FY,9,1))+1)*(1-IF($M205="نعم",0,N($J205))))</f>
        <v>0</v>
      </c>
      <c r="AE205" s="110" t="n">
        <f aca="false">IF(OR($B205="",$E205="",$F205=""),0,MAX(0,MIN($F205,EOMONTH(DATE(cfg_FY,10,1),0))-MAX($E205,DATE(cfg_FY,10,1))+1)*(1-IF($M205="نعم",0,N($J205))))</f>
        <v>0</v>
      </c>
      <c r="AF205" s="110" t="n">
        <f aca="false">IF(OR($B205="",$E205="",$F205=""),0,MAX(0,MIN($F205,EOMONTH(DATE(cfg_FY,11,1),0))-MAX($E205,DATE(cfg_FY,11,1))+1)*(1-IF($M205="نعم",0,N($J205))))</f>
        <v>0</v>
      </c>
      <c r="AG205" s="110" t="n">
        <f aca="false">IF(OR($B205="",$E205="",$F205=""),0,MAX(0,MIN($F205,EOMONTH(DATE(cfg_FY,12,1),0))-MAX($E205,DATE(cfg_FY,12,1))+1)*(1-IF($M205="نعم",0,N($J205))))</f>
        <v>0</v>
      </c>
      <c r="AH205" s="110" t="n">
        <f aca="false">IF(OR(OR($B205="",$E205="",$F205=""),$L205&lt;&gt;"لا"),0,MAX(0,MIN($F205,EOMONTH(DATE(cfg_FY,1,1),0))-$E205+1))</f>
        <v>0</v>
      </c>
      <c r="AI205" s="110" t="n">
        <f aca="false">IF(OR(OR($B205="",$E205="",$F205=""),$L205&lt;&gt;"لا"),0,MAX(0,MIN($F205,EOMONTH(DATE(cfg_FY,2,1),0))-$E205+1))</f>
        <v>0</v>
      </c>
      <c r="AJ205" s="110" t="n">
        <f aca="false">IF(OR(OR($B205="",$E205="",$F205=""),$L205&lt;&gt;"لا"),0,MAX(0,MIN($F205,EOMONTH(DATE(cfg_FY,3,1),0))-$E205+1))</f>
        <v>0</v>
      </c>
      <c r="AK205" s="110" t="n">
        <f aca="false">IF(OR(OR($B205="",$E205="",$F205=""),$L205&lt;&gt;"لا"),0,MAX(0,MIN($F205,EOMONTH(DATE(cfg_FY,4,1),0))-$E205+1))</f>
        <v>0</v>
      </c>
      <c r="AL205" s="110" t="n">
        <f aca="false">IF(OR(OR($B205="",$E205="",$F205=""),$L205&lt;&gt;"لا"),0,MAX(0,MIN($F205,EOMONTH(DATE(cfg_FY,5,1),0))-$E205+1))</f>
        <v>0</v>
      </c>
      <c r="AM205" s="110" t="n">
        <f aca="false">IF(OR(OR($B205="",$E205="",$F205=""),$L205&lt;&gt;"لا"),0,MAX(0,MIN($F205,EOMONTH(DATE(cfg_FY,6,1),0))-$E205+1))</f>
        <v>0</v>
      </c>
      <c r="AN205" s="110" t="n">
        <f aca="false">IF(OR(OR($B205="",$E205="",$F205=""),$L205&lt;&gt;"لا"),0,MAX(0,MIN($F205,EOMONTH(DATE(cfg_FY,7,1),0))-$E205+1))</f>
        <v>0</v>
      </c>
      <c r="AO205" s="110" t="n">
        <f aca="false">IF(OR(OR($B205="",$E205="",$F205=""),$L205&lt;&gt;"لا"),0,MAX(0,MIN($F205,EOMONTH(DATE(cfg_FY,8,1),0))-$E205+1))</f>
        <v>0</v>
      </c>
      <c r="AP205" s="110" t="n">
        <f aca="false">IF(OR(OR($B205="",$E205="",$F205=""),$L205&lt;&gt;"لا"),0,MAX(0,MIN($F205,EOMONTH(DATE(cfg_FY,9,1),0))-$E205+1))</f>
        <v>0</v>
      </c>
      <c r="AQ205" s="110" t="n">
        <f aca="false">IF(OR(OR($B205="",$E205="",$F205=""),$L205&lt;&gt;"لا"),0,MAX(0,MIN($F205,EOMONTH(DATE(cfg_FY,10,1),0))-$E205+1))</f>
        <v>0</v>
      </c>
      <c r="AR205" s="110" t="n">
        <f aca="false">IF(OR(OR($B205="",$E205="",$F205=""),$L205&lt;&gt;"لا"),0,MAX(0,MIN($F205,EOMONTH(DATE(cfg_FY,11,1),0))-$E205+1))</f>
        <v>0</v>
      </c>
      <c r="AS205" s="110" t="n">
        <f aca="false">IF(OR(OR($B205="",$E205="",$F205=""),$L205&lt;&gt;"لا"),0,MAX(0,MIN($F205,EOMONTH(DATE(cfg_FY,12,1),0))-$E205+1))</f>
        <v>0</v>
      </c>
      <c r="AT205" s="110" t="n">
        <f aca="false">IF(OR(OR($B205="",$E205="",$F205=""),$K205&lt;&gt;"نعم",$M205="نعم"),0,MAX(0,MIN($F205,EOMONTH(DATE(cfg_FY,1,1),0))-MAX($E205,DATE(cfg_FY,1,1))+1))</f>
        <v>0</v>
      </c>
      <c r="AU205" s="110" t="n">
        <f aca="false">IF(OR(OR($B205="",$E205="",$F205=""),$K205&lt;&gt;"نعم",$M205="نعم"),0,MAX(0,MIN($F205,EOMONTH(DATE(cfg_FY,2,1),0))-MAX($E205,DATE(cfg_FY,2,1))+1))</f>
        <v>0</v>
      </c>
      <c r="AV205" s="110" t="n">
        <f aca="false">IF(OR(OR($B205="",$E205="",$F205=""),$K205&lt;&gt;"نعم",$M205="نعم"),0,MAX(0,MIN($F205,EOMONTH(DATE(cfg_FY,3,1),0))-MAX($E205,DATE(cfg_FY,3,1))+1))</f>
        <v>0</v>
      </c>
      <c r="AW205" s="110" t="n">
        <f aca="false">IF(OR(OR($B205="",$E205="",$F205=""),$K205&lt;&gt;"نعم",$M205="نعم"),0,MAX(0,MIN($F205,EOMONTH(DATE(cfg_FY,4,1),0))-MAX($E205,DATE(cfg_FY,4,1))+1))</f>
        <v>0</v>
      </c>
      <c r="AX205" s="110" t="n">
        <f aca="false">IF(OR(OR($B205="",$E205="",$F205=""),$K205&lt;&gt;"نعم",$M205="نعم"),0,MAX(0,MIN($F205,EOMONTH(DATE(cfg_FY,5,1),0))-MAX($E205,DATE(cfg_FY,5,1))+1))</f>
        <v>0</v>
      </c>
      <c r="AY205" s="110" t="n">
        <f aca="false">IF(OR(OR($B205="",$E205="",$F205=""),$K205&lt;&gt;"نعم",$M205="نعم"),0,MAX(0,MIN($F205,EOMONTH(DATE(cfg_FY,6,1),0))-MAX($E205,DATE(cfg_FY,6,1))+1))</f>
        <v>0</v>
      </c>
      <c r="AZ205" s="110" t="n">
        <f aca="false">IF(OR(OR($B205="",$E205="",$F205=""),$K205&lt;&gt;"نعم",$M205="نعم"),0,MAX(0,MIN($F205,EOMONTH(DATE(cfg_FY,7,1),0))-MAX($E205,DATE(cfg_FY,7,1))+1))</f>
        <v>0</v>
      </c>
      <c r="BA205" s="110" t="n">
        <f aca="false">IF(OR(OR($B205="",$E205="",$F205=""),$K205&lt;&gt;"نعم",$M205="نعم"),0,MAX(0,MIN($F205,EOMONTH(DATE(cfg_FY,8,1),0))-MAX($E205,DATE(cfg_FY,8,1))+1))</f>
        <v>0</v>
      </c>
      <c r="BB205" s="110" t="n">
        <f aca="false">IF(OR(OR($B205="",$E205="",$F205=""),$K205&lt;&gt;"نعم",$M205="نعم"),0,MAX(0,MIN($F205,EOMONTH(DATE(cfg_FY,9,1),0))-MAX($E205,DATE(cfg_FY,9,1))+1))</f>
        <v>0</v>
      </c>
      <c r="BC205" s="110" t="n">
        <f aca="false">IF(OR(OR($B205="",$E205="",$F205=""),$K205&lt;&gt;"نعم",$M205="نعم"),0,MAX(0,MIN($F205,EOMONTH(DATE(cfg_FY,10,1),0))-MAX($E205,DATE(cfg_FY,10,1))+1))</f>
        <v>0</v>
      </c>
      <c r="BD205" s="110" t="n">
        <f aca="false">IF(OR(OR($B205="",$E205="",$F205=""),$K205&lt;&gt;"نعم",$M205="نعم"),0,MAX(0,MIN($F205,EOMONTH(DATE(cfg_FY,11,1),0))-MAX($E205,DATE(cfg_FY,11,1))+1))</f>
        <v>0</v>
      </c>
      <c r="BE205" s="110" t="n">
        <f aca="false">IF(OR(OR($B205="",$E205="",$F205=""),$K205&lt;&gt;"نعم",$M205="نعم"),0,MAX(0,MIN($F205,EOMONTH(DATE(cfg_FY,12,1),0))-MAX($E205,DATE(cfg_FY,12,1))+1))</f>
        <v>0</v>
      </c>
    </row>
    <row r="206" customFormat="false" ht="15" hidden="false" customHeight="false" outlineLevel="0" collapsed="false">
      <c r="A206" s="93" t="str">
        <f aca="false">IF(B206="","",ROW()-5)</f>
        <v/>
      </c>
      <c r="B206" s="79"/>
      <c r="C206" s="80" t="str">
        <f aca="false">IF(B206="","",IFERROR(INDEX(الموظفون!$C$6:$C$105,MATCH(B206,الموظفون!$B$6:$B$105,0)),"✖ رقم غير موجود"))</f>
        <v/>
      </c>
      <c r="D206" s="79"/>
      <c r="E206" s="94"/>
      <c r="F206" s="94"/>
      <c r="G206" s="57" t="str">
        <f aca="false">IF(OR($B206="",$E206="",$F206=""),"",MAX(0,F206-E206+1))</f>
        <v/>
      </c>
      <c r="H206" s="58" t="str">
        <f aca="false">IF(D206="","",IFERROR(VLOOKUP(D206,cfg_LT,2,FALSE()),1))</f>
        <v/>
      </c>
      <c r="I206" s="82"/>
      <c r="J206" s="58" t="str">
        <f aca="false">IF(D206="","",IF(I206&lt;&gt;"",I206,H206))</f>
        <v/>
      </c>
      <c r="K206" s="80" t="str">
        <f aca="false">IF(D206="","",IFERROR(VLOOKUP($D206,cfg_LT,3,FALSE()),""))</f>
        <v/>
      </c>
      <c r="L206" s="80" t="str">
        <f aca="false">IF(D206="","",IFERROR(VLOOKUP($D206,cfg_LT,4,FALSE()),""))</f>
        <v/>
      </c>
      <c r="M206" s="80" t="str">
        <f aca="false">IF(D206="","",IFERROR(VLOOKUP($D206,cfg_LT,5,FALSE()),""))</f>
        <v/>
      </c>
      <c r="N206" s="97" t="n">
        <f aca="false">IF(OR(OR($B206="",$E206="",$F206=""),M206&lt;&gt;"نعم"),0,G206*J206*IFERROR(INDEX(الموظفون!$R$6:$R$105,MATCH(B206,الموظفون!$B$6:$B$105,0)),0)/cfg_DAYS_M)</f>
        <v>0</v>
      </c>
      <c r="O206" s="93" t="str">
        <f aca="false">IF(OR(OR($B206="",$E206="",$F206=""),M206&lt;&gt;"نعم"),"",IF(YEAR(E206)=cfg_FY,MONTH(E206),""))</f>
        <v/>
      </c>
      <c r="P206" s="80" t="str">
        <f aca="false">IF(B206="","",IF(OR(D206="",E206="",F206=""),"⚠ أكمل النوع والتواريخ",IF(F206&lt;E206,"✖ النهاية قبل البداية",IF(COUNTIFS($B$6:$B$505,B206,$E$6:$E$505,"&lt;="&amp;F206,$F$6:$F$505,"&gt;="&amp;E206)&gt;1,"⚠ تداخل مع سجل آخر",IF(E206&gt;cfg_VAL_DATE,"⏳ قادمة",IF(F206&lt;cfg_VAL_DATE,"✔ منتهية","✈ جارية في تاريخ التقرير"))))))</f>
        <v/>
      </c>
      <c r="Q206" s="79"/>
      <c r="R206" s="57" t="n">
        <f aca="false">IF(OR(OR($B206="",$E206="",$F206=""),L206&lt;&gt;"لا"),0,MAX(0,MIN(F206,cfg_Y_START-1)-E206+1))</f>
        <v>0</v>
      </c>
      <c r="S206" s="57" t="n">
        <f aca="false">IF(OR(OR($B206="",$E206="",$F206=""),L206&lt;&gt;"لا"),0,MAX(0,MIN(F206,cfg_VAL_DATE)-E206+1))</f>
        <v>0</v>
      </c>
      <c r="T206" s="57" t="n">
        <f aca="false">IF(OR(OR($B206="",$E206="",$F206=""),K206&lt;&gt;"نعم"),0,IF(M206="نعم",IF(AND(ISNUMBER(O206),N(O206)&lt;=cfg_VAL_M),G206,0),MAX(0,MIN(F206,cfg_VAL_DATE)-MAX(E206,cfg_Y_START)+1)))</f>
        <v>0</v>
      </c>
      <c r="V206" s="57" t="n">
        <f aca="false">IF(OR($B206="",$E206="",$F206=""),0,MAX(0,MIN($F206,EOMONTH(DATE(cfg_FY,1,1),0))-MAX($E206,DATE(cfg_FY,1,1))+1)*(1-IF($M206="نعم",0,N($J206))))</f>
        <v>0</v>
      </c>
      <c r="W206" s="57" t="n">
        <f aca="false">IF(OR($B206="",$E206="",$F206=""),0,MAX(0,MIN($F206,EOMONTH(DATE(cfg_FY,2,1),0))-MAX($E206,DATE(cfg_FY,2,1))+1)*(1-IF($M206="نعم",0,N($J206))))</f>
        <v>0</v>
      </c>
      <c r="X206" s="57" t="n">
        <f aca="false">IF(OR($B206="",$E206="",$F206=""),0,MAX(0,MIN($F206,EOMONTH(DATE(cfg_FY,3,1),0))-MAX($E206,DATE(cfg_FY,3,1))+1)*(1-IF($M206="نعم",0,N($J206))))</f>
        <v>0</v>
      </c>
      <c r="Y206" s="57" t="n">
        <f aca="false">IF(OR($B206="",$E206="",$F206=""),0,MAX(0,MIN($F206,EOMONTH(DATE(cfg_FY,4,1),0))-MAX($E206,DATE(cfg_FY,4,1))+1)*(1-IF($M206="نعم",0,N($J206))))</f>
        <v>0</v>
      </c>
      <c r="Z206" s="57" t="n">
        <f aca="false">IF(OR($B206="",$E206="",$F206=""),0,MAX(0,MIN($F206,EOMONTH(DATE(cfg_FY,5,1),0))-MAX($E206,DATE(cfg_FY,5,1))+1)*(1-IF($M206="نعم",0,N($J206))))</f>
        <v>0</v>
      </c>
      <c r="AA206" s="57" t="n">
        <f aca="false">IF(OR($B206="",$E206="",$F206=""),0,MAX(0,MIN($F206,EOMONTH(DATE(cfg_FY,6,1),0))-MAX($E206,DATE(cfg_FY,6,1))+1)*(1-IF($M206="نعم",0,N($J206))))</f>
        <v>0</v>
      </c>
      <c r="AB206" s="57" t="n">
        <f aca="false">IF(OR($B206="",$E206="",$F206=""),0,MAX(0,MIN($F206,EOMONTH(DATE(cfg_FY,7,1),0))-MAX($E206,DATE(cfg_FY,7,1))+1)*(1-IF($M206="نعم",0,N($J206))))</f>
        <v>0</v>
      </c>
      <c r="AC206" s="57" t="n">
        <f aca="false">IF(OR($B206="",$E206="",$F206=""),0,MAX(0,MIN($F206,EOMONTH(DATE(cfg_FY,8,1),0))-MAX($E206,DATE(cfg_FY,8,1))+1)*(1-IF($M206="نعم",0,N($J206))))</f>
        <v>0</v>
      </c>
      <c r="AD206" s="57" t="n">
        <f aca="false">IF(OR($B206="",$E206="",$F206=""),0,MAX(0,MIN($F206,EOMONTH(DATE(cfg_FY,9,1),0))-MAX($E206,DATE(cfg_FY,9,1))+1)*(1-IF($M206="نعم",0,N($J206))))</f>
        <v>0</v>
      </c>
      <c r="AE206" s="57" t="n">
        <f aca="false">IF(OR($B206="",$E206="",$F206=""),0,MAX(0,MIN($F206,EOMONTH(DATE(cfg_FY,10,1),0))-MAX($E206,DATE(cfg_FY,10,1))+1)*(1-IF($M206="نعم",0,N($J206))))</f>
        <v>0</v>
      </c>
      <c r="AF206" s="57" t="n">
        <f aca="false">IF(OR($B206="",$E206="",$F206=""),0,MAX(0,MIN($F206,EOMONTH(DATE(cfg_FY,11,1),0))-MAX($E206,DATE(cfg_FY,11,1))+1)*(1-IF($M206="نعم",0,N($J206))))</f>
        <v>0</v>
      </c>
      <c r="AG206" s="57" t="n">
        <f aca="false">IF(OR($B206="",$E206="",$F206=""),0,MAX(0,MIN($F206,EOMONTH(DATE(cfg_FY,12,1),0))-MAX($E206,DATE(cfg_FY,12,1))+1)*(1-IF($M206="نعم",0,N($J206))))</f>
        <v>0</v>
      </c>
      <c r="AH206" s="57" t="n">
        <f aca="false">IF(OR(OR($B206="",$E206="",$F206=""),$L206&lt;&gt;"لا"),0,MAX(0,MIN($F206,EOMONTH(DATE(cfg_FY,1,1),0))-$E206+1))</f>
        <v>0</v>
      </c>
      <c r="AI206" s="57" t="n">
        <f aca="false">IF(OR(OR($B206="",$E206="",$F206=""),$L206&lt;&gt;"لا"),0,MAX(0,MIN($F206,EOMONTH(DATE(cfg_FY,2,1),0))-$E206+1))</f>
        <v>0</v>
      </c>
      <c r="AJ206" s="57" t="n">
        <f aca="false">IF(OR(OR($B206="",$E206="",$F206=""),$L206&lt;&gt;"لا"),0,MAX(0,MIN($F206,EOMONTH(DATE(cfg_FY,3,1),0))-$E206+1))</f>
        <v>0</v>
      </c>
      <c r="AK206" s="57" t="n">
        <f aca="false">IF(OR(OR($B206="",$E206="",$F206=""),$L206&lt;&gt;"لا"),0,MAX(0,MIN($F206,EOMONTH(DATE(cfg_FY,4,1),0))-$E206+1))</f>
        <v>0</v>
      </c>
      <c r="AL206" s="57" t="n">
        <f aca="false">IF(OR(OR($B206="",$E206="",$F206=""),$L206&lt;&gt;"لا"),0,MAX(0,MIN($F206,EOMONTH(DATE(cfg_FY,5,1),0))-$E206+1))</f>
        <v>0</v>
      </c>
      <c r="AM206" s="57" t="n">
        <f aca="false">IF(OR(OR($B206="",$E206="",$F206=""),$L206&lt;&gt;"لا"),0,MAX(0,MIN($F206,EOMONTH(DATE(cfg_FY,6,1),0))-$E206+1))</f>
        <v>0</v>
      </c>
      <c r="AN206" s="57" t="n">
        <f aca="false">IF(OR(OR($B206="",$E206="",$F206=""),$L206&lt;&gt;"لا"),0,MAX(0,MIN($F206,EOMONTH(DATE(cfg_FY,7,1),0))-$E206+1))</f>
        <v>0</v>
      </c>
      <c r="AO206" s="57" t="n">
        <f aca="false">IF(OR(OR($B206="",$E206="",$F206=""),$L206&lt;&gt;"لا"),0,MAX(0,MIN($F206,EOMONTH(DATE(cfg_FY,8,1),0))-$E206+1))</f>
        <v>0</v>
      </c>
      <c r="AP206" s="57" t="n">
        <f aca="false">IF(OR(OR($B206="",$E206="",$F206=""),$L206&lt;&gt;"لا"),0,MAX(0,MIN($F206,EOMONTH(DATE(cfg_FY,9,1),0))-$E206+1))</f>
        <v>0</v>
      </c>
      <c r="AQ206" s="57" t="n">
        <f aca="false">IF(OR(OR($B206="",$E206="",$F206=""),$L206&lt;&gt;"لا"),0,MAX(0,MIN($F206,EOMONTH(DATE(cfg_FY,10,1),0))-$E206+1))</f>
        <v>0</v>
      </c>
      <c r="AR206" s="57" t="n">
        <f aca="false">IF(OR(OR($B206="",$E206="",$F206=""),$L206&lt;&gt;"لا"),0,MAX(0,MIN($F206,EOMONTH(DATE(cfg_FY,11,1),0))-$E206+1))</f>
        <v>0</v>
      </c>
      <c r="AS206" s="57" t="n">
        <f aca="false">IF(OR(OR($B206="",$E206="",$F206=""),$L206&lt;&gt;"لا"),0,MAX(0,MIN($F206,EOMONTH(DATE(cfg_FY,12,1),0))-$E206+1))</f>
        <v>0</v>
      </c>
      <c r="AT206" s="57" t="n">
        <f aca="false">IF(OR(OR($B206="",$E206="",$F206=""),$K206&lt;&gt;"نعم",$M206="نعم"),0,MAX(0,MIN($F206,EOMONTH(DATE(cfg_FY,1,1),0))-MAX($E206,DATE(cfg_FY,1,1))+1))</f>
        <v>0</v>
      </c>
      <c r="AU206" s="57" t="n">
        <f aca="false">IF(OR(OR($B206="",$E206="",$F206=""),$K206&lt;&gt;"نعم",$M206="نعم"),0,MAX(0,MIN($F206,EOMONTH(DATE(cfg_FY,2,1),0))-MAX($E206,DATE(cfg_FY,2,1))+1))</f>
        <v>0</v>
      </c>
      <c r="AV206" s="57" t="n">
        <f aca="false">IF(OR(OR($B206="",$E206="",$F206=""),$K206&lt;&gt;"نعم",$M206="نعم"),0,MAX(0,MIN($F206,EOMONTH(DATE(cfg_FY,3,1),0))-MAX($E206,DATE(cfg_FY,3,1))+1))</f>
        <v>0</v>
      </c>
      <c r="AW206" s="57" t="n">
        <f aca="false">IF(OR(OR($B206="",$E206="",$F206=""),$K206&lt;&gt;"نعم",$M206="نعم"),0,MAX(0,MIN($F206,EOMONTH(DATE(cfg_FY,4,1),0))-MAX($E206,DATE(cfg_FY,4,1))+1))</f>
        <v>0</v>
      </c>
      <c r="AX206" s="57" t="n">
        <f aca="false">IF(OR(OR($B206="",$E206="",$F206=""),$K206&lt;&gt;"نعم",$M206="نعم"),0,MAX(0,MIN($F206,EOMONTH(DATE(cfg_FY,5,1),0))-MAX($E206,DATE(cfg_FY,5,1))+1))</f>
        <v>0</v>
      </c>
      <c r="AY206" s="57" t="n">
        <f aca="false">IF(OR(OR($B206="",$E206="",$F206=""),$K206&lt;&gt;"نعم",$M206="نعم"),0,MAX(0,MIN($F206,EOMONTH(DATE(cfg_FY,6,1),0))-MAX($E206,DATE(cfg_FY,6,1))+1))</f>
        <v>0</v>
      </c>
      <c r="AZ206" s="57" t="n">
        <f aca="false">IF(OR(OR($B206="",$E206="",$F206=""),$K206&lt;&gt;"نعم",$M206="نعم"),0,MAX(0,MIN($F206,EOMONTH(DATE(cfg_FY,7,1),0))-MAX($E206,DATE(cfg_FY,7,1))+1))</f>
        <v>0</v>
      </c>
      <c r="BA206" s="57" t="n">
        <f aca="false">IF(OR(OR($B206="",$E206="",$F206=""),$K206&lt;&gt;"نعم",$M206="نعم"),0,MAX(0,MIN($F206,EOMONTH(DATE(cfg_FY,8,1),0))-MAX($E206,DATE(cfg_FY,8,1))+1))</f>
        <v>0</v>
      </c>
      <c r="BB206" s="57" t="n">
        <f aca="false">IF(OR(OR($B206="",$E206="",$F206=""),$K206&lt;&gt;"نعم",$M206="نعم"),0,MAX(0,MIN($F206,EOMONTH(DATE(cfg_FY,9,1),0))-MAX($E206,DATE(cfg_FY,9,1))+1))</f>
        <v>0</v>
      </c>
      <c r="BC206" s="57" t="n">
        <f aca="false">IF(OR(OR($B206="",$E206="",$F206=""),$K206&lt;&gt;"نعم",$M206="نعم"),0,MAX(0,MIN($F206,EOMONTH(DATE(cfg_FY,10,1),0))-MAX($E206,DATE(cfg_FY,10,1))+1))</f>
        <v>0</v>
      </c>
      <c r="BD206" s="57" t="n">
        <f aca="false">IF(OR(OR($B206="",$E206="",$F206=""),$K206&lt;&gt;"نعم",$M206="نعم"),0,MAX(0,MIN($F206,EOMONTH(DATE(cfg_FY,11,1),0))-MAX($E206,DATE(cfg_FY,11,1))+1))</f>
        <v>0</v>
      </c>
      <c r="BE206" s="57" t="n">
        <f aca="false">IF(OR(OR($B206="",$E206="",$F206=""),$K206&lt;&gt;"نعم",$M206="نعم"),0,MAX(0,MIN($F206,EOMONTH(DATE(cfg_FY,12,1),0))-MAX($E206,DATE(cfg_FY,12,1))+1))</f>
        <v>0</v>
      </c>
    </row>
    <row r="207" customFormat="false" ht="15" hidden="false" customHeight="false" outlineLevel="0" collapsed="false">
      <c r="A207" s="100" t="str">
        <f aca="false">IF(B207="","",ROW()-5)</f>
        <v/>
      </c>
      <c r="B207" s="79"/>
      <c r="C207" s="102" t="str">
        <f aca="false">IF(B207="","",IFERROR(INDEX(الموظفون!$C$6:$C$105,MATCH(B207,الموظفون!$B$6:$B$105,0)),"✖ رقم غير موجود"))</f>
        <v/>
      </c>
      <c r="D207" s="79"/>
      <c r="E207" s="94"/>
      <c r="F207" s="94"/>
      <c r="G207" s="110" t="str">
        <f aca="false">IF(OR($B207="",$E207="",$F207=""),"",MAX(0,F207-E207+1))</f>
        <v/>
      </c>
      <c r="H207" s="111" t="str">
        <f aca="false">IF(D207="","",IFERROR(VLOOKUP(D207,cfg_LT,2,FALSE()),1))</f>
        <v/>
      </c>
      <c r="I207" s="82"/>
      <c r="J207" s="111" t="str">
        <f aca="false">IF(D207="","",IF(I207&lt;&gt;"",I207,H207))</f>
        <v/>
      </c>
      <c r="K207" s="102" t="str">
        <f aca="false">IF(D207="","",IFERROR(VLOOKUP($D207,cfg_LT,3,FALSE()),""))</f>
        <v/>
      </c>
      <c r="L207" s="102" t="str">
        <f aca="false">IF(D207="","",IFERROR(VLOOKUP($D207,cfg_LT,4,FALSE()),""))</f>
        <v/>
      </c>
      <c r="M207" s="102" t="str">
        <f aca="false">IF(D207="","",IFERROR(VLOOKUP($D207,cfg_LT,5,FALSE()),""))</f>
        <v/>
      </c>
      <c r="N207" s="101" t="n">
        <f aca="false">IF(OR(OR($B207="",$E207="",$F207=""),M207&lt;&gt;"نعم"),0,G207*J207*IFERROR(INDEX(الموظفون!$R$6:$R$105,MATCH(B207,الموظفون!$B$6:$B$105,0)),0)/cfg_DAYS_M)</f>
        <v>0</v>
      </c>
      <c r="O207" s="100" t="str">
        <f aca="false">IF(OR(OR($B207="",$E207="",$F207=""),M207&lt;&gt;"نعم"),"",IF(YEAR(E207)=cfg_FY,MONTH(E207),""))</f>
        <v/>
      </c>
      <c r="P207" s="102" t="str">
        <f aca="false">IF(B207="","",IF(OR(D207="",E207="",F207=""),"⚠ أكمل النوع والتواريخ",IF(F207&lt;E207,"✖ النهاية قبل البداية",IF(COUNTIFS($B$6:$B$505,B207,$E$6:$E$505,"&lt;="&amp;F207,$F$6:$F$505,"&gt;="&amp;E207)&gt;1,"⚠ تداخل مع سجل آخر",IF(E207&gt;cfg_VAL_DATE,"⏳ قادمة",IF(F207&lt;cfg_VAL_DATE,"✔ منتهية","✈ جارية في تاريخ التقرير"))))))</f>
        <v/>
      </c>
      <c r="Q207" s="79"/>
      <c r="R207" s="110" t="n">
        <f aca="false">IF(OR(OR($B207="",$E207="",$F207=""),L207&lt;&gt;"لا"),0,MAX(0,MIN(F207,cfg_Y_START-1)-E207+1))</f>
        <v>0</v>
      </c>
      <c r="S207" s="110" t="n">
        <f aca="false">IF(OR(OR($B207="",$E207="",$F207=""),L207&lt;&gt;"لا"),0,MAX(0,MIN(F207,cfg_VAL_DATE)-E207+1))</f>
        <v>0</v>
      </c>
      <c r="T207" s="110" t="n">
        <f aca="false">IF(OR(OR($B207="",$E207="",$F207=""),K207&lt;&gt;"نعم"),0,IF(M207="نعم",IF(AND(ISNUMBER(O207),N(O207)&lt;=cfg_VAL_M),G207,0),MAX(0,MIN(F207,cfg_VAL_DATE)-MAX(E207,cfg_Y_START)+1)))</f>
        <v>0</v>
      </c>
      <c r="V207" s="110" t="n">
        <f aca="false">IF(OR($B207="",$E207="",$F207=""),0,MAX(0,MIN($F207,EOMONTH(DATE(cfg_FY,1,1),0))-MAX($E207,DATE(cfg_FY,1,1))+1)*(1-IF($M207="نعم",0,N($J207))))</f>
        <v>0</v>
      </c>
      <c r="W207" s="110" t="n">
        <f aca="false">IF(OR($B207="",$E207="",$F207=""),0,MAX(0,MIN($F207,EOMONTH(DATE(cfg_FY,2,1),0))-MAX($E207,DATE(cfg_FY,2,1))+1)*(1-IF($M207="نعم",0,N($J207))))</f>
        <v>0</v>
      </c>
      <c r="X207" s="110" t="n">
        <f aca="false">IF(OR($B207="",$E207="",$F207=""),0,MAX(0,MIN($F207,EOMONTH(DATE(cfg_FY,3,1),0))-MAX($E207,DATE(cfg_FY,3,1))+1)*(1-IF($M207="نعم",0,N($J207))))</f>
        <v>0</v>
      </c>
      <c r="Y207" s="110" t="n">
        <f aca="false">IF(OR($B207="",$E207="",$F207=""),0,MAX(0,MIN($F207,EOMONTH(DATE(cfg_FY,4,1),0))-MAX($E207,DATE(cfg_FY,4,1))+1)*(1-IF($M207="نعم",0,N($J207))))</f>
        <v>0</v>
      </c>
      <c r="Z207" s="110" t="n">
        <f aca="false">IF(OR($B207="",$E207="",$F207=""),0,MAX(0,MIN($F207,EOMONTH(DATE(cfg_FY,5,1),0))-MAX($E207,DATE(cfg_FY,5,1))+1)*(1-IF($M207="نعم",0,N($J207))))</f>
        <v>0</v>
      </c>
      <c r="AA207" s="110" t="n">
        <f aca="false">IF(OR($B207="",$E207="",$F207=""),0,MAX(0,MIN($F207,EOMONTH(DATE(cfg_FY,6,1),0))-MAX($E207,DATE(cfg_FY,6,1))+1)*(1-IF($M207="نعم",0,N($J207))))</f>
        <v>0</v>
      </c>
      <c r="AB207" s="110" t="n">
        <f aca="false">IF(OR($B207="",$E207="",$F207=""),0,MAX(0,MIN($F207,EOMONTH(DATE(cfg_FY,7,1),0))-MAX($E207,DATE(cfg_FY,7,1))+1)*(1-IF($M207="نعم",0,N($J207))))</f>
        <v>0</v>
      </c>
      <c r="AC207" s="110" t="n">
        <f aca="false">IF(OR($B207="",$E207="",$F207=""),0,MAX(0,MIN($F207,EOMONTH(DATE(cfg_FY,8,1),0))-MAX($E207,DATE(cfg_FY,8,1))+1)*(1-IF($M207="نعم",0,N($J207))))</f>
        <v>0</v>
      </c>
      <c r="AD207" s="110" t="n">
        <f aca="false">IF(OR($B207="",$E207="",$F207=""),0,MAX(0,MIN($F207,EOMONTH(DATE(cfg_FY,9,1),0))-MAX($E207,DATE(cfg_FY,9,1))+1)*(1-IF($M207="نعم",0,N($J207))))</f>
        <v>0</v>
      </c>
      <c r="AE207" s="110" t="n">
        <f aca="false">IF(OR($B207="",$E207="",$F207=""),0,MAX(0,MIN($F207,EOMONTH(DATE(cfg_FY,10,1),0))-MAX($E207,DATE(cfg_FY,10,1))+1)*(1-IF($M207="نعم",0,N($J207))))</f>
        <v>0</v>
      </c>
      <c r="AF207" s="110" t="n">
        <f aca="false">IF(OR($B207="",$E207="",$F207=""),0,MAX(0,MIN($F207,EOMONTH(DATE(cfg_FY,11,1),0))-MAX($E207,DATE(cfg_FY,11,1))+1)*(1-IF($M207="نعم",0,N($J207))))</f>
        <v>0</v>
      </c>
      <c r="AG207" s="110" t="n">
        <f aca="false">IF(OR($B207="",$E207="",$F207=""),0,MAX(0,MIN($F207,EOMONTH(DATE(cfg_FY,12,1),0))-MAX($E207,DATE(cfg_FY,12,1))+1)*(1-IF($M207="نعم",0,N($J207))))</f>
        <v>0</v>
      </c>
      <c r="AH207" s="110" t="n">
        <f aca="false">IF(OR(OR($B207="",$E207="",$F207=""),$L207&lt;&gt;"لا"),0,MAX(0,MIN($F207,EOMONTH(DATE(cfg_FY,1,1),0))-$E207+1))</f>
        <v>0</v>
      </c>
      <c r="AI207" s="110" t="n">
        <f aca="false">IF(OR(OR($B207="",$E207="",$F207=""),$L207&lt;&gt;"لا"),0,MAX(0,MIN($F207,EOMONTH(DATE(cfg_FY,2,1),0))-$E207+1))</f>
        <v>0</v>
      </c>
      <c r="AJ207" s="110" t="n">
        <f aca="false">IF(OR(OR($B207="",$E207="",$F207=""),$L207&lt;&gt;"لا"),0,MAX(0,MIN($F207,EOMONTH(DATE(cfg_FY,3,1),0))-$E207+1))</f>
        <v>0</v>
      </c>
      <c r="AK207" s="110" t="n">
        <f aca="false">IF(OR(OR($B207="",$E207="",$F207=""),$L207&lt;&gt;"لا"),0,MAX(0,MIN($F207,EOMONTH(DATE(cfg_FY,4,1),0))-$E207+1))</f>
        <v>0</v>
      </c>
      <c r="AL207" s="110" t="n">
        <f aca="false">IF(OR(OR($B207="",$E207="",$F207=""),$L207&lt;&gt;"لا"),0,MAX(0,MIN($F207,EOMONTH(DATE(cfg_FY,5,1),0))-$E207+1))</f>
        <v>0</v>
      </c>
      <c r="AM207" s="110" t="n">
        <f aca="false">IF(OR(OR($B207="",$E207="",$F207=""),$L207&lt;&gt;"لا"),0,MAX(0,MIN($F207,EOMONTH(DATE(cfg_FY,6,1),0))-$E207+1))</f>
        <v>0</v>
      </c>
      <c r="AN207" s="110" t="n">
        <f aca="false">IF(OR(OR($B207="",$E207="",$F207=""),$L207&lt;&gt;"لا"),0,MAX(0,MIN($F207,EOMONTH(DATE(cfg_FY,7,1),0))-$E207+1))</f>
        <v>0</v>
      </c>
      <c r="AO207" s="110" t="n">
        <f aca="false">IF(OR(OR($B207="",$E207="",$F207=""),$L207&lt;&gt;"لا"),0,MAX(0,MIN($F207,EOMONTH(DATE(cfg_FY,8,1),0))-$E207+1))</f>
        <v>0</v>
      </c>
      <c r="AP207" s="110" t="n">
        <f aca="false">IF(OR(OR($B207="",$E207="",$F207=""),$L207&lt;&gt;"لا"),0,MAX(0,MIN($F207,EOMONTH(DATE(cfg_FY,9,1),0))-$E207+1))</f>
        <v>0</v>
      </c>
      <c r="AQ207" s="110" t="n">
        <f aca="false">IF(OR(OR($B207="",$E207="",$F207=""),$L207&lt;&gt;"لا"),0,MAX(0,MIN($F207,EOMONTH(DATE(cfg_FY,10,1),0))-$E207+1))</f>
        <v>0</v>
      </c>
      <c r="AR207" s="110" t="n">
        <f aca="false">IF(OR(OR($B207="",$E207="",$F207=""),$L207&lt;&gt;"لا"),0,MAX(0,MIN($F207,EOMONTH(DATE(cfg_FY,11,1),0))-$E207+1))</f>
        <v>0</v>
      </c>
      <c r="AS207" s="110" t="n">
        <f aca="false">IF(OR(OR($B207="",$E207="",$F207=""),$L207&lt;&gt;"لا"),0,MAX(0,MIN($F207,EOMONTH(DATE(cfg_FY,12,1),0))-$E207+1))</f>
        <v>0</v>
      </c>
      <c r="AT207" s="110" t="n">
        <f aca="false">IF(OR(OR($B207="",$E207="",$F207=""),$K207&lt;&gt;"نعم",$M207="نعم"),0,MAX(0,MIN($F207,EOMONTH(DATE(cfg_FY,1,1),0))-MAX($E207,DATE(cfg_FY,1,1))+1))</f>
        <v>0</v>
      </c>
      <c r="AU207" s="110" t="n">
        <f aca="false">IF(OR(OR($B207="",$E207="",$F207=""),$K207&lt;&gt;"نعم",$M207="نعم"),0,MAX(0,MIN($F207,EOMONTH(DATE(cfg_FY,2,1),0))-MAX($E207,DATE(cfg_FY,2,1))+1))</f>
        <v>0</v>
      </c>
      <c r="AV207" s="110" t="n">
        <f aca="false">IF(OR(OR($B207="",$E207="",$F207=""),$K207&lt;&gt;"نعم",$M207="نعم"),0,MAX(0,MIN($F207,EOMONTH(DATE(cfg_FY,3,1),0))-MAX($E207,DATE(cfg_FY,3,1))+1))</f>
        <v>0</v>
      </c>
      <c r="AW207" s="110" t="n">
        <f aca="false">IF(OR(OR($B207="",$E207="",$F207=""),$K207&lt;&gt;"نعم",$M207="نعم"),0,MAX(0,MIN($F207,EOMONTH(DATE(cfg_FY,4,1),0))-MAX($E207,DATE(cfg_FY,4,1))+1))</f>
        <v>0</v>
      </c>
      <c r="AX207" s="110" t="n">
        <f aca="false">IF(OR(OR($B207="",$E207="",$F207=""),$K207&lt;&gt;"نعم",$M207="نعم"),0,MAX(0,MIN($F207,EOMONTH(DATE(cfg_FY,5,1),0))-MAX($E207,DATE(cfg_FY,5,1))+1))</f>
        <v>0</v>
      </c>
      <c r="AY207" s="110" t="n">
        <f aca="false">IF(OR(OR($B207="",$E207="",$F207=""),$K207&lt;&gt;"نعم",$M207="نعم"),0,MAX(0,MIN($F207,EOMONTH(DATE(cfg_FY,6,1),0))-MAX($E207,DATE(cfg_FY,6,1))+1))</f>
        <v>0</v>
      </c>
      <c r="AZ207" s="110" t="n">
        <f aca="false">IF(OR(OR($B207="",$E207="",$F207=""),$K207&lt;&gt;"نعم",$M207="نعم"),0,MAX(0,MIN($F207,EOMONTH(DATE(cfg_FY,7,1),0))-MAX($E207,DATE(cfg_FY,7,1))+1))</f>
        <v>0</v>
      </c>
      <c r="BA207" s="110" t="n">
        <f aca="false">IF(OR(OR($B207="",$E207="",$F207=""),$K207&lt;&gt;"نعم",$M207="نعم"),0,MAX(0,MIN($F207,EOMONTH(DATE(cfg_FY,8,1),0))-MAX($E207,DATE(cfg_FY,8,1))+1))</f>
        <v>0</v>
      </c>
      <c r="BB207" s="110" t="n">
        <f aca="false">IF(OR(OR($B207="",$E207="",$F207=""),$K207&lt;&gt;"نعم",$M207="نعم"),0,MAX(0,MIN($F207,EOMONTH(DATE(cfg_FY,9,1),0))-MAX($E207,DATE(cfg_FY,9,1))+1))</f>
        <v>0</v>
      </c>
      <c r="BC207" s="110" t="n">
        <f aca="false">IF(OR(OR($B207="",$E207="",$F207=""),$K207&lt;&gt;"نعم",$M207="نعم"),0,MAX(0,MIN($F207,EOMONTH(DATE(cfg_FY,10,1),0))-MAX($E207,DATE(cfg_FY,10,1))+1))</f>
        <v>0</v>
      </c>
      <c r="BD207" s="110" t="n">
        <f aca="false">IF(OR(OR($B207="",$E207="",$F207=""),$K207&lt;&gt;"نعم",$M207="نعم"),0,MAX(0,MIN($F207,EOMONTH(DATE(cfg_FY,11,1),0))-MAX($E207,DATE(cfg_FY,11,1))+1))</f>
        <v>0</v>
      </c>
      <c r="BE207" s="110" t="n">
        <f aca="false">IF(OR(OR($B207="",$E207="",$F207=""),$K207&lt;&gt;"نعم",$M207="نعم"),0,MAX(0,MIN($F207,EOMONTH(DATE(cfg_FY,12,1),0))-MAX($E207,DATE(cfg_FY,12,1))+1))</f>
        <v>0</v>
      </c>
    </row>
    <row r="208" customFormat="false" ht="15" hidden="false" customHeight="false" outlineLevel="0" collapsed="false">
      <c r="A208" s="93" t="str">
        <f aca="false">IF(B208="","",ROW()-5)</f>
        <v/>
      </c>
      <c r="B208" s="79"/>
      <c r="C208" s="80" t="str">
        <f aca="false">IF(B208="","",IFERROR(INDEX(الموظفون!$C$6:$C$105,MATCH(B208,الموظفون!$B$6:$B$105,0)),"✖ رقم غير موجود"))</f>
        <v/>
      </c>
      <c r="D208" s="79"/>
      <c r="E208" s="94"/>
      <c r="F208" s="94"/>
      <c r="G208" s="57" t="str">
        <f aca="false">IF(OR($B208="",$E208="",$F208=""),"",MAX(0,F208-E208+1))</f>
        <v/>
      </c>
      <c r="H208" s="58" t="str">
        <f aca="false">IF(D208="","",IFERROR(VLOOKUP(D208,cfg_LT,2,FALSE()),1))</f>
        <v/>
      </c>
      <c r="I208" s="82"/>
      <c r="J208" s="58" t="str">
        <f aca="false">IF(D208="","",IF(I208&lt;&gt;"",I208,H208))</f>
        <v/>
      </c>
      <c r="K208" s="80" t="str">
        <f aca="false">IF(D208="","",IFERROR(VLOOKUP($D208,cfg_LT,3,FALSE()),""))</f>
        <v/>
      </c>
      <c r="L208" s="80" t="str">
        <f aca="false">IF(D208="","",IFERROR(VLOOKUP($D208,cfg_LT,4,FALSE()),""))</f>
        <v/>
      </c>
      <c r="M208" s="80" t="str">
        <f aca="false">IF(D208="","",IFERROR(VLOOKUP($D208,cfg_LT,5,FALSE()),""))</f>
        <v/>
      </c>
      <c r="N208" s="97" t="n">
        <f aca="false">IF(OR(OR($B208="",$E208="",$F208=""),M208&lt;&gt;"نعم"),0,G208*J208*IFERROR(INDEX(الموظفون!$R$6:$R$105,MATCH(B208,الموظفون!$B$6:$B$105,0)),0)/cfg_DAYS_M)</f>
        <v>0</v>
      </c>
      <c r="O208" s="93" t="str">
        <f aca="false">IF(OR(OR($B208="",$E208="",$F208=""),M208&lt;&gt;"نعم"),"",IF(YEAR(E208)=cfg_FY,MONTH(E208),""))</f>
        <v/>
      </c>
      <c r="P208" s="80" t="str">
        <f aca="false">IF(B208="","",IF(OR(D208="",E208="",F208=""),"⚠ أكمل النوع والتواريخ",IF(F208&lt;E208,"✖ النهاية قبل البداية",IF(COUNTIFS($B$6:$B$505,B208,$E$6:$E$505,"&lt;="&amp;F208,$F$6:$F$505,"&gt;="&amp;E208)&gt;1,"⚠ تداخل مع سجل آخر",IF(E208&gt;cfg_VAL_DATE,"⏳ قادمة",IF(F208&lt;cfg_VAL_DATE,"✔ منتهية","✈ جارية في تاريخ التقرير"))))))</f>
        <v/>
      </c>
      <c r="Q208" s="79"/>
      <c r="R208" s="57" t="n">
        <f aca="false">IF(OR(OR($B208="",$E208="",$F208=""),L208&lt;&gt;"لا"),0,MAX(0,MIN(F208,cfg_Y_START-1)-E208+1))</f>
        <v>0</v>
      </c>
      <c r="S208" s="57" t="n">
        <f aca="false">IF(OR(OR($B208="",$E208="",$F208=""),L208&lt;&gt;"لا"),0,MAX(0,MIN(F208,cfg_VAL_DATE)-E208+1))</f>
        <v>0</v>
      </c>
      <c r="T208" s="57" t="n">
        <f aca="false">IF(OR(OR($B208="",$E208="",$F208=""),K208&lt;&gt;"نعم"),0,IF(M208="نعم",IF(AND(ISNUMBER(O208),N(O208)&lt;=cfg_VAL_M),G208,0),MAX(0,MIN(F208,cfg_VAL_DATE)-MAX(E208,cfg_Y_START)+1)))</f>
        <v>0</v>
      </c>
      <c r="V208" s="57" t="n">
        <f aca="false">IF(OR($B208="",$E208="",$F208=""),0,MAX(0,MIN($F208,EOMONTH(DATE(cfg_FY,1,1),0))-MAX($E208,DATE(cfg_FY,1,1))+1)*(1-IF($M208="نعم",0,N($J208))))</f>
        <v>0</v>
      </c>
      <c r="W208" s="57" t="n">
        <f aca="false">IF(OR($B208="",$E208="",$F208=""),0,MAX(0,MIN($F208,EOMONTH(DATE(cfg_FY,2,1),0))-MAX($E208,DATE(cfg_FY,2,1))+1)*(1-IF($M208="نعم",0,N($J208))))</f>
        <v>0</v>
      </c>
      <c r="X208" s="57" t="n">
        <f aca="false">IF(OR($B208="",$E208="",$F208=""),0,MAX(0,MIN($F208,EOMONTH(DATE(cfg_FY,3,1),0))-MAX($E208,DATE(cfg_FY,3,1))+1)*(1-IF($M208="نعم",0,N($J208))))</f>
        <v>0</v>
      </c>
      <c r="Y208" s="57" t="n">
        <f aca="false">IF(OR($B208="",$E208="",$F208=""),0,MAX(0,MIN($F208,EOMONTH(DATE(cfg_FY,4,1),0))-MAX($E208,DATE(cfg_FY,4,1))+1)*(1-IF($M208="نعم",0,N($J208))))</f>
        <v>0</v>
      </c>
      <c r="Z208" s="57" t="n">
        <f aca="false">IF(OR($B208="",$E208="",$F208=""),0,MAX(0,MIN($F208,EOMONTH(DATE(cfg_FY,5,1),0))-MAX($E208,DATE(cfg_FY,5,1))+1)*(1-IF($M208="نعم",0,N($J208))))</f>
        <v>0</v>
      </c>
      <c r="AA208" s="57" t="n">
        <f aca="false">IF(OR($B208="",$E208="",$F208=""),0,MAX(0,MIN($F208,EOMONTH(DATE(cfg_FY,6,1),0))-MAX($E208,DATE(cfg_FY,6,1))+1)*(1-IF($M208="نعم",0,N($J208))))</f>
        <v>0</v>
      </c>
      <c r="AB208" s="57" t="n">
        <f aca="false">IF(OR($B208="",$E208="",$F208=""),0,MAX(0,MIN($F208,EOMONTH(DATE(cfg_FY,7,1),0))-MAX($E208,DATE(cfg_FY,7,1))+1)*(1-IF($M208="نعم",0,N($J208))))</f>
        <v>0</v>
      </c>
      <c r="AC208" s="57" t="n">
        <f aca="false">IF(OR($B208="",$E208="",$F208=""),0,MAX(0,MIN($F208,EOMONTH(DATE(cfg_FY,8,1),0))-MAX($E208,DATE(cfg_FY,8,1))+1)*(1-IF($M208="نعم",0,N($J208))))</f>
        <v>0</v>
      </c>
      <c r="AD208" s="57" t="n">
        <f aca="false">IF(OR($B208="",$E208="",$F208=""),0,MAX(0,MIN($F208,EOMONTH(DATE(cfg_FY,9,1),0))-MAX($E208,DATE(cfg_FY,9,1))+1)*(1-IF($M208="نعم",0,N($J208))))</f>
        <v>0</v>
      </c>
      <c r="AE208" s="57" t="n">
        <f aca="false">IF(OR($B208="",$E208="",$F208=""),0,MAX(0,MIN($F208,EOMONTH(DATE(cfg_FY,10,1),0))-MAX($E208,DATE(cfg_FY,10,1))+1)*(1-IF($M208="نعم",0,N($J208))))</f>
        <v>0</v>
      </c>
      <c r="AF208" s="57" t="n">
        <f aca="false">IF(OR($B208="",$E208="",$F208=""),0,MAX(0,MIN($F208,EOMONTH(DATE(cfg_FY,11,1),0))-MAX($E208,DATE(cfg_FY,11,1))+1)*(1-IF($M208="نعم",0,N($J208))))</f>
        <v>0</v>
      </c>
      <c r="AG208" s="57" t="n">
        <f aca="false">IF(OR($B208="",$E208="",$F208=""),0,MAX(0,MIN($F208,EOMONTH(DATE(cfg_FY,12,1),0))-MAX($E208,DATE(cfg_FY,12,1))+1)*(1-IF($M208="نعم",0,N($J208))))</f>
        <v>0</v>
      </c>
      <c r="AH208" s="57" t="n">
        <f aca="false">IF(OR(OR($B208="",$E208="",$F208=""),$L208&lt;&gt;"لا"),0,MAX(0,MIN($F208,EOMONTH(DATE(cfg_FY,1,1),0))-$E208+1))</f>
        <v>0</v>
      </c>
      <c r="AI208" s="57" t="n">
        <f aca="false">IF(OR(OR($B208="",$E208="",$F208=""),$L208&lt;&gt;"لا"),0,MAX(0,MIN($F208,EOMONTH(DATE(cfg_FY,2,1),0))-$E208+1))</f>
        <v>0</v>
      </c>
      <c r="AJ208" s="57" t="n">
        <f aca="false">IF(OR(OR($B208="",$E208="",$F208=""),$L208&lt;&gt;"لا"),0,MAX(0,MIN($F208,EOMONTH(DATE(cfg_FY,3,1),0))-$E208+1))</f>
        <v>0</v>
      </c>
      <c r="AK208" s="57" t="n">
        <f aca="false">IF(OR(OR($B208="",$E208="",$F208=""),$L208&lt;&gt;"لا"),0,MAX(0,MIN($F208,EOMONTH(DATE(cfg_FY,4,1),0))-$E208+1))</f>
        <v>0</v>
      </c>
      <c r="AL208" s="57" t="n">
        <f aca="false">IF(OR(OR($B208="",$E208="",$F208=""),$L208&lt;&gt;"لا"),0,MAX(0,MIN($F208,EOMONTH(DATE(cfg_FY,5,1),0))-$E208+1))</f>
        <v>0</v>
      </c>
      <c r="AM208" s="57" t="n">
        <f aca="false">IF(OR(OR($B208="",$E208="",$F208=""),$L208&lt;&gt;"لا"),0,MAX(0,MIN($F208,EOMONTH(DATE(cfg_FY,6,1),0))-$E208+1))</f>
        <v>0</v>
      </c>
      <c r="AN208" s="57" t="n">
        <f aca="false">IF(OR(OR($B208="",$E208="",$F208=""),$L208&lt;&gt;"لا"),0,MAX(0,MIN($F208,EOMONTH(DATE(cfg_FY,7,1),0))-$E208+1))</f>
        <v>0</v>
      </c>
      <c r="AO208" s="57" t="n">
        <f aca="false">IF(OR(OR($B208="",$E208="",$F208=""),$L208&lt;&gt;"لا"),0,MAX(0,MIN($F208,EOMONTH(DATE(cfg_FY,8,1),0))-$E208+1))</f>
        <v>0</v>
      </c>
      <c r="AP208" s="57" t="n">
        <f aca="false">IF(OR(OR($B208="",$E208="",$F208=""),$L208&lt;&gt;"لا"),0,MAX(0,MIN($F208,EOMONTH(DATE(cfg_FY,9,1),0))-$E208+1))</f>
        <v>0</v>
      </c>
      <c r="AQ208" s="57" t="n">
        <f aca="false">IF(OR(OR($B208="",$E208="",$F208=""),$L208&lt;&gt;"لا"),0,MAX(0,MIN($F208,EOMONTH(DATE(cfg_FY,10,1),0))-$E208+1))</f>
        <v>0</v>
      </c>
      <c r="AR208" s="57" t="n">
        <f aca="false">IF(OR(OR($B208="",$E208="",$F208=""),$L208&lt;&gt;"لا"),0,MAX(0,MIN($F208,EOMONTH(DATE(cfg_FY,11,1),0))-$E208+1))</f>
        <v>0</v>
      </c>
      <c r="AS208" s="57" t="n">
        <f aca="false">IF(OR(OR($B208="",$E208="",$F208=""),$L208&lt;&gt;"لا"),0,MAX(0,MIN($F208,EOMONTH(DATE(cfg_FY,12,1),0))-$E208+1))</f>
        <v>0</v>
      </c>
      <c r="AT208" s="57" t="n">
        <f aca="false">IF(OR(OR($B208="",$E208="",$F208=""),$K208&lt;&gt;"نعم",$M208="نعم"),0,MAX(0,MIN($F208,EOMONTH(DATE(cfg_FY,1,1),0))-MAX($E208,DATE(cfg_FY,1,1))+1))</f>
        <v>0</v>
      </c>
      <c r="AU208" s="57" t="n">
        <f aca="false">IF(OR(OR($B208="",$E208="",$F208=""),$K208&lt;&gt;"نعم",$M208="نعم"),0,MAX(0,MIN($F208,EOMONTH(DATE(cfg_FY,2,1),0))-MAX($E208,DATE(cfg_FY,2,1))+1))</f>
        <v>0</v>
      </c>
      <c r="AV208" s="57" t="n">
        <f aca="false">IF(OR(OR($B208="",$E208="",$F208=""),$K208&lt;&gt;"نعم",$M208="نعم"),0,MAX(0,MIN($F208,EOMONTH(DATE(cfg_FY,3,1),0))-MAX($E208,DATE(cfg_FY,3,1))+1))</f>
        <v>0</v>
      </c>
      <c r="AW208" s="57" t="n">
        <f aca="false">IF(OR(OR($B208="",$E208="",$F208=""),$K208&lt;&gt;"نعم",$M208="نعم"),0,MAX(0,MIN($F208,EOMONTH(DATE(cfg_FY,4,1),0))-MAX($E208,DATE(cfg_FY,4,1))+1))</f>
        <v>0</v>
      </c>
      <c r="AX208" s="57" t="n">
        <f aca="false">IF(OR(OR($B208="",$E208="",$F208=""),$K208&lt;&gt;"نعم",$M208="نعم"),0,MAX(0,MIN($F208,EOMONTH(DATE(cfg_FY,5,1),0))-MAX($E208,DATE(cfg_FY,5,1))+1))</f>
        <v>0</v>
      </c>
      <c r="AY208" s="57" t="n">
        <f aca="false">IF(OR(OR($B208="",$E208="",$F208=""),$K208&lt;&gt;"نعم",$M208="نعم"),0,MAX(0,MIN($F208,EOMONTH(DATE(cfg_FY,6,1),0))-MAX($E208,DATE(cfg_FY,6,1))+1))</f>
        <v>0</v>
      </c>
      <c r="AZ208" s="57" t="n">
        <f aca="false">IF(OR(OR($B208="",$E208="",$F208=""),$K208&lt;&gt;"نعم",$M208="نعم"),0,MAX(0,MIN($F208,EOMONTH(DATE(cfg_FY,7,1),0))-MAX($E208,DATE(cfg_FY,7,1))+1))</f>
        <v>0</v>
      </c>
      <c r="BA208" s="57" t="n">
        <f aca="false">IF(OR(OR($B208="",$E208="",$F208=""),$K208&lt;&gt;"نعم",$M208="نعم"),0,MAX(0,MIN($F208,EOMONTH(DATE(cfg_FY,8,1),0))-MAX($E208,DATE(cfg_FY,8,1))+1))</f>
        <v>0</v>
      </c>
      <c r="BB208" s="57" t="n">
        <f aca="false">IF(OR(OR($B208="",$E208="",$F208=""),$K208&lt;&gt;"نعم",$M208="نعم"),0,MAX(0,MIN($F208,EOMONTH(DATE(cfg_FY,9,1),0))-MAX($E208,DATE(cfg_FY,9,1))+1))</f>
        <v>0</v>
      </c>
      <c r="BC208" s="57" t="n">
        <f aca="false">IF(OR(OR($B208="",$E208="",$F208=""),$K208&lt;&gt;"نعم",$M208="نعم"),0,MAX(0,MIN($F208,EOMONTH(DATE(cfg_FY,10,1),0))-MAX($E208,DATE(cfg_FY,10,1))+1))</f>
        <v>0</v>
      </c>
      <c r="BD208" s="57" t="n">
        <f aca="false">IF(OR(OR($B208="",$E208="",$F208=""),$K208&lt;&gt;"نعم",$M208="نعم"),0,MAX(0,MIN($F208,EOMONTH(DATE(cfg_FY,11,1),0))-MAX($E208,DATE(cfg_FY,11,1))+1))</f>
        <v>0</v>
      </c>
      <c r="BE208" s="57" t="n">
        <f aca="false">IF(OR(OR($B208="",$E208="",$F208=""),$K208&lt;&gt;"نعم",$M208="نعم"),0,MAX(0,MIN($F208,EOMONTH(DATE(cfg_FY,12,1),0))-MAX($E208,DATE(cfg_FY,12,1))+1))</f>
        <v>0</v>
      </c>
    </row>
    <row r="209" customFormat="false" ht="15" hidden="false" customHeight="false" outlineLevel="0" collapsed="false">
      <c r="A209" s="100" t="str">
        <f aca="false">IF(B209="","",ROW()-5)</f>
        <v/>
      </c>
      <c r="B209" s="79"/>
      <c r="C209" s="102" t="str">
        <f aca="false">IF(B209="","",IFERROR(INDEX(الموظفون!$C$6:$C$105,MATCH(B209,الموظفون!$B$6:$B$105,0)),"✖ رقم غير موجود"))</f>
        <v/>
      </c>
      <c r="D209" s="79"/>
      <c r="E209" s="94"/>
      <c r="F209" s="94"/>
      <c r="G209" s="110" t="str">
        <f aca="false">IF(OR($B209="",$E209="",$F209=""),"",MAX(0,F209-E209+1))</f>
        <v/>
      </c>
      <c r="H209" s="111" t="str">
        <f aca="false">IF(D209="","",IFERROR(VLOOKUP(D209,cfg_LT,2,FALSE()),1))</f>
        <v/>
      </c>
      <c r="I209" s="82"/>
      <c r="J209" s="111" t="str">
        <f aca="false">IF(D209="","",IF(I209&lt;&gt;"",I209,H209))</f>
        <v/>
      </c>
      <c r="K209" s="102" t="str">
        <f aca="false">IF(D209="","",IFERROR(VLOOKUP($D209,cfg_LT,3,FALSE()),""))</f>
        <v/>
      </c>
      <c r="L209" s="102" t="str">
        <f aca="false">IF(D209="","",IFERROR(VLOOKUP($D209,cfg_LT,4,FALSE()),""))</f>
        <v/>
      </c>
      <c r="M209" s="102" t="str">
        <f aca="false">IF(D209="","",IFERROR(VLOOKUP($D209,cfg_LT,5,FALSE()),""))</f>
        <v/>
      </c>
      <c r="N209" s="101" t="n">
        <f aca="false">IF(OR(OR($B209="",$E209="",$F209=""),M209&lt;&gt;"نعم"),0,G209*J209*IFERROR(INDEX(الموظفون!$R$6:$R$105,MATCH(B209,الموظفون!$B$6:$B$105,0)),0)/cfg_DAYS_M)</f>
        <v>0</v>
      </c>
      <c r="O209" s="100" t="str">
        <f aca="false">IF(OR(OR($B209="",$E209="",$F209=""),M209&lt;&gt;"نعم"),"",IF(YEAR(E209)=cfg_FY,MONTH(E209),""))</f>
        <v/>
      </c>
      <c r="P209" s="102" t="str">
        <f aca="false">IF(B209="","",IF(OR(D209="",E209="",F209=""),"⚠ أكمل النوع والتواريخ",IF(F209&lt;E209,"✖ النهاية قبل البداية",IF(COUNTIFS($B$6:$B$505,B209,$E$6:$E$505,"&lt;="&amp;F209,$F$6:$F$505,"&gt;="&amp;E209)&gt;1,"⚠ تداخل مع سجل آخر",IF(E209&gt;cfg_VAL_DATE,"⏳ قادمة",IF(F209&lt;cfg_VAL_DATE,"✔ منتهية","✈ جارية في تاريخ التقرير"))))))</f>
        <v/>
      </c>
      <c r="Q209" s="79"/>
      <c r="R209" s="110" t="n">
        <f aca="false">IF(OR(OR($B209="",$E209="",$F209=""),L209&lt;&gt;"لا"),0,MAX(0,MIN(F209,cfg_Y_START-1)-E209+1))</f>
        <v>0</v>
      </c>
      <c r="S209" s="110" t="n">
        <f aca="false">IF(OR(OR($B209="",$E209="",$F209=""),L209&lt;&gt;"لا"),0,MAX(0,MIN(F209,cfg_VAL_DATE)-E209+1))</f>
        <v>0</v>
      </c>
      <c r="T209" s="110" t="n">
        <f aca="false">IF(OR(OR($B209="",$E209="",$F209=""),K209&lt;&gt;"نعم"),0,IF(M209="نعم",IF(AND(ISNUMBER(O209),N(O209)&lt;=cfg_VAL_M),G209,0),MAX(0,MIN(F209,cfg_VAL_DATE)-MAX(E209,cfg_Y_START)+1)))</f>
        <v>0</v>
      </c>
      <c r="V209" s="110" t="n">
        <f aca="false">IF(OR($B209="",$E209="",$F209=""),0,MAX(0,MIN($F209,EOMONTH(DATE(cfg_FY,1,1),0))-MAX($E209,DATE(cfg_FY,1,1))+1)*(1-IF($M209="نعم",0,N($J209))))</f>
        <v>0</v>
      </c>
      <c r="W209" s="110" t="n">
        <f aca="false">IF(OR($B209="",$E209="",$F209=""),0,MAX(0,MIN($F209,EOMONTH(DATE(cfg_FY,2,1),0))-MAX($E209,DATE(cfg_FY,2,1))+1)*(1-IF($M209="نعم",0,N($J209))))</f>
        <v>0</v>
      </c>
      <c r="X209" s="110" t="n">
        <f aca="false">IF(OR($B209="",$E209="",$F209=""),0,MAX(0,MIN($F209,EOMONTH(DATE(cfg_FY,3,1),0))-MAX($E209,DATE(cfg_FY,3,1))+1)*(1-IF($M209="نعم",0,N($J209))))</f>
        <v>0</v>
      </c>
      <c r="Y209" s="110" t="n">
        <f aca="false">IF(OR($B209="",$E209="",$F209=""),0,MAX(0,MIN($F209,EOMONTH(DATE(cfg_FY,4,1),0))-MAX($E209,DATE(cfg_FY,4,1))+1)*(1-IF($M209="نعم",0,N($J209))))</f>
        <v>0</v>
      </c>
      <c r="Z209" s="110" t="n">
        <f aca="false">IF(OR($B209="",$E209="",$F209=""),0,MAX(0,MIN($F209,EOMONTH(DATE(cfg_FY,5,1),0))-MAX($E209,DATE(cfg_FY,5,1))+1)*(1-IF($M209="نعم",0,N($J209))))</f>
        <v>0</v>
      </c>
      <c r="AA209" s="110" t="n">
        <f aca="false">IF(OR($B209="",$E209="",$F209=""),0,MAX(0,MIN($F209,EOMONTH(DATE(cfg_FY,6,1),0))-MAX($E209,DATE(cfg_FY,6,1))+1)*(1-IF($M209="نعم",0,N($J209))))</f>
        <v>0</v>
      </c>
      <c r="AB209" s="110" t="n">
        <f aca="false">IF(OR($B209="",$E209="",$F209=""),0,MAX(0,MIN($F209,EOMONTH(DATE(cfg_FY,7,1),0))-MAX($E209,DATE(cfg_FY,7,1))+1)*(1-IF($M209="نعم",0,N($J209))))</f>
        <v>0</v>
      </c>
      <c r="AC209" s="110" t="n">
        <f aca="false">IF(OR($B209="",$E209="",$F209=""),0,MAX(0,MIN($F209,EOMONTH(DATE(cfg_FY,8,1),0))-MAX($E209,DATE(cfg_FY,8,1))+1)*(1-IF($M209="نعم",0,N($J209))))</f>
        <v>0</v>
      </c>
      <c r="AD209" s="110" t="n">
        <f aca="false">IF(OR($B209="",$E209="",$F209=""),0,MAX(0,MIN($F209,EOMONTH(DATE(cfg_FY,9,1),0))-MAX($E209,DATE(cfg_FY,9,1))+1)*(1-IF($M209="نعم",0,N($J209))))</f>
        <v>0</v>
      </c>
      <c r="AE209" s="110" t="n">
        <f aca="false">IF(OR($B209="",$E209="",$F209=""),0,MAX(0,MIN($F209,EOMONTH(DATE(cfg_FY,10,1),0))-MAX($E209,DATE(cfg_FY,10,1))+1)*(1-IF($M209="نعم",0,N($J209))))</f>
        <v>0</v>
      </c>
      <c r="AF209" s="110" t="n">
        <f aca="false">IF(OR($B209="",$E209="",$F209=""),0,MAX(0,MIN($F209,EOMONTH(DATE(cfg_FY,11,1),0))-MAX($E209,DATE(cfg_FY,11,1))+1)*(1-IF($M209="نعم",0,N($J209))))</f>
        <v>0</v>
      </c>
      <c r="AG209" s="110" t="n">
        <f aca="false">IF(OR($B209="",$E209="",$F209=""),0,MAX(0,MIN($F209,EOMONTH(DATE(cfg_FY,12,1),0))-MAX($E209,DATE(cfg_FY,12,1))+1)*(1-IF($M209="نعم",0,N($J209))))</f>
        <v>0</v>
      </c>
      <c r="AH209" s="110" t="n">
        <f aca="false">IF(OR(OR($B209="",$E209="",$F209=""),$L209&lt;&gt;"لا"),0,MAX(0,MIN($F209,EOMONTH(DATE(cfg_FY,1,1),0))-$E209+1))</f>
        <v>0</v>
      </c>
      <c r="AI209" s="110" t="n">
        <f aca="false">IF(OR(OR($B209="",$E209="",$F209=""),$L209&lt;&gt;"لا"),0,MAX(0,MIN($F209,EOMONTH(DATE(cfg_FY,2,1),0))-$E209+1))</f>
        <v>0</v>
      </c>
      <c r="AJ209" s="110" t="n">
        <f aca="false">IF(OR(OR($B209="",$E209="",$F209=""),$L209&lt;&gt;"لا"),0,MAX(0,MIN($F209,EOMONTH(DATE(cfg_FY,3,1),0))-$E209+1))</f>
        <v>0</v>
      </c>
      <c r="AK209" s="110" t="n">
        <f aca="false">IF(OR(OR($B209="",$E209="",$F209=""),$L209&lt;&gt;"لا"),0,MAX(0,MIN($F209,EOMONTH(DATE(cfg_FY,4,1),0))-$E209+1))</f>
        <v>0</v>
      </c>
      <c r="AL209" s="110" t="n">
        <f aca="false">IF(OR(OR($B209="",$E209="",$F209=""),$L209&lt;&gt;"لا"),0,MAX(0,MIN($F209,EOMONTH(DATE(cfg_FY,5,1),0))-$E209+1))</f>
        <v>0</v>
      </c>
      <c r="AM209" s="110" t="n">
        <f aca="false">IF(OR(OR($B209="",$E209="",$F209=""),$L209&lt;&gt;"لا"),0,MAX(0,MIN($F209,EOMONTH(DATE(cfg_FY,6,1),0))-$E209+1))</f>
        <v>0</v>
      </c>
      <c r="AN209" s="110" t="n">
        <f aca="false">IF(OR(OR($B209="",$E209="",$F209=""),$L209&lt;&gt;"لا"),0,MAX(0,MIN($F209,EOMONTH(DATE(cfg_FY,7,1),0))-$E209+1))</f>
        <v>0</v>
      </c>
      <c r="AO209" s="110" t="n">
        <f aca="false">IF(OR(OR($B209="",$E209="",$F209=""),$L209&lt;&gt;"لا"),0,MAX(0,MIN($F209,EOMONTH(DATE(cfg_FY,8,1),0))-$E209+1))</f>
        <v>0</v>
      </c>
      <c r="AP209" s="110" t="n">
        <f aca="false">IF(OR(OR($B209="",$E209="",$F209=""),$L209&lt;&gt;"لا"),0,MAX(0,MIN($F209,EOMONTH(DATE(cfg_FY,9,1),0))-$E209+1))</f>
        <v>0</v>
      </c>
      <c r="AQ209" s="110" t="n">
        <f aca="false">IF(OR(OR($B209="",$E209="",$F209=""),$L209&lt;&gt;"لا"),0,MAX(0,MIN($F209,EOMONTH(DATE(cfg_FY,10,1),0))-$E209+1))</f>
        <v>0</v>
      </c>
      <c r="AR209" s="110" t="n">
        <f aca="false">IF(OR(OR($B209="",$E209="",$F209=""),$L209&lt;&gt;"لا"),0,MAX(0,MIN($F209,EOMONTH(DATE(cfg_FY,11,1),0))-$E209+1))</f>
        <v>0</v>
      </c>
      <c r="AS209" s="110" t="n">
        <f aca="false">IF(OR(OR($B209="",$E209="",$F209=""),$L209&lt;&gt;"لا"),0,MAX(0,MIN($F209,EOMONTH(DATE(cfg_FY,12,1),0))-$E209+1))</f>
        <v>0</v>
      </c>
      <c r="AT209" s="110" t="n">
        <f aca="false">IF(OR(OR($B209="",$E209="",$F209=""),$K209&lt;&gt;"نعم",$M209="نعم"),0,MAX(0,MIN($F209,EOMONTH(DATE(cfg_FY,1,1),0))-MAX($E209,DATE(cfg_FY,1,1))+1))</f>
        <v>0</v>
      </c>
      <c r="AU209" s="110" t="n">
        <f aca="false">IF(OR(OR($B209="",$E209="",$F209=""),$K209&lt;&gt;"نعم",$M209="نعم"),0,MAX(0,MIN($F209,EOMONTH(DATE(cfg_FY,2,1),0))-MAX($E209,DATE(cfg_FY,2,1))+1))</f>
        <v>0</v>
      </c>
      <c r="AV209" s="110" t="n">
        <f aca="false">IF(OR(OR($B209="",$E209="",$F209=""),$K209&lt;&gt;"نعم",$M209="نعم"),0,MAX(0,MIN($F209,EOMONTH(DATE(cfg_FY,3,1),0))-MAX($E209,DATE(cfg_FY,3,1))+1))</f>
        <v>0</v>
      </c>
      <c r="AW209" s="110" t="n">
        <f aca="false">IF(OR(OR($B209="",$E209="",$F209=""),$K209&lt;&gt;"نعم",$M209="نعم"),0,MAX(0,MIN($F209,EOMONTH(DATE(cfg_FY,4,1),0))-MAX($E209,DATE(cfg_FY,4,1))+1))</f>
        <v>0</v>
      </c>
      <c r="AX209" s="110" t="n">
        <f aca="false">IF(OR(OR($B209="",$E209="",$F209=""),$K209&lt;&gt;"نعم",$M209="نعم"),0,MAX(0,MIN($F209,EOMONTH(DATE(cfg_FY,5,1),0))-MAX($E209,DATE(cfg_FY,5,1))+1))</f>
        <v>0</v>
      </c>
      <c r="AY209" s="110" t="n">
        <f aca="false">IF(OR(OR($B209="",$E209="",$F209=""),$K209&lt;&gt;"نعم",$M209="نعم"),0,MAX(0,MIN($F209,EOMONTH(DATE(cfg_FY,6,1),0))-MAX($E209,DATE(cfg_FY,6,1))+1))</f>
        <v>0</v>
      </c>
      <c r="AZ209" s="110" t="n">
        <f aca="false">IF(OR(OR($B209="",$E209="",$F209=""),$K209&lt;&gt;"نعم",$M209="نعم"),0,MAX(0,MIN($F209,EOMONTH(DATE(cfg_FY,7,1),0))-MAX($E209,DATE(cfg_FY,7,1))+1))</f>
        <v>0</v>
      </c>
      <c r="BA209" s="110" t="n">
        <f aca="false">IF(OR(OR($B209="",$E209="",$F209=""),$K209&lt;&gt;"نعم",$M209="نعم"),0,MAX(0,MIN($F209,EOMONTH(DATE(cfg_FY,8,1),0))-MAX($E209,DATE(cfg_FY,8,1))+1))</f>
        <v>0</v>
      </c>
      <c r="BB209" s="110" t="n">
        <f aca="false">IF(OR(OR($B209="",$E209="",$F209=""),$K209&lt;&gt;"نعم",$M209="نعم"),0,MAX(0,MIN($F209,EOMONTH(DATE(cfg_FY,9,1),0))-MAX($E209,DATE(cfg_FY,9,1))+1))</f>
        <v>0</v>
      </c>
      <c r="BC209" s="110" t="n">
        <f aca="false">IF(OR(OR($B209="",$E209="",$F209=""),$K209&lt;&gt;"نعم",$M209="نعم"),0,MAX(0,MIN($F209,EOMONTH(DATE(cfg_FY,10,1),0))-MAX($E209,DATE(cfg_FY,10,1))+1))</f>
        <v>0</v>
      </c>
      <c r="BD209" s="110" t="n">
        <f aca="false">IF(OR(OR($B209="",$E209="",$F209=""),$K209&lt;&gt;"نعم",$M209="نعم"),0,MAX(0,MIN($F209,EOMONTH(DATE(cfg_FY,11,1),0))-MAX($E209,DATE(cfg_FY,11,1))+1))</f>
        <v>0</v>
      </c>
      <c r="BE209" s="110" t="n">
        <f aca="false">IF(OR(OR($B209="",$E209="",$F209=""),$K209&lt;&gt;"نعم",$M209="نعم"),0,MAX(0,MIN($F209,EOMONTH(DATE(cfg_FY,12,1),0))-MAX($E209,DATE(cfg_FY,12,1))+1))</f>
        <v>0</v>
      </c>
    </row>
    <row r="210" customFormat="false" ht="15" hidden="false" customHeight="false" outlineLevel="0" collapsed="false">
      <c r="A210" s="93" t="str">
        <f aca="false">IF(B210="","",ROW()-5)</f>
        <v/>
      </c>
      <c r="B210" s="79"/>
      <c r="C210" s="80" t="str">
        <f aca="false">IF(B210="","",IFERROR(INDEX(الموظفون!$C$6:$C$105,MATCH(B210,الموظفون!$B$6:$B$105,0)),"✖ رقم غير موجود"))</f>
        <v/>
      </c>
      <c r="D210" s="79"/>
      <c r="E210" s="94"/>
      <c r="F210" s="94"/>
      <c r="G210" s="57" t="str">
        <f aca="false">IF(OR($B210="",$E210="",$F210=""),"",MAX(0,F210-E210+1))</f>
        <v/>
      </c>
      <c r="H210" s="58" t="str">
        <f aca="false">IF(D210="","",IFERROR(VLOOKUP(D210,cfg_LT,2,FALSE()),1))</f>
        <v/>
      </c>
      <c r="I210" s="82"/>
      <c r="J210" s="58" t="str">
        <f aca="false">IF(D210="","",IF(I210&lt;&gt;"",I210,H210))</f>
        <v/>
      </c>
      <c r="K210" s="80" t="str">
        <f aca="false">IF(D210="","",IFERROR(VLOOKUP($D210,cfg_LT,3,FALSE()),""))</f>
        <v/>
      </c>
      <c r="L210" s="80" t="str">
        <f aca="false">IF(D210="","",IFERROR(VLOOKUP($D210,cfg_LT,4,FALSE()),""))</f>
        <v/>
      </c>
      <c r="M210" s="80" t="str">
        <f aca="false">IF(D210="","",IFERROR(VLOOKUP($D210,cfg_LT,5,FALSE()),""))</f>
        <v/>
      </c>
      <c r="N210" s="97" t="n">
        <f aca="false">IF(OR(OR($B210="",$E210="",$F210=""),M210&lt;&gt;"نعم"),0,G210*J210*IFERROR(INDEX(الموظفون!$R$6:$R$105,MATCH(B210,الموظفون!$B$6:$B$105,0)),0)/cfg_DAYS_M)</f>
        <v>0</v>
      </c>
      <c r="O210" s="93" t="str">
        <f aca="false">IF(OR(OR($B210="",$E210="",$F210=""),M210&lt;&gt;"نعم"),"",IF(YEAR(E210)=cfg_FY,MONTH(E210),""))</f>
        <v/>
      </c>
      <c r="P210" s="80" t="str">
        <f aca="false">IF(B210="","",IF(OR(D210="",E210="",F210=""),"⚠ أكمل النوع والتواريخ",IF(F210&lt;E210,"✖ النهاية قبل البداية",IF(COUNTIFS($B$6:$B$505,B210,$E$6:$E$505,"&lt;="&amp;F210,$F$6:$F$505,"&gt;="&amp;E210)&gt;1,"⚠ تداخل مع سجل آخر",IF(E210&gt;cfg_VAL_DATE,"⏳ قادمة",IF(F210&lt;cfg_VAL_DATE,"✔ منتهية","✈ جارية في تاريخ التقرير"))))))</f>
        <v/>
      </c>
      <c r="Q210" s="79"/>
      <c r="R210" s="57" t="n">
        <f aca="false">IF(OR(OR($B210="",$E210="",$F210=""),L210&lt;&gt;"لا"),0,MAX(0,MIN(F210,cfg_Y_START-1)-E210+1))</f>
        <v>0</v>
      </c>
      <c r="S210" s="57" t="n">
        <f aca="false">IF(OR(OR($B210="",$E210="",$F210=""),L210&lt;&gt;"لا"),0,MAX(0,MIN(F210,cfg_VAL_DATE)-E210+1))</f>
        <v>0</v>
      </c>
      <c r="T210" s="57" t="n">
        <f aca="false">IF(OR(OR($B210="",$E210="",$F210=""),K210&lt;&gt;"نعم"),0,IF(M210="نعم",IF(AND(ISNUMBER(O210),N(O210)&lt;=cfg_VAL_M),G210,0),MAX(0,MIN(F210,cfg_VAL_DATE)-MAX(E210,cfg_Y_START)+1)))</f>
        <v>0</v>
      </c>
      <c r="V210" s="57" t="n">
        <f aca="false">IF(OR($B210="",$E210="",$F210=""),0,MAX(0,MIN($F210,EOMONTH(DATE(cfg_FY,1,1),0))-MAX($E210,DATE(cfg_FY,1,1))+1)*(1-IF($M210="نعم",0,N($J210))))</f>
        <v>0</v>
      </c>
      <c r="W210" s="57" t="n">
        <f aca="false">IF(OR($B210="",$E210="",$F210=""),0,MAX(0,MIN($F210,EOMONTH(DATE(cfg_FY,2,1),0))-MAX($E210,DATE(cfg_FY,2,1))+1)*(1-IF($M210="نعم",0,N($J210))))</f>
        <v>0</v>
      </c>
      <c r="X210" s="57" t="n">
        <f aca="false">IF(OR($B210="",$E210="",$F210=""),0,MAX(0,MIN($F210,EOMONTH(DATE(cfg_FY,3,1),0))-MAX($E210,DATE(cfg_FY,3,1))+1)*(1-IF($M210="نعم",0,N($J210))))</f>
        <v>0</v>
      </c>
      <c r="Y210" s="57" t="n">
        <f aca="false">IF(OR($B210="",$E210="",$F210=""),0,MAX(0,MIN($F210,EOMONTH(DATE(cfg_FY,4,1),0))-MAX($E210,DATE(cfg_FY,4,1))+1)*(1-IF($M210="نعم",0,N($J210))))</f>
        <v>0</v>
      </c>
      <c r="Z210" s="57" t="n">
        <f aca="false">IF(OR($B210="",$E210="",$F210=""),0,MAX(0,MIN($F210,EOMONTH(DATE(cfg_FY,5,1),0))-MAX($E210,DATE(cfg_FY,5,1))+1)*(1-IF($M210="نعم",0,N($J210))))</f>
        <v>0</v>
      </c>
      <c r="AA210" s="57" t="n">
        <f aca="false">IF(OR($B210="",$E210="",$F210=""),0,MAX(0,MIN($F210,EOMONTH(DATE(cfg_FY,6,1),0))-MAX($E210,DATE(cfg_FY,6,1))+1)*(1-IF($M210="نعم",0,N($J210))))</f>
        <v>0</v>
      </c>
      <c r="AB210" s="57" t="n">
        <f aca="false">IF(OR($B210="",$E210="",$F210=""),0,MAX(0,MIN($F210,EOMONTH(DATE(cfg_FY,7,1),0))-MAX($E210,DATE(cfg_FY,7,1))+1)*(1-IF($M210="نعم",0,N($J210))))</f>
        <v>0</v>
      </c>
      <c r="AC210" s="57" t="n">
        <f aca="false">IF(OR($B210="",$E210="",$F210=""),0,MAX(0,MIN($F210,EOMONTH(DATE(cfg_FY,8,1),0))-MAX($E210,DATE(cfg_FY,8,1))+1)*(1-IF($M210="نعم",0,N($J210))))</f>
        <v>0</v>
      </c>
      <c r="AD210" s="57" t="n">
        <f aca="false">IF(OR($B210="",$E210="",$F210=""),0,MAX(0,MIN($F210,EOMONTH(DATE(cfg_FY,9,1),0))-MAX($E210,DATE(cfg_FY,9,1))+1)*(1-IF($M210="نعم",0,N($J210))))</f>
        <v>0</v>
      </c>
      <c r="AE210" s="57" t="n">
        <f aca="false">IF(OR($B210="",$E210="",$F210=""),0,MAX(0,MIN($F210,EOMONTH(DATE(cfg_FY,10,1),0))-MAX($E210,DATE(cfg_FY,10,1))+1)*(1-IF($M210="نعم",0,N($J210))))</f>
        <v>0</v>
      </c>
      <c r="AF210" s="57" t="n">
        <f aca="false">IF(OR($B210="",$E210="",$F210=""),0,MAX(0,MIN($F210,EOMONTH(DATE(cfg_FY,11,1),0))-MAX($E210,DATE(cfg_FY,11,1))+1)*(1-IF($M210="نعم",0,N($J210))))</f>
        <v>0</v>
      </c>
      <c r="AG210" s="57" t="n">
        <f aca="false">IF(OR($B210="",$E210="",$F210=""),0,MAX(0,MIN($F210,EOMONTH(DATE(cfg_FY,12,1),0))-MAX($E210,DATE(cfg_FY,12,1))+1)*(1-IF($M210="نعم",0,N($J210))))</f>
        <v>0</v>
      </c>
      <c r="AH210" s="57" t="n">
        <f aca="false">IF(OR(OR($B210="",$E210="",$F210=""),$L210&lt;&gt;"لا"),0,MAX(0,MIN($F210,EOMONTH(DATE(cfg_FY,1,1),0))-$E210+1))</f>
        <v>0</v>
      </c>
      <c r="AI210" s="57" t="n">
        <f aca="false">IF(OR(OR($B210="",$E210="",$F210=""),$L210&lt;&gt;"لا"),0,MAX(0,MIN($F210,EOMONTH(DATE(cfg_FY,2,1),0))-$E210+1))</f>
        <v>0</v>
      </c>
      <c r="AJ210" s="57" t="n">
        <f aca="false">IF(OR(OR($B210="",$E210="",$F210=""),$L210&lt;&gt;"لا"),0,MAX(0,MIN($F210,EOMONTH(DATE(cfg_FY,3,1),0))-$E210+1))</f>
        <v>0</v>
      </c>
      <c r="AK210" s="57" t="n">
        <f aca="false">IF(OR(OR($B210="",$E210="",$F210=""),$L210&lt;&gt;"لا"),0,MAX(0,MIN($F210,EOMONTH(DATE(cfg_FY,4,1),0))-$E210+1))</f>
        <v>0</v>
      </c>
      <c r="AL210" s="57" t="n">
        <f aca="false">IF(OR(OR($B210="",$E210="",$F210=""),$L210&lt;&gt;"لا"),0,MAX(0,MIN($F210,EOMONTH(DATE(cfg_FY,5,1),0))-$E210+1))</f>
        <v>0</v>
      </c>
      <c r="AM210" s="57" t="n">
        <f aca="false">IF(OR(OR($B210="",$E210="",$F210=""),$L210&lt;&gt;"لا"),0,MAX(0,MIN($F210,EOMONTH(DATE(cfg_FY,6,1),0))-$E210+1))</f>
        <v>0</v>
      </c>
      <c r="AN210" s="57" t="n">
        <f aca="false">IF(OR(OR($B210="",$E210="",$F210=""),$L210&lt;&gt;"لا"),0,MAX(0,MIN($F210,EOMONTH(DATE(cfg_FY,7,1),0))-$E210+1))</f>
        <v>0</v>
      </c>
      <c r="AO210" s="57" t="n">
        <f aca="false">IF(OR(OR($B210="",$E210="",$F210=""),$L210&lt;&gt;"لا"),0,MAX(0,MIN($F210,EOMONTH(DATE(cfg_FY,8,1),0))-$E210+1))</f>
        <v>0</v>
      </c>
      <c r="AP210" s="57" t="n">
        <f aca="false">IF(OR(OR($B210="",$E210="",$F210=""),$L210&lt;&gt;"لا"),0,MAX(0,MIN($F210,EOMONTH(DATE(cfg_FY,9,1),0))-$E210+1))</f>
        <v>0</v>
      </c>
      <c r="AQ210" s="57" t="n">
        <f aca="false">IF(OR(OR($B210="",$E210="",$F210=""),$L210&lt;&gt;"لا"),0,MAX(0,MIN($F210,EOMONTH(DATE(cfg_FY,10,1),0))-$E210+1))</f>
        <v>0</v>
      </c>
      <c r="AR210" s="57" t="n">
        <f aca="false">IF(OR(OR($B210="",$E210="",$F210=""),$L210&lt;&gt;"لا"),0,MAX(0,MIN($F210,EOMONTH(DATE(cfg_FY,11,1),0))-$E210+1))</f>
        <v>0</v>
      </c>
      <c r="AS210" s="57" t="n">
        <f aca="false">IF(OR(OR($B210="",$E210="",$F210=""),$L210&lt;&gt;"لا"),0,MAX(0,MIN($F210,EOMONTH(DATE(cfg_FY,12,1),0))-$E210+1))</f>
        <v>0</v>
      </c>
      <c r="AT210" s="57" t="n">
        <f aca="false">IF(OR(OR($B210="",$E210="",$F210=""),$K210&lt;&gt;"نعم",$M210="نعم"),0,MAX(0,MIN($F210,EOMONTH(DATE(cfg_FY,1,1),0))-MAX($E210,DATE(cfg_FY,1,1))+1))</f>
        <v>0</v>
      </c>
      <c r="AU210" s="57" t="n">
        <f aca="false">IF(OR(OR($B210="",$E210="",$F210=""),$K210&lt;&gt;"نعم",$M210="نعم"),0,MAX(0,MIN($F210,EOMONTH(DATE(cfg_FY,2,1),0))-MAX($E210,DATE(cfg_FY,2,1))+1))</f>
        <v>0</v>
      </c>
      <c r="AV210" s="57" t="n">
        <f aca="false">IF(OR(OR($B210="",$E210="",$F210=""),$K210&lt;&gt;"نعم",$M210="نعم"),0,MAX(0,MIN($F210,EOMONTH(DATE(cfg_FY,3,1),0))-MAX($E210,DATE(cfg_FY,3,1))+1))</f>
        <v>0</v>
      </c>
      <c r="AW210" s="57" t="n">
        <f aca="false">IF(OR(OR($B210="",$E210="",$F210=""),$K210&lt;&gt;"نعم",$M210="نعم"),0,MAX(0,MIN($F210,EOMONTH(DATE(cfg_FY,4,1),0))-MAX($E210,DATE(cfg_FY,4,1))+1))</f>
        <v>0</v>
      </c>
      <c r="AX210" s="57" t="n">
        <f aca="false">IF(OR(OR($B210="",$E210="",$F210=""),$K210&lt;&gt;"نعم",$M210="نعم"),0,MAX(0,MIN($F210,EOMONTH(DATE(cfg_FY,5,1),0))-MAX($E210,DATE(cfg_FY,5,1))+1))</f>
        <v>0</v>
      </c>
      <c r="AY210" s="57" t="n">
        <f aca="false">IF(OR(OR($B210="",$E210="",$F210=""),$K210&lt;&gt;"نعم",$M210="نعم"),0,MAX(0,MIN($F210,EOMONTH(DATE(cfg_FY,6,1),0))-MAX($E210,DATE(cfg_FY,6,1))+1))</f>
        <v>0</v>
      </c>
      <c r="AZ210" s="57" t="n">
        <f aca="false">IF(OR(OR($B210="",$E210="",$F210=""),$K210&lt;&gt;"نعم",$M210="نعم"),0,MAX(0,MIN($F210,EOMONTH(DATE(cfg_FY,7,1),0))-MAX($E210,DATE(cfg_FY,7,1))+1))</f>
        <v>0</v>
      </c>
      <c r="BA210" s="57" t="n">
        <f aca="false">IF(OR(OR($B210="",$E210="",$F210=""),$K210&lt;&gt;"نعم",$M210="نعم"),0,MAX(0,MIN($F210,EOMONTH(DATE(cfg_FY,8,1),0))-MAX($E210,DATE(cfg_FY,8,1))+1))</f>
        <v>0</v>
      </c>
      <c r="BB210" s="57" t="n">
        <f aca="false">IF(OR(OR($B210="",$E210="",$F210=""),$K210&lt;&gt;"نعم",$M210="نعم"),0,MAX(0,MIN($F210,EOMONTH(DATE(cfg_FY,9,1),0))-MAX($E210,DATE(cfg_FY,9,1))+1))</f>
        <v>0</v>
      </c>
      <c r="BC210" s="57" t="n">
        <f aca="false">IF(OR(OR($B210="",$E210="",$F210=""),$K210&lt;&gt;"نعم",$M210="نعم"),0,MAX(0,MIN($F210,EOMONTH(DATE(cfg_FY,10,1),0))-MAX($E210,DATE(cfg_FY,10,1))+1))</f>
        <v>0</v>
      </c>
      <c r="BD210" s="57" t="n">
        <f aca="false">IF(OR(OR($B210="",$E210="",$F210=""),$K210&lt;&gt;"نعم",$M210="نعم"),0,MAX(0,MIN($F210,EOMONTH(DATE(cfg_FY,11,1),0))-MAX($E210,DATE(cfg_FY,11,1))+1))</f>
        <v>0</v>
      </c>
      <c r="BE210" s="57" t="n">
        <f aca="false">IF(OR(OR($B210="",$E210="",$F210=""),$K210&lt;&gt;"نعم",$M210="نعم"),0,MAX(0,MIN($F210,EOMONTH(DATE(cfg_FY,12,1),0))-MAX($E210,DATE(cfg_FY,12,1))+1))</f>
        <v>0</v>
      </c>
    </row>
    <row r="211" customFormat="false" ht="15" hidden="false" customHeight="false" outlineLevel="0" collapsed="false">
      <c r="A211" s="100" t="str">
        <f aca="false">IF(B211="","",ROW()-5)</f>
        <v/>
      </c>
      <c r="B211" s="79"/>
      <c r="C211" s="102" t="str">
        <f aca="false">IF(B211="","",IFERROR(INDEX(الموظفون!$C$6:$C$105,MATCH(B211,الموظفون!$B$6:$B$105,0)),"✖ رقم غير موجود"))</f>
        <v/>
      </c>
      <c r="D211" s="79"/>
      <c r="E211" s="94"/>
      <c r="F211" s="94"/>
      <c r="G211" s="110" t="str">
        <f aca="false">IF(OR($B211="",$E211="",$F211=""),"",MAX(0,F211-E211+1))</f>
        <v/>
      </c>
      <c r="H211" s="111" t="str">
        <f aca="false">IF(D211="","",IFERROR(VLOOKUP(D211,cfg_LT,2,FALSE()),1))</f>
        <v/>
      </c>
      <c r="I211" s="82"/>
      <c r="J211" s="111" t="str">
        <f aca="false">IF(D211="","",IF(I211&lt;&gt;"",I211,H211))</f>
        <v/>
      </c>
      <c r="K211" s="102" t="str">
        <f aca="false">IF(D211="","",IFERROR(VLOOKUP($D211,cfg_LT,3,FALSE()),""))</f>
        <v/>
      </c>
      <c r="L211" s="102" t="str">
        <f aca="false">IF(D211="","",IFERROR(VLOOKUP($D211,cfg_LT,4,FALSE()),""))</f>
        <v/>
      </c>
      <c r="M211" s="102" t="str">
        <f aca="false">IF(D211="","",IFERROR(VLOOKUP($D211,cfg_LT,5,FALSE()),""))</f>
        <v/>
      </c>
      <c r="N211" s="101" t="n">
        <f aca="false">IF(OR(OR($B211="",$E211="",$F211=""),M211&lt;&gt;"نعم"),0,G211*J211*IFERROR(INDEX(الموظفون!$R$6:$R$105,MATCH(B211,الموظفون!$B$6:$B$105,0)),0)/cfg_DAYS_M)</f>
        <v>0</v>
      </c>
      <c r="O211" s="100" t="str">
        <f aca="false">IF(OR(OR($B211="",$E211="",$F211=""),M211&lt;&gt;"نعم"),"",IF(YEAR(E211)=cfg_FY,MONTH(E211),""))</f>
        <v/>
      </c>
      <c r="P211" s="102" t="str">
        <f aca="false">IF(B211="","",IF(OR(D211="",E211="",F211=""),"⚠ أكمل النوع والتواريخ",IF(F211&lt;E211,"✖ النهاية قبل البداية",IF(COUNTIFS($B$6:$B$505,B211,$E$6:$E$505,"&lt;="&amp;F211,$F$6:$F$505,"&gt;="&amp;E211)&gt;1,"⚠ تداخل مع سجل آخر",IF(E211&gt;cfg_VAL_DATE,"⏳ قادمة",IF(F211&lt;cfg_VAL_DATE,"✔ منتهية","✈ جارية في تاريخ التقرير"))))))</f>
        <v/>
      </c>
      <c r="Q211" s="79"/>
      <c r="R211" s="110" t="n">
        <f aca="false">IF(OR(OR($B211="",$E211="",$F211=""),L211&lt;&gt;"لا"),0,MAX(0,MIN(F211,cfg_Y_START-1)-E211+1))</f>
        <v>0</v>
      </c>
      <c r="S211" s="110" t="n">
        <f aca="false">IF(OR(OR($B211="",$E211="",$F211=""),L211&lt;&gt;"لا"),0,MAX(0,MIN(F211,cfg_VAL_DATE)-E211+1))</f>
        <v>0</v>
      </c>
      <c r="T211" s="110" t="n">
        <f aca="false">IF(OR(OR($B211="",$E211="",$F211=""),K211&lt;&gt;"نعم"),0,IF(M211="نعم",IF(AND(ISNUMBER(O211),N(O211)&lt;=cfg_VAL_M),G211,0),MAX(0,MIN(F211,cfg_VAL_DATE)-MAX(E211,cfg_Y_START)+1)))</f>
        <v>0</v>
      </c>
      <c r="V211" s="110" t="n">
        <f aca="false">IF(OR($B211="",$E211="",$F211=""),0,MAX(0,MIN($F211,EOMONTH(DATE(cfg_FY,1,1),0))-MAX($E211,DATE(cfg_FY,1,1))+1)*(1-IF($M211="نعم",0,N($J211))))</f>
        <v>0</v>
      </c>
      <c r="W211" s="110" t="n">
        <f aca="false">IF(OR($B211="",$E211="",$F211=""),0,MAX(0,MIN($F211,EOMONTH(DATE(cfg_FY,2,1),0))-MAX($E211,DATE(cfg_FY,2,1))+1)*(1-IF($M211="نعم",0,N($J211))))</f>
        <v>0</v>
      </c>
      <c r="X211" s="110" t="n">
        <f aca="false">IF(OR($B211="",$E211="",$F211=""),0,MAX(0,MIN($F211,EOMONTH(DATE(cfg_FY,3,1),0))-MAX($E211,DATE(cfg_FY,3,1))+1)*(1-IF($M211="نعم",0,N($J211))))</f>
        <v>0</v>
      </c>
      <c r="Y211" s="110" t="n">
        <f aca="false">IF(OR($B211="",$E211="",$F211=""),0,MAX(0,MIN($F211,EOMONTH(DATE(cfg_FY,4,1),0))-MAX($E211,DATE(cfg_FY,4,1))+1)*(1-IF($M211="نعم",0,N($J211))))</f>
        <v>0</v>
      </c>
      <c r="Z211" s="110" t="n">
        <f aca="false">IF(OR($B211="",$E211="",$F211=""),0,MAX(0,MIN($F211,EOMONTH(DATE(cfg_FY,5,1),0))-MAX($E211,DATE(cfg_FY,5,1))+1)*(1-IF($M211="نعم",0,N($J211))))</f>
        <v>0</v>
      </c>
      <c r="AA211" s="110" t="n">
        <f aca="false">IF(OR($B211="",$E211="",$F211=""),0,MAX(0,MIN($F211,EOMONTH(DATE(cfg_FY,6,1),0))-MAX($E211,DATE(cfg_FY,6,1))+1)*(1-IF($M211="نعم",0,N($J211))))</f>
        <v>0</v>
      </c>
      <c r="AB211" s="110" t="n">
        <f aca="false">IF(OR($B211="",$E211="",$F211=""),0,MAX(0,MIN($F211,EOMONTH(DATE(cfg_FY,7,1),0))-MAX($E211,DATE(cfg_FY,7,1))+1)*(1-IF($M211="نعم",0,N($J211))))</f>
        <v>0</v>
      </c>
      <c r="AC211" s="110" t="n">
        <f aca="false">IF(OR($B211="",$E211="",$F211=""),0,MAX(0,MIN($F211,EOMONTH(DATE(cfg_FY,8,1),0))-MAX($E211,DATE(cfg_FY,8,1))+1)*(1-IF($M211="نعم",0,N($J211))))</f>
        <v>0</v>
      </c>
      <c r="AD211" s="110" t="n">
        <f aca="false">IF(OR($B211="",$E211="",$F211=""),0,MAX(0,MIN($F211,EOMONTH(DATE(cfg_FY,9,1),0))-MAX($E211,DATE(cfg_FY,9,1))+1)*(1-IF($M211="نعم",0,N($J211))))</f>
        <v>0</v>
      </c>
      <c r="AE211" s="110" t="n">
        <f aca="false">IF(OR($B211="",$E211="",$F211=""),0,MAX(0,MIN($F211,EOMONTH(DATE(cfg_FY,10,1),0))-MAX($E211,DATE(cfg_FY,10,1))+1)*(1-IF($M211="نعم",0,N($J211))))</f>
        <v>0</v>
      </c>
      <c r="AF211" s="110" t="n">
        <f aca="false">IF(OR($B211="",$E211="",$F211=""),0,MAX(0,MIN($F211,EOMONTH(DATE(cfg_FY,11,1),0))-MAX($E211,DATE(cfg_FY,11,1))+1)*(1-IF($M211="نعم",0,N($J211))))</f>
        <v>0</v>
      </c>
      <c r="AG211" s="110" t="n">
        <f aca="false">IF(OR($B211="",$E211="",$F211=""),0,MAX(0,MIN($F211,EOMONTH(DATE(cfg_FY,12,1),0))-MAX($E211,DATE(cfg_FY,12,1))+1)*(1-IF($M211="نعم",0,N($J211))))</f>
        <v>0</v>
      </c>
      <c r="AH211" s="110" t="n">
        <f aca="false">IF(OR(OR($B211="",$E211="",$F211=""),$L211&lt;&gt;"لا"),0,MAX(0,MIN($F211,EOMONTH(DATE(cfg_FY,1,1),0))-$E211+1))</f>
        <v>0</v>
      </c>
      <c r="AI211" s="110" t="n">
        <f aca="false">IF(OR(OR($B211="",$E211="",$F211=""),$L211&lt;&gt;"لا"),0,MAX(0,MIN($F211,EOMONTH(DATE(cfg_FY,2,1),0))-$E211+1))</f>
        <v>0</v>
      </c>
      <c r="AJ211" s="110" t="n">
        <f aca="false">IF(OR(OR($B211="",$E211="",$F211=""),$L211&lt;&gt;"لا"),0,MAX(0,MIN($F211,EOMONTH(DATE(cfg_FY,3,1),0))-$E211+1))</f>
        <v>0</v>
      </c>
      <c r="AK211" s="110" t="n">
        <f aca="false">IF(OR(OR($B211="",$E211="",$F211=""),$L211&lt;&gt;"لا"),0,MAX(0,MIN($F211,EOMONTH(DATE(cfg_FY,4,1),0))-$E211+1))</f>
        <v>0</v>
      </c>
      <c r="AL211" s="110" t="n">
        <f aca="false">IF(OR(OR($B211="",$E211="",$F211=""),$L211&lt;&gt;"لا"),0,MAX(0,MIN($F211,EOMONTH(DATE(cfg_FY,5,1),0))-$E211+1))</f>
        <v>0</v>
      </c>
      <c r="AM211" s="110" t="n">
        <f aca="false">IF(OR(OR($B211="",$E211="",$F211=""),$L211&lt;&gt;"لا"),0,MAX(0,MIN($F211,EOMONTH(DATE(cfg_FY,6,1),0))-$E211+1))</f>
        <v>0</v>
      </c>
      <c r="AN211" s="110" t="n">
        <f aca="false">IF(OR(OR($B211="",$E211="",$F211=""),$L211&lt;&gt;"لا"),0,MAX(0,MIN($F211,EOMONTH(DATE(cfg_FY,7,1),0))-$E211+1))</f>
        <v>0</v>
      </c>
      <c r="AO211" s="110" t="n">
        <f aca="false">IF(OR(OR($B211="",$E211="",$F211=""),$L211&lt;&gt;"لا"),0,MAX(0,MIN($F211,EOMONTH(DATE(cfg_FY,8,1),0))-$E211+1))</f>
        <v>0</v>
      </c>
      <c r="AP211" s="110" t="n">
        <f aca="false">IF(OR(OR($B211="",$E211="",$F211=""),$L211&lt;&gt;"لا"),0,MAX(0,MIN($F211,EOMONTH(DATE(cfg_FY,9,1),0))-$E211+1))</f>
        <v>0</v>
      </c>
      <c r="AQ211" s="110" t="n">
        <f aca="false">IF(OR(OR($B211="",$E211="",$F211=""),$L211&lt;&gt;"لا"),0,MAX(0,MIN($F211,EOMONTH(DATE(cfg_FY,10,1),0))-$E211+1))</f>
        <v>0</v>
      </c>
      <c r="AR211" s="110" t="n">
        <f aca="false">IF(OR(OR($B211="",$E211="",$F211=""),$L211&lt;&gt;"لا"),0,MAX(0,MIN($F211,EOMONTH(DATE(cfg_FY,11,1),0))-$E211+1))</f>
        <v>0</v>
      </c>
      <c r="AS211" s="110" t="n">
        <f aca="false">IF(OR(OR($B211="",$E211="",$F211=""),$L211&lt;&gt;"لا"),0,MAX(0,MIN($F211,EOMONTH(DATE(cfg_FY,12,1),0))-$E211+1))</f>
        <v>0</v>
      </c>
      <c r="AT211" s="110" t="n">
        <f aca="false">IF(OR(OR($B211="",$E211="",$F211=""),$K211&lt;&gt;"نعم",$M211="نعم"),0,MAX(0,MIN($F211,EOMONTH(DATE(cfg_FY,1,1),0))-MAX($E211,DATE(cfg_FY,1,1))+1))</f>
        <v>0</v>
      </c>
      <c r="AU211" s="110" t="n">
        <f aca="false">IF(OR(OR($B211="",$E211="",$F211=""),$K211&lt;&gt;"نعم",$M211="نعم"),0,MAX(0,MIN($F211,EOMONTH(DATE(cfg_FY,2,1),0))-MAX($E211,DATE(cfg_FY,2,1))+1))</f>
        <v>0</v>
      </c>
      <c r="AV211" s="110" t="n">
        <f aca="false">IF(OR(OR($B211="",$E211="",$F211=""),$K211&lt;&gt;"نعم",$M211="نعم"),0,MAX(0,MIN($F211,EOMONTH(DATE(cfg_FY,3,1),0))-MAX($E211,DATE(cfg_FY,3,1))+1))</f>
        <v>0</v>
      </c>
      <c r="AW211" s="110" t="n">
        <f aca="false">IF(OR(OR($B211="",$E211="",$F211=""),$K211&lt;&gt;"نعم",$M211="نعم"),0,MAX(0,MIN($F211,EOMONTH(DATE(cfg_FY,4,1),0))-MAX($E211,DATE(cfg_FY,4,1))+1))</f>
        <v>0</v>
      </c>
      <c r="AX211" s="110" t="n">
        <f aca="false">IF(OR(OR($B211="",$E211="",$F211=""),$K211&lt;&gt;"نعم",$M211="نعم"),0,MAX(0,MIN($F211,EOMONTH(DATE(cfg_FY,5,1),0))-MAX($E211,DATE(cfg_FY,5,1))+1))</f>
        <v>0</v>
      </c>
      <c r="AY211" s="110" t="n">
        <f aca="false">IF(OR(OR($B211="",$E211="",$F211=""),$K211&lt;&gt;"نعم",$M211="نعم"),0,MAX(0,MIN($F211,EOMONTH(DATE(cfg_FY,6,1),0))-MAX($E211,DATE(cfg_FY,6,1))+1))</f>
        <v>0</v>
      </c>
      <c r="AZ211" s="110" t="n">
        <f aca="false">IF(OR(OR($B211="",$E211="",$F211=""),$K211&lt;&gt;"نعم",$M211="نعم"),0,MAX(0,MIN($F211,EOMONTH(DATE(cfg_FY,7,1),0))-MAX($E211,DATE(cfg_FY,7,1))+1))</f>
        <v>0</v>
      </c>
      <c r="BA211" s="110" t="n">
        <f aca="false">IF(OR(OR($B211="",$E211="",$F211=""),$K211&lt;&gt;"نعم",$M211="نعم"),0,MAX(0,MIN($F211,EOMONTH(DATE(cfg_FY,8,1),0))-MAX($E211,DATE(cfg_FY,8,1))+1))</f>
        <v>0</v>
      </c>
      <c r="BB211" s="110" t="n">
        <f aca="false">IF(OR(OR($B211="",$E211="",$F211=""),$K211&lt;&gt;"نعم",$M211="نعم"),0,MAX(0,MIN($F211,EOMONTH(DATE(cfg_FY,9,1),0))-MAX($E211,DATE(cfg_FY,9,1))+1))</f>
        <v>0</v>
      </c>
      <c r="BC211" s="110" t="n">
        <f aca="false">IF(OR(OR($B211="",$E211="",$F211=""),$K211&lt;&gt;"نعم",$M211="نعم"),0,MAX(0,MIN($F211,EOMONTH(DATE(cfg_FY,10,1),0))-MAX($E211,DATE(cfg_FY,10,1))+1))</f>
        <v>0</v>
      </c>
      <c r="BD211" s="110" t="n">
        <f aca="false">IF(OR(OR($B211="",$E211="",$F211=""),$K211&lt;&gt;"نعم",$M211="نعم"),0,MAX(0,MIN($F211,EOMONTH(DATE(cfg_FY,11,1),0))-MAX($E211,DATE(cfg_FY,11,1))+1))</f>
        <v>0</v>
      </c>
      <c r="BE211" s="110" t="n">
        <f aca="false">IF(OR(OR($B211="",$E211="",$F211=""),$K211&lt;&gt;"نعم",$M211="نعم"),0,MAX(0,MIN($F211,EOMONTH(DATE(cfg_FY,12,1),0))-MAX($E211,DATE(cfg_FY,12,1))+1))</f>
        <v>0</v>
      </c>
    </row>
    <row r="212" customFormat="false" ht="15" hidden="false" customHeight="false" outlineLevel="0" collapsed="false">
      <c r="A212" s="93" t="str">
        <f aca="false">IF(B212="","",ROW()-5)</f>
        <v/>
      </c>
      <c r="B212" s="79"/>
      <c r="C212" s="80" t="str">
        <f aca="false">IF(B212="","",IFERROR(INDEX(الموظفون!$C$6:$C$105,MATCH(B212,الموظفون!$B$6:$B$105,0)),"✖ رقم غير موجود"))</f>
        <v/>
      </c>
      <c r="D212" s="79"/>
      <c r="E212" s="94"/>
      <c r="F212" s="94"/>
      <c r="G212" s="57" t="str">
        <f aca="false">IF(OR($B212="",$E212="",$F212=""),"",MAX(0,F212-E212+1))</f>
        <v/>
      </c>
      <c r="H212" s="58" t="str">
        <f aca="false">IF(D212="","",IFERROR(VLOOKUP(D212,cfg_LT,2,FALSE()),1))</f>
        <v/>
      </c>
      <c r="I212" s="82"/>
      <c r="J212" s="58" t="str">
        <f aca="false">IF(D212="","",IF(I212&lt;&gt;"",I212,H212))</f>
        <v/>
      </c>
      <c r="K212" s="80" t="str">
        <f aca="false">IF(D212="","",IFERROR(VLOOKUP($D212,cfg_LT,3,FALSE()),""))</f>
        <v/>
      </c>
      <c r="L212" s="80" t="str">
        <f aca="false">IF(D212="","",IFERROR(VLOOKUP($D212,cfg_LT,4,FALSE()),""))</f>
        <v/>
      </c>
      <c r="M212" s="80" t="str">
        <f aca="false">IF(D212="","",IFERROR(VLOOKUP($D212,cfg_LT,5,FALSE()),""))</f>
        <v/>
      </c>
      <c r="N212" s="97" t="n">
        <f aca="false">IF(OR(OR($B212="",$E212="",$F212=""),M212&lt;&gt;"نعم"),0,G212*J212*IFERROR(INDEX(الموظفون!$R$6:$R$105,MATCH(B212,الموظفون!$B$6:$B$105,0)),0)/cfg_DAYS_M)</f>
        <v>0</v>
      </c>
      <c r="O212" s="93" t="str">
        <f aca="false">IF(OR(OR($B212="",$E212="",$F212=""),M212&lt;&gt;"نعم"),"",IF(YEAR(E212)=cfg_FY,MONTH(E212),""))</f>
        <v/>
      </c>
      <c r="P212" s="80" t="str">
        <f aca="false">IF(B212="","",IF(OR(D212="",E212="",F212=""),"⚠ أكمل النوع والتواريخ",IF(F212&lt;E212,"✖ النهاية قبل البداية",IF(COUNTIFS($B$6:$B$505,B212,$E$6:$E$505,"&lt;="&amp;F212,$F$6:$F$505,"&gt;="&amp;E212)&gt;1,"⚠ تداخل مع سجل آخر",IF(E212&gt;cfg_VAL_DATE,"⏳ قادمة",IF(F212&lt;cfg_VAL_DATE,"✔ منتهية","✈ جارية في تاريخ التقرير"))))))</f>
        <v/>
      </c>
      <c r="Q212" s="79"/>
      <c r="R212" s="57" t="n">
        <f aca="false">IF(OR(OR($B212="",$E212="",$F212=""),L212&lt;&gt;"لا"),0,MAX(0,MIN(F212,cfg_Y_START-1)-E212+1))</f>
        <v>0</v>
      </c>
      <c r="S212" s="57" t="n">
        <f aca="false">IF(OR(OR($B212="",$E212="",$F212=""),L212&lt;&gt;"لا"),0,MAX(0,MIN(F212,cfg_VAL_DATE)-E212+1))</f>
        <v>0</v>
      </c>
      <c r="T212" s="57" t="n">
        <f aca="false">IF(OR(OR($B212="",$E212="",$F212=""),K212&lt;&gt;"نعم"),0,IF(M212="نعم",IF(AND(ISNUMBER(O212),N(O212)&lt;=cfg_VAL_M),G212,0),MAX(0,MIN(F212,cfg_VAL_DATE)-MAX(E212,cfg_Y_START)+1)))</f>
        <v>0</v>
      </c>
      <c r="V212" s="57" t="n">
        <f aca="false">IF(OR($B212="",$E212="",$F212=""),0,MAX(0,MIN($F212,EOMONTH(DATE(cfg_FY,1,1),0))-MAX($E212,DATE(cfg_FY,1,1))+1)*(1-IF($M212="نعم",0,N($J212))))</f>
        <v>0</v>
      </c>
      <c r="W212" s="57" t="n">
        <f aca="false">IF(OR($B212="",$E212="",$F212=""),0,MAX(0,MIN($F212,EOMONTH(DATE(cfg_FY,2,1),0))-MAX($E212,DATE(cfg_FY,2,1))+1)*(1-IF($M212="نعم",0,N($J212))))</f>
        <v>0</v>
      </c>
      <c r="X212" s="57" t="n">
        <f aca="false">IF(OR($B212="",$E212="",$F212=""),0,MAX(0,MIN($F212,EOMONTH(DATE(cfg_FY,3,1),0))-MAX($E212,DATE(cfg_FY,3,1))+1)*(1-IF($M212="نعم",0,N($J212))))</f>
        <v>0</v>
      </c>
      <c r="Y212" s="57" t="n">
        <f aca="false">IF(OR($B212="",$E212="",$F212=""),0,MAX(0,MIN($F212,EOMONTH(DATE(cfg_FY,4,1),0))-MAX($E212,DATE(cfg_FY,4,1))+1)*(1-IF($M212="نعم",0,N($J212))))</f>
        <v>0</v>
      </c>
      <c r="Z212" s="57" t="n">
        <f aca="false">IF(OR($B212="",$E212="",$F212=""),0,MAX(0,MIN($F212,EOMONTH(DATE(cfg_FY,5,1),0))-MAX($E212,DATE(cfg_FY,5,1))+1)*(1-IF($M212="نعم",0,N($J212))))</f>
        <v>0</v>
      </c>
      <c r="AA212" s="57" t="n">
        <f aca="false">IF(OR($B212="",$E212="",$F212=""),0,MAX(0,MIN($F212,EOMONTH(DATE(cfg_FY,6,1),0))-MAX($E212,DATE(cfg_FY,6,1))+1)*(1-IF($M212="نعم",0,N($J212))))</f>
        <v>0</v>
      </c>
      <c r="AB212" s="57" t="n">
        <f aca="false">IF(OR($B212="",$E212="",$F212=""),0,MAX(0,MIN($F212,EOMONTH(DATE(cfg_FY,7,1),0))-MAX($E212,DATE(cfg_FY,7,1))+1)*(1-IF($M212="نعم",0,N($J212))))</f>
        <v>0</v>
      </c>
      <c r="AC212" s="57" t="n">
        <f aca="false">IF(OR($B212="",$E212="",$F212=""),0,MAX(0,MIN($F212,EOMONTH(DATE(cfg_FY,8,1),0))-MAX($E212,DATE(cfg_FY,8,1))+1)*(1-IF($M212="نعم",0,N($J212))))</f>
        <v>0</v>
      </c>
      <c r="AD212" s="57" t="n">
        <f aca="false">IF(OR($B212="",$E212="",$F212=""),0,MAX(0,MIN($F212,EOMONTH(DATE(cfg_FY,9,1),0))-MAX($E212,DATE(cfg_FY,9,1))+1)*(1-IF($M212="نعم",0,N($J212))))</f>
        <v>0</v>
      </c>
      <c r="AE212" s="57" t="n">
        <f aca="false">IF(OR($B212="",$E212="",$F212=""),0,MAX(0,MIN($F212,EOMONTH(DATE(cfg_FY,10,1),0))-MAX($E212,DATE(cfg_FY,10,1))+1)*(1-IF($M212="نعم",0,N($J212))))</f>
        <v>0</v>
      </c>
      <c r="AF212" s="57" t="n">
        <f aca="false">IF(OR($B212="",$E212="",$F212=""),0,MAX(0,MIN($F212,EOMONTH(DATE(cfg_FY,11,1),0))-MAX($E212,DATE(cfg_FY,11,1))+1)*(1-IF($M212="نعم",0,N($J212))))</f>
        <v>0</v>
      </c>
      <c r="AG212" s="57" t="n">
        <f aca="false">IF(OR($B212="",$E212="",$F212=""),0,MAX(0,MIN($F212,EOMONTH(DATE(cfg_FY,12,1),0))-MAX($E212,DATE(cfg_FY,12,1))+1)*(1-IF($M212="نعم",0,N($J212))))</f>
        <v>0</v>
      </c>
      <c r="AH212" s="57" t="n">
        <f aca="false">IF(OR(OR($B212="",$E212="",$F212=""),$L212&lt;&gt;"لا"),0,MAX(0,MIN($F212,EOMONTH(DATE(cfg_FY,1,1),0))-$E212+1))</f>
        <v>0</v>
      </c>
      <c r="AI212" s="57" t="n">
        <f aca="false">IF(OR(OR($B212="",$E212="",$F212=""),$L212&lt;&gt;"لا"),0,MAX(0,MIN($F212,EOMONTH(DATE(cfg_FY,2,1),0))-$E212+1))</f>
        <v>0</v>
      </c>
      <c r="AJ212" s="57" t="n">
        <f aca="false">IF(OR(OR($B212="",$E212="",$F212=""),$L212&lt;&gt;"لا"),0,MAX(0,MIN($F212,EOMONTH(DATE(cfg_FY,3,1),0))-$E212+1))</f>
        <v>0</v>
      </c>
      <c r="AK212" s="57" t="n">
        <f aca="false">IF(OR(OR($B212="",$E212="",$F212=""),$L212&lt;&gt;"لا"),0,MAX(0,MIN($F212,EOMONTH(DATE(cfg_FY,4,1),0))-$E212+1))</f>
        <v>0</v>
      </c>
      <c r="AL212" s="57" t="n">
        <f aca="false">IF(OR(OR($B212="",$E212="",$F212=""),$L212&lt;&gt;"لا"),0,MAX(0,MIN($F212,EOMONTH(DATE(cfg_FY,5,1),0))-$E212+1))</f>
        <v>0</v>
      </c>
      <c r="AM212" s="57" t="n">
        <f aca="false">IF(OR(OR($B212="",$E212="",$F212=""),$L212&lt;&gt;"لا"),0,MAX(0,MIN($F212,EOMONTH(DATE(cfg_FY,6,1),0))-$E212+1))</f>
        <v>0</v>
      </c>
      <c r="AN212" s="57" t="n">
        <f aca="false">IF(OR(OR($B212="",$E212="",$F212=""),$L212&lt;&gt;"لا"),0,MAX(0,MIN($F212,EOMONTH(DATE(cfg_FY,7,1),0))-$E212+1))</f>
        <v>0</v>
      </c>
      <c r="AO212" s="57" t="n">
        <f aca="false">IF(OR(OR($B212="",$E212="",$F212=""),$L212&lt;&gt;"لا"),0,MAX(0,MIN($F212,EOMONTH(DATE(cfg_FY,8,1),0))-$E212+1))</f>
        <v>0</v>
      </c>
      <c r="AP212" s="57" t="n">
        <f aca="false">IF(OR(OR($B212="",$E212="",$F212=""),$L212&lt;&gt;"لا"),0,MAX(0,MIN($F212,EOMONTH(DATE(cfg_FY,9,1),0))-$E212+1))</f>
        <v>0</v>
      </c>
      <c r="AQ212" s="57" t="n">
        <f aca="false">IF(OR(OR($B212="",$E212="",$F212=""),$L212&lt;&gt;"لا"),0,MAX(0,MIN($F212,EOMONTH(DATE(cfg_FY,10,1),0))-$E212+1))</f>
        <v>0</v>
      </c>
      <c r="AR212" s="57" t="n">
        <f aca="false">IF(OR(OR($B212="",$E212="",$F212=""),$L212&lt;&gt;"لا"),0,MAX(0,MIN($F212,EOMONTH(DATE(cfg_FY,11,1),0))-$E212+1))</f>
        <v>0</v>
      </c>
      <c r="AS212" s="57" t="n">
        <f aca="false">IF(OR(OR($B212="",$E212="",$F212=""),$L212&lt;&gt;"لا"),0,MAX(0,MIN($F212,EOMONTH(DATE(cfg_FY,12,1),0))-$E212+1))</f>
        <v>0</v>
      </c>
      <c r="AT212" s="57" t="n">
        <f aca="false">IF(OR(OR($B212="",$E212="",$F212=""),$K212&lt;&gt;"نعم",$M212="نعم"),0,MAX(0,MIN($F212,EOMONTH(DATE(cfg_FY,1,1),0))-MAX($E212,DATE(cfg_FY,1,1))+1))</f>
        <v>0</v>
      </c>
      <c r="AU212" s="57" t="n">
        <f aca="false">IF(OR(OR($B212="",$E212="",$F212=""),$K212&lt;&gt;"نعم",$M212="نعم"),0,MAX(0,MIN($F212,EOMONTH(DATE(cfg_FY,2,1),0))-MAX($E212,DATE(cfg_FY,2,1))+1))</f>
        <v>0</v>
      </c>
      <c r="AV212" s="57" t="n">
        <f aca="false">IF(OR(OR($B212="",$E212="",$F212=""),$K212&lt;&gt;"نعم",$M212="نعم"),0,MAX(0,MIN($F212,EOMONTH(DATE(cfg_FY,3,1),0))-MAX($E212,DATE(cfg_FY,3,1))+1))</f>
        <v>0</v>
      </c>
      <c r="AW212" s="57" t="n">
        <f aca="false">IF(OR(OR($B212="",$E212="",$F212=""),$K212&lt;&gt;"نعم",$M212="نعم"),0,MAX(0,MIN($F212,EOMONTH(DATE(cfg_FY,4,1),0))-MAX($E212,DATE(cfg_FY,4,1))+1))</f>
        <v>0</v>
      </c>
      <c r="AX212" s="57" t="n">
        <f aca="false">IF(OR(OR($B212="",$E212="",$F212=""),$K212&lt;&gt;"نعم",$M212="نعم"),0,MAX(0,MIN($F212,EOMONTH(DATE(cfg_FY,5,1),0))-MAX($E212,DATE(cfg_FY,5,1))+1))</f>
        <v>0</v>
      </c>
      <c r="AY212" s="57" t="n">
        <f aca="false">IF(OR(OR($B212="",$E212="",$F212=""),$K212&lt;&gt;"نعم",$M212="نعم"),0,MAX(0,MIN($F212,EOMONTH(DATE(cfg_FY,6,1),0))-MAX($E212,DATE(cfg_FY,6,1))+1))</f>
        <v>0</v>
      </c>
      <c r="AZ212" s="57" t="n">
        <f aca="false">IF(OR(OR($B212="",$E212="",$F212=""),$K212&lt;&gt;"نعم",$M212="نعم"),0,MAX(0,MIN($F212,EOMONTH(DATE(cfg_FY,7,1),0))-MAX($E212,DATE(cfg_FY,7,1))+1))</f>
        <v>0</v>
      </c>
      <c r="BA212" s="57" t="n">
        <f aca="false">IF(OR(OR($B212="",$E212="",$F212=""),$K212&lt;&gt;"نعم",$M212="نعم"),0,MAX(0,MIN($F212,EOMONTH(DATE(cfg_FY,8,1),0))-MAX($E212,DATE(cfg_FY,8,1))+1))</f>
        <v>0</v>
      </c>
      <c r="BB212" s="57" t="n">
        <f aca="false">IF(OR(OR($B212="",$E212="",$F212=""),$K212&lt;&gt;"نعم",$M212="نعم"),0,MAX(0,MIN($F212,EOMONTH(DATE(cfg_FY,9,1),0))-MAX($E212,DATE(cfg_FY,9,1))+1))</f>
        <v>0</v>
      </c>
      <c r="BC212" s="57" t="n">
        <f aca="false">IF(OR(OR($B212="",$E212="",$F212=""),$K212&lt;&gt;"نعم",$M212="نعم"),0,MAX(0,MIN($F212,EOMONTH(DATE(cfg_FY,10,1),0))-MAX($E212,DATE(cfg_FY,10,1))+1))</f>
        <v>0</v>
      </c>
      <c r="BD212" s="57" t="n">
        <f aca="false">IF(OR(OR($B212="",$E212="",$F212=""),$K212&lt;&gt;"نعم",$M212="نعم"),0,MAX(0,MIN($F212,EOMONTH(DATE(cfg_FY,11,1),0))-MAX($E212,DATE(cfg_FY,11,1))+1))</f>
        <v>0</v>
      </c>
      <c r="BE212" s="57" t="n">
        <f aca="false">IF(OR(OR($B212="",$E212="",$F212=""),$K212&lt;&gt;"نعم",$M212="نعم"),0,MAX(0,MIN($F212,EOMONTH(DATE(cfg_FY,12,1),0))-MAX($E212,DATE(cfg_FY,12,1))+1))</f>
        <v>0</v>
      </c>
    </row>
    <row r="213" customFormat="false" ht="15" hidden="false" customHeight="false" outlineLevel="0" collapsed="false">
      <c r="A213" s="100" t="str">
        <f aca="false">IF(B213="","",ROW()-5)</f>
        <v/>
      </c>
      <c r="B213" s="79"/>
      <c r="C213" s="102" t="str">
        <f aca="false">IF(B213="","",IFERROR(INDEX(الموظفون!$C$6:$C$105,MATCH(B213,الموظفون!$B$6:$B$105,0)),"✖ رقم غير موجود"))</f>
        <v/>
      </c>
      <c r="D213" s="79"/>
      <c r="E213" s="94"/>
      <c r="F213" s="94"/>
      <c r="G213" s="110" t="str">
        <f aca="false">IF(OR($B213="",$E213="",$F213=""),"",MAX(0,F213-E213+1))</f>
        <v/>
      </c>
      <c r="H213" s="111" t="str">
        <f aca="false">IF(D213="","",IFERROR(VLOOKUP(D213,cfg_LT,2,FALSE()),1))</f>
        <v/>
      </c>
      <c r="I213" s="82"/>
      <c r="J213" s="111" t="str">
        <f aca="false">IF(D213="","",IF(I213&lt;&gt;"",I213,H213))</f>
        <v/>
      </c>
      <c r="K213" s="102" t="str">
        <f aca="false">IF(D213="","",IFERROR(VLOOKUP($D213,cfg_LT,3,FALSE()),""))</f>
        <v/>
      </c>
      <c r="L213" s="102" t="str">
        <f aca="false">IF(D213="","",IFERROR(VLOOKUP($D213,cfg_LT,4,FALSE()),""))</f>
        <v/>
      </c>
      <c r="M213" s="102" t="str">
        <f aca="false">IF(D213="","",IFERROR(VLOOKUP($D213,cfg_LT,5,FALSE()),""))</f>
        <v/>
      </c>
      <c r="N213" s="101" t="n">
        <f aca="false">IF(OR(OR($B213="",$E213="",$F213=""),M213&lt;&gt;"نعم"),0,G213*J213*IFERROR(INDEX(الموظفون!$R$6:$R$105,MATCH(B213,الموظفون!$B$6:$B$105,0)),0)/cfg_DAYS_M)</f>
        <v>0</v>
      </c>
      <c r="O213" s="100" t="str">
        <f aca="false">IF(OR(OR($B213="",$E213="",$F213=""),M213&lt;&gt;"نعم"),"",IF(YEAR(E213)=cfg_FY,MONTH(E213),""))</f>
        <v/>
      </c>
      <c r="P213" s="102" t="str">
        <f aca="false">IF(B213="","",IF(OR(D213="",E213="",F213=""),"⚠ أكمل النوع والتواريخ",IF(F213&lt;E213,"✖ النهاية قبل البداية",IF(COUNTIFS($B$6:$B$505,B213,$E$6:$E$505,"&lt;="&amp;F213,$F$6:$F$505,"&gt;="&amp;E213)&gt;1,"⚠ تداخل مع سجل آخر",IF(E213&gt;cfg_VAL_DATE,"⏳ قادمة",IF(F213&lt;cfg_VAL_DATE,"✔ منتهية","✈ جارية في تاريخ التقرير"))))))</f>
        <v/>
      </c>
      <c r="Q213" s="79"/>
      <c r="R213" s="110" t="n">
        <f aca="false">IF(OR(OR($B213="",$E213="",$F213=""),L213&lt;&gt;"لا"),0,MAX(0,MIN(F213,cfg_Y_START-1)-E213+1))</f>
        <v>0</v>
      </c>
      <c r="S213" s="110" t="n">
        <f aca="false">IF(OR(OR($B213="",$E213="",$F213=""),L213&lt;&gt;"لا"),0,MAX(0,MIN(F213,cfg_VAL_DATE)-E213+1))</f>
        <v>0</v>
      </c>
      <c r="T213" s="110" t="n">
        <f aca="false">IF(OR(OR($B213="",$E213="",$F213=""),K213&lt;&gt;"نعم"),0,IF(M213="نعم",IF(AND(ISNUMBER(O213),N(O213)&lt;=cfg_VAL_M),G213,0),MAX(0,MIN(F213,cfg_VAL_DATE)-MAX(E213,cfg_Y_START)+1)))</f>
        <v>0</v>
      </c>
      <c r="V213" s="110" t="n">
        <f aca="false">IF(OR($B213="",$E213="",$F213=""),0,MAX(0,MIN($F213,EOMONTH(DATE(cfg_FY,1,1),0))-MAX($E213,DATE(cfg_FY,1,1))+1)*(1-IF($M213="نعم",0,N($J213))))</f>
        <v>0</v>
      </c>
      <c r="W213" s="110" t="n">
        <f aca="false">IF(OR($B213="",$E213="",$F213=""),0,MAX(0,MIN($F213,EOMONTH(DATE(cfg_FY,2,1),0))-MAX($E213,DATE(cfg_FY,2,1))+1)*(1-IF($M213="نعم",0,N($J213))))</f>
        <v>0</v>
      </c>
      <c r="X213" s="110" t="n">
        <f aca="false">IF(OR($B213="",$E213="",$F213=""),0,MAX(0,MIN($F213,EOMONTH(DATE(cfg_FY,3,1),0))-MAX($E213,DATE(cfg_FY,3,1))+1)*(1-IF($M213="نعم",0,N($J213))))</f>
        <v>0</v>
      </c>
      <c r="Y213" s="110" t="n">
        <f aca="false">IF(OR($B213="",$E213="",$F213=""),0,MAX(0,MIN($F213,EOMONTH(DATE(cfg_FY,4,1),0))-MAX($E213,DATE(cfg_FY,4,1))+1)*(1-IF($M213="نعم",0,N($J213))))</f>
        <v>0</v>
      </c>
      <c r="Z213" s="110" t="n">
        <f aca="false">IF(OR($B213="",$E213="",$F213=""),0,MAX(0,MIN($F213,EOMONTH(DATE(cfg_FY,5,1),0))-MAX($E213,DATE(cfg_FY,5,1))+1)*(1-IF($M213="نعم",0,N($J213))))</f>
        <v>0</v>
      </c>
      <c r="AA213" s="110" t="n">
        <f aca="false">IF(OR($B213="",$E213="",$F213=""),0,MAX(0,MIN($F213,EOMONTH(DATE(cfg_FY,6,1),0))-MAX($E213,DATE(cfg_FY,6,1))+1)*(1-IF($M213="نعم",0,N($J213))))</f>
        <v>0</v>
      </c>
      <c r="AB213" s="110" t="n">
        <f aca="false">IF(OR($B213="",$E213="",$F213=""),0,MAX(0,MIN($F213,EOMONTH(DATE(cfg_FY,7,1),0))-MAX($E213,DATE(cfg_FY,7,1))+1)*(1-IF($M213="نعم",0,N($J213))))</f>
        <v>0</v>
      </c>
      <c r="AC213" s="110" t="n">
        <f aca="false">IF(OR($B213="",$E213="",$F213=""),0,MAX(0,MIN($F213,EOMONTH(DATE(cfg_FY,8,1),0))-MAX($E213,DATE(cfg_FY,8,1))+1)*(1-IF($M213="نعم",0,N($J213))))</f>
        <v>0</v>
      </c>
      <c r="AD213" s="110" t="n">
        <f aca="false">IF(OR($B213="",$E213="",$F213=""),0,MAX(0,MIN($F213,EOMONTH(DATE(cfg_FY,9,1),0))-MAX($E213,DATE(cfg_FY,9,1))+1)*(1-IF($M213="نعم",0,N($J213))))</f>
        <v>0</v>
      </c>
      <c r="AE213" s="110" t="n">
        <f aca="false">IF(OR($B213="",$E213="",$F213=""),0,MAX(0,MIN($F213,EOMONTH(DATE(cfg_FY,10,1),0))-MAX($E213,DATE(cfg_FY,10,1))+1)*(1-IF($M213="نعم",0,N($J213))))</f>
        <v>0</v>
      </c>
      <c r="AF213" s="110" t="n">
        <f aca="false">IF(OR($B213="",$E213="",$F213=""),0,MAX(0,MIN($F213,EOMONTH(DATE(cfg_FY,11,1),0))-MAX($E213,DATE(cfg_FY,11,1))+1)*(1-IF($M213="نعم",0,N($J213))))</f>
        <v>0</v>
      </c>
      <c r="AG213" s="110" t="n">
        <f aca="false">IF(OR($B213="",$E213="",$F213=""),0,MAX(0,MIN($F213,EOMONTH(DATE(cfg_FY,12,1),0))-MAX($E213,DATE(cfg_FY,12,1))+1)*(1-IF($M213="نعم",0,N($J213))))</f>
        <v>0</v>
      </c>
      <c r="AH213" s="110" t="n">
        <f aca="false">IF(OR(OR($B213="",$E213="",$F213=""),$L213&lt;&gt;"لا"),0,MAX(0,MIN($F213,EOMONTH(DATE(cfg_FY,1,1),0))-$E213+1))</f>
        <v>0</v>
      </c>
      <c r="AI213" s="110" t="n">
        <f aca="false">IF(OR(OR($B213="",$E213="",$F213=""),$L213&lt;&gt;"لا"),0,MAX(0,MIN($F213,EOMONTH(DATE(cfg_FY,2,1),0))-$E213+1))</f>
        <v>0</v>
      </c>
      <c r="AJ213" s="110" t="n">
        <f aca="false">IF(OR(OR($B213="",$E213="",$F213=""),$L213&lt;&gt;"لا"),0,MAX(0,MIN($F213,EOMONTH(DATE(cfg_FY,3,1),0))-$E213+1))</f>
        <v>0</v>
      </c>
      <c r="AK213" s="110" t="n">
        <f aca="false">IF(OR(OR($B213="",$E213="",$F213=""),$L213&lt;&gt;"لا"),0,MAX(0,MIN($F213,EOMONTH(DATE(cfg_FY,4,1),0))-$E213+1))</f>
        <v>0</v>
      </c>
      <c r="AL213" s="110" t="n">
        <f aca="false">IF(OR(OR($B213="",$E213="",$F213=""),$L213&lt;&gt;"لا"),0,MAX(0,MIN($F213,EOMONTH(DATE(cfg_FY,5,1),0))-$E213+1))</f>
        <v>0</v>
      </c>
      <c r="AM213" s="110" t="n">
        <f aca="false">IF(OR(OR($B213="",$E213="",$F213=""),$L213&lt;&gt;"لا"),0,MAX(0,MIN($F213,EOMONTH(DATE(cfg_FY,6,1),0))-$E213+1))</f>
        <v>0</v>
      </c>
      <c r="AN213" s="110" t="n">
        <f aca="false">IF(OR(OR($B213="",$E213="",$F213=""),$L213&lt;&gt;"لا"),0,MAX(0,MIN($F213,EOMONTH(DATE(cfg_FY,7,1),0))-$E213+1))</f>
        <v>0</v>
      </c>
      <c r="AO213" s="110" t="n">
        <f aca="false">IF(OR(OR($B213="",$E213="",$F213=""),$L213&lt;&gt;"لا"),0,MAX(0,MIN($F213,EOMONTH(DATE(cfg_FY,8,1),0))-$E213+1))</f>
        <v>0</v>
      </c>
      <c r="AP213" s="110" t="n">
        <f aca="false">IF(OR(OR($B213="",$E213="",$F213=""),$L213&lt;&gt;"لا"),0,MAX(0,MIN($F213,EOMONTH(DATE(cfg_FY,9,1),0))-$E213+1))</f>
        <v>0</v>
      </c>
      <c r="AQ213" s="110" t="n">
        <f aca="false">IF(OR(OR($B213="",$E213="",$F213=""),$L213&lt;&gt;"لا"),0,MAX(0,MIN($F213,EOMONTH(DATE(cfg_FY,10,1),0))-$E213+1))</f>
        <v>0</v>
      </c>
      <c r="AR213" s="110" t="n">
        <f aca="false">IF(OR(OR($B213="",$E213="",$F213=""),$L213&lt;&gt;"لا"),0,MAX(0,MIN($F213,EOMONTH(DATE(cfg_FY,11,1),0))-$E213+1))</f>
        <v>0</v>
      </c>
      <c r="AS213" s="110" t="n">
        <f aca="false">IF(OR(OR($B213="",$E213="",$F213=""),$L213&lt;&gt;"لا"),0,MAX(0,MIN($F213,EOMONTH(DATE(cfg_FY,12,1),0))-$E213+1))</f>
        <v>0</v>
      </c>
      <c r="AT213" s="110" t="n">
        <f aca="false">IF(OR(OR($B213="",$E213="",$F213=""),$K213&lt;&gt;"نعم",$M213="نعم"),0,MAX(0,MIN($F213,EOMONTH(DATE(cfg_FY,1,1),0))-MAX($E213,DATE(cfg_FY,1,1))+1))</f>
        <v>0</v>
      </c>
      <c r="AU213" s="110" t="n">
        <f aca="false">IF(OR(OR($B213="",$E213="",$F213=""),$K213&lt;&gt;"نعم",$M213="نعم"),0,MAX(0,MIN($F213,EOMONTH(DATE(cfg_FY,2,1),0))-MAX($E213,DATE(cfg_FY,2,1))+1))</f>
        <v>0</v>
      </c>
      <c r="AV213" s="110" t="n">
        <f aca="false">IF(OR(OR($B213="",$E213="",$F213=""),$K213&lt;&gt;"نعم",$M213="نعم"),0,MAX(0,MIN($F213,EOMONTH(DATE(cfg_FY,3,1),0))-MAX($E213,DATE(cfg_FY,3,1))+1))</f>
        <v>0</v>
      </c>
      <c r="AW213" s="110" t="n">
        <f aca="false">IF(OR(OR($B213="",$E213="",$F213=""),$K213&lt;&gt;"نعم",$M213="نعم"),0,MAX(0,MIN($F213,EOMONTH(DATE(cfg_FY,4,1),0))-MAX($E213,DATE(cfg_FY,4,1))+1))</f>
        <v>0</v>
      </c>
      <c r="AX213" s="110" t="n">
        <f aca="false">IF(OR(OR($B213="",$E213="",$F213=""),$K213&lt;&gt;"نعم",$M213="نعم"),0,MAX(0,MIN($F213,EOMONTH(DATE(cfg_FY,5,1),0))-MAX($E213,DATE(cfg_FY,5,1))+1))</f>
        <v>0</v>
      </c>
      <c r="AY213" s="110" t="n">
        <f aca="false">IF(OR(OR($B213="",$E213="",$F213=""),$K213&lt;&gt;"نعم",$M213="نعم"),0,MAX(0,MIN($F213,EOMONTH(DATE(cfg_FY,6,1),0))-MAX($E213,DATE(cfg_FY,6,1))+1))</f>
        <v>0</v>
      </c>
      <c r="AZ213" s="110" t="n">
        <f aca="false">IF(OR(OR($B213="",$E213="",$F213=""),$K213&lt;&gt;"نعم",$M213="نعم"),0,MAX(0,MIN($F213,EOMONTH(DATE(cfg_FY,7,1),0))-MAX($E213,DATE(cfg_FY,7,1))+1))</f>
        <v>0</v>
      </c>
      <c r="BA213" s="110" t="n">
        <f aca="false">IF(OR(OR($B213="",$E213="",$F213=""),$K213&lt;&gt;"نعم",$M213="نعم"),0,MAX(0,MIN($F213,EOMONTH(DATE(cfg_FY,8,1),0))-MAX($E213,DATE(cfg_FY,8,1))+1))</f>
        <v>0</v>
      </c>
      <c r="BB213" s="110" t="n">
        <f aca="false">IF(OR(OR($B213="",$E213="",$F213=""),$K213&lt;&gt;"نعم",$M213="نعم"),0,MAX(0,MIN($F213,EOMONTH(DATE(cfg_FY,9,1),0))-MAX($E213,DATE(cfg_FY,9,1))+1))</f>
        <v>0</v>
      </c>
      <c r="BC213" s="110" t="n">
        <f aca="false">IF(OR(OR($B213="",$E213="",$F213=""),$K213&lt;&gt;"نعم",$M213="نعم"),0,MAX(0,MIN($F213,EOMONTH(DATE(cfg_FY,10,1),0))-MAX($E213,DATE(cfg_FY,10,1))+1))</f>
        <v>0</v>
      </c>
      <c r="BD213" s="110" t="n">
        <f aca="false">IF(OR(OR($B213="",$E213="",$F213=""),$K213&lt;&gt;"نعم",$M213="نعم"),0,MAX(0,MIN($F213,EOMONTH(DATE(cfg_FY,11,1),0))-MAX($E213,DATE(cfg_FY,11,1))+1))</f>
        <v>0</v>
      </c>
      <c r="BE213" s="110" t="n">
        <f aca="false">IF(OR(OR($B213="",$E213="",$F213=""),$K213&lt;&gt;"نعم",$M213="نعم"),0,MAX(0,MIN($F213,EOMONTH(DATE(cfg_FY,12,1),0))-MAX($E213,DATE(cfg_FY,12,1))+1))</f>
        <v>0</v>
      </c>
    </row>
    <row r="214" customFormat="false" ht="15" hidden="false" customHeight="false" outlineLevel="0" collapsed="false">
      <c r="A214" s="93" t="str">
        <f aca="false">IF(B214="","",ROW()-5)</f>
        <v/>
      </c>
      <c r="B214" s="79"/>
      <c r="C214" s="80" t="str">
        <f aca="false">IF(B214="","",IFERROR(INDEX(الموظفون!$C$6:$C$105,MATCH(B214,الموظفون!$B$6:$B$105,0)),"✖ رقم غير موجود"))</f>
        <v/>
      </c>
      <c r="D214" s="79"/>
      <c r="E214" s="94"/>
      <c r="F214" s="94"/>
      <c r="G214" s="57" t="str">
        <f aca="false">IF(OR($B214="",$E214="",$F214=""),"",MAX(0,F214-E214+1))</f>
        <v/>
      </c>
      <c r="H214" s="58" t="str">
        <f aca="false">IF(D214="","",IFERROR(VLOOKUP(D214,cfg_LT,2,FALSE()),1))</f>
        <v/>
      </c>
      <c r="I214" s="82"/>
      <c r="J214" s="58" t="str">
        <f aca="false">IF(D214="","",IF(I214&lt;&gt;"",I214,H214))</f>
        <v/>
      </c>
      <c r="K214" s="80" t="str">
        <f aca="false">IF(D214="","",IFERROR(VLOOKUP($D214,cfg_LT,3,FALSE()),""))</f>
        <v/>
      </c>
      <c r="L214" s="80" t="str">
        <f aca="false">IF(D214="","",IFERROR(VLOOKUP($D214,cfg_LT,4,FALSE()),""))</f>
        <v/>
      </c>
      <c r="M214" s="80" t="str">
        <f aca="false">IF(D214="","",IFERROR(VLOOKUP($D214,cfg_LT,5,FALSE()),""))</f>
        <v/>
      </c>
      <c r="N214" s="97" t="n">
        <f aca="false">IF(OR(OR($B214="",$E214="",$F214=""),M214&lt;&gt;"نعم"),0,G214*J214*IFERROR(INDEX(الموظفون!$R$6:$R$105,MATCH(B214,الموظفون!$B$6:$B$105,0)),0)/cfg_DAYS_M)</f>
        <v>0</v>
      </c>
      <c r="O214" s="93" t="str">
        <f aca="false">IF(OR(OR($B214="",$E214="",$F214=""),M214&lt;&gt;"نعم"),"",IF(YEAR(E214)=cfg_FY,MONTH(E214),""))</f>
        <v/>
      </c>
      <c r="P214" s="80" t="str">
        <f aca="false">IF(B214="","",IF(OR(D214="",E214="",F214=""),"⚠ أكمل النوع والتواريخ",IF(F214&lt;E214,"✖ النهاية قبل البداية",IF(COUNTIFS($B$6:$B$505,B214,$E$6:$E$505,"&lt;="&amp;F214,$F$6:$F$505,"&gt;="&amp;E214)&gt;1,"⚠ تداخل مع سجل آخر",IF(E214&gt;cfg_VAL_DATE,"⏳ قادمة",IF(F214&lt;cfg_VAL_DATE,"✔ منتهية","✈ جارية في تاريخ التقرير"))))))</f>
        <v/>
      </c>
      <c r="Q214" s="79"/>
      <c r="R214" s="57" t="n">
        <f aca="false">IF(OR(OR($B214="",$E214="",$F214=""),L214&lt;&gt;"لا"),0,MAX(0,MIN(F214,cfg_Y_START-1)-E214+1))</f>
        <v>0</v>
      </c>
      <c r="S214" s="57" t="n">
        <f aca="false">IF(OR(OR($B214="",$E214="",$F214=""),L214&lt;&gt;"لا"),0,MAX(0,MIN(F214,cfg_VAL_DATE)-E214+1))</f>
        <v>0</v>
      </c>
      <c r="T214" s="57" t="n">
        <f aca="false">IF(OR(OR($B214="",$E214="",$F214=""),K214&lt;&gt;"نعم"),0,IF(M214="نعم",IF(AND(ISNUMBER(O214),N(O214)&lt;=cfg_VAL_M),G214,0),MAX(0,MIN(F214,cfg_VAL_DATE)-MAX(E214,cfg_Y_START)+1)))</f>
        <v>0</v>
      </c>
      <c r="V214" s="57" t="n">
        <f aca="false">IF(OR($B214="",$E214="",$F214=""),0,MAX(0,MIN($F214,EOMONTH(DATE(cfg_FY,1,1),0))-MAX($E214,DATE(cfg_FY,1,1))+1)*(1-IF($M214="نعم",0,N($J214))))</f>
        <v>0</v>
      </c>
      <c r="W214" s="57" t="n">
        <f aca="false">IF(OR($B214="",$E214="",$F214=""),0,MAX(0,MIN($F214,EOMONTH(DATE(cfg_FY,2,1),0))-MAX($E214,DATE(cfg_FY,2,1))+1)*(1-IF($M214="نعم",0,N($J214))))</f>
        <v>0</v>
      </c>
      <c r="X214" s="57" t="n">
        <f aca="false">IF(OR($B214="",$E214="",$F214=""),0,MAX(0,MIN($F214,EOMONTH(DATE(cfg_FY,3,1),0))-MAX($E214,DATE(cfg_FY,3,1))+1)*(1-IF($M214="نعم",0,N($J214))))</f>
        <v>0</v>
      </c>
      <c r="Y214" s="57" t="n">
        <f aca="false">IF(OR($B214="",$E214="",$F214=""),0,MAX(0,MIN($F214,EOMONTH(DATE(cfg_FY,4,1),0))-MAX($E214,DATE(cfg_FY,4,1))+1)*(1-IF($M214="نعم",0,N($J214))))</f>
        <v>0</v>
      </c>
      <c r="Z214" s="57" t="n">
        <f aca="false">IF(OR($B214="",$E214="",$F214=""),0,MAX(0,MIN($F214,EOMONTH(DATE(cfg_FY,5,1),0))-MAX($E214,DATE(cfg_FY,5,1))+1)*(1-IF($M214="نعم",0,N($J214))))</f>
        <v>0</v>
      </c>
      <c r="AA214" s="57" t="n">
        <f aca="false">IF(OR($B214="",$E214="",$F214=""),0,MAX(0,MIN($F214,EOMONTH(DATE(cfg_FY,6,1),0))-MAX($E214,DATE(cfg_FY,6,1))+1)*(1-IF($M214="نعم",0,N($J214))))</f>
        <v>0</v>
      </c>
      <c r="AB214" s="57" t="n">
        <f aca="false">IF(OR($B214="",$E214="",$F214=""),0,MAX(0,MIN($F214,EOMONTH(DATE(cfg_FY,7,1),0))-MAX($E214,DATE(cfg_FY,7,1))+1)*(1-IF($M214="نعم",0,N($J214))))</f>
        <v>0</v>
      </c>
      <c r="AC214" s="57" t="n">
        <f aca="false">IF(OR($B214="",$E214="",$F214=""),0,MAX(0,MIN($F214,EOMONTH(DATE(cfg_FY,8,1),0))-MAX($E214,DATE(cfg_FY,8,1))+1)*(1-IF($M214="نعم",0,N($J214))))</f>
        <v>0</v>
      </c>
      <c r="AD214" s="57" t="n">
        <f aca="false">IF(OR($B214="",$E214="",$F214=""),0,MAX(0,MIN($F214,EOMONTH(DATE(cfg_FY,9,1),0))-MAX($E214,DATE(cfg_FY,9,1))+1)*(1-IF($M214="نعم",0,N($J214))))</f>
        <v>0</v>
      </c>
      <c r="AE214" s="57" t="n">
        <f aca="false">IF(OR($B214="",$E214="",$F214=""),0,MAX(0,MIN($F214,EOMONTH(DATE(cfg_FY,10,1),0))-MAX($E214,DATE(cfg_FY,10,1))+1)*(1-IF($M214="نعم",0,N($J214))))</f>
        <v>0</v>
      </c>
      <c r="AF214" s="57" t="n">
        <f aca="false">IF(OR($B214="",$E214="",$F214=""),0,MAX(0,MIN($F214,EOMONTH(DATE(cfg_FY,11,1),0))-MAX($E214,DATE(cfg_FY,11,1))+1)*(1-IF($M214="نعم",0,N($J214))))</f>
        <v>0</v>
      </c>
      <c r="AG214" s="57" t="n">
        <f aca="false">IF(OR($B214="",$E214="",$F214=""),0,MAX(0,MIN($F214,EOMONTH(DATE(cfg_FY,12,1),0))-MAX($E214,DATE(cfg_FY,12,1))+1)*(1-IF($M214="نعم",0,N($J214))))</f>
        <v>0</v>
      </c>
      <c r="AH214" s="57" t="n">
        <f aca="false">IF(OR(OR($B214="",$E214="",$F214=""),$L214&lt;&gt;"لا"),0,MAX(0,MIN($F214,EOMONTH(DATE(cfg_FY,1,1),0))-$E214+1))</f>
        <v>0</v>
      </c>
      <c r="AI214" s="57" t="n">
        <f aca="false">IF(OR(OR($B214="",$E214="",$F214=""),$L214&lt;&gt;"لا"),0,MAX(0,MIN($F214,EOMONTH(DATE(cfg_FY,2,1),0))-$E214+1))</f>
        <v>0</v>
      </c>
      <c r="AJ214" s="57" t="n">
        <f aca="false">IF(OR(OR($B214="",$E214="",$F214=""),$L214&lt;&gt;"لا"),0,MAX(0,MIN($F214,EOMONTH(DATE(cfg_FY,3,1),0))-$E214+1))</f>
        <v>0</v>
      </c>
      <c r="AK214" s="57" t="n">
        <f aca="false">IF(OR(OR($B214="",$E214="",$F214=""),$L214&lt;&gt;"لا"),0,MAX(0,MIN($F214,EOMONTH(DATE(cfg_FY,4,1),0))-$E214+1))</f>
        <v>0</v>
      </c>
      <c r="AL214" s="57" t="n">
        <f aca="false">IF(OR(OR($B214="",$E214="",$F214=""),$L214&lt;&gt;"لا"),0,MAX(0,MIN($F214,EOMONTH(DATE(cfg_FY,5,1),0))-$E214+1))</f>
        <v>0</v>
      </c>
      <c r="AM214" s="57" t="n">
        <f aca="false">IF(OR(OR($B214="",$E214="",$F214=""),$L214&lt;&gt;"لا"),0,MAX(0,MIN($F214,EOMONTH(DATE(cfg_FY,6,1),0))-$E214+1))</f>
        <v>0</v>
      </c>
      <c r="AN214" s="57" t="n">
        <f aca="false">IF(OR(OR($B214="",$E214="",$F214=""),$L214&lt;&gt;"لا"),0,MAX(0,MIN($F214,EOMONTH(DATE(cfg_FY,7,1),0))-$E214+1))</f>
        <v>0</v>
      </c>
      <c r="AO214" s="57" t="n">
        <f aca="false">IF(OR(OR($B214="",$E214="",$F214=""),$L214&lt;&gt;"لا"),0,MAX(0,MIN($F214,EOMONTH(DATE(cfg_FY,8,1),0))-$E214+1))</f>
        <v>0</v>
      </c>
      <c r="AP214" s="57" t="n">
        <f aca="false">IF(OR(OR($B214="",$E214="",$F214=""),$L214&lt;&gt;"لا"),0,MAX(0,MIN($F214,EOMONTH(DATE(cfg_FY,9,1),0))-$E214+1))</f>
        <v>0</v>
      </c>
      <c r="AQ214" s="57" t="n">
        <f aca="false">IF(OR(OR($B214="",$E214="",$F214=""),$L214&lt;&gt;"لا"),0,MAX(0,MIN($F214,EOMONTH(DATE(cfg_FY,10,1),0))-$E214+1))</f>
        <v>0</v>
      </c>
      <c r="AR214" s="57" t="n">
        <f aca="false">IF(OR(OR($B214="",$E214="",$F214=""),$L214&lt;&gt;"لا"),0,MAX(0,MIN($F214,EOMONTH(DATE(cfg_FY,11,1),0))-$E214+1))</f>
        <v>0</v>
      </c>
      <c r="AS214" s="57" t="n">
        <f aca="false">IF(OR(OR($B214="",$E214="",$F214=""),$L214&lt;&gt;"لا"),0,MAX(0,MIN($F214,EOMONTH(DATE(cfg_FY,12,1),0))-$E214+1))</f>
        <v>0</v>
      </c>
      <c r="AT214" s="57" t="n">
        <f aca="false">IF(OR(OR($B214="",$E214="",$F214=""),$K214&lt;&gt;"نعم",$M214="نعم"),0,MAX(0,MIN($F214,EOMONTH(DATE(cfg_FY,1,1),0))-MAX($E214,DATE(cfg_FY,1,1))+1))</f>
        <v>0</v>
      </c>
      <c r="AU214" s="57" t="n">
        <f aca="false">IF(OR(OR($B214="",$E214="",$F214=""),$K214&lt;&gt;"نعم",$M214="نعم"),0,MAX(0,MIN($F214,EOMONTH(DATE(cfg_FY,2,1),0))-MAX($E214,DATE(cfg_FY,2,1))+1))</f>
        <v>0</v>
      </c>
      <c r="AV214" s="57" t="n">
        <f aca="false">IF(OR(OR($B214="",$E214="",$F214=""),$K214&lt;&gt;"نعم",$M214="نعم"),0,MAX(0,MIN($F214,EOMONTH(DATE(cfg_FY,3,1),0))-MAX($E214,DATE(cfg_FY,3,1))+1))</f>
        <v>0</v>
      </c>
      <c r="AW214" s="57" t="n">
        <f aca="false">IF(OR(OR($B214="",$E214="",$F214=""),$K214&lt;&gt;"نعم",$M214="نعم"),0,MAX(0,MIN($F214,EOMONTH(DATE(cfg_FY,4,1),0))-MAX($E214,DATE(cfg_FY,4,1))+1))</f>
        <v>0</v>
      </c>
      <c r="AX214" s="57" t="n">
        <f aca="false">IF(OR(OR($B214="",$E214="",$F214=""),$K214&lt;&gt;"نعم",$M214="نعم"),0,MAX(0,MIN($F214,EOMONTH(DATE(cfg_FY,5,1),0))-MAX($E214,DATE(cfg_FY,5,1))+1))</f>
        <v>0</v>
      </c>
      <c r="AY214" s="57" t="n">
        <f aca="false">IF(OR(OR($B214="",$E214="",$F214=""),$K214&lt;&gt;"نعم",$M214="نعم"),0,MAX(0,MIN($F214,EOMONTH(DATE(cfg_FY,6,1),0))-MAX($E214,DATE(cfg_FY,6,1))+1))</f>
        <v>0</v>
      </c>
      <c r="AZ214" s="57" t="n">
        <f aca="false">IF(OR(OR($B214="",$E214="",$F214=""),$K214&lt;&gt;"نعم",$M214="نعم"),0,MAX(0,MIN($F214,EOMONTH(DATE(cfg_FY,7,1),0))-MAX($E214,DATE(cfg_FY,7,1))+1))</f>
        <v>0</v>
      </c>
      <c r="BA214" s="57" t="n">
        <f aca="false">IF(OR(OR($B214="",$E214="",$F214=""),$K214&lt;&gt;"نعم",$M214="نعم"),0,MAX(0,MIN($F214,EOMONTH(DATE(cfg_FY,8,1),0))-MAX($E214,DATE(cfg_FY,8,1))+1))</f>
        <v>0</v>
      </c>
      <c r="BB214" s="57" t="n">
        <f aca="false">IF(OR(OR($B214="",$E214="",$F214=""),$K214&lt;&gt;"نعم",$M214="نعم"),0,MAX(0,MIN($F214,EOMONTH(DATE(cfg_FY,9,1),0))-MAX($E214,DATE(cfg_FY,9,1))+1))</f>
        <v>0</v>
      </c>
      <c r="BC214" s="57" t="n">
        <f aca="false">IF(OR(OR($B214="",$E214="",$F214=""),$K214&lt;&gt;"نعم",$M214="نعم"),0,MAX(0,MIN($F214,EOMONTH(DATE(cfg_FY,10,1),0))-MAX($E214,DATE(cfg_FY,10,1))+1))</f>
        <v>0</v>
      </c>
      <c r="BD214" s="57" t="n">
        <f aca="false">IF(OR(OR($B214="",$E214="",$F214=""),$K214&lt;&gt;"نعم",$M214="نعم"),0,MAX(0,MIN($F214,EOMONTH(DATE(cfg_FY,11,1),0))-MAX($E214,DATE(cfg_FY,11,1))+1))</f>
        <v>0</v>
      </c>
      <c r="BE214" s="57" t="n">
        <f aca="false">IF(OR(OR($B214="",$E214="",$F214=""),$K214&lt;&gt;"نعم",$M214="نعم"),0,MAX(0,MIN($F214,EOMONTH(DATE(cfg_FY,12,1),0))-MAX($E214,DATE(cfg_FY,12,1))+1))</f>
        <v>0</v>
      </c>
    </row>
    <row r="215" customFormat="false" ht="15" hidden="false" customHeight="false" outlineLevel="0" collapsed="false">
      <c r="A215" s="100" t="str">
        <f aca="false">IF(B215="","",ROW()-5)</f>
        <v/>
      </c>
      <c r="B215" s="79"/>
      <c r="C215" s="102" t="str">
        <f aca="false">IF(B215="","",IFERROR(INDEX(الموظفون!$C$6:$C$105,MATCH(B215,الموظفون!$B$6:$B$105,0)),"✖ رقم غير موجود"))</f>
        <v/>
      </c>
      <c r="D215" s="79"/>
      <c r="E215" s="94"/>
      <c r="F215" s="94"/>
      <c r="G215" s="110" t="str">
        <f aca="false">IF(OR($B215="",$E215="",$F215=""),"",MAX(0,F215-E215+1))</f>
        <v/>
      </c>
      <c r="H215" s="111" t="str">
        <f aca="false">IF(D215="","",IFERROR(VLOOKUP(D215,cfg_LT,2,FALSE()),1))</f>
        <v/>
      </c>
      <c r="I215" s="82"/>
      <c r="J215" s="111" t="str">
        <f aca="false">IF(D215="","",IF(I215&lt;&gt;"",I215,H215))</f>
        <v/>
      </c>
      <c r="K215" s="102" t="str">
        <f aca="false">IF(D215="","",IFERROR(VLOOKUP($D215,cfg_LT,3,FALSE()),""))</f>
        <v/>
      </c>
      <c r="L215" s="102" t="str">
        <f aca="false">IF(D215="","",IFERROR(VLOOKUP($D215,cfg_LT,4,FALSE()),""))</f>
        <v/>
      </c>
      <c r="M215" s="102" t="str">
        <f aca="false">IF(D215="","",IFERROR(VLOOKUP($D215,cfg_LT,5,FALSE()),""))</f>
        <v/>
      </c>
      <c r="N215" s="101" t="n">
        <f aca="false">IF(OR(OR($B215="",$E215="",$F215=""),M215&lt;&gt;"نعم"),0,G215*J215*IFERROR(INDEX(الموظفون!$R$6:$R$105,MATCH(B215,الموظفون!$B$6:$B$105,0)),0)/cfg_DAYS_M)</f>
        <v>0</v>
      </c>
      <c r="O215" s="100" t="str">
        <f aca="false">IF(OR(OR($B215="",$E215="",$F215=""),M215&lt;&gt;"نعم"),"",IF(YEAR(E215)=cfg_FY,MONTH(E215),""))</f>
        <v/>
      </c>
      <c r="P215" s="102" t="str">
        <f aca="false">IF(B215="","",IF(OR(D215="",E215="",F215=""),"⚠ أكمل النوع والتواريخ",IF(F215&lt;E215,"✖ النهاية قبل البداية",IF(COUNTIFS($B$6:$B$505,B215,$E$6:$E$505,"&lt;="&amp;F215,$F$6:$F$505,"&gt;="&amp;E215)&gt;1,"⚠ تداخل مع سجل آخر",IF(E215&gt;cfg_VAL_DATE,"⏳ قادمة",IF(F215&lt;cfg_VAL_DATE,"✔ منتهية","✈ جارية في تاريخ التقرير"))))))</f>
        <v/>
      </c>
      <c r="Q215" s="79"/>
      <c r="R215" s="110" t="n">
        <f aca="false">IF(OR(OR($B215="",$E215="",$F215=""),L215&lt;&gt;"لا"),0,MAX(0,MIN(F215,cfg_Y_START-1)-E215+1))</f>
        <v>0</v>
      </c>
      <c r="S215" s="110" t="n">
        <f aca="false">IF(OR(OR($B215="",$E215="",$F215=""),L215&lt;&gt;"لا"),0,MAX(0,MIN(F215,cfg_VAL_DATE)-E215+1))</f>
        <v>0</v>
      </c>
      <c r="T215" s="110" t="n">
        <f aca="false">IF(OR(OR($B215="",$E215="",$F215=""),K215&lt;&gt;"نعم"),0,IF(M215="نعم",IF(AND(ISNUMBER(O215),N(O215)&lt;=cfg_VAL_M),G215,0),MAX(0,MIN(F215,cfg_VAL_DATE)-MAX(E215,cfg_Y_START)+1)))</f>
        <v>0</v>
      </c>
      <c r="V215" s="110" t="n">
        <f aca="false">IF(OR($B215="",$E215="",$F215=""),0,MAX(0,MIN($F215,EOMONTH(DATE(cfg_FY,1,1),0))-MAX($E215,DATE(cfg_FY,1,1))+1)*(1-IF($M215="نعم",0,N($J215))))</f>
        <v>0</v>
      </c>
      <c r="W215" s="110" t="n">
        <f aca="false">IF(OR($B215="",$E215="",$F215=""),0,MAX(0,MIN($F215,EOMONTH(DATE(cfg_FY,2,1),0))-MAX($E215,DATE(cfg_FY,2,1))+1)*(1-IF($M215="نعم",0,N($J215))))</f>
        <v>0</v>
      </c>
      <c r="X215" s="110" t="n">
        <f aca="false">IF(OR($B215="",$E215="",$F215=""),0,MAX(0,MIN($F215,EOMONTH(DATE(cfg_FY,3,1),0))-MAX($E215,DATE(cfg_FY,3,1))+1)*(1-IF($M215="نعم",0,N($J215))))</f>
        <v>0</v>
      </c>
      <c r="Y215" s="110" t="n">
        <f aca="false">IF(OR($B215="",$E215="",$F215=""),0,MAX(0,MIN($F215,EOMONTH(DATE(cfg_FY,4,1),0))-MAX($E215,DATE(cfg_FY,4,1))+1)*(1-IF($M215="نعم",0,N($J215))))</f>
        <v>0</v>
      </c>
      <c r="Z215" s="110" t="n">
        <f aca="false">IF(OR($B215="",$E215="",$F215=""),0,MAX(0,MIN($F215,EOMONTH(DATE(cfg_FY,5,1),0))-MAX($E215,DATE(cfg_FY,5,1))+1)*(1-IF($M215="نعم",0,N($J215))))</f>
        <v>0</v>
      </c>
      <c r="AA215" s="110" t="n">
        <f aca="false">IF(OR($B215="",$E215="",$F215=""),0,MAX(0,MIN($F215,EOMONTH(DATE(cfg_FY,6,1),0))-MAX($E215,DATE(cfg_FY,6,1))+1)*(1-IF($M215="نعم",0,N($J215))))</f>
        <v>0</v>
      </c>
      <c r="AB215" s="110" t="n">
        <f aca="false">IF(OR($B215="",$E215="",$F215=""),0,MAX(0,MIN($F215,EOMONTH(DATE(cfg_FY,7,1),0))-MAX($E215,DATE(cfg_FY,7,1))+1)*(1-IF($M215="نعم",0,N($J215))))</f>
        <v>0</v>
      </c>
      <c r="AC215" s="110" t="n">
        <f aca="false">IF(OR($B215="",$E215="",$F215=""),0,MAX(0,MIN($F215,EOMONTH(DATE(cfg_FY,8,1),0))-MAX($E215,DATE(cfg_FY,8,1))+1)*(1-IF($M215="نعم",0,N($J215))))</f>
        <v>0</v>
      </c>
      <c r="AD215" s="110" t="n">
        <f aca="false">IF(OR($B215="",$E215="",$F215=""),0,MAX(0,MIN($F215,EOMONTH(DATE(cfg_FY,9,1),0))-MAX($E215,DATE(cfg_FY,9,1))+1)*(1-IF($M215="نعم",0,N($J215))))</f>
        <v>0</v>
      </c>
      <c r="AE215" s="110" t="n">
        <f aca="false">IF(OR($B215="",$E215="",$F215=""),0,MAX(0,MIN($F215,EOMONTH(DATE(cfg_FY,10,1),0))-MAX($E215,DATE(cfg_FY,10,1))+1)*(1-IF($M215="نعم",0,N($J215))))</f>
        <v>0</v>
      </c>
      <c r="AF215" s="110" t="n">
        <f aca="false">IF(OR($B215="",$E215="",$F215=""),0,MAX(0,MIN($F215,EOMONTH(DATE(cfg_FY,11,1),0))-MAX($E215,DATE(cfg_FY,11,1))+1)*(1-IF($M215="نعم",0,N($J215))))</f>
        <v>0</v>
      </c>
      <c r="AG215" s="110" t="n">
        <f aca="false">IF(OR($B215="",$E215="",$F215=""),0,MAX(0,MIN($F215,EOMONTH(DATE(cfg_FY,12,1),0))-MAX($E215,DATE(cfg_FY,12,1))+1)*(1-IF($M215="نعم",0,N($J215))))</f>
        <v>0</v>
      </c>
      <c r="AH215" s="110" t="n">
        <f aca="false">IF(OR(OR($B215="",$E215="",$F215=""),$L215&lt;&gt;"لا"),0,MAX(0,MIN($F215,EOMONTH(DATE(cfg_FY,1,1),0))-$E215+1))</f>
        <v>0</v>
      </c>
      <c r="AI215" s="110" t="n">
        <f aca="false">IF(OR(OR($B215="",$E215="",$F215=""),$L215&lt;&gt;"لا"),0,MAX(0,MIN($F215,EOMONTH(DATE(cfg_FY,2,1),0))-$E215+1))</f>
        <v>0</v>
      </c>
      <c r="AJ215" s="110" t="n">
        <f aca="false">IF(OR(OR($B215="",$E215="",$F215=""),$L215&lt;&gt;"لا"),0,MAX(0,MIN($F215,EOMONTH(DATE(cfg_FY,3,1),0))-$E215+1))</f>
        <v>0</v>
      </c>
      <c r="AK215" s="110" t="n">
        <f aca="false">IF(OR(OR($B215="",$E215="",$F215=""),$L215&lt;&gt;"لا"),0,MAX(0,MIN($F215,EOMONTH(DATE(cfg_FY,4,1),0))-$E215+1))</f>
        <v>0</v>
      </c>
      <c r="AL215" s="110" t="n">
        <f aca="false">IF(OR(OR($B215="",$E215="",$F215=""),$L215&lt;&gt;"لا"),0,MAX(0,MIN($F215,EOMONTH(DATE(cfg_FY,5,1),0))-$E215+1))</f>
        <v>0</v>
      </c>
      <c r="AM215" s="110" t="n">
        <f aca="false">IF(OR(OR($B215="",$E215="",$F215=""),$L215&lt;&gt;"لا"),0,MAX(0,MIN($F215,EOMONTH(DATE(cfg_FY,6,1),0))-$E215+1))</f>
        <v>0</v>
      </c>
      <c r="AN215" s="110" t="n">
        <f aca="false">IF(OR(OR($B215="",$E215="",$F215=""),$L215&lt;&gt;"لا"),0,MAX(0,MIN($F215,EOMONTH(DATE(cfg_FY,7,1),0))-$E215+1))</f>
        <v>0</v>
      </c>
      <c r="AO215" s="110" t="n">
        <f aca="false">IF(OR(OR($B215="",$E215="",$F215=""),$L215&lt;&gt;"لا"),0,MAX(0,MIN($F215,EOMONTH(DATE(cfg_FY,8,1),0))-$E215+1))</f>
        <v>0</v>
      </c>
      <c r="AP215" s="110" t="n">
        <f aca="false">IF(OR(OR($B215="",$E215="",$F215=""),$L215&lt;&gt;"لا"),0,MAX(0,MIN($F215,EOMONTH(DATE(cfg_FY,9,1),0))-$E215+1))</f>
        <v>0</v>
      </c>
      <c r="AQ215" s="110" t="n">
        <f aca="false">IF(OR(OR($B215="",$E215="",$F215=""),$L215&lt;&gt;"لا"),0,MAX(0,MIN($F215,EOMONTH(DATE(cfg_FY,10,1),0))-$E215+1))</f>
        <v>0</v>
      </c>
      <c r="AR215" s="110" t="n">
        <f aca="false">IF(OR(OR($B215="",$E215="",$F215=""),$L215&lt;&gt;"لا"),0,MAX(0,MIN($F215,EOMONTH(DATE(cfg_FY,11,1),0))-$E215+1))</f>
        <v>0</v>
      </c>
      <c r="AS215" s="110" t="n">
        <f aca="false">IF(OR(OR($B215="",$E215="",$F215=""),$L215&lt;&gt;"لا"),0,MAX(0,MIN($F215,EOMONTH(DATE(cfg_FY,12,1),0))-$E215+1))</f>
        <v>0</v>
      </c>
      <c r="AT215" s="110" t="n">
        <f aca="false">IF(OR(OR($B215="",$E215="",$F215=""),$K215&lt;&gt;"نعم",$M215="نعم"),0,MAX(0,MIN($F215,EOMONTH(DATE(cfg_FY,1,1),0))-MAX($E215,DATE(cfg_FY,1,1))+1))</f>
        <v>0</v>
      </c>
      <c r="AU215" s="110" t="n">
        <f aca="false">IF(OR(OR($B215="",$E215="",$F215=""),$K215&lt;&gt;"نعم",$M215="نعم"),0,MAX(0,MIN($F215,EOMONTH(DATE(cfg_FY,2,1),0))-MAX($E215,DATE(cfg_FY,2,1))+1))</f>
        <v>0</v>
      </c>
      <c r="AV215" s="110" t="n">
        <f aca="false">IF(OR(OR($B215="",$E215="",$F215=""),$K215&lt;&gt;"نعم",$M215="نعم"),0,MAX(0,MIN($F215,EOMONTH(DATE(cfg_FY,3,1),0))-MAX($E215,DATE(cfg_FY,3,1))+1))</f>
        <v>0</v>
      </c>
      <c r="AW215" s="110" t="n">
        <f aca="false">IF(OR(OR($B215="",$E215="",$F215=""),$K215&lt;&gt;"نعم",$M215="نعم"),0,MAX(0,MIN($F215,EOMONTH(DATE(cfg_FY,4,1),0))-MAX($E215,DATE(cfg_FY,4,1))+1))</f>
        <v>0</v>
      </c>
      <c r="AX215" s="110" t="n">
        <f aca="false">IF(OR(OR($B215="",$E215="",$F215=""),$K215&lt;&gt;"نعم",$M215="نعم"),0,MAX(0,MIN($F215,EOMONTH(DATE(cfg_FY,5,1),0))-MAX($E215,DATE(cfg_FY,5,1))+1))</f>
        <v>0</v>
      </c>
      <c r="AY215" s="110" t="n">
        <f aca="false">IF(OR(OR($B215="",$E215="",$F215=""),$K215&lt;&gt;"نعم",$M215="نعم"),0,MAX(0,MIN($F215,EOMONTH(DATE(cfg_FY,6,1),0))-MAX($E215,DATE(cfg_FY,6,1))+1))</f>
        <v>0</v>
      </c>
      <c r="AZ215" s="110" t="n">
        <f aca="false">IF(OR(OR($B215="",$E215="",$F215=""),$K215&lt;&gt;"نعم",$M215="نعم"),0,MAX(0,MIN($F215,EOMONTH(DATE(cfg_FY,7,1),0))-MAX($E215,DATE(cfg_FY,7,1))+1))</f>
        <v>0</v>
      </c>
      <c r="BA215" s="110" t="n">
        <f aca="false">IF(OR(OR($B215="",$E215="",$F215=""),$K215&lt;&gt;"نعم",$M215="نعم"),0,MAX(0,MIN($F215,EOMONTH(DATE(cfg_FY,8,1),0))-MAX($E215,DATE(cfg_FY,8,1))+1))</f>
        <v>0</v>
      </c>
      <c r="BB215" s="110" t="n">
        <f aca="false">IF(OR(OR($B215="",$E215="",$F215=""),$K215&lt;&gt;"نعم",$M215="نعم"),0,MAX(0,MIN($F215,EOMONTH(DATE(cfg_FY,9,1),0))-MAX($E215,DATE(cfg_FY,9,1))+1))</f>
        <v>0</v>
      </c>
      <c r="BC215" s="110" t="n">
        <f aca="false">IF(OR(OR($B215="",$E215="",$F215=""),$K215&lt;&gt;"نعم",$M215="نعم"),0,MAX(0,MIN($F215,EOMONTH(DATE(cfg_FY,10,1),0))-MAX($E215,DATE(cfg_FY,10,1))+1))</f>
        <v>0</v>
      </c>
      <c r="BD215" s="110" t="n">
        <f aca="false">IF(OR(OR($B215="",$E215="",$F215=""),$K215&lt;&gt;"نعم",$M215="نعم"),0,MAX(0,MIN($F215,EOMONTH(DATE(cfg_FY,11,1),0))-MAX($E215,DATE(cfg_FY,11,1))+1))</f>
        <v>0</v>
      </c>
      <c r="BE215" s="110" t="n">
        <f aca="false">IF(OR(OR($B215="",$E215="",$F215=""),$K215&lt;&gt;"نعم",$M215="نعم"),0,MAX(0,MIN($F215,EOMONTH(DATE(cfg_FY,12,1),0))-MAX($E215,DATE(cfg_FY,12,1))+1))</f>
        <v>0</v>
      </c>
    </row>
    <row r="216" customFormat="false" ht="15" hidden="false" customHeight="false" outlineLevel="0" collapsed="false">
      <c r="A216" s="93" t="str">
        <f aca="false">IF(B216="","",ROW()-5)</f>
        <v/>
      </c>
      <c r="B216" s="79"/>
      <c r="C216" s="80" t="str">
        <f aca="false">IF(B216="","",IFERROR(INDEX(الموظفون!$C$6:$C$105,MATCH(B216,الموظفون!$B$6:$B$105,0)),"✖ رقم غير موجود"))</f>
        <v/>
      </c>
      <c r="D216" s="79"/>
      <c r="E216" s="94"/>
      <c r="F216" s="94"/>
      <c r="G216" s="57" t="str">
        <f aca="false">IF(OR($B216="",$E216="",$F216=""),"",MAX(0,F216-E216+1))</f>
        <v/>
      </c>
      <c r="H216" s="58" t="str">
        <f aca="false">IF(D216="","",IFERROR(VLOOKUP(D216,cfg_LT,2,FALSE()),1))</f>
        <v/>
      </c>
      <c r="I216" s="82"/>
      <c r="J216" s="58" t="str">
        <f aca="false">IF(D216="","",IF(I216&lt;&gt;"",I216,H216))</f>
        <v/>
      </c>
      <c r="K216" s="80" t="str">
        <f aca="false">IF(D216="","",IFERROR(VLOOKUP($D216,cfg_LT,3,FALSE()),""))</f>
        <v/>
      </c>
      <c r="L216" s="80" t="str">
        <f aca="false">IF(D216="","",IFERROR(VLOOKUP($D216,cfg_LT,4,FALSE()),""))</f>
        <v/>
      </c>
      <c r="M216" s="80" t="str">
        <f aca="false">IF(D216="","",IFERROR(VLOOKUP($D216,cfg_LT,5,FALSE()),""))</f>
        <v/>
      </c>
      <c r="N216" s="97" t="n">
        <f aca="false">IF(OR(OR($B216="",$E216="",$F216=""),M216&lt;&gt;"نعم"),0,G216*J216*IFERROR(INDEX(الموظفون!$R$6:$R$105,MATCH(B216,الموظفون!$B$6:$B$105,0)),0)/cfg_DAYS_M)</f>
        <v>0</v>
      </c>
      <c r="O216" s="93" t="str">
        <f aca="false">IF(OR(OR($B216="",$E216="",$F216=""),M216&lt;&gt;"نعم"),"",IF(YEAR(E216)=cfg_FY,MONTH(E216),""))</f>
        <v/>
      </c>
      <c r="P216" s="80" t="str">
        <f aca="false">IF(B216="","",IF(OR(D216="",E216="",F216=""),"⚠ أكمل النوع والتواريخ",IF(F216&lt;E216,"✖ النهاية قبل البداية",IF(COUNTIFS($B$6:$B$505,B216,$E$6:$E$505,"&lt;="&amp;F216,$F$6:$F$505,"&gt;="&amp;E216)&gt;1,"⚠ تداخل مع سجل آخر",IF(E216&gt;cfg_VAL_DATE,"⏳ قادمة",IF(F216&lt;cfg_VAL_DATE,"✔ منتهية","✈ جارية في تاريخ التقرير"))))))</f>
        <v/>
      </c>
      <c r="Q216" s="79"/>
      <c r="R216" s="57" t="n">
        <f aca="false">IF(OR(OR($B216="",$E216="",$F216=""),L216&lt;&gt;"لا"),0,MAX(0,MIN(F216,cfg_Y_START-1)-E216+1))</f>
        <v>0</v>
      </c>
      <c r="S216" s="57" t="n">
        <f aca="false">IF(OR(OR($B216="",$E216="",$F216=""),L216&lt;&gt;"لا"),0,MAX(0,MIN(F216,cfg_VAL_DATE)-E216+1))</f>
        <v>0</v>
      </c>
      <c r="T216" s="57" t="n">
        <f aca="false">IF(OR(OR($B216="",$E216="",$F216=""),K216&lt;&gt;"نعم"),0,IF(M216="نعم",IF(AND(ISNUMBER(O216),N(O216)&lt;=cfg_VAL_M),G216,0),MAX(0,MIN(F216,cfg_VAL_DATE)-MAX(E216,cfg_Y_START)+1)))</f>
        <v>0</v>
      </c>
      <c r="V216" s="57" t="n">
        <f aca="false">IF(OR($B216="",$E216="",$F216=""),0,MAX(0,MIN($F216,EOMONTH(DATE(cfg_FY,1,1),0))-MAX($E216,DATE(cfg_FY,1,1))+1)*(1-IF($M216="نعم",0,N($J216))))</f>
        <v>0</v>
      </c>
      <c r="W216" s="57" t="n">
        <f aca="false">IF(OR($B216="",$E216="",$F216=""),0,MAX(0,MIN($F216,EOMONTH(DATE(cfg_FY,2,1),0))-MAX($E216,DATE(cfg_FY,2,1))+1)*(1-IF($M216="نعم",0,N($J216))))</f>
        <v>0</v>
      </c>
      <c r="X216" s="57" t="n">
        <f aca="false">IF(OR($B216="",$E216="",$F216=""),0,MAX(0,MIN($F216,EOMONTH(DATE(cfg_FY,3,1),0))-MAX($E216,DATE(cfg_FY,3,1))+1)*(1-IF($M216="نعم",0,N($J216))))</f>
        <v>0</v>
      </c>
      <c r="Y216" s="57" t="n">
        <f aca="false">IF(OR($B216="",$E216="",$F216=""),0,MAX(0,MIN($F216,EOMONTH(DATE(cfg_FY,4,1),0))-MAX($E216,DATE(cfg_FY,4,1))+1)*(1-IF($M216="نعم",0,N($J216))))</f>
        <v>0</v>
      </c>
      <c r="Z216" s="57" t="n">
        <f aca="false">IF(OR($B216="",$E216="",$F216=""),0,MAX(0,MIN($F216,EOMONTH(DATE(cfg_FY,5,1),0))-MAX($E216,DATE(cfg_FY,5,1))+1)*(1-IF($M216="نعم",0,N($J216))))</f>
        <v>0</v>
      </c>
      <c r="AA216" s="57" t="n">
        <f aca="false">IF(OR($B216="",$E216="",$F216=""),0,MAX(0,MIN($F216,EOMONTH(DATE(cfg_FY,6,1),0))-MAX($E216,DATE(cfg_FY,6,1))+1)*(1-IF($M216="نعم",0,N($J216))))</f>
        <v>0</v>
      </c>
      <c r="AB216" s="57" t="n">
        <f aca="false">IF(OR($B216="",$E216="",$F216=""),0,MAX(0,MIN($F216,EOMONTH(DATE(cfg_FY,7,1),0))-MAX($E216,DATE(cfg_FY,7,1))+1)*(1-IF($M216="نعم",0,N($J216))))</f>
        <v>0</v>
      </c>
      <c r="AC216" s="57" t="n">
        <f aca="false">IF(OR($B216="",$E216="",$F216=""),0,MAX(0,MIN($F216,EOMONTH(DATE(cfg_FY,8,1),0))-MAX($E216,DATE(cfg_FY,8,1))+1)*(1-IF($M216="نعم",0,N($J216))))</f>
        <v>0</v>
      </c>
      <c r="AD216" s="57" t="n">
        <f aca="false">IF(OR($B216="",$E216="",$F216=""),0,MAX(0,MIN($F216,EOMONTH(DATE(cfg_FY,9,1),0))-MAX($E216,DATE(cfg_FY,9,1))+1)*(1-IF($M216="نعم",0,N($J216))))</f>
        <v>0</v>
      </c>
      <c r="AE216" s="57" t="n">
        <f aca="false">IF(OR($B216="",$E216="",$F216=""),0,MAX(0,MIN($F216,EOMONTH(DATE(cfg_FY,10,1),0))-MAX($E216,DATE(cfg_FY,10,1))+1)*(1-IF($M216="نعم",0,N($J216))))</f>
        <v>0</v>
      </c>
      <c r="AF216" s="57" t="n">
        <f aca="false">IF(OR($B216="",$E216="",$F216=""),0,MAX(0,MIN($F216,EOMONTH(DATE(cfg_FY,11,1),0))-MAX($E216,DATE(cfg_FY,11,1))+1)*(1-IF($M216="نعم",0,N($J216))))</f>
        <v>0</v>
      </c>
      <c r="AG216" s="57" t="n">
        <f aca="false">IF(OR($B216="",$E216="",$F216=""),0,MAX(0,MIN($F216,EOMONTH(DATE(cfg_FY,12,1),0))-MAX($E216,DATE(cfg_FY,12,1))+1)*(1-IF($M216="نعم",0,N($J216))))</f>
        <v>0</v>
      </c>
      <c r="AH216" s="57" t="n">
        <f aca="false">IF(OR(OR($B216="",$E216="",$F216=""),$L216&lt;&gt;"لا"),0,MAX(0,MIN($F216,EOMONTH(DATE(cfg_FY,1,1),0))-$E216+1))</f>
        <v>0</v>
      </c>
      <c r="AI216" s="57" t="n">
        <f aca="false">IF(OR(OR($B216="",$E216="",$F216=""),$L216&lt;&gt;"لا"),0,MAX(0,MIN($F216,EOMONTH(DATE(cfg_FY,2,1),0))-$E216+1))</f>
        <v>0</v>
      </c>
      <c r="AJ216" s="57" t="n">
        <f aca="false">IF(OR(OR($B216="",$E216="",$F216=""),$L216&lt;&gt;"لا"),0,MAX(0,MIN($F216,EOMONTH(DATE(cfg_FY,3,1),0))-$E216+1))</f>
        <v>0</v>
      </c>
      <c r="AK216" s="57" t="n">
        <f aca="false">IF(OR(OR($B216="",$E216="",$F216=""),$L216&lt;&gt;"لا"),0,MAX(0,MIN($F216,EOMONTH(DATE(cfg_FY,4,1),0))-$E216+1))</f>
        <v>0</v>
      </c>
      <c r="AL216" s="57" t="n">
        <f aca="false">IF(OR(OR($B216="",$E216="",$F216=""),$L216&lt;&gt;"لا"),0,MAX(0,MIN($F216,EOMONTH(DATE(cfg_FY,5,1),0))-$E216+1))</f>
        <v>0</v>
      </c>
      <c r="AM216" s="57" t="n">
        <f aca="false">IF(OR(OR($B216="",$E216="",$F216=""),$L216&lt;&gt;"لا"),0,MAX(0,MIN($F216,EOMONTH(DATE(cfg_FY,6,1),0))-$E216+1))</f>
        <v>0</v>
      </c>
      <c r="AN216" s="57" t="n">
        <f aca="false">IF(OR(OR($B216="",$E216="",$F216=""),$L216&lt;&gt;"لا"),0,MAX(0,MIN($F216,EOMONTH(DATE(cfg_FY,7,1),0))-$E216+1))</f>
        <v>0</v>
      </c>
      <c r="AO216" s="57" t="n">
        <f aca="false">IF(OR(OR($B216="",$E216="",$F216=""),$L216&lt;&gt;"لا"),0,MAX(0,MIN($F216,EOMONTH(DATE(cfg_FY,8,1),0))-$E216+1))</f>
        <v>0</v>
      </c>
      <c r="AP216" s="57" t="n">
        <f aca="false">IF(OR(OR($B216="",$E216="",$F216=""),$L216&lt;&gt;"لا"),0,MAX(0,MIN($F216,EOMONTH(DATE(cfg_FY,9,1),0))-$E216+1))</f>
        <v>0</v>
      </c>
      <c r="AQ216" s="57" t="n">
        <f aca="false">IF(OR(OR($B216="",$E216="",$F216=""),$L216&lt;&gt;"لا"),0,MAX(0,MIN($F216,EOMONTH(DATE(cfg_FY,10,1),0))-$E216+1))</f>
        <v>0</v>
      </c>
      <c r="AR216" s="57" t="n">
        <f aca="false">IF(OR(OR($B216="",$E216="",$F216=""),$L216&lt;&gt;"لا"),0,MAX(0,MIN($F216,EOMONTH(DATE(cfg_FY,11,1),0))-$E216+1))</f>
        <v>0</v>
      </c>
      <c r="AS216" s="57" t="n">
        <f aca="false">IF(OR(OR($B216="",$E216="",$F216=""),$L216&lt;&gt;"لا"),0,MAX(0,MIN($F216,EOMONTH(DATE(cfg_FY,12,1),0))-$E216+1))</f>
        <v>0</v>
      </c>
      <c r="AT216" s="57" t="n">
        <f aca="false">IF(OR(OR($B216="",$E216="",$F216=""),$K216&lt;&gt;"نعم",$M216="نعم"),0,MAX(0,MIN($F216,EOMONTH(DATE(cfg_FY,1,1),0))-MAX($E216,DATE(cfg_FY,1,1))+1))</f>
        <v>0</v>
      </c>
      <c r="AU216" s="57" t="n">
        <f aca="false">IF(OR(OR($B216="",$E216="",$F216=""),$K216&lt;&gt;"نعم",$M216="نعم"),0,MAX(0,MIN($F216,EOMONTH(DATE(cfg_FY,2,1),0))-MAX($E216,DATE(cfg_FY,2,1))+1))</f>
        <v>0</v>
      </c>
      <c r="AV216" s="57" t="n">
        <f aca="false">IF(OR(OR($B216="",$E216="",$F216=""),$K216&lt;&gt;"نعم",$M216="نعم"),0,MAX(0,MIN($F216,EOMONTH(DATE(cfg_FY,3,1),0))-MAX($E216,DATE(cfg_FY,3,1))+1))</f>
        <v>0</v>
      </c>
      <c r="AW216" s="57" t="n">
        <f aca="false">IF(OR(OR($B216="",$E216="",$F216=""),$K216&lt;&gt;"نعم",$M216="نعم"),0,MAX(0,MIN($F216,EOMONTH(DATE(cfg_FY,4,1),0))-MAX($E216,DATE(cfg_FY,4,1))+1))</f>
        <v>0</v>
      </c>
      <c r="AX216" s="57" t="n">
        <f aca="false">IF(OR(OR($B216="",$E216="",$F216=""),$K216&lt;&gt;"نعم",$M216="نعم"),0,MAX(0,MIN($F216,EOMONTH(DATE(cfg_FY,5,1),0))-MAX($E216,DATE(cfg_FY,5,1))+1))</f>
        <v>0</v>
      </c>
      <c r="AY216" s="57" t="n">
        <f aca="false">IF(OR(OR($B216="",$E216="",$F216=""),$K216&lt;&gt;"نعم",$M216="نعم"),0,MAX(0,MIN($F216,EOMONTH(DATE(cfg_FY,6,1),0))-MAX($E216,DATE(cfg_FY,6,1))+1))</f>
        <v>0</v>
      </c>
      <c r="AZ216" s="57" t="n">
        <f aca="false">IF(OR(OR($B216="",$E216="",$F216=""),$K216&lt;&gt;"نعم",$M216="نعم"),0,MAX(0,MIN($F216,EOMONTH(DATE(cfg_FY,7,1),0))-MAX($E216,DATE(cfg_FY,7,1))+1))</f>
        <v>0</v>
      </c>
      <c r="BA216" s="57" t="n">
        <f aca="false">IF(OR(OR($B216="",$E216="",$F216=""),$K216&lt;&gt;"نعم",$M216="نعم"),0,MAX(0,MIN($F216,EOMONTH(DATE(cfg_FY,8,1),0))-MAX($E216,DATE(cfg_FY,8,1))+1))</f>
        <v>0</v>
      </c>
      <c r="BB216" s="57" t="n">
        <f aca="false">IF(OR(OR($B216="",$E216="",$F216=""),$K216&lt;&gt;"نعم",$M216="نعم"),0,MAX(0,MIN($F216,EOMONTH(DATE(cfg_FY,9,1),0))-MAX($E216,DATE(cfg_FY,9,1))+1))</f>
        <v>0</v>
      </c>
      <c r="BC216" s="57" t="n">
        <f aca="false">IF(OR(OR($B216="",$E216="",$F216=""),$K216&lt;&gt;"نعم",$M216="نعم"),0,MAX(0,MIN($F216,EOMONTH(DATE(cfg_FY,10,1),0))-MAX($E216,DATE(cfg_FY,10,1))+1))</f>
        <v>0</v>
      </c>
      <c r="BD216" s="57" t="n">
        <f aca="false">IF(OR(OR($B216="",$E216="",$F216=""),$K216&lt;&gt;"نعم",$M216="نعم"),0,MAX(0,MIN($F216,EOMONTH(DATE(cfg_FY,11,1),0))-MAX($E216,DATE(cfg_FY,11,1))+1))</f>
        <v>0</v>
      </c>
      <c r="BE216" s="57" t="n">
        <f aca="false">IF(OR(OR($B216="",$E216="",$F216=""),$K216&lt;&gt;"نعم",$M216="نعم"),0,MAX(0,MIN($F216,EOMONTH(DATE(cfg_FY,12,1),0))-MAX($E216,DATE(cfg_FY,12,1))+1))</f>
        <v>0</v>
      </c>
    </row>
    <row r="217" customFormat="false" ht="15" hidden="false" customHeight="false" outlineLevel="0" collapsed="false">
      <c r="A217" s="100" t="str">
        <f aca="false">IF(B217="","",ROW()-5)</f>
        <v/>
      </c>
      <c r="B217" s="79"/>
      <c r="C217" s="102" t="str">
        <f aca="false">IF(B217="","",IFERROR(INDEX(الموظفون!$C$6:$C$105,MATCH(B217,الموظفون!$B$6:$B$105,0)),"✖ رقم غير موجود"))</f>
        <v/>
      </c>
      <c r="D217" s="79"/>
      <c r="E217" s="94"/>
      <c r="F217" s="94"/>
      <c r="G217" s="110" t="str">
        <f aca="false">IF(OR($B217="",$E217="",$F217=""),"",MAX(0,F217-E217+1))</f>
        <v/>
      </c>
      <c r="H217" s="111" t="str">
        <f aca="false">IF(D217="","",IFERROR(VLOOKUP(D217,cfg_LT,2,FALSE()),1))</f>
        <v/>
      </c>
      <c r="I217" s="82"/>
      <c r="J217" s="111" t="str">
        <f aca="false">IF(D217="","",IF(I217&lt;&gt;"",I217,H217))</f>
        <v/>
      </c>
      <c r="K217" s="102" t="str">
        <f aca="false">IF(D217="","",IFERROR(VLOOKUP($D217,cfg_LT,3,FALSE()),""))</f>
        <v/>
      </c>
      <c r="L217" s="102" t="str">
        <f aca="false">IF(D217="","",IFERROR(VLOOKUP($D217,cfg_LT,4,FALSE()),""))</f>
        <v/>
      </c>
      <c r="M217" s="102" t="str">
        <f aca="false">IF(D217="","",IFERROR(VLOOKUP($D217,cfg_LT,5,FALSE()),""))</f>
        <v/>
      </c>
      <c r="N217" s="101" t="n">
        <f aca="false">IF(OR(OR($B217="",$E217="",$F217=""),M217&lt;&gt;"نعم"),0,G217*J217*IFERROR(INDEX(الموظفون!$R$6:$R$105,MATCH(B217,الموظفون!$B$6:$B$105,0)),0)/cfg_DAYS_M)</f>
        <v>0</v>
      </c>
      <c r="O217" s="100" t="str">
        <f aca="false">IF(OR(OR($B217="",$E217="",$F217=""),M217&lt;&gt;"نعم"),"",IF(YEAR(E217)=cfg_FY,MONTH(E217),""))</f>
        <v/>
      </c>
      <c r="P217" s="102" t="str">
        <f aca="false">IF(B217="","",IF(OR(D217="",E217="",F217=""),"⚠ أكمل النوع والتواريخ",IF(F217&lt;E217,"✖ النهاية قبل البداية",IF(COUNTIFS($B$6:$B$505,B217,$E$6:$E$505,"&lt;="&amp;F217,$F$6:$F$505,"&gt;="&amp;E217)&gt;1,"⚠ تداخل مع سجل آخر",IF(E217&gt;cfg_VAL_DATE,"⏳ قادمة",IF(F217&lt;cfg_VAL_DATE,"✔ منتهية","✈ جارية في تاريخ التقرير"))))))</f>
        <v/>
      </c>
      <c r="Q217" s="79"/>
      <c r="R217" s="110" t="n">
        <f aca="false">IF(OR(OR($B217="",$E217="",$F217=""),L217&lt;&gt;"لا"),0,MAX(0,MIN(F217,cfg_Y_START-1)-E217+1))</f>
        <v>0</v>
      </c>
      <c r="S217" s="110" t="n">
        <f aca="false">IF(OR(OR($B217="",$E217="",$F217=""),L217&lt;&gt;"لا"),0,MAX(0,MIN(F217,cfg_VAL_DATE)-E217+1))</f>
        <v>0</v>
      </c>
      <c r="T217" s="110" t="n">
        <f aca="false">IF(OR(OR($B217="",$E217="",$F217=""),K217&lt;&gt;"نعم"),0,IF(M217="نعم",IF(AND(ISNUMBER(O217),N(O217)&lt;=cfg_VAL_M),G217,0),MAX(0,MIN(F217,cfg_VAL_DATE)-MAX(E217,cfg_Y_START)+1)))</f>
        <v>0</v>
      </c>
      <c r="V217" s="110" t="n">
        <f aca="false">IF(OR($B217="",$E217="",$F217=""),0,MAX(0,MIN($F217,EOMONTH(DATE(cfg_FY,1,1),0))-MAX($E217,DATE(cfg_FY,1,1))+1)*(1-IF($M217="نعم",0,N($J217))))</f>
        <v>0</v>
      </c>
      <c r="W217" s="110" t="n">
        <f aca="false">IF(OR($B217="",$E217="",$F217=""),0,MAX(0,MIN($F217,EOMONTH(DATE(cfg_FY,2,1),0))-MAX($E217,DATE(cfg_FY,2,1))+1)*(1-IF($M217="نعم",0,N($J217))))</f>
        <v>0</v>
      </c>
      <c r="X217" s="110" t="n">
        <f aca="false">IF(OR($B217="",$E217="",$F217=""),0,MAX(0,MIN($F217,EOMONTH(DATE(cfg_FY,3,1),0))-MAX($E217,DATE(cfg_FY,3,1))+1)*(1-IF($M217="نعم",0,N($J217))))</f>
        <v>0</v>
      </c>
      <c r="Y217" s="110" t="n">
        <f aca="false">IF(OR($B217="",$E217="",$F217=""),0,MAX(0,MIN($F217,EOMONTH(DATE(cfg_FY,4,1),0))-MAX($E217,DATE(cfg_FY,4,1))+1)*(1-IF($M217="نعم",0,N($J217))))</f>
        <v>0</v>
      </c>
      <c r="Z217" s="110" t="n">
        <f aca="false">IF(OR($B217="",$E217="",$F217=""),0,MAX(0,MIN($F217,EOMONTH(DATE(cfg_FY,5,1),0))-MAX($E217,DATE(cfg_FY,5,1))+1)*(1-IF($M217="نعم",0,N($J217))))</f>
        <v>0</v>
      </c>
      <c r="AA217" s="110" t="n">
        <f aca="false">IF(OR($B217="",$E217="",$F217=""),0,MAX(0,MIN($F217,EOMONTH(DATE(cfg_FY,6,1),0))-MAX($E217,DATE(cfg_FY,6,1))+1)*(1-IF($M217="نعم",0,N($J217))))</f>
        <v>0</v>
      </c>
      <c r="AB217" s="110" t="n">
        <f aca="false">IF(OR($B217="",$E217="",$F217=""),0,MAX(0,MIN($F217,EOMONTH(DATE(cfg_FY,7,1),0))-MAX($E217,DATE(cfg_FY,7,1))+1)*(1-IF($M217="نعم",0,N($J217))))</f>
        <v>0</v>
      </c>
      <c r="AC217" s="110" t="n">
        <f aca="false">IF(OR($B217="",$E217="",$F217=""),0,MAX(0,MIN($F217,EOMONTH(DATE(cfg_FY,8,1),0))-MAX($E217,DATE(cfg_FY,8,1))+1)*(1-IF($M217="نعم",0,N($J217))))</f>
        <v>0</v>
      </c>
      <c r="AD217" s="110" t="n">
        <f aca="false">IF(OR($B217="",$E217="",$F217=""),0,MAX(0,MIN($F217,EOMONTH(DATE(cfg_FY,9,1),0))-MAX($E217,DATE(cfg_FY,9,1))+1)*(1-IF($M217="نعم",0,N($J217))))</f>
        <v>0</v>
      </c>
      <c r="AE217" s="110" t="n">
        <f aca="false">IF(OR($B217="",$E217="",$F217=""),0,MAX(0,MIN($F217,EOMONTH(DATE(cfg_FY,10,1),0))-MAX($E217,DATE(cfg_FY,10,1))+1)*(1-IF($M217="نعم",0,N($J217))))</f>
        <v>0</v>
      </c>
      <c r="AF217" s="110" t="n">
        <f aca="false">IF(OR($B217="",$E217="",$F217=""),0,MAX(0,MIN($F217,EOMONTH(DATE(cfg_FY,11,1),0))-MAX($E217,DATE(cfg_FY,11,1))+1)*(1-IF($M217="نعم",0,N($J217))))</f>
        <v>0</v>
      </c>
      <c r="AG217" s="110" t="n">
        <f aca="false">IF(OR($B217="",$E217="",$F217=""),0,MAX(0,MIN($F217,EOMONTH(DATE(cfg_FY,12,1),0))-MAX($E217,DATE(cfg_FY,12,1))+1)*(1-IF($M217="نعم",0,N($J217))))</f>
        <v>0</v>
      </c>
      <c r="AH217" s="110" t="n">
        <f aca="false">IF(OR(OR($B217="",$E217="",$F217=""),$L217&lt;&gt;"لا"),0,MAX(0,MIN($F217,EOMONTH(DATE(cfg_FY,1,1),0))-$E217+1))</f>
        <v>0</v>
      </c>
      <c r="AI217" s="110" t="n">
        <f aca="false">IF(OR(OR($B217="",$E217="",$F217=""),$L217&lt;&gt;"لا"),0,MAX(0,MIN($F217,EOMONTH(DATE(cfg_FY,2,1),0))-$E217+1))</f>
        <v>0</v>
      </c>
      <c r="AJ217" s="110" t="n">
        <f aca="false">IF(OR(OR($B217="",$E217="",$F217=""),$L217&lt;&gt;"لا"),0,MAX(0,MIN($F217,EOMONTH(DATE(cfg_FY,3,1),0))-$E217+1))</f>
        <v>0</v>
      </c>
      <c r="AK217" s="110" t="n">
        <f aca="false">IF(OR(OR($B217="",$E217="",$F217=""),$L217&lt;&gt;"لا"),0,MAX(0,MIN($F217,EOMONTH(DATE(cfg_FY,4,1),0))-$E217+1))</f>
        <v>0</v>
      </c>
      <c r="AL217" s="110" t="n">
        <f aca="false">IF(OR(OR($B217="",$E217="",$F217=""),$L217&lt;&gt;"لا"),0,MAX(0,MIN($F217,EOMONTH(DATE(cfg_FY,5,1),0))-$E217+1))</f>
        <v>0</v>
      </c>
      <c r="AM217" s="110" t="n">
        <f aca="false">IF(OR(OR($B217="",$E217="",$F217=""),$L217&lt;&gt;"لا"),0,MAX(0,MIN($F217,EOMONTH(DATE(cfg_FY,6,1),0))-$E217+1))</f>
        <v>0</v>
      </c>
      <c r="AN217" s="110" t="n">
        <f aca="false">IF(OR(OR($B217="",$E217="",$F217=""),$L217&lt;&gt;"لا"),0,MAX(0,MIN($F217,EOMONTH(DATE(cfg_FY,7,1),0))-$E217+1))</f>
        <v>0</v>
      </c>
      <c r="AO217" s="110" t="n">
        <f aca="false">IF(OR(OR($B217="",$E217="",$F217=""),$L217&lt;&gt;"لا"),0,MAX(0,MIN($F217,EOMONTH(DATE(cfg_FY,8,1),0))-$E217+1))</f>
        <v>0</v>
      </c>
      <c r="AP217" s="110" t="n">
        <f aca="false">IF(OR(OR($B217="",$E217="",$F217=""),$L217&lt;&gt;"لا"),0,MAX(0,MIN($F217,EOMONTH(DATE(cfg_FY,9,1),0))-$E217+1))</f>
        <v>0</v>
      </c>
      <c r="AQ217" s="110" t="n">
        <f aca="false">IF(OR(OR($B217="",$E217="",$F217=""),$L217&lt;&gt;"لا"),0,MAX(0,MIN($F217,EOMONTH(DATE(cfg_FY,10,1),0))-$E217+1))</f>
        <v>0</v>
      </c>
      <c r="AR217" s="110" t="n">
        <f aca="false">IF(OR(OR($B217="",$E217="",$F217=""),$L217&lt;&gt;"لا"),0,MAX(0,MIN($F217,EOMONTH(DATE(cfg_FY,11,1),0))-$E217+1))</f>
        <v>0</v>
      </c>
      <c r="AS217" s="110" t="n">
        <f aca="false">IF(OR(OR($B217="",$E217="",$F217=""),$L217&lt;&gt;"لا"),0,MAX(0,MIN($F217,EOMONTH(DATE(cfg_FY,12,1),0))-$E217+1))</f>
        <v>0</v>
      </c>
      <c r="AT217" s="110" t="n">
        <f aca="false">IF(OR(OR($B217="",$E217="",$F217=""),$K217&lt;&gt;"نعم",$M217="نعم"),0,MAX(0,MIN($F217,EOMONTH(DATE(cfg_FY,1,1),0))-MAX($E217,DATE(cfg_FY,1,1))+1))</f>
        <v>0</v>
      </c>
      <c r="AU217" s="110" t="n">
        <f aca="false">IF(OR(OR($B217="",$E217="",$F217=""),$K217&lt;&gt;"نعم",$M217="نعم"),0,MAX(0,MIN($F217,EOMONTH(DATE(cfg_FY,2,1),0))-MAX($E217,DATE(cfg_FY,2,1))+1))</f>
        <v>0</v>
      </c>
      <c r="AV217" s="110" t="n">
        <f aca="false">IF(OR(OR($B217="",$E217="",$F217=""),$K217&lt;&gt;"نعم",$M217="نعم"),0,MAX(0,MIN($F217,EOMONTH(DATE(cfg_FY,3,1),0))-MAX($E217,DATE(cfg_FY,3,1))+1))</f>
        <v>0</v>
      </c>
      <c r="AW217" s="110" t="n">
        <f aca="false">IF(OR(OR($B217="",$E217="",$F217=""),$K217&lt;&gt;"نعم",$M217="نعم"),0,MAX(0,MIN($F217,EOMONTH(DATE(cfg_FY,4,1),0))-MAX($E217,DATE(cfg_FY,4,1))+1))</f>
        <v>0</v>
      </c>
      <c r="AX217" s="110" t="n">
        <f aca="false">IF(OR(OR($B217="",$E217="",$F217=""),$K217&lt;&gt;"نعم",$M217="نعم"),0,MAX(0,MIN($F217,EOMONTH(DATE(cfg_FY,5,1),0))-MAX($E217,DATE(cfg_FY,5,1))+1))</f>
        <v>0</v>
      </c>
      <c r="AY217" s="110" t="n">
        <f aca="false">IF(OR(OR($B217="",$E217="",$F217=""),$K217&lt;&gt;"نعم",$M217="نعم"),0,MAX(0,MIN($F217,EOMONTH(DATE(cfg_FY,6,1),0))-MAX($E217,DATE(cfg_FY,6,1))+1))</f>
        <v>0</v>
      </c>
      <c r="AZ217" s="110" t="n">
        <f aca="false">IF(OR(OR($B217="",$E217="",$F217=""),$K217&lt;&gt;"نعم",$M217="نعم"),0,MAX(0,MIN($F217,EOMONTH(DATE(cfg_FY,7,1),0))-MAX($E217,DATE(cfg_FY,7,1))+1))</f>
        <v>0</v>
      </c>
      <c r="BA217" s="110" t="n">
        <f aca="false">IF(OR(OR($B217="",$E217="",$F217=""),$K217&lt;&gt;"نعم",$M217="نعم"),0,MAX(0,MIN($F217,EOMONTH(DATE(cfg_FY,8,1),0))-MAX($E217,DATE(cfg_FY,8,1))+1))</f>
        <v>0</v>
      </c>
      <c r="BB217" s="110" t="n">
        <f aca="false">IF(OR(OR($B217="",$E217="",$F217=""),$K217&lt;&gt;"نعم",$M217="نعم"),0,MAX(0,MIN($F217,EOMONTH(DATE(cfg_FY,9,1),0))-MAX($E217,DATE(cfg_FY,9,1))+1))</f>
        <v>0</v>
      </c>
      <c r="BC217" s="110" t="n">
        <f aca="false">IF(OR(OR($B217="",$E217="",$F217=""),$K217&lt;&gt;"نعم",$M217="نعم"),0,MAX(0,MIN($F217,EOMONTH(DATE(cfg_FY,10,1),0))-MAX($E217,DATE(cfg_FY,10,1))+1))</f>
        <v>0</v>
      </c>
      <c r="BD217" s="110" t="n">
        <f aca="false">IF(OR(OR($B217="",$E217="",$F217=""),$K217&lt;&gt;"نعم",$M217="نعم"),0,MAX(0,MIN($F217,EOMONTH(DATE(cfg_FY,11,1),0))-MAX($E217,DATE(cfg_FY,11,1))+1))</f>
        <v>0</v>
      </c>
      <c r="BE217" s="110" t="n">
        <f aca="false">IF(OR(OR($B217="",$E217="",$F217=""),$K217&lt;&gt;"نعم",$M217="نعم"),0,MAX(0,MIN($F217,EOMONTH(DATE(cfg_FY,12,1),0))-MAX($E217,DATE(cfg_FY,12,1))+1))</f>
        <v>0</v>
      </c>
    </row>
    <row r="218" customFormat="false" ht="15" hidden="false" customHeight="false" outlineLevel="0" collapsed="false">
      <c r="A218" s="93" t="str">
        <f aca="false">IF(B218="","",ROW()-5)</f>
        <v/>
      </c>
      <c r="B218" s="79"/>
      <c r="C218" s="80" t="str">
        <f aca="false">IF(B218="","",IFERROR(INDEX(الموظفون!$C$6:$C$105,MATCH(B218,الموظفون!$B$6:$B$105,0)),"✖ رقم غير موجود"))</f>
        <v/>
      </c>
      <c r="D218" s="79"/>
      <c r="E218" s="94"/>
      <c r="F218" s="94"/>
      <c r="G218" s="57" t="str">
        <f aca="false">IF(OR($B218="",$E218="",$F218=""),"",MAX(0,F218-E218+1))</f>
        <v/>
      </c>
      <c r="H218" s="58" t="str">
        <f aca="false">IF(D218="","",IFERROR(VLOOKUP(D218,cfg_LT,2,FALSE()),1))</f>
        <v/>
      </c>
      <c r="I218" s="82"/>
      <c r="J218" s="58" t="str">
        <f aca="false">IF(D218="","",IF(I218&lt;&gt;"",I218,H218))</f>
        <v/>
      </c>
      <c r="K218" s="80" t="str">
        <f aca="false">IF(D218="","",IFERROR(VLOOKUP($D218,cfg_LT,3,FALSE()),""))</f>
        <v/>
      </c>
      <c r="L218" s="80" t="str">
        <f aca="false">IF(D218="","",IFERROR(VLOOKUP($D218,cfg_LT,4,FALSE()),""))</f>
        <v/>
      </c>
      <c r="M218" s="80" t="str">
        <f aca="false">IF(D218="","",IFERROR(VLOOKUP($D218,cfg_LT,5,FALSE()),""))</f>
        <v/>
      </c>
      <c r="N218" s="97" t="n">
        <f aca="false">IF(OR(OR($B218="",$E218="",$F218=""),M218&lt;&gt;"نعم"),0,G218*J218*IFERROR(INDEX(الموظفون!$R$6:$R$105,MATCH(B218,الموظفون!$B$6:$B$105,0)),0)/cfg_DAYS_M)</f>
        <v>0</v>
      </c>
      <c r="O218" s="93" t="str">
        <f aca="false">IF(OR(OR($B218="",$E218="",$F218=""),M218&lt;&gt;"نعم"),"",IF(YEAR(E218)=cfg_FY,MONTH(E218),""))</f>
        <v/>
      </c>
      <c r="P218" s="80" t="str">
        <f aca="false">IF(B218="","",IF(OR(D218="",E218="",F218=""),"⚠ أكمل النوع والتواريخ",IF(F218&lt;E218,"✖ النهاية قبل البداية",IF(COUNTIFS($B$6:$B$505,B218,$E$6:$E$505,"&lt;="&amp;F218,$F$6:$F$505,"&gt;="&amp;E218)&gt;1,"⚠ تداخل مع سجل آخر",IF(E218&gt;cfg_VAL_DATE,"⏳ قادمة",IF(F218&lt;cfg_VAL_DATE,"✔ منتهية","✈ جارية في تاريخ التقرير"))))))</f>
        <v/>
      </c>
      <c r="Q218" s="79"/>
      <c r="R218" s="57" t="n">
        <f aca="false">IF(OR(OR($B218="",$E218="",$F218=""),L218&lt;&gt;"لا"),0,MAX(0,MIN(F218,cfg_Y_START-1)-E218+1))</f>
        <v>0</v>
      </c>
      <c r="S218" s="57" t="n">
        <f aca="false">IF(OR(OR($B218="",$E218="",$F218=""),L218&lt;&gt;"لا"),0,MAX(0,MIN(F218,cfg_VAL_DATE)-E218+1))</f>
        <v>0</v>
      </c>
      <c r="T218" s="57" t="n">
        <f aca="false">IF(OR(OR($B218="",$E218="",$F218=""),K218&lt;&gt;"نعم"),0,IF(M218="نعم",IF(AND(ISNUMBER(O218),N(O218)&lt;=cfg_VAL_M),G218,0),MAX(0,MIN(F218,cfg_VAL_DATE)-MAX(E218,cfg_Y_START)+1)))</f>
        <v>0</v>
      </c>
      <c r="V218" s="57" t="n">
        <f aca="false">IF(OR($B218="",$E218="",$F218=""),0,MAX(0,MIN($F218,EOMONTH(DATE(cfg_FY,1,1),0))-MAX($E218,DATE(cfg_FY,1,1))+1)*(1-IF($M218="نعم",0,N($J218))))</f>
        <v>0</v>
      </c>
      <c r="W218" s="57" t="n">
        <f aca="false">IF(OR($B218="",$E218="",$F218=""),0,MAX(0,MIN($F218,EOMONTH(DATE(cfg_FY,2,1),0))-MAX($E218,DATE(cfg_FY,2,1))+1)*(1-IF($M218="نعم",0,N($J218))))</f>
        <v>0</v>
      </c>
      <c r="X218" s="57" t="n">
        <f aca="false">IF(OR($B218="",$E218="",$F218=""),0,MAX(0,MIN($F218,EOMONTH(DATE(cfg_FY,3,1),0))-MAX($E218,DATE(cfg_FY,3,1))+1)*(1-IF($M218="نعم",0,N($J218))))</f>
        <v>0</v>
      </c>
      <c r="Y218" s="57" t="n">
        <f aca="false">IF(OR($B218="",$E218="",$F218=""),0,MAX(0,MIN($F218,EOMONTH(DATE(cfg_FY,4,1),0))-MAX($E218,DATE(cfg_FY,4,1))+1)*(1-IF($M218="نعم",0,N($J218))))</f>
        <v>0</v>
      </c>
      <c r="Z218" s="57" t="n">
        <f aca="false">IF(OR($B218="",$E218="",$F218=""),0,MAX(0,MIN($F218,EOMONTH(DATE(cfg_FY,5,1),0))-MAX($E218,DATE(cfg_FY,5,1))+1)*(1-IF($M218="نعم",0,N($J218))))</f>
        <v>0</v>
      </c>
      <c r="AA218" s="57" t="n">
        <f aca="false">IF(OR($B218="",$E218="",$F218=""),0,MAX(0,MIN($F218,EOMONTH(DATE(cfg_FY,6,1),0))-MAX($E218,DATE(cfg_FY,6,1))+1)*(1-IF($M218="نعم",0,N($J218))))</f>
        <v>0</v>
      </c>
      <c r="AB218" s="57" t="n">
        <f aca="false">IF(OR($B218="",$E218="",$F218=""),0,MAX(0,MIN($F218,EOMONTH(DATE(cfg_FY,7,1),0))-MAX($E218,DATE(cfg_FY,7,1))+1)*(1-IF($M218="نعم",0,N($J218))))</f>
        <v>0</v>
      </c>
      <c r="AC218" s="57" t="n">
        <f aca="false">IF(OR($B218="",$E218="",$F218=""),0,MAX(0,MIN($F218,EOMONTH(DATE(cfg_FY,8,1),0))-MAX($E218,DATE(cfg_FY,8,1))+1)*(1-IF($M218="نعم",0,N($J218))))</f>
        <v>0</v>
      </c>
      <c r="AD218" s="57" t="n">
        <f aca="false">IF(OR($B218="",$E218="",$F218=""),0,MAX(0,MIN($F218,EOMONTH(DATE(cfg_FY,9,1),0))-MAX($E218,DATE(cfg_FY,9,1))+1)*(1-IF($M218="نعم",0,N($J218))))</f>
        <v>0</v>
      </c>
      <c r="AE218" s="57" t="n">
        <f aca="false">IF(OR($B218="",$E218="",$F218=""),0,MAX(0,MIN($F218,EOMONTH(DATE(cfg_FY,10,1),0))-MAX($E218,DATE(cfg_FY,10,1))+1)*(1-IF($M218="نعم",0,N($J218))))</f>
        <v>0</v>
      </c>
      <c r="AF218" s="57" t="n">
        <f aca="false">IF(OR($B218="",$E218="",$F218=""),0,MAX(0,MIN($F218,EOMONTH(DATE(cfg_FY,11,1),0))-MAX($E218,DATE(cfg_FY,11,1))+1)*(1-IF($M218="نعم",0,N($J218))))</f>
        <v>0</v>
      </c>
      <c r="AG218" s="57" t="n">
        <f aca="false">IF(OR($B218="",$E218="",$F218=""),0,MAX(0,MIN($F218,EOMONTH(DATE(cfg_FY,12,1),0))-MAX($E218,DATE(cfg_FY,12,1))+1)*(1-IF($M218="نعم",0,N($J218))))</f>
        <v>0</v>
      </c>
      <c r="AH218" s="57" t="n">
        <f aca="false">IF(OR(OR($B218="",$E218="",$F218=""),$L218&lt;&gt;"لا"),0,MAX(0,MIN($F218,EOMONTH(DATE(cfg_FY,1,1),0))-$E218+1))</f>
        <v>0</v>
      </c>
      <c r="AI218" s="57" t="n">
        <f aca="false">IF(OR(OR($B218="",$E218="",$F218=""),$L218&lt;&gt;"لا"),0,MAX(0,MIN($F218,EOMONTH(DATE(cfg_FY,2,1),0))-$E218+1))</f>
        <v>0</v>
      </c>
      <c r="AJ218" s="57" t="n">
        <f aca="false">IF(OR(OR($B218="",$E218="",$F218=""),$L218&lt;&gt;"لا"),0,MAX(0,MIN($F218,EOMONTH(DATE(cfg_FY,3,1),0))-$E218+1))</f>
        <v>0</v>
      </c>
      <c r="AK218" s="57" t="n">
        <f aca="false">IF(OR(OR($B218="",$E218="",$F218=""),$L218&lt;&gt;"لا"),0,MAX(0,MIN($F218,EOMONTH(DATE(cfg_FY,4,1),0))-$E218+1))</f>
        <v>0</v>
      </c>
      <c r="AL218" s="57" t="n">
        <f aca="false">IF(OR(OR($B218="",$E218="",$F218=""),$L218&lt;&gt;"لا"),0,MAX(0,MIN($F218,EOMONTH(DATE(cfg_FY,5,1),0))-$E218+1))</f>
        <v>0</v>
      </c>
      <c r="AM218" s="57" t="n">
        <f aca="false">IF(OR(OR($B218="",$E218="",$F218=""),$L218&lt;&gt;"لا"),0,MAX(0,MIN($F218,EOMONTH(DATE(cfg_FY,6,1),0))-$E218+1))</f>
        <v>0</v>
      </c>
      <c r="AN218" s="57" t="n">
        <f aca="false">IF(OR(OR($B218="",$E218="",$F218=""),$L218&lt;&gt;"لا"),0,MAX(0,MIN($F218,EOMONTH(DATE(cfg_FY,7,1),0))-$E218+1))</f>
        <v>0</v>
      </c>
      <c r="AO218" s="57" t="n">
        <f aca="false">IF(OR(OR($B218="",$E218="",$F218=""),$L218&lt;&gt;"لا"),0,MAX(0,MIN($F218,EOMONTH(DATE(cfg_FY,8,1),0))-$E218+1))</f>
        <v>0</v>
      </c>
      <c r="AP218" s="57" t="n">
        <f aca="false">IF(OR(OR($B218="",$E218="",$F218=""),$L218&lt;&gt;"لا"),0,MAX(0,MIN($F218,EOMONTH(DATE(cfg_FY,9,1),0))-$E218+1))</f>
        <v>0</v>
      </c>
      <c r="AQ218" s="57" t="n">
        <f aca="false">IF(OR(OR($B218="",$E218="",$F218=""),$L218&lt;&gt;"لا"),0,MAX(0,MIN($F218,EOMONTH(DATE(cfg_FY,10,1),0))-$E218+1))</f>
        <v>0</v>
      </c>
      <c r="AR218" s="57" t="n">
        <f aca="false">IF(OR(OR($B218="",$E218="",$F218=""),$L218&lt;&gt;"لا"),0,MAX(0,MIN($F218,EOMONTH(DATE(cfg_FY,11,1),0))-$E218+1))</f>
        <v>0</v>
      </c>
      <c r="AS218" s="57" t="n">
        <f aca="false">IF(OR(OR($B218="",$E218="",$F218=""),$L218&lt;&gt;"لا"),0,MAX(0,MIN($F218,EOMONTH(DATE(cfg_FY,12,1),0))-$E218+1))</f>
        <v>0</v>
      </c>
      <c r="AT218" s="57" t="n">
        <f aca="false">IF(OR(OR($B218="",$E218="",$F218=""),$K218&lt;&gt;"نعم",$M218="نعم"),0,MAX(0,MIN($F218,EOMONTH(DATE(cfg_FY,1,1),0))-MAX($E218,DATE(cfg_FY,1,1))+1))</f>
        <v>0</v>
      </c>
      <c r="AU218" s="57" t="n">
        <f aca="false">IF(OR(OR($B218="",$E218="",$F218=""),$K218&lt;&gt;"نعم",$M218="نعم"),0,MAX(0,MIN($F218,EOMONTH(DATE(cfg_FY,2,1),0))-MAX($E218,DATE(cfg_FY,2,1))+1))</f>
        <v>0</v>
      </c>
      <c r="AV218" s="57" t="n">
        <f aca="false">IF(OR(OR($B218="",$E218="",$F218=""),$K218&lt;&gt;"نعم",$M218="نعم"),0,MAX(0,MIN($F218,EOMONTH(DATE(cfg_FY,3,1),0))-MAX($E218,DATE(cfg_FY,3,1))+1))</f>
        <v>0</v>
      </c>
      <c r="AW218" s="57" t="n">
        <f aca="false">IF(OR(OR($B218="",$E218="",$F218=""),$K218&lt;&gt;"نعم",$M218="نعم"),0,MAX(0,MIN($F218,EOMONTH(DATE(cfg_FY,4,1),0))-MAX($E218,DATE(cfg_FY,4,1))+1))</f>
        <v>0</v>
      </c>
      <c r="AX218" s="57" t="n">
        <f aca="false">IF(OR(OR($B218="",$E218="",$F218=""),$K218&lt;&gt;"نعم",$M218="نعم"),0,MAX(0,MIN($F218,EOMONTH(DATE(cfg_FY,5,1),0))-MAX($E218,DATE(cfg_FY,5,1))+1))</f>
        <v>0</v>
      </c>
      <c r="AY218" s="57" t="n">
        <f aca="false">IF(OR(OR($B218="",$E218="",$F218=""),$K218&lt;&gt;"نعم",$M218="نعم"),0,MAX(0,MIN($F218,EOMONTH(DATE(cfg_FY,6,1),0))-MAX($E218,DATE(cfg_FY,6,1))+1))</f>
        <v>0</v>
      </c>
      <c r="AZ218" s="57" t="n">
        <f aca="false">IF(OR(OR($B218="",$E218="",$F218=""),$K218&lt;&gt;"نعم",$M218="نعم"),0,MAX(0,MIN($F218,EOMONTH(DATE(cfg_FY,7,1),0))-MAX($E218,DATE(cfg_FY,7,1))+1))</f>
        <v>0</v>
      </c>
      <c r="BA218" s="57" t="n">
        <f aca="false">IF(OR(OR($B218="",$E218="",$F218=""),$K218&lt;&gt;"نعم",$M218="نعم"),0,MAX(0,MIN($F218,EOMONTH(DATE(cfg_FY,8,1),0))-MAX($E218,DATE(cfg_FY,8,1))+1))</f>
        <v>0</v>
      </c>
      <c r="BB218" s="57" t="n">
        <f aca="false">IF(OR(OR($B218="",$E218="",$F218=""),$K218&lt;&gt;"نعم",$M218="نعم"),0,MAX(0,MIN($F218,EOMONTH(DATE(cfg_FY,9,1),0))-MAX($E218,DATE(cfg_FY,9,1))+1))</f>
        <v>0</v>
      </c>
      <c r="BC218" s="57" t="n">
        <f aca="false">IF(OR(OR($B218="",$E218="",$F218=""),$K218&lt;&gt;"نعم",$M218="نعم"),0,MAX(0,MIN($F218,EOMONTH(DATE(cfg_FY,10,1),0))-MAX($E218,DATE(cfg_FY,10,1))+1))</f>
        <v>0</v>
      </c>
      <c r="BD218" s="57" t="n">
        <f aca="false">IF(OR(OR($B218="",$E218="",$F218=""),$K218&lt;&gt;"نعم",$M218="نعم"),0,MAX(0,MIN($F218,EOMONTH(DATE(cfg_FY,11,1),0))-MAX($E218,DATE(cfg_FY,11,1))+1))</f>
        <v>0</v>
      </c>
      <c r="BE218" s="57" t="n">
        <f aca="false">IF(OR(OR($B218="",$E218="",$F218=""),$K218&lt;&gt;"نعم",$M218="نعم"),0,MAX(0,MIN($F218,EOMONTH(DATE(cfg_FY,12,1),0))-MAX($E218,DATE(cfg_FY,12,1))+1))</f>
        <v>0</v>
      </c>
    </row>
    <row r="219" customFormat="false" ht="15" hidden="false" customHeight="false" outlineLevel="0" collapsed="false">
      <c r="A219" s="100" t="str">
        <f aca="false">IF(B219="","",ROW()-5)</f>
        <v/>
      </c>
      <c r="B219" s="79"/>
      <c r="C219" s="102" t="str">
        <f aca="false">IF(B219="","",IFERROR(INDEX(الموظفون!$C$6:$C$105,MATCH(B219,الموظفون!$B$6:$B$105,0)),"✖ رقم غير موجود"))</f>
        <v/>
      </c>
      <c r="D219" s="79"/>
      <c r="E219" s="94"/>
      <c r="F219" s="94"/>
      <c r="G219" s="110" t="str">
        <f aca="false">IF(OR($B219="",$E219="",$F219=""),"",MAX(0,F219-E219+1))</f>
        <v/>
      </c>
      <c r="H219" s="111" t="str">
        <f aca="false">IF(D219="","",IFERROR(VLOOKUP(D219,cfg_LT,2,FALSE()),1))</f>
        <v/>
      </c>
      <c r="I219" s="82"/>
      <c r="J219" s="111" t="str">
        <f aca="false">IF(D219="","",IF(I219&lt;&gt;"",I219,H219))</f>
        <v/>
      </c>
      <c r="K219" s="102" t="str">
        <f aca="false">IF(D219="","",IFERROR(VLOOKUP($D219,cfg_LT,3,FALSE()),""))</f>
        <v/>
      </c>
      <c r="L219" s="102" t="str">
        <f aca="false">IF(D219="","",IFERROR(VLOOKUP($D219,cfg_LT,4,FALSE()),""))</f>
        <v/>
      </c>
      <c r="M219" s="102" t="str">
        <f aca="false">IF(D219="","",IFERROR(VLOOKUP($D219,cfg_LT,5,FALSE()),""))</f>
        <v/>
      </c>
      <c r="N219" s="101" t="n">
        <f aca="false">IF(OR(OR($B219="",$E219="",$F219=""),M219&lt;&gt;"نعم"),0,G219*J219*IFERROR(INDEX(الموظفون!$R$6:$R$105,MATCH(B219,الموظفون!$B$6:$B$105,0)),0)/cfg_DAYS_M)</f>
        <v>0</v>
      </c>
      <c r="O219" s="100" t="str">
        <f aca="false">IF(OR(OR($B219="",$E219="",$F219=""),M219&lt;&gt;"نعم"),"",IF(YEAR(E219)=cfg_FY,MONTH(E219),""))</f>
        <v/>
      </c>
      <c r="P219" s="102" t="str">
        <f aca="false">IF(B219="","",IF(OR(D219="",E219="",F219=""),"⚠ أكمل النوع والتواريخ",IF(F219&lt;E219,"✖ النهاية قبل البداية",IF(COUNTIFS($B$6:$B$505,B219,$E$6:$E$505,"&lt;="&amp;F219,$F$6:$F$505,"&gt;="&amp;E219)&gt;1,"⚠ تداخل مع سجل آخر",IF(E219&gt;cfg_VAL_DATE,"⏳ قادمة",IF(F219&lt;cfg_VAL_DATE,"✔ منتهية","✈ جارية في تاريخ التقرير"))))))</f>
        <v/>
      </c>
      <c r="Q219" s="79"/>
      <c r="R219" s="110" t="n">
        <f aca="false">IF(OR(OR($B219="",$E219="",$F219=""),L219&lt;&gt;"لا"),0,MAX(0,MIN(F219,cfg_Y_START-1)-E219+1))</f>
        <v>0</v>
      </c>
      <c r="S219" s="110" t="n">
        <f aca="false">IF(OR(OR($B219="",$E219="",$F219=""),L219&lt;&gt;"لا"),0,MAX(0,MIN(F219,cfg_VAL_DATE)-E219+1))</f>
        <v>0</v>
      </c>
      <c r="T219" s="110" t="n">
        <f aca="false">IF(OR(OR($B219="",$E219="",$F219=""),K219&lt;&gt;"نعم"),0,IF(M219="نعم",IF(AND(ISNUMBER(O219),N(O219)&lt;=cfg_VAL_M),G219,0),MAX(0,MIN(F219,cfg_VAL_DATE)-MAX(E219,cfg_Y_START)+1)))</f>
        <v>0</v>
      </c>
      <c r="V219" s="110" t="n">
        <f aca="false">IF(OR($B219="",$E219="",$F219=""),0,MAX(0,MIN($F219,EOMONTH(DATE(cfg_FY,1,1),0))-MAX($E219,DATE(cfg_FY,1,1))+1)*(1-IF($M219="نعم",0,N($J219))))</f>
        <v>0</v>
      </c>
      <c r="W219" s="110" t="n">
        <f aca="false">IF(OR($B219="",$E219="",$F219=""),0,MAX(0,MIN($F219,EOMONTH(DATE(cfg_FY,2,1),0))-MAX($E219,DATE(cfg_FY,2,1))+1)*(1-IF($M219="نعم",0,N($J219))))</f>
        <v>0</v>
      </c>
      <c r="X219" s="110" t="n">
        <f aca="false">IF(OR($B219="",$E219="",$F219=""),0,MAX(0,MIN($F219,EOMONTH(DATE(cfg_FY,3,1),0))-MAX($E219,DATE(cfg_FY,3,1))+1)*(1-IF($M219="نعم",0,N($J219))))</f>
        <v>0</v>
      </c>
      <c r="Y219" s="110" t="n">
        <f aca="false">IF(OR($B219="",$E219="",$F219=""),0,MAX(0,MIN($F219,EOMONTH(DATE(cfg_FY,4,1),0))-MAX($E219,DATE(cfg_FY,4,1))+1)*(1-IF($M219="نعم",0,N($J219))))</f>
        <v>0</v>
      </c>
      <c r="Z219" s="110" t="n">
        <f aca="false">IF(OR($B219="",$E219="",$F219=""),0,MAX(0,MIN($F219,EOMONTH(DATE(cfg_FY,5,1),0))-MAX($E219,DATE(cfg_FY,5,1))+1)*(1-IF($M219="نعم",0,N($J219))))</f>
        <v>0</v>
      </c>
      <c r="AA219" s="110" t="n">
        <f aca="false">IF(OR($B219="",$E219="",$F219=""),0,MAX(0,MIN($F219,EOMONTH(DATE(cfg_FY,6,1),0))-MAX($E219,DATE(cfg_FY,6,1))+1)*(1-IF($M219="نعم",0,N($J219))))</f>
        <v>0</v>
      </c>
      <c r="AB219" s="110" t="n">
        <f aca="false">IF(OR($B219="",$E219="",$F219=""),0,MAX(0,MIN($F219,EOMONTH(DATE(cfg_FY,7,1),0))-MAX($E219,DATE(cfg_FY,7,1))+1)*(1-IF($M219="نعم",0,N($J219))))</f>
        <v>0</v>
      </c>
      <c r="AC219" s="110" t="n">
        <f aca="false">IF(OR($B219="",$E219="",$F219=""),0,MAX(0,MIN($F219,EOMONTH(DATE(cfg_FY,8,1),0))-MAX($E219,DATE(cfg_FY,8,1))+1)*(1-IF($M219="نعم",0,N($J219))))</f>
        <v>0</v>
      </c>
      <c r="AD219" s="110" t="n">
        <f aca="false">IF(OR($B219="",$E219="",$F219=""),0,MAX(0,MIN($F219,EOMONTH(DATE(cfg_FY,9,1),0))-MAX($E219,DATE(cfg_FY,9,1))+1)*(1-IF($M219="نعم",0,N($J219))))</f>
        <v>0</v>
      </c>
      <c r="AE219" s="110" t="n">
        <f aca="false">IF(OR($B219="",$E219="",$F219=""),0,MAX(0,MIN($F219,EOMONTH(DATE(cfg_FY,10,1),0))-MAX($E219,DATE(cfg_FY,10,1))+1)*(1-IF($M219="نعم",0,N($J219))))</f>
        <v>0</v>
      </c>
      <c r="AF219" s="110" t="n">
        <f aca="false">IF(OR($B219="",$E219="",$F219=""),0,MAX(0,MIN($F219,EOMONTH(DATE(cfg_FY,11,1),0))-MAX($E219,DATE(cfg_FY,11,1))+1)*(1-IF($M219="نعم",0,N($J219))))</f>
        <v>0</v>
      </c>
      <c r="AG219" s="110" t="n">
        <f aca="false">IF(OR($B219="",$E219="",$F219=""),0,MAX(0,MIN($F219,EOMONTH(DATE(cfg_FY,12,1),0))-MAX($E219,DATE(cfg_FY,12,1))+1)*(1-IF($M219="نعم",0,N($J219))))</f>
        <v>0</v>
      </c>
      <c r="AH219" s="110" t="n">
        <f aca="false">IF(OR(OR($B219="",$E219="",$F219=""),$L219&lt;&gt;"لا"),0,MAX(0,MIN($F219,EOMONTH(DATE(cfg_FY,1,1),0))-$E219+1))</f>
        <v>0</v>
      </c>
      <c r="AI219" s="110" t="n">
        <f aca="false">IF(OR(OR($B219="",$E219="",$F219=""),$L219&lt;&gt;"لا"),0,MAX(0,MIN($F219,EOMONTH(DATE(cfg_FY,2,1),0))-$E219+1))</f>
        <v>0</v>
      </c>
      <c r="AJ219" s="110" t="n">
        <f aca="false">IF(OR(OR($B219="",$E219="",$F219=""),$L219&lt;&gt;"لا"),0,MAX(0,MIN($F219,EOMONTH(DATE(cfg_FY,3,1),0))-$E219+1))</f>
        <v>0</v>
      </c>
      <c r="AK219" s="110" t="n">
        <f aca="false">IF(OR(OR($B219="",$E219="",$F219=""),$L219&lt;&gt;"لا"),0,MAX(0,MIN($F219,EOMONTH(DATE(cfg_FY,4,1),0))-$E219+1))</f>
        <v>0</v>
      </c>
      <c r="AL219" s="110" t="n">
        <f aca="false">IF(OR(OR($B219="",$E219="",$F219=""),$L219&lt;&gt;"لا"),0,MAX(0,MIN($F219,EOMONTH(DATE(cfg_FY,5,1),0))-$E219+1))</f>
        <v>0</v>
      </c>
      <c r="AM219" s="110" t="n">
        <f aca="false">IF(OR(OR($B219="",$E219="",$F219=""),$L219&lt;&gt;"لا"),0,MAX(0,MIN($F219,EOMONTH(DATE(cfg_FY,6,1),0))-$E219+1))</f>
        <v>0</v>
      </c>
      <c r="AN219" s="110" t="n">
        <f aca="false">IF(OR(OR($B219="",$E219="",$F219=""),$L219&lt;&gt;"لا"),0,MAX(0,MIN($F219,EOMONTH(DATE(cfg_FY,7,1),0))-$E219+1))</f>
        <v>0</v>
      </c>
      <c r="AO219" s="110" t="n">
        <f aca="false">IF(OR(OR($B219="",$E219="",$F219=""),$L219&lt;&gt;"لا"),0,MAX(0,MIN($F219,EOMONTH(DATE(cfg_FY,8,1),0))-$E219+1))</f>
        <v>0</v>
      </c>
      <c r="AP219" s="110" t="n">
        <f aca="false">IF(OR(OR($B219="",$E219="",$F219=""),$L219&lt;&gt;"لا"),0,MAX(0,MIN($F219,EOMONTH(DATE(cfg_FY,9,1),0))-$E219+1))</f>
        <v>0</v>
      </c>
      <c r="AQ219" s="110" t="n">
        <f aca="false">IF(OR(OR($B219="",$E219="",$F219=""),$L219&lt;&gt;"لا"),0,MAX(0,MIN($F219,EOMONTH(DATE(cfg_FY,10,1),0))-$E219+1))</f>
        <v>0</v>
      </c>
      <c r="AR219" s="110" t="n">
        <f aca="false">IF(OR(OR($B219="",$E219="",$F219=""),$L219&lt;&gt;"لا"),0,MAX(0,MIN($F219,EOMONTH(DATE(cfg_FY,11,1),0))-$E219+1))</f>
        <v>0</v>
      </c>
      <c r="AS219" s="110" t="n">
        <f aca="false">IF(OR(OR($B219="",$E219="",$F219=""),$L219&lt;&gt;"لا"),0,MAX(0,MIN($F219,EOMONTH(DATE(cfg_FY,12,1),0))-$E219+1))</f>
        <v>0</v>
      </c>
      <c r="AT219" s="110" t="n">
        <f aca="false">IF(OR(OR($B219="",$E219="",$F219=""),$K219&lt;&gt;"نعم",$M219="نعم"),0,MAX(0,MIN($F219,EOMONTH(DATE(cfg_FY,1,1),0))-MAX($E219,DATE(cfg_FY,1,1))+1))</f>
        <v>0</v>
      </c>
      <c r="AU219" s="110" t="n">
        <f aca="false">IF(OR(OR($B219="",$E219="",$F219=""),$K219&lt;&gt;"نعم",$M219="نعم"),0,MAX(0,MIN($F219,EOMONTH(DATE(cfg_FY,2,1),0))-MAX($E219,DATE(cfg_FY,2,1))+1))</f>
        <v>0</v>
      </c>
      <c r="AV219" s="110" t="n">
        <f aca="false">IF(OR(OR($B219="",$E219="",$F219=""),$K219&lt;&gt;"نعم",$M219="نعم"),0,MAX(0,MIN($F219,EOMONTH(DATE(cfg_FY,3,1),0))-MAX($E219,DATE(cfg_FY,3,1))+1))</f>
        <v>0</v>
      </c>
      <c r="AW219" s="110" t="n">
        <f aca="false">IF(OR(OR($B219="",$E219="",$F219=""),$K219&lt;&gt;"نعم",$M219="نعم"),0,MAX(0,MIN($F219,EOMONTH(DATE(cfg_FY,4,1),0))-MAX($E219,DATE(cfg_FY,4,1))+1))</f>
        <v>0</v>
      </c>
      <c r="AX219" s="110" t="n">
        <f aca="false">IF(OR(OR($B219="",$E219="",$F219=""),$K219&lt;&gt;"نعم",$M219="نعم"),0,MAX(0,MIN($F219,EOMONTH(DATE(cfg_FY,5,1),0))-MAX($E219,DATE(cfg_FY,5,1))+1))</f>
        <v>0</v>
      </c>
      <c r="AY219" s="110" t="n">
        <f aca="false">IF(OR(OR($B219="",$E219="",$F219=""),$K219&lt;&gt;"نعم",$M219="نعم"),0,MAX(0,MIN($F219,EOMONTH(DATE(cfg_FY,6,1),0))-MAX($E219,DATE(cfg_FY,6,1))+1))</f>
        <v>0</v>
      </c>
      <c r="AZ219" s="110" t="n">
        <f aca="false">IF(OR(OR($B219="",$E219="",$F219=""),$K219&lt;&gt;"نعم",$M219="نعم"),0,MAX(0,MIN($F219,EOMONTH(DATE(cfg_FY,7,1),0))-MAX($E219,DATE(cfg_FY,7,1))+1))</f>
        <v>0</v>
      </c>
      <c r="BA219" s="110" t="n">
        <f aca="false">IF(OR(OR($B219="",$E219="",$F219=""),$K219&lt;&gt;"نعم",$M219="نعم"),0,MAX(0,MIN($F219,EOMONTH(DATE(cfg_FY,8,1),0))-MAX($E219,DATE(cfg_FY,8,1))+1))</f>
        <v>0</v>
      </c>
      <c r="BB219" s="110" t="n">
        <f aca="false">IF(OR(OR($B219="",$E219="",$F219=""),$K219&lt;&gt;"نعم",$M219="نعم"),0,MAX(0,MIN($F219,EOMONTH(DATE(cfg_FY,9,1),0))-MAX($E219,DATE(cfg_FY,9,1))+1))</f>
        <v>0</v>
      </c>
      <c r="BC219" s="110" t="n">
        <f aca="false">IF(OR(OR($B219="",$E219="",$F219=""),$K219&lt;&gt;"نعم",$M219="نعم"),0,MAX(0,MIN($F219,EOMONTH(DATE(cfg_FY,10,1),0))-MAX($E219,DATE(cfg_FY,10,1))+1))</f>
        <v>0</v>
      </c>
      <c r="BD219" s="110" t="n">
        <f aca="false">IF(OR(OR($B219="",$E219="",$F219=""),$K219&lt;&gt;"نعم",$M219="نعم"),0,MAX(0,MIN($F219,EOMONTH(DATE(cfg_FY,11,1),0))-MAX($E219,DATE(cfg_FY,11,1))+1))</f>
        <v>0</v>
      </c>
      <c r="BE219" s="110" t="n">
        <f aca="false">IF(OR(OR($B219="",$E219="",$F219=""),$K219&lt;&gt;"نعم",$M219="نعم"),0,MAX(0,MIN($F219,EOMONTH(DATE(cfg_FY,12,1),0))-MAX($E219,DATE(cfg_FY,12,1))+1))</f>
        <v>0</v>
      </c>
    </row>
    <row r="220" customFormat="false" ht="15" hidden="false" customHeight="false" outlineLevel="0" collapsed="false">
      <c r="A220" s="93" t="str">
        <f aca="false">IF(B220="","",ROW()-5)</f>
        <v/>
      </c>
      <c r="B220" s="79"/>
      <c r="C220" s="80" t="str">
        <f aca="false">IF(B220="","",IFERROR(INDEX(الموظفون!$C$6:$C$105,MATCH(B220,الموظفون!$B$6:$B$105,0)),"✖ رقم غير موجود"))</f>
        <v/>
      </c>
      <c r="D220" s="79"/>
      <c r="E220" s="94"/>
      <c r="F220" s="94"/>
      <c r="G220" s="57" t="str">
        <f aca="false">IF(OR($B220="",$E220="",$F220=""),"",MAX(0,F220-E220+1))</f>
        <v/>
      </c>
      <c r="H220" s="58" t="str">
        <f aca="false">IF(D220="","",IFERROR(VLOOKUP(D220,cfg_LT,2,FALSE()),1))</f>
        <v/>
      </c>
      <c r="I220" s="82"/>
      <c r="J220" s="58" t="str">
        <f aca="false">IF(D220="","",IF(I220&lt;&gt;"",I220,H220))</f>
        <v/>
      </c>
      <c r="K220" s="80" t="str">
        <f aca="false">IF(D220="","",IFERROR(VLOOKUP($D220,cfg_LT,3,FALSE()),""))</f>
        <v/>
      </c>
      <c r="L220" s="80" t="str">
        <f aca="false">IF(D220="","",IFERROR(VLOOKUP($D220,cfg_LT,4,FALSE()),""))</f>
        <v/>
      </c>
      <c r="M220" s="80" t="str">
        <f aca="false">IF(D220="","",IFERROR(VLOOKUP($D220,cfg_LT,5,FALSE()),""))</f>
        <v/>
      </c>
      <c r="N220" s="97" t="n">
        <f aca="false">IF(OR(OR($B220="",$E220="",$F220=""),M220&lt;&gt;"نعم"),0,G220*J220*IFERROR(INDEX(الموظفون!$R$6:$R$105,MATCH(B220,الموظفون!$B$6:$B$105,0)),0)/cfg_DAYS_M)</f>
        <v>0</v>
      </c>
      <c r="O220" s="93" t="str">
        <f aca="false">IF(OR(OR($B220="",$E220="",$F220=""),M220&lt;&gt;"نعم"),"",IF(YEAR(E220)=cfg_FY,MONTH(E220),""))</f>
        <v/>
      </c>
      <c r="P220" s="80" t="str">
        <f aca="false">IF(B220="","",IF(OR(D220="",E220="",F220=""),"⚠ أكمل النوع والتواريخ",IF(F220&lt;E220,"✖ النهاية قبل البداية",IF(COUNTIFS($B$6:$B$505,B220,$E$6:$E$505,"&lt;="&amp;F220,$F$6:$F$505,"&gt;="&amp;E220)&gt;1,"⚠ تداخل مع سجل آخر",IF(E220&gt;cfg_VAL_DATE,"⏳ قادمة",IF(F220&lt;cfg_VAL_DATE,"✔ منتهية","✈ جارية في تاريخ التقرير"))))))</f>
        <v/>
      </c>
      <c r="Q220" s="79"/>
      <c r="R220" s="57" t="n">
        <f aca="false">IF(OR(OR($B220="",$E220="",$F220=""),L220&lt;&gt;"لا"),0,MAX(0,MIN(F220,cfg_Y_START-1)-E220+1))</f>
        <v>0</v>
      </c>
      <c r="S220" s="57" t="n">
        <f aca="false">IF(OR(OR($B220="",$E220="",$F220=""),L220&lt;&gt;"لا"),0,MAX(0,MIN(F220,cfg_VAL_DATE)-E220+1))</f>
        <v>0</v>
      </c>
      <c r="T220" s="57" t="n">
        <f aca="false">IF(OR(OR($B220="",$E220="",$F220=""),K220&lt;&gt;"نعم"),0,IF(M220="نعم",IF(AND(ISNUMBER(O220),N(O220)&lt;=cfg_VAL_M),G220,0),MAX(0,MIN(F220,cfg_VAL_DATE)-MAX(E220,cfg_Y_START)+1)))</f>
        <v>0</v>
      </c>
      <c r="V220" s="57" t="n">
        <f aca="false">IF(OR($B220="",$E220="",$F220=""),0,MAX(0,MIN($F220,EOMONTH(DATE(cfg_FY,1,1),0))-MAX($E220,DATE(cfg_FY,1,1))+1)*(1-IF($M220="نعم",0,N($J220))))</f>
        <v>0</v>
      </c>
      <c r="W220" s="57" t="n">
        <f aca="false">IF(OR($B220="",$E220="",$F220=""),0,MAX(0,MIN($F220,EOMONTH(DATE(cfg_FY,2,1),0))-MAX($E220,DATE(cfg_FY,2,1))+1)*(1-IF($M220="نعم",0,N($J220))))</f>
        <v>0</v>
      </c>
      <c r="X220" s="57" t="n">
        <f aca="false">IF(OR($B220="",$E220="",$F220=""),0,MAX(0,MIN($F220,EOMONTH(DATE(cfg_FY,3,1),0))-MAX($E220,DATE(cfg_FY,3,1))+1)*(1-IF($M220="نعم",0,N($J220))))</f>
        <v>0</v>
      </c>
      <c r="Y220" s="57" t="n">
        <f aca="false">IF(OR($B220="",$E220="",$F220=""),0,MAX(0,MIN($F220,EOMONTH(DATE(cfg_FY,4,1),0))-MAX($E220,DATE(cfg_FY,4,1))+1)*(1-IF($M220="نعم",0,N($J220))))</f>
        <v>0</v>
      </c>
      <c r="Z220" s="57" t="n">
        <f aca="false">IF(OR($B220="",$E220="",$F220=""),0,MAX(0,MIN($F220,EOMONTH(DATE(cfg_FY,5,1),0))-MAX($E220,DATE(cfg_FY,5,1))+1)*(1-IF($M220="نعم",0,N($J220))))</f>
        <v>0</v>
      </c>
      <c r="AA220" s="57" t="n">
        <f aca="false">IF(OR($B220="",$E220="",$F220=""),0,MAX(0,MIN($F220,EOMONTH(DATE(cfg_FY,6,1),0))-MAX($E220,DATE(cfg_FY,6,1))+1)*(1-IF($M220="نعم",0,N($J220))))</f>
        <v>0</v>
      </c>
      <c r="AB220" s="57" t="n">
        <f aca="false">IF(OR($B220="",$E220="",$F220=""),0,MAX(0,MIN($F220,EOMONTH(DATE(cfg_FY,7,1),0))-MAX($E220,DATE(cfg_FY,7,1))+1)*(1-IF($M220="نعم",0,N($J220))))</f>
        <v>0</v>
      </c>
      <c r="AC220" s="57" t="n">
        <f aca="false">IF(OR($B220="",$E220="",$F220=""),0,MAX(0,MIN($F220,EOMONTH(DATE(cfg_FY,8,1),0))-MAX($E220,DATE(cfg_FY,8,1))+1)*(1-IF($M220="نعم",0,N($J220))))</f>
        <v>0</v>
      </c>
      <c r="AD220" s="57" t="n">
        <f aca="false">IF(OR($B220="",$E220="",$F220=""),0,MAX(0,MIN($F220,EOMONTH(DATE(cfg_FY,9,1),0))-MAX($E220,DATE(cfg_FY,9,1))+1)*(1-IF($M220="نعم",0,N($J220))))</f>
        <v>0</v>
      </c>
      <c r="AE220" s="57" t="n">
        <f aca="false">IF(OR($B220="",$E220="",$F220=""),0,MAX(0,MIN($F220,EOMONTH(DATE(cfg_FY,10,1),0))-MAX($E220,DATE(cfg_FY,10,1))+1)*(1-IF($M220="نعم",0,N($J220))))</f>
        <v>0</v>
      </c>
      <c r="AF220" s="57" t="n">
        <f aca="false">IF(OR($B220="",$E220="",$F220=""),0,MAX(0,MIN($F220,EOMONTH(DATE(cfg_FY,11,1),0))-MAX($E220,DATE(cfg_FY,11,1))+1)*(1-IF($M220="نعم",0,N($J220))))</f>
        <v>0</v>
      </c>
      <c r="AG220" s="57" t="n">
        <f aca="false">IF(OR($B220="",$E220="",$F220=""),0,MAX(0,MIN($F220,EOMONTH(DATE(cfg_FY,12,1),0))-MAX($E220,DATE(cfg_FY,12,1))+1)*(1-IF($M220="نعم",0,N($J220))))</f>
        <v>0</v>
      </c>
      <c r="AH220" s="57" t="n">
        <f aca="false">IF(OR(OR($B220="",$E220="",$F220=""),$L220&lt;&gt;"لا"),0,MAX(0,MIN($F220,EOMONTH(DATE(cfg_FY,1,1),0))-$E220+1))</f>
        <v>0</v>
      </c>
      <c r="AI220" s="57" t="n">
        <f aca="false">IF(OR(OR($B220="",$E220="",$F220=""),$L220&lt;&gt;"لا"),0,MAX(0,MIN($F220,EOMONTH(DATE(cfg_FY,2,1),0))-$E220+1))</f>
        <v>0</v>
      </c>
      <c r="AJ220" s="57" t="n">
        <f aca="false">IF(OR(OR($B220="",$E220="",$F220=""),$L220&lt;&gt;"لا"),0,MAX(0,MIN($F220,EOMONTH(DATE(cfg_FY,3,1),0))-$E220+1))</f>
        <v>0</v>
      </c>
      <c r="AK220" s="57" t="n">
        <f aca="false">IF(OR(OR($B220="",$E220="",$F220=""),$L220&lt;&gt;"لا"),0,MAX(0,MIN($F220,EOMONTH(DATE(cfg_FY,4,1),0))-$E220+1))</f>
        <v>0</v>
      </c>
      <c r="AL220" s="57" t="n">
        <f aca="false">IF(OR(OR($B220="",$E220="",$F220=""),$L220&lt;&gt;"لا"),0,MAX(0,MIN($F220,EOMONTH(DATE(cfg_FY,5,1),0))-$E220+1))</f>
        <v>0</v>
      </c>
      <c r="AM220" s="57" t="n">
        <f aca="false">IF(OR(OR($B220="",$E220="",$F220=""),$L220&lt;&gt;"لا"),0,MAX(0,MIN($F220,EOMONTH(DATE(cfg_FY,6,1),0))-$E220+1))</f>
        <v>0</v>
      </c>
      <c r="AN220" s="57" t="n">
        <f aca="false">IF(OR(OR($B220="",$E220="",$F220=""),$L220&lt;&gt;"لا"),0,MAX(0,MIN($F220,EOMONTH(DATE(cfg_FY,7,1),0))-$E220+1))</f>
        <v>0</v>
      </c>
      <c r="AO220" s="57" t="n">
        <f aca="false">IF(OR(OR($B220="",$E220="",$F220=""),$L220&lt;&gt;"لا"),0,MAX(0,MIN($F220,EOMONTH(DATE(cfg_FY,8,1),0))-$E220+1))</f>
        <v>0</v>
      </c>
      <c r="AP220" s="57" t="n">
        <f aca="false">IF(OR(OR($B220="",$E220="",$F220=""),$L220&lt;&gt;"لا"),0,MAX(0,MIN($F220,EOMONTH(DATE(cfg_FY,9,1),0))-$E220+1))</f>
        <v>0</v>
      </c>
      <c r="AQ220" s="57" t="n">
        <f aca="false">IF(OR(OR($B220="",$E220="",$F220=""),$L220&lt;&gt;"لا"),0,MAX(0,MIN($F220,EOMONTH(DATE(cfg_FY,10,1),0))-$E220+1))</f>
        <v>0</v>
      </c>
      <c r="AR220" s="57" t="n">
        <f aca="false">IF(OR(OR($B220="",$E220="",$F220=""),$L220&lt;&gt;"لا"),0,MAX(0,MIN($F220,EOMONTH(DATE(cfg_FY,11,1),0))-$E220+1))</f>
        <v>0</v>
      </c>
      <c r="AS220" s="57" t="n">
        <f aca="false">IF(OR(OR($B220="",$E220="",$F220=""),$L220&lt;&gt;"لا"),0,MAX(0,MIN($F220,EOMONTH(DATE(cfg_FY,12,1),0))-$E220+1))</f>
        <v>0</v>
      </c>
      <c r="AT220" s="57" t="n">
        <f aca="false">IF(OR(OR($B220="",$E220="",$F220=""),$K220&lt;&gt;"نعم",$M220="نعم"),0,MAX(0,MIN($F220,EOMONTH(DATE(cfg_FY,1,1),0))-MAX($E220,DATE(cfg_FY,1,1))+1))</f>
        <v>0</v>
      </c>
      <c r="AU220" s="57" t="n">
        <f aca="false">IF(OR(OR($B220="",$E220="",$F220=""),$K220&lt;&gt;"نعم",$M220="نعم"),0,MAX(0,MIN($F220,EOMONTH(DATE(cfg_FY,2,1),0))-MAX($E220,DATE(cfg_FY,2,1))+1))</f>
        <v>0</v>
      </c>
      <c r="AV220" s="57" t="n">
        <f aca="false">IF(OR(OR($B220="",$E220="",$F220=""),$K220&lt;&gt;"نعم",$M220="نعم"),0,MAX(0,MIN($F220,EOMONTH(DATE(cfg_FY,3,1),0))-MAX($E220,DATE(cfg_FY,3,1))+1))</f>
        <v>0</v>
      </c>
      <c r="AW220" s="57" t="n">
        <f aca="false">IF(OR(OR($B220="",$E220="",$F220=""),$K220&lt;&gt;"نعم",$M220="نعم"),0,MAX(0,MIN($F220,EOMONTH(DATE(cfg_FY,4,1),0))-MAX($E220,DATE(cfg_FY,4,1))+1))</f>
        <v>0</v>
      </c>
      <c r="AX220" s="57" t="n">
        <f aca="false">IF(OR(OR($B220="",$E220="",$F220=""),$K220&lt;&gt;"نعم",$M220="نعم"),0,MAX(0,MIN($F220,EOMONTH(DATE(cfg_FY,5,1),0))-MAX($E220,DATE(cfg_FY,5,1))+1))</f>
        <v>0</v>
      </c>
      <c r="AY220" s="57" t="n">
        <f aca="false">IF(OR(OR($B220="",$E220="",$F220=""),$K220&lt;&gt;"نعم",$M220="نعم"),0,MAX(0,MIN($F220,EOMONTH(DATE(cfg_FY,6,1),0))-MAX($E220,DATE(cfg_FY,6,1))+1))</f>
        <v>0</v>
      </c>
      <c r="AZ220" s="57" t="n">
        <f aca="false">IF(OR(OR($B220="",$E220="",$F220=""),$K220&lt;&gt;"نعم",$M220="نعم"),0,MAX(0,MIN($F220,EOMONTH(DATE(cfg_FY,7,1),0))-MAX($E220,DATE(cfg_FY,7,1))+1))</f>
        <v>0</v>
      </c>
      <c r="BA220" s="57" t="n">
        <f aca="false">IF(OR(OR($B220="",$E220="",$F220=""),$K220&lt;&gt;"نعم",$M220="نعم"),0,MAX(0,MIN($F220,EOMONTH(DATE(cfg_FY,8,1),0))-MAX($E220,DATE(cfg_FY,8,1))+1))</f>
        <v>0</v>
      </c>
      <c r="BB220" s="57" t="n">
        <f aca="false">IF(OR(OR($B220="",$E220="",$F220=""),$K220&lt;&gt;"نعم",$M220="نعم"),0,MAX(0,MIN($F220,EOMONTH(DATE(cfg_FY,9,1),0))-MAX($E220,DATE(cfg_FY,9,1))+1))</f>
        <v>0</v>
      </c>
      <c r="BC220" s="57" t="n">
        <f aca="false">IF(OR(OR($B220="",$E220="",$F220=""),$K220&lt;&gt;"نعم",$M220="نعم"),0,MAX(0,MIN($F220,EOMONTH(DATE(cfg_FY,10,1),0))-MAX($E220,DATE(cfg_FY,10,1))+1))</f>
        <v>0</v>
      </c>
      <c r="BD220" s="57" t="n">
        <f aca="false">IF(OR(OR($B220="",$E220="",$F220=""),$K220&lt;&gt;"نعم",$M220="نعم"),0,MAX(0,MIN($F220,EOMONTH(DATE(cfg_FY,11,1),0))-MAX($E220,DATE(cfg_FY,11,1))+1))</f>
        <v>0</v>
      </c>
      <c r="BE220" s="57" t="n">
        <f aca="false">IF(OR(OR($B220="",$E220="",$F220=""),$K220&lt;&gt;"نعم",$M220="نعم"),0,MAX(0,MIN($F220,EOMONTH(DATE(cfg_FY,12,1),0))-MAX($E220,DATE(cfg_FY,12,1))+1))</f>
        <v>0</v>
      </c>
    </row>
    <row r="221" customFormat="false" ht="15" hidden="false" customHeight="false" outlineLevel="0" collapsed="false">
      <c r="A221" s="100" t="str">
        <f aca="false">IF(B221="","",ROW()-5)</f>
        <v/>
      </c>
      <c r="B221" s="79"/>
      <c r="C221" s="102" t="str">
        <f aca="false">IF(B221="","",IFERROR(INDEX(الموظفون!$C$6:$C$105,MATCH(B221,الموظفون!$B$6:$B$105,0)),"✖ رقم غير موجود"))</f>
        <v/>
      </c>
      <c r="D221" s="79"/>
      <c r="E221" s="94"/>
      <c r="F221" s="94"/>
      <c r="G221" s="110" t="str">
        <f aca="false">IF(OR($B221="",$E221="",$F221=""),"",MAX(0,F221-E221+1))</f>
        <v/>
      </c>
      <c r="H221" s="111" t="str">
        <f aca="false">IF(D221="","",IFERROR(VLOOKUP(D221,cfg_LT,2,FALSE()),1))</f>
        <v/>
      </c>
      <c r="I221" s="82"/>
      <c r="J221" s="111" t="str">
        <f aca="false">IF(D221="","",IF(I221&lt;&gt;"",I221,H221))</f>
        <v/>
      </c>
      <c r="K221" s="102" t="str">
        <f aca="false">IF(D221="","",IFERROR(VLOOKUP($D221,cfg_LT,3,FALSE()),""))</f>
        <v/>
      </c>
      <c r="L221" s="102" t="str">
        <f aca="false">IF(D221="","",IFERROR(VLOOKUP($D221,cfg_LT,4,FALSE()),""))</f>
        <v/>
      </c>
      <c r="M221" s="102" t="str">
        <f aca="false">IF(D221="","",IFERROR(VLOOKUP($D221,cfg_LT,5,FALSE()),""))</f>
        <v/>
      </c>
      <c r="N221" s="101" t="n">
        <f aca="false">IF(OR(OR($B221="",$E221="",$F221=""),M221&lt;&gt;"نعم"),0,G221*J221*IFERROR(INDEX(الموظفون!$R$6:$R$105,MATCH(B221,الموظفون!$B$6:$B$105,0)),0)/cfg_DAYS_M)</f>
        <v>0</v>
      </c>
      <c r="O221" s="100" t="str">
        <f aca="false">IF(OR(OR($B221="",$E221="",$F221=""),M221&lt;&gt;"نعم"),"",IF(YEAR(E221)=cfg_FY,MONTH(E221),""))</f>
        <v/>
      </c>
      <c r="P221" s="102" t="str">
        <f aca="false">IF(B221="","",IF(OR(D221="",E221="",F221=""),"⚠ أكمل النوع والتواريخ",IF(F221&lt;E221,"✖ النهاية قبل البداية",IF(COUNTIFS($B$6:$B$505,B221,$E$6:$E$505,"&lt;="&amp;F221,$F$6:$F$505,"&gt;="&amp;E221)&gt;1,"⚠ تداخل مع سجل آخر",IF(E221&gt;cfg_VAL_DATE,"⏳ قادمة",IF(F221&lt;cfg_VAL_DATE,"✔ منتهية","✈ جارية في تاريخ التقرير"))))))</f>
        <v/>
      </c>
      <c r="Q221" s="79"/>
      <c r="R221" s="110" t="n">
        <f aca="false">IF(OR(OR($B221="",$E221="",$F221=""),L221&lt;&gt;"لا"),0,MAX(0,MIN(F221,cfg_Y_START-1)-E221+1))</f>
        <v>0</v>
      </c>
      <c r="S221" s="110" t="n">
        <f aca="false">IF(OR(OR($B221="",$E221="",$F221=""),L221&lt;&gt;"لا"),0,MAX(0,MIN(F221,cfg_VAL_DATE)-E221+1))</f>
        <v>0</v>
      </c>
      <c r="T221" s="110" t="n">
        <f aca="false">IF(OR(OR($B221="",$E221="",$F221=""),K221&lt;&gt;"نعم"),0,IF(M221="نعم",IF(AND(ISNUMBER(O221),N(O221)&lt;=cfg_VAL_M),G221,0),MAX(0,MIN(F221,cfg_VAL_DATE)-MAX(E221,cfg_Y_START)+1)))</f>
        <v>0</v>
      </c>
      <c r="V221" s="110" t="n">
        <f aca="false">IF(OR($B221="",$E221="",$F221=""),0,MAX(0,MIN($F221,EOMONTH(DATE(cfg_FY,1,1),0))-MAX($E221,DATE(cfg_FY,1,1))+1)*(1-IF($M221="نعم",0,N($J221))))</f>
        <v>0</v>
      </c>
      <c r="W221" s="110" t="n">
        <f aca="false">IF(OR($B221="",$E221="",$F221=""),0,MAX(0,MIN($F221,EOMONTH(DATE(cfg_FY,2,1),0))-MAX($E221,DATE(cfg_FY,2,1))+1)*(1-IF($M221="نعم",0,N($J221))))</f>
        <v>0</v>
      </c>
      <c r="X221" s="110" t="n">
        <f aca="false">IF(OR($B221="",$E221="",$F221=""),0,MAX(0,MIN($F221,EOMONTH(DATE(cfg_FY,3,1),0))-MAX($E221,DATE(cfg_FY,3,1))+1)*(1-IF($M221="نعم",0,N($J221))))</f>
        <v>0</v>
      </c>
      <c r="Y221" s="110" t="n">
        <f aca="false">IF(OR($B221="",$E221="",$F221=""),0,MAX(0,MIN($F221,EOMONTH(DATE(cfg_FY,4,1),0))-MAX($E221,DATE(cfg_FY,4,1))+1)*(1-IF($M221="نعم",0,N($J221))))</f>
        <v>0</v>
      </c>
      <c r="Z221" s="110" t="n">
        <f aca="false">IF(OR($B221="",$E221="",$F221=""),0,MAX(0,MIN($F221,EOMONTH(DATE(cfg_FY,5,1),0))-MAX($E221,DATE(cfg_FY,5,1))+1)*(1-IF($M221="نعم",0,N($J221))))</f>
        <v>0</v>
      </c>
      <c r="AA221" s="110" t="n">
        <f aca="false">IF(OR($B221="",$E221="",$F221=""),0,MAX(0,MIN($F221,EOMONTH(DATE(cfg_FY,6,1),0))-MAX($E221,DATE(cfg_FY,6,1))+1)*(1-IF($M221="نعم",0,N($J221))))</f>
        <v>0</v>
      </c>
      <c r="AB221" s="110" t="n">
        <f aca="false">IF(OR($B221="",$E221="",$F221=""),0,MAX(0,MIN($F221,EOMONTH(DATE(cfg_FY,7,1),0))-MAX($E221,DATE(cfg_FY,7,1))+1)*(1-IF($M221="نعم",0,N($J221))))</f>
        <v>0</v>
      </c>
      <c r="AC221" s="110" t="n">
        <f aca="false">IF(OR($B221="",$E221="",$F221=""),0,MAX(0,MIN($F221,EOMONTH(DATE(cfg_FY,8,1),0))-MAX($E221,DATE(cfg_FY,8,1))+1)*(1-IF($M221="نعم",0,N($J221))))</f>
        <v>0</v>
      </c>
      <c r="AD221" s="110" t="n">
        <f aca="false">IF(OR($B221="",$E221="",$F221=""),0,MAX(0,MIN($F221,EOMONTH(DATE(cfg_FY,9,1),0))-MAX($E221,DATE(cfg_FY,9,1))+1)*(1-IF($M221="نعم",0,N($J221))))</f>
        <v>0</v>
      </c>
      <c r="AE221" s="110" t="n">
        <f aca="false">IF(OR($B221="",$E221="",$F221=""),0,MAX(0,MIN($F221,EOMONTH(DATE(cfg_FY,10,1),0))-MAX($E221,DATE(cfg_FY,10,1))+1)*(1-IF($M221="نعم",0,N($J221))))</f>
        <v>0</v>
      </c>
      <c r="AF221" s="110" t="n">
        <f aca="false">IF(OR($B221="",$E221="",$F221=""),0,MAX(0,MIN($F221,EOMONTH(DATE(cfg_FY,11,1),0))-MAX($E221,DATE(cfg_FY,11,1))+1)*(1-IF($M221="نعم",0,N($J221))))</f>
        <v>0</v>
      </c>
      <c r="AG221" s="110" t="n">
        <f aca="false">IF(OR($B221="",$E221="",$F221=""),0,MAX(0,MIN($F221,EOMONTH(DATE(cfg_FY,12,1),0))-MAX($E221,DATE(cfg_FY,12,1))+1)*(1-IF($M221="نعم",0,N($J221))))</f>
        <v>0</v>
      </c>
      <c r="AH221" s="110" t="n">
        <f aca="false">IF(OR(OR($B221="",$E221="",$F221=""),$L221&lt;&gt;"لا"),0,MAX(0,MIN($F221,EOMONTH(DATE(cfg_FY,1,1),0))-$E221+1))</f>
        <v>0</v>
      </c>
      <c r="AI221" s="110" t="n">
        <f aca="false">IF(OR(OR($B221="",$E221="",$F221=""),$L221&lt;&gt;"لا"),0,MAX(0,MIN($F221,EOMONTH(DATE(cfg_FY,2,1),0))-$E221+1))</f>
        <v>0</v>
      </c>
      <c r="AJ221" s="110" t="n">
        <f aca="false">IF(OR(OR($B221="",$E221="",$F221=""),$L221&lt;&gt;"لا"),0,MAX(0,MIN($F221,EOMONTH(DATE(cfg_FY,3,1),0))-$E221+1))</f>
        <v>0</v>
      </c>
      <c r="AK221" s="110" t="n">
        <f aca="false">IF(OR(OR($B221="",$E221="",$F221=""),$L221&lt;&gt;"لا"),0,MAX(0,MIN($F221,EOMONTH(DATE(cfg_FY,4,1),0))-$E221+1))</f>
        <v>0</v>
      </c>
      <c r="AL221" s="110" t="n">
        <f aca="false">IF(OR(OR($B221="",$E221="",$F221=""),$L221&lt;&gt;"لا"),0,MAX(0,MIN($F221,EOMONTH(DATE(cfg_FY,5,1),0))-$E221+1))</f>
        <v>0</v>
      </c>
      <c r="AM221" s="110" t="n">
        <f aca="false">IF(OR(OR($B221="",$E221="",$F221=""),$L221&lt;&gt;"لا"),0,MAX(0,MIN($F221,EOMONTH(DATE(cfg_FY,6,1),0))-$E221+1))</f>
        <v>0</v>
      </c>
      <c r="AN221" s="110" t="n">
        <f aca="false">IF(OR(OR($B221="",$E221="",$F221=""),$L221&lt;&gt;"لا"),0,MAX(0,MIN($F221,EOMONTH(DATE(cfg_FY,7,1),0))-$E221+1))</f>
        <v>0</v>
      </c>
      <c r="AO221" s="110" t="n">
        <f aca="false">IF(OR(OR($B221="",$E221="",$F221=""),$L221&lt;&gt;"لا"),0,MAX(0,MIN($F221,EOMONTH(DATE(cfg_FY,8,1),0))-$E221+1))</f>
        <v>0</v>
      </c>
      <c r="AP221" s="110" t="n">
        <f aca="false">IF(OR(OR($B221="",$E221="",$F221=""),$L221&lt;&gt;"لا"),0,MAX(0,MIN($F221,EOMONTH(DATE(cfg_FY,9,1),0))-$E221+1))</f>
        <v>0</v>
      </c>
      <c r="AQ221" s="110" t="n">
        <f aca="false">IF(OR(OR($B221="",$E221="",$F221=""),$L221&lt;&gt;"لا"),0,MAX(0,MIN($F221,EOMONTH(DATE(cfg_FY,10,1),0))-$E221+1))</f>
        <v>0</v>
      </c>
      <c r="AR221" s="110" t="n">
        <f aca="false">IF(OR(OR($B221="",$E221="",$F221=""),$L221&lt;&gt;"لا"),0,MAX(0,MIN($F221,EOMONTH(DATE(cfg_FY,11,1),0))-$E221+1))</f>
        <v>0</v>
      </c>
      <c r="AS221" s="110" t="n">
        <f aca="false">IF(OR(OR($B221="",$E221="",$F221=""),$L221&lt;&gt;"لا"),0,MAX(0,MIN($F221,EOMONTH(DATE(cfg_FY,12,1),0))-$E221+1))</f>
        <v>0</v>
      </c>
      <c r="AT221" s="110" t="n">
        <f aca="false">IF(OR(OR($B221="",$E221="",$F221=""),$K221&lt;&gt;"نعم",$M221="نعم"),0,MAX(0,MIN($F221,EOMONTH(DATE(cfg_FY,1,1),0))-MAX($E221,DATE(cfg_FY,1,1))+1))</f>
        <v>0</v>
      </c>
      <c r="AU221" s="110" t="n">
        <f aca="false">IF(OR(OR($B221="",$E221="",$F221=""),$K221&lt;&gt;"نعم",$M221="نعم"),0,MAX(0,MIN($F221,EOMONTH(DATE(cfg_FY,2,1),0))-MAX($E221,DATE(cfg_FY,2,1))+1))</f>
        <v>0</v>
      </c>
      <c r="AV221" s="110" t="n">
        <f aca="false">IF(OR(OR($B221="",$E221="",$F221=""),$K221&lt;&gt;"نعم",$M221="نعم"),0,MAX(0,MIN($F221,EOMONTH(DATE(cfg_FY,3,1),0))-MAX($E221,DATE(cfg_FY,3,1))+1))</f>
        <v>0</v>
      </c>
      <c r="AW221" s="110" t="n">
        <f aca="false">IF(OR(OR($B221="",$E221="",$F221=""),$K221&lt;&gt;"نعم",$M221="نعم"),0,MAX(0,MIN($F221,EOMONTH(DATE(cfg_FY,4,1),0))-MAX($E221,DATE(cfg_FY,4,1))+1))</f>
        <v>0</v>
      </c>
      <c r="AX221" s="110" t="n">
        <f aca="false">IF(OR(OR($B221="",$E221="",$F221=""),$K221&lt;&gt;"نعم",$M221="نعم"),0,MAX(0,MIN($F221,EOMONTH(DATE(cfg_FY,5,1),0))-MAX($E221,DATE(cfg_FY,5,1))+1))</f>
        <v>0</v>
      </c>
      <c r="AY221" s="110" t="n">
        <f aca="false">IF(OR(OR($B221="",$E221="",$F221=""),$K221&lt;&gt;"نعم",$M221="نعم"),0,MAX(0,MIN($F221,EOMONTH(DATE(cfg_FY,6,1),0))-MAX($E221,DATE(cfg_FY,6,1))+1))</f>
        <v>0</v>
      </c>
      <c r="AZ221" s="110" t="n">
        <f aca="false">IF(OR(OR($B221="",$E221="",$F221=""),$K221&lt;&gt;"نعم",$M221="نعم"),0,MAX(0,MIN($F221,EOMONTH(DATE(cfg_FY,7,1),0))-MAX($E221,DATE(cfg_FY,7,1))+1))</f>
        <v>0</v>
      </c>
      <c r="BA221" s="110" t="n">
        <f aca="false">IF(OR(OR($B221="",$E221="",$F221=""),$K221&lt;&gt;"نعم",$M221="نعم"),0,MAX(0,MIN($F221,EOMONTH(DATE(cfg_FY,8,1),0))-MAX($E221,DATE(cfg_FY,8,1))+1))</f>
        <v>0</v>
      </c>
      <c r="BB221" s="110" t="n">
        <f aca="false">IF(OR(OR($B221="",$E221="",$F221=""),$K221&lt;&gt;"نعم",$M221="نعم"),0,MAX(0,MIN($F221,EOMONTH(DATE(cfg_FY,9,1),0))-MAX($E221,DATE(cfg_FY,9,1))+1))</f>
        <v>0</v>
      </c>
      <c r="BC221" s="110" t="n">
        <f aca="false">IF(OR(OR($B221="",$E221="",$F221=""),$K221&lt;&gt;"نعم",$M221="نعم"),0,MAX(0,MIN($F221,EOMONTH(DATE(cfg_FY,10,1),0))-MAX($E221,DATE(cfg_FY,10,1))+1))</f>
        <v>0</v>
      </c>
      <c r="BD221" s="110" t="n">
        <f aca="false">IF(OR(OR($B221="",$E221="",$F221=""),$K221&lt;&gt;"نعم",$M221="نعم"),0,MAX(0,MIN($F221,EOMONTH(DATE(cfg_FY,11,1),0))-MAX($E221,DATE(cfg_FY,11,1))+1))</f>
        <v>0</v>
      </c>
      <c r="BE221" s="110" t="n">
        <f aca="false">IF(OR(OR($B221="",$E221="",$F221=""),$K221&lt;&gt;"نعم",$M221="نعم"),0,MAX(0,MIN($F221,EOMONTH(DATE(cfg_FY,12,1),0))-MAX($E221,DATE(cfg_FY,12,1))+1))</f>
        <v>0</v>
      </c>
    </row>
    <row r="222" customFormat="false" ht="15" hidden="false" customHeight="false" outlineLevel="0" collapsed="false">
      <c r="A222" s="93" t="str">
        <f aca="false">IF(B222="","",ROW()-5)</f>
        <v/>
      </c>
      <c r="B222" s="79"/>
      <c r="C222" s="80" t="str">
        <f aca="false">IF(B222="","",IFERROR(INDEX(الموظفون!$C$6:$C$105,MATCH(B222,الموظفون!$B$6:$B$105,0)),"✖ رقم غير موجود"))</f>
        <v/>
      </c>
      <c r="D222" s="79"/>
      <c r="E222" s="94"/>
      <c r="F222" s="94"/>
      <c r="G222" s="57" t="str">
        <f aca="false">IF(OR($B222="",$E222="",$F222=""),"",MAX(0,F222-E222+1))</f>
        <v/>
      </c>
      <c r="H222" s="58" t="str">
        <f aca="false">IF(D222="","",IFERROR(VLOOKUP(D222,cfg_LT,2,FALSE()),1))</f>
        <v/>
      </c>
      <c r="I222" s="82"/>
      <c r="J222" s="58" t="str">
        <f aca="false">IF(D222="","",IF(I222&lt;&gt;"",I222,H222))</f>
        <v/>
      </c>
      <c r="K222" s="80" t="str">
        <f aca="false">IF(D222="","",IFERROR(VLOOKUP($D222,cfg_LT,3,FALSE()),""))</f>
        <v/>
      </c>
      <c r="L222" s="80" t="str">
        <f aca="false">IF(D222="","",IFERROR(VLOOKUP($D222,cfg_LT,4,FALSE()),""))</f>
        <v/>
      </c>
      <c r="M222" s="80" t="str">
        <f aca="false">IF(D222="","",IFERROR(VLOOKUP($D222,cfg_LT,5,FALSE()),""))</f>
        <v/>
      </c>
      <c r="N222" s="97" t="n">
        <f aca="false">IF(OR(OR($B222="",$E222="",$F222=""),M222&lt;&gt;"نعم"),0,G222*J222*IFERROR(INDEX(الموظفون!$R$6:$R$105,MATCH(B222,الموظفون!$B$6:$B$105,0)),0)/cfg_DAYS_M)</f>
        <v>0</v>
      </c>
      <c r="O222" s="93" t="str">
        <f aca="false">IF(OR(OR($B222="",$E222="",$F222=""),M222&lt;&gt;"نعم"),"",IF(YEAR(E222)=cfg_FY,MONTH(E222),""))</f>
        <v/>
      </c>
      <c r="P222" s="80" t="str">
        <f aca="false">IF(B222="","",IF(OR(D222="",E222="",F222=""),"⚠ أكمل النوع والتواريخ",IF(F222&lt;E222,"✖ النهاية قبل البداية",IF(COUNTIFS($B$6:$B$505,B222,$E$6:$E$505,"&lt;="&amp;F222,$F$6:$F$505,"&gt;="&amp;E222)&gt;1,"⚠ تداخل مع سجل آخر",IF(E222&gt;cfg_VAL_DATE,"⏳ قادمة",IF(F222&lt;cfg_VAL_DATE,"✔ منتهية","✈ جارية في تاريخ التقرير"))))))</f>
        <v/>
      </c>
      <c r="Q222" s="79"/>
      <c r="R222" s="57" t="n">
        <f aca="false">IF(OR(OR($B222="",$E222="",$F222=""),L222&lt;&gt;"لا"),0,MAX(0,MIN(F222,cfg_Y_START-1)-E222+1))</f>
        <v>0</v>
      </c>
      <c r="S222" s="57" t="n">
        <f aca="false">IF(OR(OR($B222="",$E222="",$F222=""),L222&lt;&gt;"لا"),0,MAX(0,MIN(F222,cfg_VAL_DATE)-E222+1))</f>
        <v>0</v>
      </c>
      <c r="T222" s="57" t="n">
        <f aca="false">IF(OR(OR($B222="",$E222="",$F222=""),K222&lt;&gt;"نعم"),0,IF(M222="نعم",IF(AND(ISNUMBER(O222),N(O222)&lt;=cfg_VAL_M),G222,0),MAX(0,MIN(F222,cfg_VAL_DATE)-MAX(E222,cfg_Y_START)+1)))</f>
        <v>0</v>
      </c>
      <c r="V222" s="57" t="n">
        <f aca="false">IF(OR($B222="",$E222="",$F222=""),0,MAX(0,MIN($F222,EOMONTH(DATE(cfg_FY,1,1),0))-MAX($E222,DATE(cfg_FY,1,1))+1)*(1-IF($M222="نعم",0,N($J222))))</f>
        <v>0</v>
      </c>
      <c r="W222" s="57" t="n">
        <f aca="false">IF(OR($B222="",$E222="",$F222=""),0,MAX(0,MIN($F222,EOMONTH(DATE(cfg_FY,2,1),0))-MAX($E222,DATE(cfg_FY,2,1))+1)*(1-IF($M222="نعم",0,N($J222))))</f>
        <v>0</v>
      </c>
      <c r="X222" s="57" t="n">
        <f aca="false">IF(OR($B222="",$E222="",$F222=""),0,MAX(0,MIN($F222,EOMONTH(DATE(cfg_FY,3,1),0))-MAX($E222,DATE(cfg_FY,3,1))+1)*(1-IF($M222="نعم",0,N($J222))))</f>
        <v>0</v>
      </c>
      <c r="Y222" s="57" t="n">
        <f aca="false">IF(OR($B222="",$E222="",$F222=""),0,MAX(0,MIN($F222,EOMONTH(DATE(cfg_FY,4,1),0))-MAX($E222,DATE(cfg_FY,4,1))+1)*(1-IF($M222="نعم",0,N($J222))))</f>
        <v>0</v>
      </c>
      <c r="Z222" s="57" t="n">
        <f aca="false">IF(OR($B222="",$E222="",$F222=""),0,MAX(0,MIN($F222,EOMONTH(DATE(cfg_FY,5,1),0))-MAX($E222,DATE(cfg_FY,5,1))+1)*(1-IF($M222="نعم",0,N($J222))))</f>
        <v>0</v>
      </c>
      <c r="AA222" s="57" t="n">
        <f aca="false">IF(OR($B222="",$E222="",$F222=""),0,MAX(0,MIN($F222,EOMONTH(DATE(cfg_FY,6,1),0))-MAX($E222,DATE(cfg_FY,6,1))+1)*(1-IF($M222="نعم",0,N($J222))))</f>
        <v>0</v>
      </c>
      <c r="AB222" s="57" t="n">
        <f aca="false">IF(OR($B222="",$E222="",$F222=""),0,MAX(0,MIN($F222,EOMONTH(DATE(cfg_FY,7,1),0))-MAX($E222,DATE(cfg_FY,7,1))+1)*(1-IF($M222="نعم",0,N($J222))))</f>
        <v>0</v>
      </c>
      <c r="AC222" s="57" t="n">
        <f aca="false">IF(OR($B222="",$E222="",$F222=""),0,MAX(0,MIN($F222,EOMONTH(DATE(cfg_FY,8,1),0))-MAX($E222,DATE(cfg_FY,8,1))+1)*(1-IF($M222="نعم",0,N($J222))))</f>
        <v>0</v>
      </c>
      <c r="AD222" s="57" t="n">
        <f aca="false">IF(OR($B222="",$E222="",$F222=""),0,MAX(0,MIN($F222,EOMONTH(DATE(cfg_FY,9,1),0))-MAX($E222,DATE(cfg_FY,9,1))+1)*(1-IF($M222="نعم",0,N($J222))))</f>
        <v>0</v>
      </c>
      <c r="AE222" s="57" t="n">
        <f aca="false">IF(OR($B222="",$E222="",$F222=""),0,MAX(0,MIN($F222,EOMONTH(DATE(cfg_FY,10,1),0))-MAX($E222,DATE(cfg_FY,10,1))+1)*(1-IF($M222="نعم",0,N($J222))))</f>
        <v>0</v>
      </c>
      <c r="AF222" s="57" t="n">
        <f aca="false">IF(OR($B222="",$E222="",$F222=""),0,MAX(0,MIN($F222,EOMONTH(DATE(cfg_FY,11,1),0))-MAX($E222,DATE(cfg_FY,11,1))+1)*(1-IF($M222="نعم",0,N($J222))))</f>
        <v>0</v>
      </c>
      <c r="AG222" s="57" t="n">
        <f aca="false">IF(OR($B222="",$E222="",$F222=""),0,MAX(0,MIN($F222,EOMONTH(DATE(cfg_FY,12,1),0))-MAX($E222,DATE(cfg_FY,12,1))+1)*(1-IF($M222="نعم",0,N($J222))))</f>
        <v>0</v>
      </c>
      <c r="AH222" s="57" t="n">
        <f aca="false">IF(OR(OR($B222="",$E222="",$F222=""),$L222&lt;&gt;"لا"),0,MAX(0,MIN($F222,EOMONTH(DATE(cfg_FY,1,1),0))-$E222+1))</f>
        <v>0</v>
      </c>
      <c r="AI222" s="57" t="n">
        <f aca="false">IF(OR(OR($B222="",$E222="",$F222=""),$L222&lt;&gt;"لا"),0,MAX(0,MIN($F222,EOMONTH(DATE(cfg_FY,2,1),0))-$E222+1))</f>
        <v>0</v>
      </c>
      <c r="AJ222" s="57" t="n">
        <f aca="false">IF(OR(OR($B222="",$E222="",$F222=""),$L222&lt;&gt;"لا"),0,MAX(0,MIN($F222,EOMONTH(DATE(cfg_FY,3,1),0))-$E222+1))</f>
        <v>0</v>
      </c>
      <c r="AK222" s="57" t="n">
        <f aca="false">IF(OR(OR($B222="",$E222="",$F222=""),$L222&lt;&gt;"لا"),0,MAX(0,MIN($F222,EOMONTH(DATE(cfg_FY,4,1),0))-$E222+1))</f>
        <v>0</v>
      </c>
      <c r="AL222" s="57" t="n">
        <f aca="false">IF(OR(OR($B222="",$E222="",$F222=""),$L222&lt;&gt;"لا"),0,MAX(0,MIN($F222,EOMONTH(DATE(cfg_FY,5,1),0))-$E222+1))</f>
        <v>0</v>
      </c>
      <c r="AM222" s="57" t="n">
        <f aca="false">IF(OR(OR($B222="",$E222="",$F222=""),$L222&lt;&gt;"لا"),0,MAX(0,MIN($F222,EOMONTH(DATE(cfg_FY,6,1),0))-$E222+1))</f>
        <v>0</v>
      </c>
      <c r="AN222" s="57" t="n">
        <f aca="false">IF(OR(OR($B222="",$E222="",$F222=""),$L222&lt;&gt;"لا"),0,MAX(0,MIN($F222,EOMONTH(DATE(cfg_FY,7,1),0))-$E222+1))</f>
        <v>0</v>
      </c>
      <c r="AO222" s="57" t="n">
        <f aca="false">IF(OR(OR($B222="",$E222="",$F222=""),$L222&lt;&gt;"لا"),0,MAX(0,MIN($F222,EOMONTH(DATE(cfg_FY,8,1),0))-$E222+1))</f>
        <v>0</v>
      </c>
      <c r="AP222" s="57" t="n">
        <f aca="false">IF(OR(OR($B222="",$E222="",$F222=""),$L222&lt;&gt;"لا"),0,MAX(0,MIN($F222,EOMONTH(DATE(cfg_FY,9,1),0))-$E222+1))</f>
        <v>0</v>
      </c>
      <c r="AQ222" s="57" t="n">
        <f aca="false">IF(OR(OR($B222="",$E222="",$F222=""),$L222&lt;&gt;"لا"),0,MAX(0,MIN($F222,EOMONTH(DATE(cfg_FY,10,1),0))-$E222+1))</f>
        <v>0</v>
      </c>
      <c r="AR222" s="57" t="n">
        <f aca="false">IF(OR(OR($B222="",$E222="",$F222=""),$L222&lt;&gt;"لا"),0,MAX(0,MIN($F222,EOMONTH(DATE(cfg_FY,11,1),0))-$E222+1))</f>
        <v>0</v>
      </c>
      <c r="AS222" s="57" t="n">
        <f aca="false">IF(OR(OR($B222="",$E222="",$F222=""),$L222&lt;&gt;"لا"),0,MAX(0,MIN($F222,EOMONTH(DATE(cfg_FY,12,1),0))-$E222+1))</f>
        <v>0</v>
      </c>
      <c r="AT222" s="57" t="n">
        <f aca="false">IF(OR(OR($B222="",$E222="",$F222=""),$K222&lt;&gt;"نعم",$M222="نعم"),0,MAX(0,MIN($F222,EOMONTH(DATE(cfg_FY,1,1),0))-MAX($E222,DATE(cfg_FY,1,1))+1))</f>
        <v>0</v>
      </c>
      <c r="AU222" s="57" t="n">
        <f aca="false">IF(OR(OR($B222="",$E222="",$F222=""),$K222&lt;&gt;"نعم",$M222="نعم"),0,MAX(0,MIN($F222,EOMONTH(DATE(cfg_FY,2,1),0))-MAX($E222,DATE(cfg_FY,2,1))+1))</f>
        <v>0</v>
      </c>
      <c r="AV222" s="57" t="n">
        <f aca="false">IF(OR(OR($B222="",$E222="",$F222=""),$K222&lt;&gt;"نعم",$M222="نعم"),0,MAX(0,MIN($F222,EOMONTH(DATE(cfg_FY,3,1),0))-MAX($E222,DATE(cfg_FY,3,1))+1))</f>
        <v>0</v>
      </c>
      <c r="AW222" s="57" t="n">
        <f aca="false">IF(OR(OR($B222="",$E222="",$F222=""),$K222&lt;&gt;"نعم",$M222="نعم"),0,MAX(0,MIN($F222,EOMONTH(DATE(cfg_FY,4,1),0))-MAX($E222,DATE(cfg_FY,4,1))+1))</f>
        <v>0</v>
      </c>
      <c r="AX222" s="57" t="n">
        <f aca="false">IF(OR(OR($B222="",$E222="",$F222=""),$K222&lt;&gt;"نعم",$M222="نعم"),0,MAX(0,MIN($F222,EOMONTH(DATE(cfg_FY,5,1),0))-MAX($E222,DATE(cfg_FY,5,1))+1))</f>
        <v>0</v>
      </c>
      <c r="AY222" s="57" t="n">
        <f aca="false">IF(OR(OR($B222="",$E222="",$F222=""),$K222&lt;&gt;"نعم",$M222="نعم"),0,MAX(0,MIN($F222,EOMONTH(DATE(cfg_FY,6,1),0))-MAX($E222,DATE(cfg_FY,6,1))+1))</f>
        <v>0</v>
      </c>
      <c r="AZ222" s="57" t="n">
        <f aca="false">IF(OR(OR($B222="",$E222="",$F222=""),$K222&lt;&gt;"نعم",$M222="نعم"),0,MAX(0,MIN($F222,EOMONTH(DATE(cfg_FY,7,1),0))-MAX($E222,DATE(cfg_FY,7,1))+1))</f>
        <v>0</v>
      </c>
      <c r="BA222" s="57" t="n">
        <f aca="false">IF(OR(OR($B222="",$E222="",$F222=""),$K222&lt;&gt;"نعم",$M222="نعم"),0,MAX(0,MIN($F222,EOMONTH(DATE(cfg_FY,8,1),0))-MAX($E222,DATE(cfg_FY,8,1))+1))</f>
        <v>0</v>
      </c>
      <c r="BB222" s="57" t="n">
        <f aca="false">IF(OR(OR($B222="",$E222="",$F222=""),$K222&lt;&gt;"نعم",$M222="نعم"),0,MAX(0,MIN($F222,EOMONTH(DATE(cfg_FY,9,1),0))-MAX($E222,DATE(cfg_FY,9,1))+1))</f>
        <v>0</v>
      </c>
      <c r="BC222" s="57" t="n">
        <f aca="false">IF(OR(OR($B222="",$E222="",$F222=""),$K222&lt;&gt;"نعم",$M222="نعم"),0,MAX(0,MIN($F222,EOMONTH(DATE(cfg_FY,10,1),0))-MAX($E222,DATE(cfg_FY,10,1))+1))</f>
        <v>0</v>
      </c>
      <c r="BD222" s="57" t="n">
        <f aca="false">IF(OR(OR($B222="",$E222="",$F222=""),$K222&lt;&gt;"نعم",$M222="نعم"),0,MAX(0,MIN($F222,EOMONTH(DATE(cfg_FY,11,1),0))-MAX($E222,DATE(cfg_FY,11,1))+1))</f>
        <v>0</v>
      </c>
      <c r="BE222" s="57" t="n">
        <f aca="false">IF(OR(OR($B222="",$E222="",$F222=""),$K222&lt;&gt;"نعم",$M222="نعم"),0,MAX(0,MIN($F222,EOMONTH(DATE(cfg_FY,12,1),0))-MAX($E222,DATE(cfg_FY,12,1))+1))</f>
        <v>0</v>
      </c>
    </row>
    <row r="223" customFormat="false" ht="15" hidden="false" customHeight="false" outlineLevel="0" collapsed="false">
      <c r="A223" s="100" t="str">
        <f aca="false">IF(B223="","",ROW()-5)</f>
        <v/>
      </c>
      <c r="B223" s="79"/>
      <c r="C223" s="102" t="str">
        <f aca="false">IF(B223="","",IFERROR(INDEX(الموظفون!$C$6:$C$105,MATCH(B223,الموظفون!$B$6:$B$105,0)),"✖ رقم غير موجود"))</f>
        <v/>
      </c>
      <c r="D223" s="79"/>
      <c r="E223" s="94"/>
      <c r="F223" s="94"/>
      <c r="G223" s="110" t="str">
        <f aca="false">IF(OR($B223="",$E223="",$F223=""),"",MAX(0,F223-E223+1))</f>
        <v/>
      </c>
      <c r="H223" s="111" t="str">
        <f aca="false">IF(D223="","",IFERROR(VLOOKUP(D223,cfg_LT,2,FALSE()),1))</f>
        <v/>
      </c>
      <c r="I223" s="82"/>
      <c r="J223" s="111" t="str">
        <f aca="false">IF(D223="","",IF(I223&lt;&gt;"",I223,H223))</f>
        <v/>
      </c>
      <c r="K223" s="102" t="str">
        <f aca="false">IF(D223="","",IFERROR(VLOOKUP($D223,cfg_LT,3,FALSE()),""))</f>
        <v/>
      </c>
      <c r="L223" s="102" t="str">
        <f aca="false">IF(D223="","",IFERROR(VLOOKUP($D223,cfg_LT,4,FALSE()),""))</f>
        <v/>
      </c>
      <c r="M223" s="102" t="str">
        <f aca="false">IF(D223="","",IFERROR(VLOOKUP($D223,cfg_LT,5,FALSE()),""))</f>
        <v/>
      </c>
      <c r="N223" s="101" t="n">
        <f aca="false">IF(OR(OR($B223="",$E223="",$F223=""),M223&lt;&gt;"نعم"),0,G223*J223*IFERROR(INDEX(الموظفون!$R$6:$R$105,MATCH(B223,الموظفون!$B$6:$B$105,0)),0)/cfg_DAYS_M)</f>
        <v>0</v>
      </c>
      <c r="O223" s="100" t="str">
        <f aca="false">IF(OR(OR($B223="",$E223="",$F223=""),M223&lt;&gt;"نعم"),"",IF(YEAR(E223)=cfg_FY,MONTH(E223),""))</f>
        <v/>
      </c>
      <c r="P223" s="102" t="str">
        <f aca="false">IF(B223="","",IF(OR(D223="",E223="",F223=""),"⚠ أكمل النوع والتواريخ",IF(F223&lt;E223,"✖ النهاية قبل البداية",IF(COUNTIFS($B$6:$B$505,B223,$E$6:$E$505,"&lt;="&amp;F223,$F$6:$F$505,"&gt;="&amp;E223)&gt;1,"⚠ تداخل مع سجل آخر",IF(E223&gt;cfg_VAL_DATE,"⏳ قادمة",IF(F223&lt;cfg_VAL_DATE,"✔ منتهية","✈ جارية في تاريخ التقرير"))))))</f>
        <v/>
      </c>
      <c r="Q223" s="79"/>
      <c r="R223" s="110" t="n">
        <f aca="false">IF(OR(OR($B223="",$E223="",$F223=""),L223&lt;&gt;"لا"),0,MAX(0,MIN(F223,cfg_Y_START-1)-E223+1))</f>
        <v>0</v>
      </c>
      <c r="S223" s="110" t="n">
        <f aca="false">IF(OR(OR($B223="",$E223="",$F223=""),L223&lt;&gt;"لا"),0,MAX(0,MIN(F223,cfg_VAL_DATE)-E223+1))</f>
        <v>0</v>
      </c>
      <c r="T223" s="110" t="n">
        <f aca="false">IF(OR(OR($B223="",$E223="",$F223=""),K223&lt;&gt;"نعم"),0,IF(M223="نعم",IF(AND(ISNUMBER(O223),N(O223)&lt;=cfg_VAL_M),G223,0),MAX(0,MIN(F223,cfg_VAL_DATE)-MAX(E223,cfg_Y_START)+1)))</f>
        <v>0</v>
      </c>
      <c r="V223" s="110" t="n">
        <f aca="false">IF(OR($B223="",$E223="",$F223=""),0,MAX(0,MIN($F223,EOMONTH(DATE(cfg_FY,1,1),0))-MAX($E223,DATE(cfg_FY,1,1))+1)*(1-IF($M223="نعم",0,N($J223))))</f>
        <v>0</v>
      </c>
      <c r="W223" s="110" t="n">
        <f aca="false">IF(OR($B223="",$E223="",$F223=""),0,MAX(0,MIN($F223,EOMONTH(DATE(cfg_FY,2,1),0))-MAX($E223,DATE(cfg_FY,2,1))+1)*(1-IF($M223="نعم",0,N($J223))))</f>
        <v>0</v>
      </c>
      <c r="X223" s="110" t="n">
        <f aca="false">IF(OR($B223="",$E223="",$F223=""),0,MAX(0,MIN($F223,EOMONTH(DATE(cfg_FY,3,1),0))-MAX($E223,DATE(cfg_FY,3,1))+1)*(1-IF($M223="نعم",0,N($J223))))</f>
        <v>0</v>
      </c>
      <c r="Y223" s="110" t="n">
        <f aca="false">IF(OR($B223="",$E223="",$F223=""),0,MAX(0,MIN($F223,EOMONTH(DATE(cfg_FY,4,1),0))-MAX($E223,DATE(cfg_FY,4,1))+1)*(1-IF($M223="نعم",0,N($J223))))</f>
        <v>0</v>
      </c>
      <c r="Z223" s="110" t="n">
        <f aca="false">IF(OR($B223="",$E223="",$F223=""),0,MAX(0,MIN($F223,EOMONTH(DATE(cfg_FY,5,1),0))-MAX($E223,DATE(cfg_FY,5,1))+1)*(1-IF($M223="نعم",0,N($J223))))</f>
        <v>0</v>
      </c>
      <c r="AA223" s="110" t="n">
        <f aca="false">IF(OR($B223="",$E223="",$F223=""),0,MAX(0,MIN($F223,EOMONTH(DATE(cfg_FY,6,1),0))-MAX($E223,DATE(cfg_FY,6,1))+1)*(1-IF($M223="نعم",0,N($J223))))</f>
        <v>0</v>
      </c>
      <c r="AB223" s="110" t="n">
        <f aca="false">IF(OR($B223="",$E223="",$F223=""),0,MAX(0,MIN($F223,EOMONTH(DATE(cfg_FY,7,1),0))-MAX($E223,DATE(cfg_FY,7,1))+1)*(1-IF($M223="نعم",0,N($J223))))</f>
        <v>0</v>
      </c>
      <c r="AC223" s="110" t="n">
        <f aca="false">IF(OR($B223="",$E223="",$F223=""),0,MAX(0,MIN($F223,EOMONTH(DATE(cfg_FY,8,1),0))-MAX($E223,DATE(cfg_FY,8,1))+1)*(1-IF($M223="نعم",0,N($J223))))</f>
        <v>0</v>
      </c>
      <c r="AD223" s="110" t="n">
        <f aca="false">IF(OR($B223="",$E223="",$F223=""),0,MAX(0,MIN($F223,EOMONTH(DATE(cfg_FY,9,1),0))-MAX($E223,DATE(cfg_FY,9,1))+1)*(1-IF($M223="نعم",0,N($J223))))</f>
        <v>0</v>
      </c>
      <c r="AE223" s="110" t="n">
        <f aca="false">IF(OR($B223="",$E223="",$F223=""),0,MAX(0,MIN($F223,EOMONTH(DATE(cfg_FY,10,1),0))-MAX($E223,DATE(cfg_FY,10,1))+1)*(1-IF($M223="نعم",0,N($J223))))</f>
        <v>0</v>
      </c>
      <c r="AF223" s="110" t="n">
        <f aca="false">IF(OR($B223="",$E223="",$F223=""),0,MAX(0,MIN($F223,EOMONTH(DATE(cfg_FY,11,1),0))-MAX($E223,DATE(cfg_FY,11,1))+1)*(1-IF($M223="نعم",0,N($J223))))</f>
        <v>0</v>
      </c>
      <c r="AG223" s="110" t="n">
        <f aca="false">IF(OR($B223="",$E223="",$F223=""),0,MAX(0,MIN($F223,EOMONTH(DATE(cfg_FY,12,1),0))-MAX($E223,DATE(cfg_FY,12,1))+1)*(1-IF($M223="نعم",0,N($J223))))</f>
        <v>0</v>
      </c>
      <c r="AH223" s="110" t="n">
        <f aca="false">IF(OR(OR($B223="",$E223="",$F223=""),$L223&lt;&gt;"لا"),0,MAX(0,MIN($F223,EOMONTH(DATE(cfg_FY,1,1),0))-$E223+1))</f>
        <v>0</v>
      </c>
      <c r="AI223" s="110" t="n">
        <f aca="false">IF(OR(OR($B223="",$E223="",$F223=""),$L223&lt;&gt;"لا"),0,MAX(0,MIN($F223,EOMONTH(DATE(cfg_FY,2,1),0))-$E223+1))</f>
        <v>0</v>
      </c>
      <c r="AJ223" s="110" t="n">
        <f aca="false">IF(OR(OR($B223="",$E223="",$F223=""),$L223&lt;&gt;"لا"),0,MAX(0,MIN($F223,EOMONTH(DATE(cfg_FY,3,1),0))-$E223+1))</f>
        <v>0</v>
      </c>
      <c r="AK223" s="110" t="n">
        <f aca="false">IF(OR(OR($B223="",$E223="",$F223=""),$L223&lt;&gt;"لا"),0,MAX(0,MIN($F223,EOMONTH(DATE(cfg_FY,4,1),0))-$E223+1))</f>
        <v>0</v>
      </c>
      <c r="AL223" s="110" t="n">
        <f aca="false">IF(OR(OR($B223="",$E223="",$F223=""),$L223&lt;&gt;"لا"),0,MAX(0,MIN($F223,EOMONTH(DATE(cfg_FY,5,1),0))-$E223+1))</f>
        <v>0</v>
      </c>
      <c r="AM223" s="110" t="n">
        <f aca="false">IF(OR(OR($B223="",$E223="",$F223=""),$L223&lt;&gt;"لا"),0,MAX(0,MIN($F223,EOMONTH(DATE(cfg_FY,6,1),0))-$E223+1))</f>
        <v>0</v>
      </c>
      <c r="AN223" s="110" t="n">
        <f aca="false">IF(OR(OR($B223="",$E223="",$F223=""),$L223&lt;&gt;"لا"),0,MAX(0,MIN($F223,EOMONTH(DATE(cfg_FY,7,1),0))-$E223+1))</f>
        <v>0</v>
      </c>
      <c r="AO223" s="110" t="n">
        <f aca="false">IF(OR(OR($B223="",$E223="",$F223=""),$L223&lt;&gt;"لا"),0,MAX(0,MIN($F223,EOMONTH(DATE(cfg_FY,8,1),0))-$E223+1))</f>
        <v>0</v>
      </c>
      <c r="AP223" s="110" t="n">
        <f aca="false">IF(OR(OR($B223="",$E223="",$F223=""),$L223&lt;&gt;"لا"),0,MAX(0,MIN($F223,EOMONTH(DATE(cfg_FY,9,1),0))-$E223+1))</f>
        <v>0</v>
      </c>
      <c r="AQ223" s="110" t="n">
        <f aca="false">IF(OR(OR($B223="",$E223="",$F223=""),$L223&lt;&gt;"لا"),0,MAX(0,MIN($F223,EOMONTH(DATE(cfg_FY,10,1),0))-$E223+1))</f>
        <v>0</v>
      </c>
      <c r="AR223" s="110" t="n">
        <f aca="false">IF(OR(OR($B223="",$E223="",$F223=""),$L223&lt;&gt;"لا"),0,MAX(0,MIN($F223,EOMONTH(DATE(cfg_FY,11,1),0))-$E223+1))</f>
        <v>0</v>
      </c>
      <c r="AS223" s="110" t="n">
        <f aca="false">IF(OR(OR($B223="",$E223="",$F223=""),$L223&lt;&gt;"لا"),0,MAX(0,MIN($F223,EOMONTH(DATE(cfg_FY,12,1),0))-$E223+1))</f>
        <v>0</v>
      </c>
      <c r="AT223" s="110" t="n">
        <f aca="false">IF(OR(OR($B223="",$E223="",$F223=""),$K223&lt;&gt;"نعم",$M223="نعم"),0,MAX(0,MIN($F223,EOMONTH(DATE(cfg_FY,1,1),0))-MAX($E223,DATE(cfg_FY,1,1))+1))</f>
        <v>0</v>
      </c>
      <c r="AU223" s="110" t="n">
        <f aca="false">IF(OR(OR($B223="",$E223="",$F223=""),$K223&lt;&gt;"نعم",$M223="نعم"),0,MAX(0,MIN($F223,EOMONTH(DATE(cfg_FY,2,1),0))-MAX($E223,DATE(cfg_FY,2,1))+1))</f>
        <v>0</v>
      </c>
      <c r="AV223" s="110" t="n">
        <f aca="false">IF(OR(OR($B223="",$E223="",$F223=""),$K223&lt;&gt;"نعم",$M223="نعم"),0,MAX(0,MIN($F223,EOMONTH(DATE(cfg_FY,3,1),0))-MAX($E223,DATE(cfg_FY,3,1))+1))</f>
        <v>0</v>
      </c>
      <c r="AW223" s="110" t="n">
        <f aca="false">IF(OR(OR($B223="",$E223="",$F223=""),$K223&lt;&gt;"نعم",$M223="نعم"),0,MAX(0,MIN($F223,EOMONTH(DATE(cfg_FY,4,1),0))-MAX($E223,DATE(cfg_FY,4,1))+1))</f>
        <v>0</v>
      </c>
      <c r="AX223" s="110" t="n">
        <f aca="false">IF(OR(OR($B223="",$E223="",$F223=""),$K223&lt;&gt;"نعم",$M223="نعم"),0,MAX(0,MIN($F223,EOMONTH(DATE(cfg_FY,5,1),0))-MAX($E223,DATE(cfg_FY,5,1))+1))</f>
        <v>0</v>
      </c>
      <c r="AY223" s="110" t="n">
        <f aca="false">IF(OR(OR($B223="",$E223="",$F223=""),$K223&lt;&gt;"نعم",$M223="نعم"),0,MAX(0,MIN($F223,EOMONTH(DATE(cfg_FY,6,1),0))-MAX($E223,DATE(cfg_FY,6,1))+1))</f>
        <v>0</v>
      </c>
      <c r="AZ223" s="110" t="n">
        <f aca="false">IF(OR(OR($B223="",$E223="",$F223=""),$K223&lt;&gt;"نعم",$M223="نعم"),0,MAX(0,MIN($F223,EOMONTH(DATE(cfg_FY,7,1),0))-MAX($E223,DATE(cfg_FY,7,1))+1))</f>
        <v>0</v>
      </c>
      <c r="BA223" s="110" t="n">
        <f aca="false">IF(OR(OR($B223="",$E223="",$F223=""),$K223&lt;&gt;"نعم",$M223="نعم"),0,MAX(0,MIN($F223,EOMONTH(DATE(cfg_FY,8,1),0))-MAX($E223,DATE(cfg_FY,8,1))+1))</f>
        <v>0</v>
      </c>
      <c r="BB223" s="110" t="n">
        <f aca="false">IF(OR(OR($B223="",$E223="",$F223=""),$K223&lt;&gt;"نعم",$M223="نعم"),0,MAX(0,MIN($F223,EOMONTH(DATE(cfg_FY,9,1),0))-MAX($E223,DATE(cfg_FY,9,1))+1))</f>
        <v>0</v>
      </c>
      <c r="BC223" s="110" t="n">
        <f aca="false">IF(OR(OR($B223="",$E223="",$F223=""),$K223&lt;&gt;"نعم",$M223="نعم"),0,MAX(0,MIN($F223,EOMONTH(DATE(cfg_FY,10,1),0))-MAX($E223,DATE(cfg_FY,10,1))+1))</f>
        <v>0</v>
      </c>
      <c r="BD223" s="110" t="n">
        <f aca="false">IF(OR(OR($B223="",$E223="",$F223=""),$K223&lt;&gt;"نعم",$M223="نعم"),0,MAX(0,MIN($F223,EOMONTH(DATE(cfg_FY,11,1),0))-MAX($E223,DATE(cfg_FY,11,1))+1))</f>
        <v>0</v>
      </c>
      <c r="BE223" s="110" t="n">
        <f aca="false">IF(OR(OR($B223="",$E223="",$F223=""),$K223&lt;&gt;"نعم",$M223="نعم"),0,MAX(0,MIN($F223,EOMONTH(DATE(cfg_FY,12,1),0))-MAX($E223,DATE(cfg_FY,12,1))+1))</f>
        <v>0</v>
      </c>
    </row>
    <row r="224" customFormat="false" ht="15" hidden="false" customHeight="false" outlineLevel="0" collapsed="false">
      <c r="A224" s="93" t="str">
        <f aca="false">IF(B224="","",ROW()-5)</f>
        <v/>
      </c>
      <c r="B224" s="79"/>
      <c r="C224" s="80" t="str">
        <f aca="false">IF(B224="","",IFERROR(INDEX(الموظفون!$C$6:$C$105,MATCH(B224,الموظفون!$B$6:$B$105,0)),"✖ رقم غير موجود"))</f>
        <v/>
      </c>
      <c r="D224" s="79"/>
      <c r="E224" s="94"/>
      <c r="F224" s="94"/>
      <c r="G224" s="57" t="str">
        <f aca="false">IF(OR($B224="",$E224="",$F224=""),"",MAX(0,F224-E224+1))</f>
        <v/>
      </c>
      <c r="H224" s="58" t="str">
        <f aca="false">IF(D224="","",IFERROR(VLOOKUP(D224,cfg_LT,2,FALSE()),1))</f>
        <v/>
      </c>
      <c r="I224" s="82"/>
      <c r="J224" s="58" t="str">
        <f aca="false">IF(D224="","",IF(I224&lt;&gt;"",I224,H224))</f>
        <v/>
      </c>
      <c r="K224" s="80" t="str">
        <f aca="false">IF(D224="","",IFERROR(VLOOKUP($D224,cfg_LT,3,FALSE()),""))</f>
        <v/>
      </c>
      <c r="L224" s="80" t="str">
        <f aca="false">IF(D224="","",IFERROR(VLOOKUP($D224,cfg_LT,4,FALSE()),""))</f>
        <v/>
      </c>
      <c r="M224" s="80" t="str">
        <f aca="false">IF(D224="","",IFERROR(VLOOKUP($D224,cfg_LT,5,FALSE()),""))</f>
        <v/>
      </c>
      <c r="N224" s="97" t="n">
        <f aca="false">IF(OR(OR($B224="",$E224="",$F224=""),M224&lt;&gt;"نعم"),0,G224*J224*IFERROR(INDEX(الموظفون!$R$6:$R$105,MATCH(B224,الموظفون!$B$6:$B$105,0)),0)/cfg_DAYS_M)</f>
        <v>0</v>
      </c>
      <c r="O224" s="93" t="str">
        <f aca="false">IF(OR(OR($B224="",$E224="",$F224=""),M224&lt;&gt;"نعم"),"",IF(YEAR(E224)=cfg_FY,MONTH(E224),""))</f>
        <v/>
      </c>
      <c r="P224" s="80" t="str">
        <f aca="false">IF(B224="","",IF(OR(D224="",E224="",F224=""),"⚠ أكمل النوع والتواريخ",IF(F224&lt;E224,"✖ النهاية قبل البداية",IF(COUNTIFS($B$6:$B$505,B224,$E$6:$E$505,"&lt;="&amp;F224,$F$6:$F$505,"&gt;="&amp;E224)&gt;1,"⚠ تداخل مع سجل آخر",IF(E224&gt;cfg_VAL_DATE,"⏳ قادمة",IF(F224&lt;cfg_VAL_DATE,"✔ منتهية","✈ جارية في تاريخ التقرير"))))))</f>
        <v/>
      </c>
      <c r="Q224" s="79"/>
      <c r="R224" s="57" t="n">
        <f aca="false">IF(OR(OR($B224="",$E224="",$F224=""),L224&lt;&gt;"لا"),0,MAX(0,MIN(F224,cfg_Y_START-1)-E224+1))</f>
        <v>0</v>
      </c>
      <c r="S224" s="57" t="n">
        <f aca="false">IF(OR(OR($B224="",$E224="",$F224=""),L224&lt;&gt;"لا"),0,MAX(0,MIN(F224,cfg_VAL_DATE)-E224+1))</f>
        <v>0</v>
      </c>
      <c r="T224" s="57" t="n">
        <f aca="false">IF(OR(OR($B224="",$E224="",$F224=""),K224&lt;&gt;"نعم"),0,IF(M224="نعم",IF(AND(ISNUMBER(O224),N(O224)&lt;=cfg_VAL_M),G224,0),MAX(0,MIN(F224,cfg_VAL_DATE)-MAX(E224,cfg_Y_START)+1)))</f>
        <v>0</v>
      </c>
      <c r="V224" s="57" t="n">
        <f aca="false">IF(OR($B224="",$E224="",$F224=""),0,MAX(0,MIN($F224,EOMONTH(DATE(cfg_FY,1,1),0))-MAX($E224,DATE(cfg_FY,1,1))+1)*(1-IF($M224="نعم",0,N($J224))))</f>
        <v>0</v>
      </c>
      <c r="W224" s="57" t="n">
        <f aca="false">IF(OR($B224="",$E224="",$F224=""),0,MAX(0,MIN($F224,EOMONTH(DATE(cfg_FY,2,1),0))-MAX($E224,DATE(cfg_FY,2,1))+1)*(1-IF($M224="نعم",0,N($J224))))</f>
        <v>0</v>
      </c>
      <c r="X224" s="57" t="n">
        <f aca="false">IF(OR($B224="",$E224="",$F224=""),0,MAX(0,MIN($F224,EOMONTH(DATE(cfg_FY,3,1),0))-MAX($E224,DATE(cfg_FY,3,1))+1)*(1-IF($M224="نعم",0,N($J224))))</f>
        <v>0</v>
      </c>
      <c r="Y224" s="57" t="n">
        <f aca="false">IF(OR($B224="",$E224="",$F224=""),0,MAX(0,MIN($F224,EOMONTH(DATE(cfg_FY,4,1),0))-MAX($E224,DATE(cfg_FY,4,1))+1)*(1-IF($M224="نعم",0,N($J224))))</f>
        <v>0</v>
      </c>
      <c r="Z224" s="57" t="n">
        <f aca="false">IF(OR($B224="",$E224="",$F224=""),0,MAX(0,MIN($F224,EOMONTH(DATE(cfg_FY,5,1),0))-MAX($E224,DATE(cfg_FY,5,1))+1)*(1-IF($M224="نعم",0,N($J224))))</f>
        <v>0</v>
      </c>
      <c r="AA224" s="57" t="n">
        <f aca="false">IF(OR($B224="",$E224="",$F224=""),0,MAX(0,MIN($F224,EOMONTH(DATE(cfg_FY,6,1),0))-MAX($E224,DATE(cfg_FY,6,1))+1)*(1-IF($M224="نعم",0,N($J224))))</f>
        <v>0</v>
      </c>
      <c r="AB224" s="57" t="n">
        <f aca="false">IF(OR($B224="",$E224="",$F224=""),0,MAX(0,MIN($F224,EOMONTH(DATE(cfg_FY,7,1),0))-MAX($E224,DATE(cfg_FY,7,1))+1)*(1-IF($M224="نعم",0,N($J224))))</f>
        <v>0</v>
      </c>
      <c r="AC224" s="57" t="n">
        <f aca="false">IF(OR($B224="",$E224="",$F224=""),0,MAX(0,MIN($F224,EOMONTH(DATE(cfg_FY,8,1),0))-MAX($E224,DATE(cfg_FY,8,1))+1)*(1-IF($M224="نعم",0,N($J224))))</f>
        <v>0</v>
      </c>
      <c r="AD224" s="57" t="n">
        <f aca="false">IF(OR($B224="",$E224="",$F224=""),0,MAX(0,MIN($F224,EOMONTH(DATE(cfg_FY,9,1),0))-MAX($E224,DATE(cfg_FY,9,1))+1)*(1-IF($M224="نعم",0,N($J224))))</f>
        <v>0</v>
      </c>
      <c r="AE224" s="57" t="n">
        <f aca="false">IF(OR($B224="",$E224="",$F224=""),0,MAX(0,MIN($F224,EOMONTH(DATE(cfg_FY,10,1),0))-MAX($E224,DATE(cfg_FY,10,1))+1)*(1-IF($M224="نعم",0,N($J224))))</f>
        <v>0</v>
      </c>
      <c r="AF224" s="57" t="n">
        <f aca="false">IF(OR($B224="",$E224="",$F224=""),0,MAX(0,MIN($F224,EOMONTH(DATE(cfg_FY,11,1),0))-MAX($E224,DATE(cfg_FY,11,1))+1)*(1-IF($M224="نعم",0,N($J224))))</f>
        <v>0</v>
      </c>
      <c r="AG224" s="57" t="n">
        <f aca="false">IF(OR($B224="",$E224="",$F224=""),0,MAX(0,MIN($F224,EOMONTH(DATE(cfg_FY,12,1),0))-MAX($E224,DATE(cfg_FY,12,1))+1)*(1-IF($M224="نعم",0,N($J224))))</f>
        <v>0</v>
      </c>
      <c r="AH224" s="57" t="n">
        <f aca="false">IF(OR(OR($B224="",$E224="",$F224=""),$L224&lt;&gt;"لا"),0,MAX(0,MIN($F224,EOMONTH(DATE(cfg_FY,1,1),0))-$E224+1))</f>
        <v>0</v>
      </c>
      <c r="AI224" s="57" t="n">
        <f aca="false">IF(OR(OR($B224="",$E224="",$F224=""),$L224&lt;&gt;"لا"),0,MAX(0,MIN($F224,EOMONTH(DATE(cfg_FY,2,1),0))-$E224+1))</f>
        <v>0</v>
      </c>
      <c r="AJ224" s="57" t="n">
        <f aca="false">IF(OR(OR($B224="",$E224="",$F224=""),$L224&lt;&gt;"لا"),0,MAX(0,MIN($F224,EOMONTH(DATE(cfg_FY,3,1),0))-$E224+1))</f>
        <v>0</v>
      </c>
      <c r="AK224" s="57" t="n">
        <f aca="false">IF(OR(OR($B224="",$E224="",$F224=""),$L224&lt;&gt;"لا"),0,MAX(0,MIN($F224,EOMONTH(DATE(cfg_FY,4,1),0))-$E224+1))</f>
        <v>0</v>
      </c>
      <c r="AL224" s="57" t="n">
        <f aca="false">IF(OR(OR($B224="",$E224="",$F224=""),$L224&lt;&gt;"لا"),0,MAX(0,MIN($F224,EOMONTH(DATE(cfg_FY,5,1),0))-$E224+1))</f>
        <v>0</v>
      </c>
      <c r="AM224" s="57" t="n">
        <f aca="false">IF(OR(OR($B224="",$E224="",$F224=""),$L224&lt;&gt;"لا"),0,MAX(0,MIN($F224,EOMONTH(DATE(cfg_FY,6,1),0))-$E224+1))</f>
        <v>0</v>
      </c>
      <c r="AN224" s="57" t="n">
        <f aca="false">IF(OR(OR($B224="",$E224="",$F224=""),$L224&lt;&gt;"لا"),0,MAX(0,MIN($F224,EOMONTH(DATE(cfg_FY,7,1),0))-$E224+1))</f>
        <v>0</v>
      </c>
      <c r="AO224" s="57" t="n">
        <f aca="false">IF(OR(OR($B224="",$E224="",$F224=""),$L224&lt;&gt;"لا"),0,MAX(0,MIN($F224,EOMONTH(DATE(cfg_FY,8,1),0))-$E224+1))</f>
        <v>0</v>
      </c>
      <c r="AP224" s="57" t="n">
        <f aca="false">IF(OR(OR($B224="",$E224="",$F224=""),$L224&lt;&gt;"لا"),0,MAX(0,MIN($F224,EOMONTH(DATE(cfg_FY,9,1),0))-$E224+1))</f>
        <v>0</v>
      </c>
      <c r="AQ224" s="57" t="n">
        <f aca="false">IF(OR(OR($B224="",$E224="",$F224=""),$L224&lt;&gt;"لا"),0,MAX(0,MIN($F224,EOMONTH(DATE(cfg_FY,10,1),0))-$E224+1))</f>
        <v>0</v>
      </c>
      <c r="AR224" s="57" t="n">
        <f aca="false">IF(OR(OR($B224="",$E224="",$F224=""),$L224&lt;&gt;"لا"),0,MAX(0,MIN($F224,EOMONTH(DATE(cfg_FY,11,1),0))-$E224+1))</f>
        <v>0</v>
      </c>
      <c r="AS224" s="57" t="n">
        <f aca="false">IF(OR(OR($B224="",$E224="",$F224=""),$L224&lt;&gt;"لا"),0,MAX(0,MIN($F224,EOMONTH(DATE(cfg_FY,12,1),0))-$E224+1))</f>
        <v>0</v>
      </c>
      <c r="AT224" s="57" t="n">
        <f aca="false">IF(OR(OR($B224="",$E224="",$F224=""),$K224&lt;&gt;"نعم",$M224="نعم"),0,MAX(0,MIN($F224,EOMONTH(DATE(cfg_FY,1,1),0))-MAX($E224,DATE(cfg_FY,1,1))+1))</f>
        <v>0</v>
      </c>
      <c r="AU224" s="57" t="n">
        <f aca="false">IF(OR(OR($B224="",$E224="",$F224=""),$K224&lt;&gt;"نعم",$M224="نعم"),0,MAX(0,MIN($F224,EOMONTH(DATE(cfg_FY,2,1),0))-MAX($E224,DATE(cfg_FY,2,1))+1))</f>
        <v>0</v>
      </c>
      <c r="AV224" s="57" t="n">
        <f aca="false">IF(OR(OR($B224="",$E224="",$F224=""),$K224&lt;&gt;"نعم",$M224="نعم"),0,MAX(0,MIN($F224,EOMONTH(DATE(cfg_FY,3,1),0))-MAX($E224,DATE(cfg_FY,3,1))+1))</f>
        <v>0</v>
      </c>
      <c r="AW224" s="57" t="n">
        <f aca="false">IF(OR(OR($B224="",$E224="",$F224=""),$K224&lt;&gt;"نعم",$M224="نعم"),0,MAX(0,MIN($F224,EOMONTH(DATE(cfg_FY,4,1),0))-MAX($E224,DATE(cfg_FY,4,1))+1))</f>
        <v>0</v>
      </c>
      <c r="AX224" s="57" t="n">
        <f aca="false">IF(OR(OR($B224="",$E224="",$F224=""),$K224&lt;&gt;"نعم",$M224="نعم"),0,MAX(0,MIN($F224,EOMONTH(DATE(cfg_FY,5,1),0))-MAX($E224,DATE(cfg_FY,5,1))+1))</f>
        <v>0</v>
      </c>
      <c r="AY224" s="57" t="n">
        <f aca="false">IF(OR(OR($B224="",$E224="",$F224=""),$K224&lt;&gt;"نعم",$M224="نعم"),0,MAX(0,MIN($F224,EOMONTH(DATE(cfg_FY,6,1),0))-MAX($E224,DATE(cfg_FY,6,1))+1))</f>
        <v>0</v>
      </c>
      <c r="AZ224" s="57" t="n">
        <f aca="false">IF(OR(OR($B224="",$E224="",$F224=""),$K224&lt;&gt;"نعم",$M224="نعم"),0,MAX(0,MIN($F224,EOMONTH(DATE(cfg_FY,7,1),0))-MAX($E224,DATE(cfg_FY,7,1))+1))</f>
        <v>0</v>
      </c>
      <c r="BA224" s="57" t="n">
        <f aca="false">IF(OR(OR($B224="",$E224="",$F224=""),$K224&lt;&gt;"نعم",$M224="نعم"),0,MAX(0,MIN($F224,EOMONTH(DATE(cfg_FY,8,1),0))-MAX($E224,DATE(cfg_FY,8,1))+1))</f>
        <v>0</v>
      </c>
      <c r="BB224" s="57" t="n">
        <f aca="false">IF(OR(OR($B224="",$E224="",$F224=""),$K224&lt;&gt;"نعم",$M224="نعم"),0,MAX(0,MIN($F224,EOMONTH(DATE(cfg_FY,9,1),0))-MAX($E224,DATE(cfg_FY,9,1))+1))</f>
        <v>0</v>
      </c>
      <c r="BC224" s="57" t="n">
        <f aca="false">IF(OR(OR($B224="",$E224="",$F224=""),$K224&lt;&gt;"نعم",$M224="نعم"),0,MAX(0,MIN($F224,EOMONTH(DATE(cfg_FY,10,1),0))-MAX($E224,DATE(cfg_FY,10,1))+1))</f>
        <v>0</v>
      </c>
      <c r="BD224" s="57" t="n">
        <f aca="false">IF(OR(OR($B224="",$E224="",$F224=""),$K224&lt;&gt;"نعم",$M224="نعم"),0,MAX(0,MIN($F224,EOMONTH(DATE(cfg_FY,11,1),0))-MAX($E224,DATE(cfg_FY,11,1))+1))</f>
        <v>0</v>
      </c>
      <c r="BE224" s="57" t="n">
        <f aca="false">IF(OR(OR($B224="",$E224="",$F224=""),$K224&lt;&gt;"نعم",$M224="نعم"),0,MAX(0,MIN($F224,EOMONTH(DATE(cfg_FY,12,1),0))-MAX($E224,DATE(cfg_FY,12,1))+1))</f>
        <v>0</v>
      </c>
    </row>
    <row r="225" customFormat="false" ht="15" hidden="false" customHeight="false" outlineLevel="0" collapsed="false">
      <c r="A225" s="100" t="str">
        <f aca="false">IF(B225="","",ROW()-5)</f>
        <v/>
      </c>
      <c r="B225" s="79"/>
      <c r="C225" s="102" t="str">
        <f aca="false">IF(B225="","",IFERROR(INDEX(الموظفون!$C$6:$C$105,MATCH(B225,الموظفون!$B$6:$B$105,0)),"✖ رقم غير موجود"))</f>
        <v/>
      </c>
      <c r="D225" s="79"/>
      <c r="E225" s="94"/>
      <c r="F225" s="94"/>
      <c r="G225" s="110" t="str">
        <f aca="false">IF(OR($B225="",$E225="",$F225=""),"",MAX(0,F225-E225+1))</f>
        <v/>
      </c>
      <c r="H225" s="111" t="str">
        <f aca="false">IF(D225="","",IFERROR(VLOOKUP(D225,cfg_LT,2,FALSE()),1))</f>
        <v/>
      </c>
      <c r="I225" s="82"/>
      <c r="J225" s="111" t="str">
        <f aca="false">IF(D225="","",IF(I225&lt;&gt;"",I225,H225))</f>
        <v/>
      </c>
      <c r="K225" s="102" t="str">
        <f aca="false">IF(D225="","",IFERROR(VLOOKUP($D225,cfg_LT,3,FALSE()),""))</f>
        <v/>
      </c>
      <c r="L225" s="102" t="str">
        <f aca="false">IF(D225="","",IFERROR(VLOOKUP($D225,cfg_LT,4,FALSE()),""))</f>
        <v/>
      </c>
      <c r="M225" s="102" t="str">
        <f aca="false">IF(D225="","",IFERROR(VLOOKUP($D225,cfg_LT,5,FALSE()),""))</f>
        <v/>
      </c>
      <c r="N225" s="101" t="n">
        <f aca="false">IF(OR(OR($B225="",$E225="",$F225=""),M225&lt;&gt;"نعم"),0,G225*J225*IFERROR(INDEX(الموظفون!$R$6:$R$105,MATCH(B225,الموظفون!$B$6:$B$105,0)),0)/cfg_DAYS_M)</f>
        <v>0</v>
      </c>
      <c r="O225" s="100" t="str">
        <f aca="false">IF(OR(OR($B225="",$E225="",$F225=""),M225&lt;&gt;"نعم"),"",IF(YEAR(E225)=cfg_FY,MONTH(E225),""))</f>
        <v/>
      </c>
      <c r="P225" s="102" t="str">
        <f aca="false">IF(B225="","",IF(OR(D225="",E225="",F225=""),"⚠ أكمل النوع والتواريخ",IF(F225&lt;E225,"✖ النهاية قبل البداية",IF(COUNTIFS($B$6:$B$505,B225,$E$6:$E$505,"&lt;="&amp;F225,$F$6:$F$505,"&gt;="&amp;E225)&gt;1,"⚠ تداخل مع سجل آخر",IF(E225&gt;cfg_VAL_DATE,"⏳ قادمة",IF(F225&lt;cfg_VAL_DATE,"✔ منتهية","✈ جارية في تاريخ التقرير"))))))</f>
        <v/>
      </c>
      <c r="Q225" s="79"/>
      <c r="R225" s="110" t="n">
        <f aca="false">IF(OR(OR($B225="",$E225="",$F225=""),L225&lt;&gt;"لا"),0,MAX(0,MIN(F225,cfg_Y_START-1)-E225+1))</f>
        <v>0</v>
      </c>
      <c r="S225" s="110" t="n">
        <f aca="false">IF(OR(OR($B225="",$E225="",$F225=""),L225&lt;&gt;"لا"),0,MAX(0,MIN(F225,cfg_VAL_DATE)-E225+1))</f>
        <v>0</v>
      </c>
      <c r="T225" s="110" t="n">
        <f aca="false">IF(OR(OR($B225="",$E225="",$F225=""),K225&lt;&gt;"نعم"),0,IF(M225="نعم",IF(AND(ISNUMBER(O225),N(O225)&lt;=cfg_VAL_M),G225,0),MAX(0,MIN(F225,cfg_VAL_DATE)-MAX(E225,cfg_Y_START)+1)))</f>
        <v>0</v>
      </c>
      <c r="V225" s="110" t="n">
        <f aca="false">IF(OR($B225="",$E225="",$F225=""),0,MAX(0,MIN($F225,EOMONTH(DATE(cfg_FY,1,1),0))-MAX($E225,DATE(cfg_FY,1,1))+1)*(1-IF($M225="نعم",0,N($J225))))</f>
        <v>0</v>
      </c>
      <c r="W225" s="110" t="n">
        <f aca="false">IF(OR($B225="",$E225="",$F225=""),0,MAX(0,MIN($F225,EOMONTH(DATE(cfg_FY,2,1),0))-MAX($E225,DATE(cfg_FY,2,1))+1)*(1-IF($M225="نعم",0,N($J225))))</f>
        <v>0</v>
      </c>
      <c r="X225" s="110" t="n">
        <f aca="false">IF(OR($B225="",$E225="",$F225=""),0,MAX(0,MIN($F225,EOMONTH(DATE(cfg_FY,3,1),0))-MAX($E225,DATE(cfg_FY,3,1))+1)*(1-IF($M225="نعم",0,N($J225))))</f>
        <v>0</v>
      </c>
      <c r="Y225" s="110" t="n">
        <f aca="false">IF(OR($B225="",$E225="",$F225=""),0,MAX(0,MIN($F225,EOMONTH(DATE(cfg_FY,4,1),0))-MAX($E225,DATE(cfg_FY,4,1))+1)*(1-IF($M225="نعم",0,N($J225))))</f>
        <v>0</v>
      </c>
      <c r="Z225" s="110" t="n">
        <f aca="false">IF(OR($B225="",$E225="",$F225=""),0,MAX(0,MIN($F225,EOMONTH(DATE(cfg_FY,5,1),0))-MAX($E225,DATE(cfg_FY,5,1))+1)*(1-IF($M225="نعم",0,N($J225))))</f>
        <v>0</v>
      </c>
      <c r="AA225" s="110" t="n">
        <f aca="false">IF(OR($B225="",$E225="",$F225=""),0,MAX(0,MIN($F225,EOMONTH(DATE(cfg_FY,6,1),0))-MAX($E225,DATE(cfg_FY,6,1))+1)*(1-IF($M225="نعم",0,N($J225))))</f>
        <v>0</v>
      </c>
      <c r="AB225" s="110" t="n">
        <f aca="false">IF(OR($B225="",$E225="",$F225=""),0,MAX(0,MIN($F225,EOMONTH(DATE(cfg_FY,7,1),0))-MAX($E225,DATE(cfg_FY,7,1))+1)*(1-IF($M225="نعم",0,N($J225))))</f>
        <v>0</v>
      </c>
      <c r="AC225" s="110" t="n">
        <f aca="false">IF(OR($B225="",$E225="",$F225=""),0,MAX(0,MIN($F225,EOMONTH(DATE(cfg_FY,8,1),0))-MAX($E225,DATE(cfg_FY,8,1))+1)*(1-IF($M225="نعم",0,N($J225))))</f>
        <v>0</v>
      </c>
      <c r="AD225" s="110" t="n">
        <f aca="false">IF(OR($B225="",$E225="",$F225=""),0,MAX(0,MIN($F225,EOMONTH(DATE(cfg_FY,9,1),0))-MAX($E225,DATE(cfg_FY,9,1))+1)*(1-IF($M225="نعم",0,N($J225))))</f>
        <v>0</v>
      </c>
      <c r="AE225" s="110" t="n">
        <f aca="false">IF(OR($B225="",$E225="",$F225=""),0,MAX(0,MIN($F225,EOMONTH(DATE(cfg_FY,10,1),0))-MAX($E225,DATE(cfg_FY,10,1))+1)*(1-IF($M225="نعم",0,N($J225))))</f>
        <v>0</v>
      </c>
      <c r="AF225" s="110" t="n">
        <f aca="false">IF(OR($B225="",$E225="",$F225=""),0,MAX(0,MIN($F225,EOMONTH(DATE(cfg_FY,11,1),0))-MAX($E225,DATE(cfg_FY,11,1))+1)*(1-IF($M225="نعم",0,N($J225))))</f>
        <v>0</v>
      </c>
      <c r="AG225" s="110" t="n">
        <f aca="false">IF(OR($B225="",$E225="",$F225=""),0,MAX(0,MIN($F225,EOMONTH(DATE(cfg_FY,12,1),0))-MAX($E225,DATE(cfg_FY,12,1))+1)*(1-IF($M225="نعم",0,N($J225))))</f>
        <v>0</v>
      </c>
      <c r="AH225" s="110" t="n">
        <f aca="false">IF(OR(OR($B225="",$E225="",$F225=""),$L225&lt;&gt;"لا"),0,MAX(0,MIN($F225,EOMONTH(DATE(cfg_FY,1,1),0))-$E225+1))</f>
        <v>0</v>
      </c>
      <c r="AI225" s="110" t="n">
        <f aca="false">IF(OR(OR($B225="",$E225="",$F225=""),$L225&lt;&gt;"لا"),0,MAX(0,MIN($F225,EOMONTH(DATE(cfg_FY,2,1),0))-$E225+1))</f>
        <v>0</v>
      </c>
      <c r="AJ225" s="110" t="n">
        <f aca="false">IF(OR(OR($B225="",$E225="",$F225=""),$L225&lt;&gt;"لا"),0,MAX(0,MIN($F225,EOMONTH(DATE(cfg_FY,3,1),0))-$E225+1))</f>
        <v>0</v>
      </c>
      <c r="AK225" s="110" t="n">
        <f aca="false">IF(OR(OR($B225="",$E225="",$F225=""),$L225&lt;&gt;"لا"),0,MAX(0,MIN($F225,EOMONTH(DATE(cfg_FY,4,1),0))-$E225+1))</f>
        <v>0</v>
      </c>
      <c r="AL225" s="110" t="n">
        <f aca="false">IF(OR(OR($B225="",$E225="",$F225=""),$L225&lt;&gt;"لا"),0,MAX(0,MIN($F225,EOMONTH(DATE(cfg_FY,5,1),0))-$E225+1))</f>
        <v>0</v>
      </c>
      <c r="AM225" s="110" t="n">
        <f aca="false">IF(OR(OR($B225="",$E225="",$F225=""),$L225&lt;&gt;"لا"),0,MAX(0,MIN($F225,EOMONTH(DATE(cfg_FY,6,1),0))-$E225+1))</f>
        <v>0</v>
      </c>
      <c r="AN225" s="110" t="n">
        <f aca="false">IF(OR(OR($B225="",$E225="",$F225=""),$L225&lt;&gt;"لا"),0,MAX(0,MIN($F225,EOMONTH(DATE(cfg_FY,7,1),0))-$E225+1))</f>
        <v>0</v>
      </c>
      <c r="AO225" s="110" t="n">
        <f aca="false">IF(OR(OR($B225="",$E225="",$F225=""),$L225&lt;&gt;"لا"),0,MAX(0,MIN($F225,EOMONTH(DATE(cfg_FY,8,1),0))-$E225+1))</f>
        <v>0</v>
      </c>
      <c r="AP225" s="110" t="n">
        <f aca="false">IF(OR(OR($B225="",$E225="",$F225=""),$L225&lt;&gt;"لا"),0,MAX(0,MIN($F225,EOMONTH(DATE(cfg_FY,9,1),0))-$E225+1))</f>
        <v>0</v>
      </c>
      <c r="AQ225" s="110" t="n">
        <f aca="false">IF(OR(OR($B225="",$E225="",$F225=""),$L225&lt;&gt;"لا"),0,MAX(0,MIN($F225,EOMONTH(DATE(cfg_FY,10,1),0))-$E225+1))</f>
        <v>0</v>
      </c>
      <c r="AR225" s="110" t="n">
        <f aca="false">IF(OR(OR($B225="",$E225="",$F225=""),$L225&lt;&gt;"لا"),0,MAX(0,MIN($F225,EOMONTH(DATE(cfg_FY,11,1),0))-$E225+1))</f>
        <v>0</v>
      </c>
      <c r="AS225" s="110" t="n">
        <f aca="false">IF(OR(OR($B225="",$E225="",$F225=""),$L225&lt;&gt;"لا"),0,MAX(0,MIN($F225,EOMONTH(DATE(cfg_FY,12,1),0))-$E225+1))</f>
        <v>0</v>
      </c>
      <c r="AT225" s="110" t="n">
        <f aca="false">IF(OR(OR($B225="",$E225="",$F225=""),$K225&lt;&gt;"نعم",$M225="نعم"),0,MAX(0,MIN($F225,EOMONTH(DATE(cfg_FY,1,1),0))-MAX($E225,DATE(cfg_FY,1,1))+1))</f>
        <v>0</v>
      </c>
      <c r="AU225" s="110" t="n">
        <f aca="false">IF(OR(OR($B225="",$E225="",$F225=""),$K225&lt;&gt;"نعم",$M225="نعم"),0,MAX(0,MIN($F225,EOMONTH(DATE(cfg_FY,2,1),0))-MAX($E225,DATE(cfg_FY,2,1))+1))</f>
        <v>0</v>
      </c>
      <c r="AV225" s="110" t="n">
        <f aca="false">IF(OR(OR($B225="",$E225="",$F225=""),$K225&lt;&gt;"نعم",$M225="نعم"),0,MAX(0,MIN($F225,EOMONTH(DATE(cfg_FY,3,1),0))-MAX($E225,DATE(cfg_FY,3,1))+1))</f>
        <v>0</v>
      </c>
      <c r="AW225" s="110" t="n">
        <f aca="false">IF(OR(OR($B225="",$E225="",$F225=""),$K225&lt;&gt;"نعم",$M225="نعم"),0,MAX(0,MIN($F225,EOMONTH(DATE(cfg_FY,4,1),0))-MAX($E225,DATE(cfg_FY,4,1))+1))</f>
        <v>0</v>
      </c>
      <c r="AX225" s="110" t="n">
        <f aca="false">IF(OR(OR($B225="",$E225="",$F225=""),$K225&lt;&gt;"نعم",$M225="نعم"),0,MAX(0,MIN($F225,EOMONTH(DATE(cfg_FY,5,1),0))-MAX($E225,DATE(cfg_FY,5,1))+1))</f>
        <v>0</v>
      </c>
      <c r="AY225" s="110" t="n">
        <f aca="false">IF(OR(OR($B225="",$E225="",$F225=""),$K225&lt;&gt;"نعم",$M225="نعم"),0,MAX(0,MIN($F225,EOMONTH(DATE(cfg_FY,6,1),0))-MAX($E225,DATE(cfg_FY,6,1))+1))</f>
        <v>0</v>
      </c>
      <c r="AZ225" s="110" t="n">
        <f aca="false">IF(OR(OR($B225="",$E225="",$F225=""),$K225&lt;&gt;"نعم",$M225="نعم"),0,MAX(0,MIN($F225,EOMONTH(DATE(cfg_FY,7,1),0))-MAX($E225,DATE(cfg_FY,7,1))+1))</f>
        <v>0</v>
      </c>
      <c r="BA225" s="110" t="n">
        <f aca="false">IF(OR(OR($B225="",$E225="",$F225=""),$K225&lt;&gt;"نعم",$M225="نعم"),0,MAX(0,MIN($F225,EOMONTH(DATE(cfg_FY,8,1),0))-MAX($E225,DATE(cfg_FY,8,1))+1))</f>
        <v>0</v>
      </c>
      <c r="BB225" s="110" t="n">
        <f aca="false">IF(OR(OR($B225="",$E225="",$F225=""),$K225&lt;&gt;"نعم",$M225="نعم"),0,MAX(0,MIN($F225,EOMONTH(DATE(cfg_FY,9,1),0))-MAX($E225,DATE(cfg_FY,9,1))+1))</f>
        <v>0</v>
      </c>
      <c r="BC225" s="110" t="n">
        <f aca="false">IF(OR(OR($B225="",$E225="",$F225=""),$K225&lt;&gt;"نعم",$M225="نعم"),0,MAX(0,MIN($F225,EOMONTH(DATE(cfg_FY,10,1),0))-MAX($E225,DATE(cfg_FY,10,1))+1))</f>
        <v>0</v>
      </c>
      <c r="BD225" s="110" t="n">
        <f aca="false">IF(OR(OR($B225="",$E225="",$F225=""),$K225&lt;&gt;"نعم",$M225="نعم"),0,MAX(0,MIN($F225,EOMONTH(DATE(cfg_FY,11,1),0))-MAX($E225,DATE(cfg_FY,11,1))+1))</f>
        <v>0</v>
      </c>
      <c r="BE225" s="110" t="n">
        <f aca="false">IF(OR(OR($B225="",$E225="",$F225=""),$K225&lt;&gt;"نعم",$M225="نعم"),0,MAX(0,MIN($F225,EOMONTH(DATE(cfg_FY,12,1),0))-MAX($E225,DATE(cfg_FY,12,1))+1))</f>
        <v>0</v>
      </c>
    </row>
    <row r="226" customFormat="false" ht="15" hidden="false" customHeight="false" outlineLevel="0" collapsed="false">
      <c r="A226" s="93" t="str">
        <f aca="false">IF(B226="","",ROW()-5)</f>
        <v/>
      </c>
      <c r="B226" s="79"/>
      <c r="C226" s="80" t="str">
        <f aca="false">IF(B226="","",IFERROR(INDEX(الموظفون!$C$6:$C$105,MATCH(B226,الموظفون!$B$6:$B$105,0)),"✖ رقم غير موجود"))</f>
        <v/>
      </c>
      <c r="D226" s="79"/>
      <c r="E226" s="94"/>
      <c r="F226" s="94"/>
      <c r="G226" s="57" t="str">
        <f aca="false">IF(OR($B226="",$E226="",$F226=""),"",MAX(0,F226-E226+1))</f>
        <v/>
      </c>
      <c r="H226" s="58" t="str">
        <f aca="false">IF(D226="","",IFERROR(VLOOKUP(D226,cfg_LT,2,FALSE()),1))</f>
        <v/>
      </c>
      <c r="I226" s="82"/>
      <c r="J226" s="58" t="str">
        <f aca="false">IF(D226="","",IF(I226&lt;&gt;"",I226,H226))</f>
        <v/>
      </c>
      <c r="K226" s="80" t="str">
        <f aca="false">IF(D226="","",IFERROR(VLOOKUP($D226,cfg_LT,3,FALSE()),""))</f>
        <v/>
      </c>
      <c r="L226" s="80" t="str">
        <f aca="false">IF(D226="","",IFERROR(VLOOKUP($D226,cfg_LT,4,FALSE()),""))</f>
        <v/>
      </c>
      <c r="M226" s="80" t="str">
        <f aca="false">IF(D226="","",IFERROR(VLOOKUP($D226,cfg_LT,5,FALSE()),""))</f>
        <v/>
      </c>
      <c r="N226" s="97" t="n">
        <f aca="false">IF(OR(OR($B226="",$E226="",$F226=""),M226&lt;&gt;"نعم"),0,G226*J226*IFERROR(INDEX(الموظفون!$R$6:$R$105,MATCH(B226,الموظفون!$B$6:$B$105,0)),0)/cfg_DAYS_M)</f>
        <v>0</v>
      </c>
      <c r="O226" s="93" t="str">
        <f aca="false">IF(OR(OR($B226="",$E226="",$F226=""),M226&lt;&gt;"نعم"),"",IF(YEAR(E226)=cfg_FY,MONTH(E226),""))</f>
        <v/>
      </c>
      <c r="P226" s="80" t="str">
        <f aca="false">IF(B226="","",IF(OR(D226="",E226="",F226=""),"⚠ أكمل النوع والتواريخ",IF(F226&lt;E226,"✖ النهاية قبل البداية",IF(COUNTIFS($B$6:$B$505,B226,$E$6:$E$505,"&lt;="&amp;F226,$F$6:$F$505,"&gt;="&amp;E226)&gt;1,"⚠ تداخل مع سجل آخر",IF(E226&gt;cfg_VAL_DATE,"⏳ قادمة",IF(F226&lt;cfg_VAL_DATE,"✔ منتهية","✈ جارية في تاريخ التقرير"))))))</f>
        <v/>
      </c>
      <c r="Q226" s="79"/>
      <c r="R226" s="57" t="n">
        <f aca="false">IF(OR(OR($B226="",$E226="",$F226=""),L226&lt;&gt;"لا"),0,MAX(0,MIN(F226,cfg_Y_START-1)-E226+1))</f>
        <v>0</v>
      </c>
      <c r="S226" s="57" t="n">
        <f aca="false">IF(OR(OR($B226="",$E226="",$F226=""),L226&lt;&gt;"لا"),0,MAX(0,MIN(F226,cfg_VAL_DATE)-E226+1))</f>
        <v>0</v>
      </c>
      <c r="T226" s="57" t="n">
        <f aca="false">IF(OR(OR($B226="",$E226="",$F226=""),K226&lt;&gt;"نعم"),0,IF(M226="نعم",IF(AND(ISNUMBER(O226),N(O226)&lt;=cfg_VAL_M),G226,0),MAX(0,MIN(F226,cfg_VAL_DATE)-MAX(E226,cfg_Y_START)+1)))</f>
        <v>0</v>
      </c>
      <c r="V226" s="57" t="n">
        <f aca="false">IF(OR($B226="",$E226="",$F226=""),0,MAX(0,MIN($F226,EOMONTH(DATE(cfg_FY,1,1),0))-MAX($E226,DATE(cfg_FY,1,1))+1)*(1-IF($M226="نعم",0,N($J226))))</f>
        <v>0</v>
      </c>
      <c r="W226" s="57" t="n">
        <f aca="false">IF(OR($B226="",$E226="",$F226=""),0,MAX(0,MIN($F226,EOMONTH(DATE(cfg_FY,2,1),0))-MAX($E226,DATE(cfg_FY,2,1))+1)*(1-IF($M226="نعم",0,N($J226))))</f>
        <v>0</v>
      </c>
      <c r="X226" s="57" t="n">
        <f aca="false">IF(OR($B226="",$E226="",$F226=""),0,MAX(0,MIN($F226,EOMONTH(DATE(cfg_FY,3,1),0))-MAX($E226,DATE(cfg_FY,3,1))+1)*(1-IF($M226="نعم",0,N($J226))))</f>
        <v>0</v>
      </c>
      <c r="Y226" s="57" t="n">
        <f aca="false">IF(OR($B226="",$E226="",$F226=""),0,MAX(0,MIN($F226,EOMONTH(DATE(cfg_FY,4,1),0))-MAX($E226,DATE(cfg_FY,4,1))+1)*(1-IF($M226="نعم",0,N($J226))))</f>
        <v>0</v>
      </c>
      <c r="Z226" s="57" t="n">
        <f aca="false">IF(OR($B226="",$E226="",$F226=""),0,MAX(0,MIN($F226,EOMONTH(DATE(cfg_FY,5,1),0))-MAX($E226,DATE(cfg_FY,5,1))+1)*(1-IF($M226="نعم",0,N($J226))))</f>
        <v>0</v>
      </c>
      <c r="AA226" s="57" t="n">
        <f aca="false">IF(OR($B226="",$E226="",$F226=""),0,MAX(0,MIN($F226,EOMONTH(DATE(cfg_FY,6,1),0))-MAX($E226,DATE(cfg_FY,6,1))+1)*(1-IF($M226="نعم",0,N($J226))))</f>
        <v>0</v>
      </c>
      <c r="AB226" s="57" t="n">
        <f aca="false">IF(OR($B226="",$E226="",$F226=""),0,MAX(0,MIN($F226,EOMONTH(DATE(cfg_FY,7,1),0))-MAX($E226,DATE(cfg_FY,7,1))+1)*(1-IF($M226="نعم",0,N($J226))))</f>
        <v>0</v>
      </c>
      <c r="AC226" s="57" t="n">
        <f aca="false">IF(OR($B226="",$E226="",$F226=""),0,MAX(0,MIN($F226,EOMONTH(DATE(cfg_FY,8,1),0))-MAX($E226,DATE(cfg_FY,8,1))+1)*(1-IF($M226="نعم",0,N($J226))))</f>
        <v>0</v>
      </c>
      <c r="AD226" s="57" t="n">
        <f aca="false">IF(OR($B226="",$E226="",$F226=""),0,MAX(0,MIN($F226,EOMONTH(DATE(cfg_FY,9,1),0))-MAX($E226,DATE(cfg_FY,9,1))+1)*(1-IF($M226="نعم",0,N($J226))))</f>
        <v>0</v>
      </c>
      <c r="AE226" s="57" t="n">
        <f aca="false">IF(OR($B226="",$E226="",$F226=""),0,MAX(0,MIN($F226,EOMONTH(DATE(cfg_FY,10,1),0))-MAX($E226,DATE(cfg_FY,10,1))+1)*(1-IF($M226="نعم",0,N($J226))))</f>
        <v>0</v>
      </c>
      <c r="AF226" s="57" t="n">
        <f aca="false">IF(OR($B226="",$E226="",$F226=""),0,MAX(0,MIN($F226,EOMONTH(DATE(cfg_FY,11,1),0))-MAX($E226,DATE(cfg_FY,11,1))+1)*(1-IF($M226="نعم",0,N($J226))))</f>
        <v>0</v>
      </c>
      <c r="AG226" s="57" t="n">
        <f aca="false">IF(OR($B226="",$E226="",$F226=""),0,MAX(0,MIN($F226,EOMONTH(DATE(cfg_FY,12,1),0))-MAX($E226,DATE(cfg_FY,12,1))+1)*(1-IF($M226="نعم",0,N($J226))))</f>
        <v>0</v>
      </c>
      <c r="AH226" s="57" t="n">
        <f aca="false">IF(OR(OR($B226="",$E226="",$F226=""),$L226&lt;&gt;"لا"),0,MAX(0,MIN($F226,EOMONTH(DATE(cfg_FY,1,1),0))-$E226+1))</f>
        <v>0</v>
      </c>
      <c r="AI226" s="57" t="n">
        <f aca="false">IF(OR(OR($B226="",$E226="",$F226=""),$L226&lt;&gt;"لا"),0,MAX(0,MIN($F226,EOMONTH(DATE(cfg_FY,2,1),0))-$E226+1))</f>
        <v>0</v>
      </c>
      <c r="AJ226" s="57" t="n">
        <f aca="false">IF(OR(OR($B226="",$E226="",$F226=""),$L226&lt;&gt;"لا"),0,MAX(0,MIN($F226,EOMONTH(DATE(cfg_FY,3,1),0))-$E226+1))</f>
        <v>0</v>
      </c>
      <c r="AK226" s="57" t="n">
        <f aca="false">IF(OR(OR($B226="",$E226="",$F226=""),$L226&lt;&gt;"لا"),0,MAX(0,MIN($F226,EOMONTH(DATE(cfg_FY,4,1),0))-$E226+1))</f>
        <v>0</v>
      </c>
      <c r="AL226" s="57" t="n">
        <f aca="false">IF(OR(OR($B226="",$E226="",$F226=""),$L226&lt;&gt;"لا"),0,MAX(0,MIN($F226,EOMONTH(DATE(cfg_FY,5,1),0))-$E226+1))</f>
        <v>0</v>
      </c>
      <c r="AM226" s="57" t="n">
        <f aca="false">IF(OR(OR($B226="",$E226="",$F226=""),$L226&lt;&gt;"لا"),0,MAX(0,MIN($F226,EOMONTH(DATE(cfg_FY,6,1),0))-$E226+1))</f>
        <v>0</v>
      </c>
      <c r="AN226" s="57" t="n">
        <f aca="false">IF(OR(OR($B226="",$E226="",$F226=""),$L226&lt;&gt;"لا"),0,MAX(0,MIN($F226,EOMONTH(DATE(cfg_FY,7,1),0))-$E226+1))</f>
        <v>0</v>
      </c>
      <c r="AO226" s="57" t="n">
        <f aca="false">IF(OR(OR($B226="",$E226="",$F226=""),$L226&lt;&gt;"لا"),0,MAX(0,MIN($F226,EOMONTH(DATE(cfg_FY,8,1),0))-$E226+1))</f>
        <v>0</v>
      </c>
      <c r="AP226" s="57" t="n">
        <f aca="false">IF(OR(OR($B226="",$E226="",$F226=""),$L226&lt;&gt;"لا"),0,MAX(0,MIN($F226,EOMONTH(DATE(cfg_FY,9,1),0))-$E226+1))</f>
        <v>0</v>
      </c>
      <c r="AQ226" s="57" t="n">
        <f aca="false">IF(OR(OR($B226="",$E226="",$F226=""),$L226&lt;&gt;"لا"),0,MAX(0,MIN($F226,EOMONTH(DATE(cfg_FY,10,1),0))-$E226+1))</f>
        <v>0</v>
      </c>
      <c r="AR226" s="57" t="n">
        <f aca="false">IF(OR(OR($B226="",$E226="",$F226=""),$L226&lt;&gt;"لا"),0,MAX(0,MIN($F226,EOMONTH(DATE(cfg_FY,11,1),0))-$E226+1))</f>
        <v>0</v>
      </c>
      <c r="AS226" s="57" t="n">
        <f aca="false">IF(OR(OR($B226="",$E226="",$F226=""),$L226&lt;&gt;"لا"),0,MAX(0,MIN($F226,EOMONTH(DATE(cfg_FY,12,1),0))-$E226+1))</f>
        <v>0</v>
      </c>
      <c r="AT226" s="57" t="n">
        <f aca="false">IF(OR(OR($B226="",$E226="",$F226=""),$K226&lt;&gt;"نعم",$M226="نعم"),0,MAX(0,MIN($F226,EOMONTH(DATE(cfg_FY,1,1),0))-MAX($E226,DATE(cfg_FY,1,1))+1))</f>
        <v>0</v>
      </c>
      <c r="AU226" s="57" t="n">
        <f aca="false">IF(OR(OR($B226="",$E226="",$F226=""),$K226&lt;&gt;"نعم",$M226="نعم"),0,MAX(0,MIN($F226,EOMONTH(DATE(cfg_FY,2,1),0))-MAX($E226,DATE(cfg_FY,2,1))+1))</f>
        <v>0</v>
      </c>
      <c r="AV226" s="57" t="n">
        <f aca="false">IF(OR(OR($B226="",$E226="",$F226=""),$K226&lt;&gt;"نعم",$M226="نعم"),0,MAX(0,MIN($F226,EOMONTH(DATE(cfg_FY,3,1),0))-MAX($E226,DATE(cfg_FY,3,1))+1))</f>
        <v>0</v>
      </c>
      <c r="AW226" s="57" t="n">
        <f aca="false">IF(OR(OR($B226="",$E226="",$F226=""),$K226&lt;&gt;"نعم",$M226="نعم"),0,MAX(0,MIN($F226,EOMONTH(DATE(cfg_FY,4,1),0))-MAX($E226,DATE(cfg_FY,4,1))+1))</f>
        <v>0</v>
      </c>
      <c r="AX226" s="57" t="n">
        <f aca="false">IF(OR(OR($B226="",$E226="",$F226=""),$K226&lt;&gt;"نعم",$M226="نعم"),0,MAX(0,MIN($F226,EOMONTH(DATE(cfg_FY,5,1),0))-MAX($E226,DATE(cfg_FY,5,1))+1))</f>
        <v>0</v>
      </c>
      <c r="AY226" s="57" t="n">
        <f aca="false">IF(OR(OR($B226="",$E226="",$F226=""),$K226&lt;&gt;"نعم",$M226="نعم"),0,MAX(0,MIN($F226,EOMONTH(DATE(cfg_FY,6,1),0))-MAX($E226,DATE(cfg_FY,6,1))+1))</f>
        <v>0</v>
      </c>
      <c r="AZ226" s="57" t="n">
        <f aca="false">IF(OR(OR($B226="",$E226="",$F226=""),$K226&lt;&gt;"نعم",$M226="نعم"),0,MAX(0,MIN($F226,EOMONTH(DATE(cfg_FY,7,1),0))-MAX($E226,DATE(cfg_FY,7,1))+1))</f>
        <v>0</v>
      </c>
      <c r="BA226" s="57" t="n">
        <f aca="false">IF(OR(OR($B226="",$E226="",$F226=""),$K226&lt;&gt;"نعم",$M226="نعم"),0,MAX(0,MIN($F226,EOMONTH(DATE(cfg_FY,8,1),0))-MAX($E226,DATE(cfg_FY,8,1))+1))</f>
        <v>0</v>
      </c>
      <c r="BB226" s="57" t="n">
        <f aca="false">IF(OR(OR($B226="",$E226="",$F226=""),$K226&lt;&gt;"نعم",$M226="نعم"),0,MAX(0,MIN($F226,EOMONTH(DATE(cfg_FY,9,1),0))-MAX($E226,DATE(cfg_FY,9,1))+1))</f>
        <v>0</v>
      </c>
      <c r="BC226" s="57" t="n">
        <f aca="false">IF(OR(OR($B226="",$E226="",$F226=""),$K226&lt;&gt;"نعم",$M226="نعم"),0,MAX(0,MIN($F226,EOMONTH(DATE(cfg_FY,10,1),0))-MAX($E226,DATE(cfg_FY,10,1))+1))</f>
        <v>0</v>
      </c>
      <c r="BD226" s="57" t="n">
        <f aca="false">IF(OR(OR($B226="",$E226="",$F226=""),$K226&lt;&gt;"نعم",$M226="نعم"),0,MAX(0,MIN($F226,EOMONTH(DATE(cfg_FY,11,1),0))-MAX($E226,DATE(cfg_FY,11,1))+1))</f>
        <v>0</v>
      </c>
      <c r="BE226" s="57" t="n">
        <f aca="false">IF(OR(OR($B226="",$E226="",$F226=""),$K226&lt;&gt;"نعم",$M226="نعم"),0,MAX(0,MIN($F226,EOMONTH(DATE(cfg_FY,12,1),0))-MAX($E226,DATE(cfg_FY,12,1))+1))</f>
        <v>0</v>
      </c>
    </row>
    <row r="227" customFormat="false" ht="15" hidden="false" customHeight="false" outlineLevel="0" collapsed="false">
      <c r="A227" s="100" t="str">
        <f aca="false">IF(B227="","",ROW()-5)</f>
        <v/>
      </c>
      <c r="B227" s="79"/>
      <c r="C227" s="102" t="str">
        <f aca="false">IF(B227="","",IFERROR(INDEX(الموظفون!$C$6:$C$105,MATCH(B227,الموظفون!$B$6:$B$105,0)),"✖ رقم غير موجود"))</f>
        <v/>
      </c>
      <c r="D227" s="79"/>
      <c r="E227" s="94"/>
      <c r="F227" s="94"/>
      <c r="G227" s="110" t="str">
        <f aca="false">IF(OR($B227="",$E227="",$F227=""),"",MAX(0,F227-E227+1))</f>
        <v/>
      </c>
      <c r="H227" s="111" t="str">
        <f aca="false">IF(D227="","",IFERROR(VLOOKUP(D227,cfg_LT,2,FALSE()),1))</f>
        <v/>
      </c>
      <c r="I227" s="82"/>
      <c r="J227" s="111" t="str">
        <f aca="false">IF(D227="","",IF(I227&lt;&gt;"",I227,H227))</f>
        <v/>
      </c>
      <c r="K227" s="102" t="str">
        <f aca="false">IF(D227="","",IFERROR(VLOOKUP($D227,cfg_LT,3,FALSE()),""))</f>
        <v/>
      </c>
      <c r="L227" s="102" t="str">
        <f aca="false">IF(D227="","",IFERROR(VLOOKUP($D227,cfg_LT,4,FALSE()),""))</f>
        <v/>
      </c>
      <c r="M227" s="102" t="str">
        <f aca="false">IF(D227="","",IFERROR(VLOOKUP($D227,cfg_LT,5,FALSE()),""))</f>
        <v/>
      </c>
      <c r="N227" s="101" t="n">
        <f aca="false">IF(OR(OR($B227="",$E227="",$F227=""),M227&lt;&gt;"نعم"),0,G227*J227*IFERROR(INDEX(الموظفون!$R$6:$R$105,MATCH(B227,الموظفون!$B$6:$B$105,0)),0)/cfg_DAYS_M)</f>
        <v>0</v>
      </c>
      <c r="O227" s="100" t="str">
        <f aca="false">IF(OR(OR($B227="",$E227="",$F227=""),M227&lt;&gt;"نعم"),"",IF(YEAR(E227)=cfg_FY,MONTH(E227),""))</f>
        <v/>
      </c>
      <c r="P227" s="102" t="str">
        <f aca="false">IF(B227="","",IF(OR(D227="",E227="",F227=""),"⚠ أكمل النوع والتواريخ",IF(F227&lt;E227,"✖ النهاية قبل البداية",IF(COUNTIFS($B$6:$B$505,B227,$E$6:$E$505,"&lt;="&amp;F227,$F$6:$F$505,"&gt;="&amp;E227)&gt;1,"⚠ تداخل مع سجل آخر",IF(E227&gt;cfg_VAL_DATE,"⏳ قادمة",IF(F227&lt;cfg_VAL_DATE,"✔ منتهية","✈ جارية في تاريخ التقرير"))))))</f>
        <v/>
      </c>
      <c r="Q227" s="79"/>
      <c r="R227" s="110" t="n">
        <f aca="false">IF(OR(OR($B227="",$E227="",$F227=""),L227&lt;&gt;"لا"),0,MAX(0,MIN(F227,cfg_Y_START-1)-E227+1))</f>
        <v>0</v>
      </c>
      <c r="S227" s="110" t="n">
        <f aca="false">IF(OR(OR($B227="",$E227="",$F227=""),L227&lt;&gt;"لا"),0,MAX(0,MIN(F227,cfg_VAL_DATE)-E227+1))</f>
        <v>0</v>
      </c>
      <c r="T227" s="110" t="n">
        <f aca="false">IF(OR(OR($B227="",$E227="",$F227=""),K227&lt;&gt;"نعم"),0,IF(M227="نعم",IF(AND(ISNUMBER(O227),N(O227)&lt;=cfg_VAL_M),G227,0),MAX(0,MIN(F227,cfg_VAL_DATE)-MAX(E227,cfg_Y_START)+1)))</f>
        <v>0</v>
      </c>
      <c r="V227" s="110" t="n">
        <f aca="false">IF(OR($B227="",$E227="",$F227=""),0,MAX(0,MIN($F227,EOMONTH(DATE(cfg_FY,1,1),0))-MAX($E227,DATE(cfg_FY,1,1))+1)*(1-IF($M227="نعم",0,N($J227))))</f>
        <v>0</v>
      </c>
      <c r="W227" s="110" t="n">
        <f aca="false">IF(OR($B227="",$E227="",$F227=""),0,MAX(0,MIN($F227,EOMONTH(DATE(cfg_FY,2,1),0))-MAX($E227,DATE(cfg_FY,2,1))+1)*(1-IF($M227="نعم",0,N($J227))))</f>
        <v>0</v>
      </c>
      <c r="X227" s="110" t="n">
        <f aca="false">IF(OR($B227="",$E227="",$F227=""),0,MAX(0,MIN($F227,EOMONTH(DATE(cfg_FY,3,1),0))-MAX($E227,DATE(cfg_FY,3,1))+1)*(1-IF($M227="نعم",0,N($J227))))</f>
        <v>0</v>
      </c>
      <c r="Y227" s="110" t="n">
        <f aca="false">IF(OR($B227="",$E227="",$F227=""),0,MAX(0,MIN($F227,EOMONTH(DATE(cfg_FY,4,1),0))-MAX($E227,DATE(cfg_FY,4,1))+1)*(1-IF($M227="نعم",0,N($J227))))</f>
        <v>0</v>
      </c>
      <c r="Z227" s="110" t="n">
        <f aca="false">IF(OR($B227="",$E227="",$F227=""),0,MAX(0,MIN($F227,EOMONTH(DATE(cfg_FY,5,1),0))-MAX($E227,DATE(cfg_FY,5,1))+1)*(1-IF($M227="نعم",0,N($J227))))</f>
        <v>0</v>
      </c>
      <c r="AA227" s="110" t="n">
        <f aca="false">IF(OR($B227="",$E227="",$F227=""),0,MAX(0,MIN($F227,EOMONTH(DATE(cfg_FY,6,1),0))-MAX($E227,DATE(cfg_FY,6,1))+1)*(1-IF($M227="نعم",0,N($J227))))</f>
        <v>0</v>
      </c>
      <c r="AB227" s="110" t="n">
        <f aca="false">IF(OR($B227="",$E227="",$F227=""),0,MAX(0,MIN($F227,EOMONTH(DATE(cfg_FY,7,1),0))-MAX($E227,DATE(cfg_FY,7,1))+1)*(1-IF($M227="نعم",0,N($J227))))</f>
        <v>0</v>
      </c>
      <c r="AC227" s="110" t="n">
        <f aca="false">IF(OR($B227="",$E227="",$F227=""),0,MAX(0,MIN($F227,EOMONTH(DATE(cfg_FY,8,1),0))-MAX($E227,DATE(cfg_FY,8,1))+1)*(1-IF($M227="نعم",0,N($J227))))</f>
        <v>0</v>
      </c>
      <c r="AD227" s="110" t="n">
        <f aca="false">IF(OR($B227="",$E227="",$F227=""),0,MAX(0,MIN($F227,EOMONTH(DATE(cfg_FY,9,1),0))-MAX($E227,DATE(cfg_FY,9,1))+1)*(1-IF($M227="نعم",0,N($J227))))</f>
        <v>0</v>
      </c>
      <c r="AE227" s="110" t="n">
        <f aca="false">IF(OR($B227="",$E227="",$F227=""),0,MAX(0,MIN($F227,EOMONTH(DATE(cfg_FY,10,1),0))-MAX($E227,DATE(cfg_FY,10,1))+1)*(1-IF($M227="نعم",0,N($J227))))</f>
        <v>0</v>
      </c>
      <c r="AF227" s="110" t="n">
        <f aca="false">IF(OR($B227="",$E227="",$F227=""),0,MAX(0,MIN($F227,EOMONTH(DATE(cfg_FY,11,1),0))-MAX($E227,DATE(cfg_FY,11,1))+1)*(1-IF($M227="نعم",0,N($J227))))</f>
        <v>0</v>
      </c>
      <c r="AG227" s="110" t="n">
        <f aca="false">IF(OR($B227="",$E227="",$F227=""),0,MAX(0,MIN($F227,EOMONTH(DATE(cfg_FY,12,1),0))-MAX($E227,DATE(cfg_FY,12,1))+1)*(1-IF($M227="نعم",0,N($J227))))</f>
        <v>0</v>
      </c>
      <c r="AH227" s="110" t="n">
        <f aca="false">IF(OR(OR($B227="",$E227="",$F227=""),$L227&lt;&gt;"لا"),0,MAX(0,MIN($F227,EOMONTH(DATE(cfg_FY,1,1),0))-$E227+1))</f>
        <v>0</v>
      </c>
      <c r="AI227" s="110" t="n">
        <f aca="false">IF(OR(OR($B227="",$E227="",$F227=""),$L227&lt;&gt;"لا"),0,MAX(0,MIN($F227,EOMONTH(DATE(cfg_FY,2,1),0))-$E227+1))</f>
        <v>0</v>
      </c>
      <c r="AJ227" s="110" t="n">
        <f aca="false">IF(OR(OR($B227="",$E227="",$F227=""),$L227&lt;&gt;"لا"),0,MAX(0,MIN($F227,EOMONTH(DATE(cfg_FY,3,1),0))-$E227+1))</f>
        <v>0</v>
      </c>
      <c r="AK227" s="110" t="n">
        <f aca="false">IF(OR(OR($B227="",$E227="",$F227=""),$L227&lt;&gt;"لا"),0,MAX(0,MIN($F227,EOMONTH(DATE(cfg_FY,4,1),0))-$E227+1))</f>
        <v>0</v>
      </c>
      <c r="AL227" s="110" t="n">
        <f aca="false">IF(OR(OR($B227="",$E227="",$F227=""),$L227&lt;&gt;"لا"),0,MAX(0,MIN($F227,EOMONTH(DATE(cfg_FY,5,1),0))-$E227+1))</f>
        <v>0</v>
      </c>
      <c r="AM227" s="110" t="n">
        <f aca="false">IF(OR(OR($B227="",$E227="",$F227=""),$L227&lt;&gt;"لا"),0,MAX(0,MIN($F227,EOMONTH(DATE(cfg_FY,6,1),0))-$E227+1))</f>
        <v>0</v>
      </c>
      <c r="AN227" s="110" t="n">
        <f aca="false">IF(OR(OR($B227="",$E227="",$F227=""),$L227&lt;&gt;"لا"),0,MAX(0,MIN($F227,EOMONTH(DATE(cfg_FY,7,1),0))-$E227+1))</f>
        <v>0</v>
      </c>
      <c r="AO227" s="110" t="n">
        <f aca="false">IF(OR(OR($B227="",$E227="",$F227=""),$L227&lt;&gt;"لا"),0,MAX(0,MIN($F227,EOMONTH(DATE(cfg_FY,8,1),0))-$E227+1))</f>
        <v>0</v>
      </c>
      <c r="AP227" s="110" t="n">
        <f aca="false">IF(OR(OR($B227="",$E227="",$F227=""),$L227&lt;&gt;"لا"),0,MAX(0,MIN($F227,EOMONTH(DATE(cfg_FY,9,1),0))-$E227+1))</f>
        <v>0</v>
      </c>
      <c r="AQ227" s="110" t="n">
        <f aca="false">IF(OR(OR($B227="",$E227="",$F227=""),$L227&lt;&gt;"لا"),0,MAX(0,MIN($F227,EOMONTH(DATE(cfg_FY,10,1),0))-$E227+1))</f>
        <v>0</v>
      </c>
      <c r="AR227" s="110" t="n">
        <f aca="false">IF(OR(OR($B227="",$E227="",$F227=""),$L227&lt;&gt;"لا"),0,MAX(0,MIN($F227,EOMONTH(DATE(cfg_FY,11,1),0))-$E227+1))</f>
        <v>0</v>
      </c>
      <c r="AS227" s="110" t="n">
        <f aca="false">IF(OR(OR($B227="",$E227="",$F227=""),$L227&lt;&gt;"لا"),0,MAX(0,MIN($F227,EOMONTH(DATE(cfg_FY,12,1),0))-$E227+1))</f>
        <v>0</v>
      </c>
      <c r="AT227" s="110" t="n">
        <f aca="false">IF(OR(OR($B227="",$E227="",$F227=""),$K227&lt;&gt;"نعم",$M227="نعم"),0,MAX(0,MIN($F227,EOMONTH(DATE(cfg_FY,1,1),0))-MAX($E227,DATE(cfg_FY,1,1))+1))</f>
        <v>0</v>
      </c>
      <c r="AU227" s="110" t="n">
        <f aca="false">IF(OR(OR($B227="",$E227="",$F227=""),$K227&lt;&gt;"نعم",$M227="نعم"),0,MAX(0,MIN($F227,EOMONTH(DATE(cfg_FY,2,1),0))-MAX($E227,DATE(cfg_FY,2,1))+1))</f>
        <v>0</v>
      </c>
      <c r="AV227" s="110" t="n">
        <f aca="false">IF(OR(OR($B227="",$E227="",$F227=""),$K227&lt;&gt;"نعم",$M227="نعم"),0,MAX(0,MIN($F227,EOMONTH(DATE(cfg_FY,3,1),0))-MAX($E227,DATE(cfg_FY,3,1))+1))</f>
        <v>0</v>
      </c>
      <c r="AW227" s="110" t="n">
        <f aca="false">IF(OR(OR($B227="",$E227="",$F227=""),$K227&lt;&gt;"نعم",$M227="نعم"),0,MAX(0,MIN($F227,EOMONTH(DATE(cfg_FY,4,1),0))-MAX($E227,DATE(cfg_FY,4,1))+1))</f>
        <v>0</v>
      </c>
      <c r="AX227" s="110" t="n">
        <f aca="false">IF(OR(OR($B227="",$E227="",$F227=""),$K227&lt;&gt;"نعم",$M227="نعم"),0,MAX(0,MIN($F227,EOMONTH(DATE(cfg_FY,5,1),0))-MAX($E227,DATE(cfg_FY,5,1))+1))</f>
        <v>0</v>
      </c>
      <c r="AY227" s="110" t="n">
        <f aca="false">IF(OR(OR($B227="",$E227="",$F227=""),$K227&lt;&gt;"نعم",$M227="نعم"),0,MAX(0,MIN($F227,EOMONTH(DATE(cfg_FY,6,1),0))-MAX($E227,DATE(cfg_FY,6,1))+1))</f>
        <v>0</v>
      </c>
      <c r="AZ227" s="110" t="n">
        <f aca="false">IF(OR(OR($B227="",$E227="",$F227=""),$K227&lt;&gt;"نعم",$M227="نعم"),0,MAX(0,MIN($F227,EOMONTH(DATE(cfg_FY,7,1),0))-MAX($E227,DATE(cfg_FY,7,1))+1))</f>
        <v>0</v>
      </c>
      <c r="BA227" s="110" t="n">
        <f aca="false">IF(OR(OR($B227="",$E227="",$F227=""),$K227&lt;&gt;"نعم",$M227="نعم"),0,MAX(0,MIN($F227,EOMONTH(DATE(cfg_FY,8,1),0))-MAX($E227,DATE(cfg_FY,8,1))+1))</f>
        <v>0</v>
      </c>
      <c r="BB227" s="110" t="n">
        <f aca="false">IF(OR(OR($B227="",$E227="",$F227=""),$K227&lt;&gt;"نعم",$M227="نعم"),0,MAX(0,MIN($F227,EOMONTH(DATE(cfg_FY,9,1),0))-MAX($E227,DATE(cfg_FY,9,1))+1))</f>
        <v>0</v>
      </c>
      <c r="BC227" s="110" t="n">
        <f aca="false">IF(OR(OR($B227="",$E227="",$F227=""),$K227&lt;&gt;"نعم",$M227="نعم"),0,MAX(0,MIN($F227,EOMONTH(DATE(cfg_FY,10,1),0))-MAX($E227,DATE(cfg_FY,10,1))+1))</f>
        <v>0</v>
      </c>
      <c r="BD227" s="110" t="n">
        <f aca="false">IF(OR(OR($B227="",$E227="",$F227=""),$K227&lt;&gt;"نعم",$M227="نعم"),0,MAX(0,MIN($F227,EOMONTH(DATE(cfg_FY,11,1),0))-MAX($E227,DATE(cfg_FY,11,1))+1))</f>
        <v>0</v>
      </c>
      <c r="BE227" s="110" t="n">
        <f aca="false">IF(OR(OR($B227="",$E227="",$F227=""),$K227&lt;&gt;"نعم",$M227="نعم"),0,MAX(0,MIN($F227,EOMONTH(DATE(cfg_FY,12,1),0))-MAX($E227,DATE(cfg_FY,12,1))+1))</f>
        <v>0</v>
      </c>
    </row>
    <row r="228" customFormat="false" ht="15" hidden="false" customHeight="false" outlineLevel="0" collapsed="false">
      <c r="A228" s="93" t="str">
        <f aca="false">IF(B228="","",ROW()-5)</f>
        <v/>
      </c>
      <c r="B228" s="79"/>
      <c r="C228" s="80" t="str">
        <f aca="false">IF(B228="","",IFERROR(INDEX(الموظفون!$C$6:$C$105,MATCH(B228,الموظفون!$B$6:$B$105,0)),"✖ رقم غير موجود"))</f>
        <v/>
      </c>
      <c r="D228" s="79"/>
      <c r="E228" s="94"/>
      <c r="F228" s="94"/>
      <c r="G228" s="57" t="str">
        <f aca="false">IF(OR($B228="",$E228="",$F228=""),"",MAX(0,F228-E228+1))</f>
        <v/>
      </c>
      <c r="H228" s="58" t="str">
        <f aca="false">IF(D228="","",IFERROR(VLOOKUP(D228,cfg_LT,2,FALSE()),1))</f>
        <v/>
      </c>
      <c r="I228" s="82"/>
      <c r="J228" s="58" t="str">
        <f aca="false">IF(D228="","",IF(I228&lt;&gt;"",I228,H228))</f>
        <v/>
      </c>
      <c r="K228" s="80" t="str">
        <f aca="false">IF(D228="","",IFERROR(VLOOKUP($D228,cfg_LT,3,FALSE()),""))</f>
        <v/>
      </c>
      <c r="L228" s="80" t="str">
        <f aca="false">IF(D228="","",IFERROR(VLOOKUP($D228,cfg_LT,4,FALSE()),""))</f>
        <v/>
      </c>
      <c r="M228" s="80" t="str">
        <f aca="false">IF(D228="","",IFERROR(VLOOKUP($D228,cfg_LT,5,FALSE()),""))</f>
        <v/>
      </c>
      <c r="N228" s="97" t="n">
        <f aca="false">IF(OR(OR($B228="",$E228="",$F228=""),M228&lt;&gt;"نعم"),0,G228*J228*IFERROR(INDEX(الموظفون!$R$6:$R$105,MATCH(B228,الموظفون!$B$6:$B$105,0)),0)/cfg_DAYS_M)</f>
        <v>0</v>
      </c>
      <c r="O228" s="93" t="str">
        <f aca="false">IF(OR(OR($B228="",$E228="",$F228=""),M228&lt;&gt;"نعم"),"",IF(YEAR(E228)=cfg_FY,MONTH(E228),""))</f>
        <v/>
      </c>
      <c r="P228" s="80" t="str">
        <f aca="false">IF(B228="","",IF(OR(D228="",E228="",F228=""),"⚠ أكمل النوع والتواريخ",IF(F228&lt;E228,"✖ النهاية قبل البداية",IF(COUNTIFS($B$6:$B$505,B228,$E$6:$E$505,"&lt;="&amp;F228,$F$6:$F$505,"&gt;="&amp;E228)&gt;1,"⚠ تداخل مع سجل آخر",IF(E228&gt;cfg_VAL_DATE,"⏳ قادمة",IF(F228&lt;cfg_VAL_DATE,"✔ منتهية","✈ جارية في تاريخ التقرير"))))))</f>
        <v/>
      </c>
      <c r="Q228" s="79"/>
      <c r="R228" s="57" t="n">
        <f aca="false">IF(OR(OR($B228="",$E228="",$F228=""),L228&lt;&gt;"لا"),0,MAX(0,MIN(F228,cfg_Y_START-1)-E228+1))</f>
        <v>0</v>
      </c>
      <c r="S228" s="57" t="n">
        <f aca="false">IF(OR(OR($B228="",$E228="",$F228=""),L228&lt;&gt;"لا"),0,MAX(0,MIN(F228,cfg_VAL_DATE)-E228+1))</f>
        <v>0</v>
      </c>
      <c r="T228" s="57" t="n">
        <f aca="false">IF(OR(OR($B228="",$E228="",$F228=""),K228&lt;&gt;"نعم"),0,IF(M228="نعم",IF(AND(ISNUMBER(O228),N(O228)&lt;=cfg_VAL_M),G228,0),MAX(0,MIN(F228,cfg_VAL_DATE)-MAX(E228,cfg_Y_START)+1)))</f>
        <v>0</v>
      </c>
      <c r="V228" s="57" t="n">
        <f aca="false">IF(OR($B228="",$E228="",$F228=""),0,MAX(0,MIN($F228,EOMONTH(DATE(cfg_FY,1,1),0))-MAX($E228,DATE(cfg_FY,1,1))+1)*(1-IF($M228="نعم",0,N($J228))))</f>
        <v>0</v>
      </c>
      <c r="W228" s="57" t="n">
        <f aca="false">IF(OR($B228="",$E228="",$F228=""),0,MAX(0,MIN($F228,EOMONTH(DATE(cfg_FY,2,1),0))-MAX($E228,DATE(cfg_FY,2,1))+1)*(1-IF($M228="نعم",0,N($J228))))</f>
        <v>0</v>
      </c>
      <c r="X228" s="57" t="n">
        <f aca="false">IF(OR($B228="",$E228="",$F228=""),0,MAX(0,MIN($F228,EOMONTH(DATE(cfg_FY,3,1),0))-MAX($E228,DATE(cfg_FY,3,1))+1)*(1-IF($M228="نعم",0,N($J228))))</f>
        <v>0</v>
      </c>
      <c r="Y228" s="57" t="n">
        <f aca="false">IF(OR($B228="",$E228="",$F228=""),0,MAX(0,MIN($F228,EOMONTH(DATE(cfg_FY,4,1),0))-MAX($E228,DATE(cfg_FY,4,1))+1)*(1-IF($M228="نعم",0,N($J228))))</f>
        <v>0</v>
      </c>
      <c r="Z228" s="57" t="n">
        <f aca="false">IF(OR($B228="",$E228="",$F228=""),0,MAX(0,MIN($F228,EOMONTH(DATE(cfg_FY,5,1),0))-MAX($E228,DATE(cfg_FY,5,1))+1)*(1-IF($M228="نعم",0,N($J228))))</f>
        <v>0</v>
      </c>
      <c r="AA228" s="57" t="n">
        <f aca="false">IF(OR($B228="",$E228="",$F228=""),0,MAX(0,MIN($F228,EOMONTH(DATE(cfg_FY,6,1),0))-MAX($E228,DATE(cfg_FY,6,1))+1)*(1-IF($M228="نعم",0,N($J228))))</f>
        <v>0</v>
      </c>
      <c r="AB228" s="57" t="n">
        <f aca="false">IF(OR($B228="",$E228="",$F228=""),0,MAX(0,MIN($F228,EOMONTH(DATE(cfg_FY,7,1),0))-MAX($E228,DATE(cfg_FY,7,1))+1)*(1-IF($M228="نعم",0,N($J228))))</f>
        <v>0</v>
      </c>
      <c r="AC228" s="57" t="n">
        <f aca="false">IF(OR($B228="",$E228="",$F228=""),0,MAX(0,MIN($F228,EOMONTH(DATE(cfg_FY,8,1),0))-MAX($E228,DATE(cfg_FY,8,1))+1)*(1-IF($M228="نعم",0,N($J228))))</f>
        <v>0</v>
      </c>
      <c r="AD228" s="57" t="n">
        <f aca="false">IF(OR($B228="",$E228="",$F228=""),0,MAX(0,MIN($F228,EOMONTH(DATE(cfg_FY,9,1),0))-MAX($E228,DATE(cfg_FY,9,1))+1)*(1-IF($M228="نعم",0,N($J228))))</f>
        <v>0</v>
      </c>
      <c r="AE228" s="57" t="n">
        <f aca="false">IF(OR($B228="",$E228="",$F228=""),0,MAX(0,MIN($F228,EOMONTH(DATE(cfg_FY,10,1),0))-MAX($E228,DATE(cfg_FY,10,1))+1)*(1-IF($M228="نعم",0,N($J228))))</f>
        <v>0</v>
      </c>
      <c r="AF228" s="57" t="n">
        <f aca="false">IF(OR($B228="",$E228="",$F228=""),0,MAX(0,MIN($F228,EOMONTH(DATE(cfg_FY,11,1),0))-MAX($E228,DATE(cfg_FY,11,1))+1)*(1-IF($M228="نعم",0,N($J228))))</f>
        <v>0</v>
      </c>
      <c r="AG228" s="57" t="n">
        <f aca="false">IF(OR($B228="",$E228="",$F228=""),0,MAX(0,MIN($F228,EOMONTH(DATE(cfg_FY,12,1),0))-MAX($E228,DATE(cfg_FY,12,1))+1)*(1-IF($M228="نعم",0,N($J228))))</f>
        <v>0</v>
      </c>
      <c r="AH228" s="57" t="n">
        <f aca="false">IF(OR(OR($B228="",$E228="",$F228=""),$L228&lt;&gt;"لا"),0,MAX(0,MIN($F228,EOMONTH(DATE(cfg_FY,1,1),0))-$E228+1))</f>
        <v>0</v>
      </c>
      <c r="AI228" s="57" t="n">
        <f aca="false">IF(OR(OR($B228="",$E228="",$F228=""),$L228&lt;&gt;"لا"),0,MAX(0,MIN($F228,EOMONTH(DATE(cfg_FY,2,1),0))-$E228+1))</f>
        <v>0</v>
      </c>
      <c r="AJ228" s="57" t="n">
        <f aca="false">IF(OR(OR($B228="",$E228="",$F228=""),$L228&lt;&gt;"لا"),0,MAX(0,MIN($F228,EOMONTH(DATE(cfg_FY,3,1),0))-$E228+1))</f>
        <v>0</v>
      </c>
      <c r="AK228" s="57" t="n">
        <f aca="false">IF(OR(OR($B228="",$E228="",$F228=""),$L228&lt;&gt;"لا"),0,MAX(0,MIN($F228,EOMONTH(DATE(cfg_FY,4,1),0))-$E228+1))</f>
        <v>0</v>
      </c>
      <c r="AL228" s="57" t="n">
        <f aca="false">IF(OR(OR($B228="",$E228="",$F228=""),$L228&lt;&gt;"لا"),0,MAX(0,MIN($F228,EOMONTH(DATE(cfg_FY,5,1),0))-$E228+1))</f>
        <v>0</v>
      </c>
      <c r="AM228" s="57" t="n">
        <f aca="false">IF(OR(OR($B228="",$E228="",$F228=""),$L228&lt;&gt;"لا"),0,MAX(0,MIN($F228,EOMONTH(DATE(cfg_FY,6,1),0))-$E228+1))</f>
        <v>0</v>
      </c>
      <c r="AN228" s="57" t="n">
        <f aca="false">IF(OR(OR($B228="",$E228="",$F228=""),$L228&lt;&gt;"لا"),0,MAX(0,MIN($F228,EOMONTH(DATE(cfg_FY,7,1),0))-$E228+1))</f>
        <v>0</v>
      </c>
      <c r="AO228" s="57" t="n">
        <f aca="false">IF(OR(OR($B228="",$E228="",$F228=""),$L228&lt;&gt;"لا"),0,MAX(0,MIN($F228,EOMONTH(DATE(cfg_FY,8,1),0))-$E228+1))</f>
        <v>0</v>
      </c>
      <c r="AP228" s="57" t="n">
        <f aca="false">IF(OR(OR($B228="",$E228="",$F228=""),$L228&lt;&gt;"لا"),0,MAX(0,MIN($F228,EOMONTH(DATE(cfg_FY,9,1),0))-$E228+1))</f>
        <v>0</v>
      </c>
      <c r="AQ228" s="57" t="n">
        <f aca="false">IF(OR(OR($B228="",$E228="",$F228=""),$L228&lt;&gt;"لا"),0,MAX(0,MIN($F228,EOMONTH(DATE(cfg_FY,10,1),0))-$E228+1))</f>
        <v>0</v>
      </c>
      <c r="AR228" s="57" t="n">
        <f aca="false">IF(OR(OR($B228="",$E228="",$F228=""),$L228&lt;&gt;"لا"),0,MAX(0,MIN($F228,EOMONTH(DATE(cfg_FY,11,1),0))-$E228+1))</f>
        <v>0</v>
      </c>
      <c r="AS228" s="57" t="n">
        <f aca="false">IF(OR(OR($B228="",$E228="",$F228=""),$L228&lt;&gt;"لا"),0,MAX(0,MIN($F228,EOMONTH(DATE(cfg_FY,12,1),0))-$E228+1))</f>
        <v>0</v>
      </c>
      <c r="AT228" s="57" t="n">
        <f aca="false">IF(OR(OR($B228="",$E228="",$F228=""),$K228&lt;&gt;"نعم",$M228="نعم"),0,MAX(0,MIN($F228,EOMONTH(DATE(cfg_FY,1,1),0))-MAX($E228,DATE(cfg_FY,1,1))+1))</f>
        <v>0</v>
      </c>
      <c r="AU228" s="57" t="n">
        <f aca="false">IF(OR(OR($B228="",$E228="",$F228=""),$K228&lt;&gt;"نعم",$M228="نعم"),0,MAX(0,MIN($F228,EOMONTH(DATE(cfg_FY,2,1),0))-MAX($E228,DATE(cfg_FY,2,1))+1))</f>
        <v>0</v>
      </c>
      <c r="AV228" s="57" t="n">
        <f aca="false">IF(OR(OR($B228="",$E228="",$F228=""),$K228&lt;&gt;"نعم",$M228="نعم"),0,MAX(0,MIN($F228,EOMONTH(DATE(cfg_FY,3,1),0))-MAX($E228,DATE(cfg_FY,3,1))+1))</f>
        <v>0</v>
      </c>
      <c r="AW228" s="57" t="n">
        <f aca="false">IF(OR(OR($B228="",$E228="",$F228=""),$K228&lt;&gt;"نعم",$M228="نعم"),0,MAX(0,MIN($F228,EOMONTH(DATE(cfg_FY,4,1),0))-MAX($E228,DATE(cfg_FY,4,1))+1))</f>
        <v>0</v>
      </c>
      <c r="AX228" s="57" t="n">
        <f aca="false">IF(OR(OR($B228="",$E228="",$F228=""),$K228&lt;&gt;"نعم",$M228="نعم"),0,MAX(0,MIN($F228,EOMONTH(DATE(cfg_FY,5,1),0))-MAX($E228,DATE(cfg_FY,5,1))+1))</f>
        <v>0</v>
      </c>
      <c r="AY228" s="57" t="n">
        <f aca="false">IF(OR(OR($B228="",$E228="",$F228=""),$K228&lt;&gt;"نعم",$M228="نعم"),0,MAX(0,MIN($F228,EOMONTH(DATE(cfg_FY,6,1),0))-MAX($E228,DATE(cfg_FY,6,1))+1))</f>
        <v>0</v>
      </c>
      <c r="AZ228" s="57" t="n">
        <f aca="false">IF(OR(OR($B228="",$E228="",$F228=""),$K228&lt;&gt;"نعم",$M228="نعم"),0,MAX(0,MIN($F228,EOMONTH(DATE(cfg_FY,7,1),0))-MAX($E228,DATE(cfg_FY,7,1))+1))</f>
        <v>0</v>
      </c>
      <c r="BA228" s="57" t="n">
        <f aca="false">IF(OR(OR($B228="",$E228="",$F228=""),$K228&lt;&gt;"نعم",$M228="نعم"),0,MAX(0,MIN($F228,EOMONTH(DATE(cfg_FY,8,1),0))-MAX($E228,DATE(cfg_FY,8,1))+1))</f>
        <v>0</v>
      </c>
      <c r="BB228" s="57" t="n">
        <f aca="false">IF(OR(OR($B228="",$E228="",$F228=""),$K228&lt;&gt;"نعم",$M228="نعم"),0,MAX(0,MIN($F228,EOMONTH(DATE(cfg_FY,9,1),0))-MAX($E228,DATE(cfg_FY,9,1))+1))</f>
        <v>0</v>
      </c>
      <c r="BC228" s="57" t="n">
        <f aca="false">IF(OR(OR($B228="",$E228="",$F228=""),$K228&lt;&gt;"نعم",$M228="نعم"),0,MAX(0,MIN($F228,EOMONTH(DATE(cfg_FY,10,1),0))-MAX($E228,DATE(cfg_FY,10,1))+1))</f>
        <v>0</v>
      </c>
      <c r="BD228" s="57" t="n">
        <f aca="false">IF(OR(OR($B228="",$E228="",$F228=""),$K228&lt;&gt;"نعم",$M228="نعم"),0,MAX(0,MIN($F228,EOMONTH(DATE(cfg_FY,11,1),0))-MAX($E228,DATE(cfg_FY,11,1))+1))</f>
        <v>0</v>
      </c>
      <c r="BE228" s="57" t="n">
        <f aca="false">IF(OR(OR($B228="",$E228="",$F228=""),$K228&lt;&gt;"نعم",$M228="نعم"),0,MAX(0,MIN($F228,EOMONTH(DATE(cfg_FY,12,1),0))-MAX($E228,DATE(cfg_FY,12,1))+1))</f>
        <v>0</v>
      </c>
    </row>
    <row r="229" customFormat="false" ht="15" hidden="false" customHeight="false" outlineLevel="0" collapsed="false">
      <c r="A229" s="100" t="str">
        <f aca="false">IF(B229="","",ROW()-5)</f>
        <v/>
      </c>
      <c r="B229" s="79"/>
      <c r="C229" s="102" t="str">
        <f aca="false">IF(B229="","",IFERROR(INDEX(الموظفون!$C$6:$C$105,MATCH(B229,الموظفون!$B$6:$B$105,0)),"✖ رقم غير موجود"))</f>
        <v/>
      </c>
      <c r="D229" s="79"/>
      <c r="E229" s="94"/>
      <c r="F229" s="94"/>
      <c r="G229" s="110" t="str">
        <f aca="false">IF(OR($B229="",$E229="",$F229=""),"",MAX(0,F229-E229+1))</f>
        <v/>
      </c>
      <c r="H229" s="111" t="str">
        <f aca="false">IF(D229="","",IFERROR(VLOOKUP(D229,cfg_LT,2,FALSE()),1))</f>
        <v/>
      </c>
      <c r="I229" s="82"/>
      <c r="J229" s="111" t="str">
        <f aca="false">IF(D229="","",IF(I229&lt;&gt;"",I229,H229))</f>
        <v/>
      </c>
      <c r="K229" s="102" t="str">
        <f aca="false">IF(D229="","",IFERROR(VLOOKUP($D229,cfg_LT,3,FALSE()),""))</f>
        <v/>
      </c>
      <c r="L229" s="102" t="str">
        <f aca="false">IF(D229="","",IFERROR(VLOOKUP($D229,cfg_LT,4,FALSE()),""))</f>
        <v/>
      </c>
      <c r="M229" s="102" t="str">
        <f aca="false">IF(D229="","",IFERROR(VLOOKUP($D229,cfg_LT,5,FALSE()),""))</f>
        <v/>
      </c>
      <c r="N229" s="101" t="n">
        <f aca="false">IF(OR(OR($B229="",$E229="",$F229=""),M229&lt;&gt;"نعم"),0,G229*J229*IFERROR(INDEX(الموظفون!$R$6:$R$105,MATCH(B229,الموظفون!$B$6:$B$105,0)),0)/cfg_DAYS_M)</f>
        <v>0</v>
      </c>
      <c r="O229" s="100" t="str">
        <f aca="false">IF(OR(OR($B229="",$E229="",$F229=""),M229&lt;&gt;"نعم"),"",IF(YEAR(E229)=cfg_FY,MONTH(E229),""))</f>
        <v/>
      </c>
      <c r="P229" s="102" t="str">
        <f aca="false">IF(B229="","",IF(OR(D229="",E229="",F229=""),"⚠ أكمل النوع والتواريخ",IF(F229&lt;E229,"✖ النهاية قبل البداية",IF(COUNTIFS($B$6:$B$505,B229,$E$6:$E$505,"&lt;="&amp;F229,$F$6:$F$505,"&gt;="&amp;E229)&gt;1,"⚠ تداخل مع سجل آخر",IF(E229&gt;cfg_VAL_DATE,"⏳ قادمة",IF(F229&lt;cfg_VAL_DATE,"✔ منتهية","✈ جارية في تاريخ التقرير"))))))</f>
        <v/>
      </c>
      <c r="Q229" s="79"/>
      <c r="R229" s="110" t="n">
        <f aca="false">IF(OR(OR($B229="",$E229="",$F229=""),L229&lt;&gt;"لا"),0,MAX(0,MIN(F229,cfg_Y_START-1)-E229+1))</f>
        <v>0</v>
      </c>
      <c r="S229" s="110" t="n">
        <f aca="false">IF(OR(OR($B229="",$E229="",$F229=""),L229&lt;&gt;"لا"),0,MAX(0,MIN(F229,cfg_VAL_DATE)-E229+1))</f>
        <v>0</v>
      </c>
      <c r="T229" s="110" t="n">
        <f aca="false">IF(OR(OR($B229="",$E229="",$F229=""),K229&lt;&gt;"نعم"),0,IF(M229="نعم",IF(AND(ISNUMBER(O229),N(O229)&lt;=cfg_VAL_M),G229,0),MAX(0,MIN(F229,cfg_VAL_DATE)-MAX(E229,cfg_Y_START)+1)))</f>
        <v>0</v>
      </c>
      <c r="V229" s="110" t="n">
        <f aca="false">IF(OR($B229="",$E229="",$F229=""),0,MAX(0,MIN($F229,EOMONTH(DATE(cfg_FY,1,1),0))-MAX($E229,DATE(cfg_FY,1,1))+1)*(1-IF($M229="نعم",0,N($J229))))</f>
        <v>0</v>
      </c>
      <c r="W229" s="110" t="n">
        <f aca="false">IF(OR($B229="",$E229="",$F229=""),0,MAX(0,MIN($F229,EOMONTH(DATE(cfg_FY,2,1),0))-MAX($E229,DATE(cfg_FY,2,1))+1)*(1-IF($M229="نعم",0,N($J229))))</f>
        <v>0</v>
      </c>
      <c r="X229" s="110" t="n">
        <f aca="false">IF(OR($B229="",$E229="",$F229=""),0,MAX(0,MIN($F229,EOMONTH(DATE(cfg_FY,3,1),0))-MAX($E229,DATE(cfg_FY,3,1))+1)*(1-IF($M229="نعم",0,N($J229))))</f>
        <v>0</v>
      </c>
      <c r="Y229" s="110" t="n">
        <f aca="false">IF(OR($B229="",$E229="",$F229=""),0,MAX(0,MIN($F229,EOMONTH(DATE(cfg_FY,4,1),0))-MAX($E229,DATE(cfg_FY,4,1))+1)*(1-IF($M229="نعم",0,N($J229))))</f>
        <v>0</v>
      </c>
      <c r="Z229" s="110" t="n">
        <f aca="false">IF(OR($B229="",$E229="",$F229=""),0,MAX(0,MIN($F229,EOMONTH(DATE(cfg_FY,5,1),0))-MAX($E229,DATE(cfg_FY,5,1))+1)*(1-IF($M229="نعم",0,N($J229))))</f>
        <v>0</v>
      </c>
      <c r="AA229" s="110" t="n">
        <f aca="false">IF(OR($B229="",$E229="",$F229=""),0,MAX(0,MIN($F229,EOMONTH(DATE(cfg_FY,6,1),0))-MAX($E229,DATE(cfg_FY,6,1))+1)*(1-IF($M229="نعم",0,N($J229))))</f>
        <v>0</v>
      </c>
      <c r="AB229" s="110" t="n">
        <f aca="false">IF(OR($B229="",$E229="",$F229=""),0,MAX(0,MIN($F229,EOMONTH(DATE(cfg_FY,7,1),0))-MAX($E229,DATE(cfg_FY,7,1))+1)*(1-IF($M229="نعم",0,N($J229))))</f>
        <v>0</v>
      </c>
      <c r="AC229" s="110" t="n">
        <f aca="false">IF(OR($B229="",$E229="",$F229=""),0,MAX(0,MIN($F229,EOMONTH(DATE(cfg_FY,8,1),0))-MAX($E229,DATE(cfg_FY,8,1))+1)*(1-IF($M229="نعم",0,N($J229))))</f>
        <v>0</v>
      </c>
      <c r="AD229" s="110" t="n">
        <f aca="false">IF(OR($B229="",$E229="",$F229=""),0,MAX(0,MIN($F229,EOMONTH(DATE(cfg_FY,9,1),0))-MAX($E229,DATE(cfg_FY,9,1))+1)*(1-IF($M229="نعم",0,N($J229))))</f>
        <v>0</v>
      </c>
      <c r="AE229" s="110" t="n">
        <f aca="false">IF(OR($B229="",$E229="",$F229=""),0,MAX(0,MIN($F229,EOMONTH(DATE(cfg_FY,10,1),0))-MAX($E229,DATE(cfg_FY,10,1))+1)*(1-IF($M229="نعم",0,N($J229))))</f>
        <v>0</v>
      </c>
      <c r="AF229" s="110" t="n">
        <f aca="false">IF(OR($B229="",$E229="",$F229=""),0,MAX(0,MIN($F229,EOMONTH(DATE(cfg_FY,11,1),0))-MAX($E229,DATE(cfg_FY,11,1))+1)*(1-IF($M229="نعم",0,N($J229))))</f>
        <v>0</v>
      </c>
      <c r="AG229" s="110" t="n">
        <f aca="false">IF(OR($B229="",$E229="",$F229=""),0,MAX(0,MIN($F229,EOMONTH(DATE(cfg_FY,12,1),0))-MAX($E229,DATE(cfg_FY,12,1))+1)*(1-IF($M229="نعم",0,N($J229))))</f>
        <v>0</v>
      </c>
      <c r="AH229" s="110" t="n">
        <f aca="false">IF(OR(OR($B229="",$E229="",$F229=""),$L229&lt;&gt;"لا"),0,MAX(0,MIN($F229,EOMONTH(DATE(cfg_FY,1,1),0))-$E229+1))</f>
        <v>0</v>
      </c>
      <c r="AI229" s="110" t="n">
        <f aca="false">IF(OR(OR($B229="",$E229="",$F229=""),$L229&lt;&gt;"لا"),0,MAX(0,MIN($F229,EOMONTH(DATE(cfg_FY,2,1),0))-$E229+1))</f>
        <v>0</v>
      </c>
      <c r="AJ229" s="110" t="n">
        <f aca="false">IF(OR(OR($B229="",$E229="",$F229=""),$L229&lt;&gt;"لا"),0,MAX(0,MIN($F229,EOMONTH(DATE(cfg_FY,3,1),0))-$E229+1))</f>
        <v>0</v>
      </c>
      <c r="AK229" s="110" t="n">
        <f aca="false">IF(OR(OR($B229="",$E229="",$F229=""),$L229&lt;&gt;"لا"),0,MAX(0,MIN($F229,EOMONTH(DATE(cfg_FY,4,1),0))-$E229+1))</f>
        <v>0</v>
      </c>
      <c r="AL229" s="110" t="n">
        <f aca="false">IF(OR(OR($B229="",$E229="",$F229=""),$L229&lt;&gt;"لا"),0,MAX(0,MIN($F229,EOMONTH(DATE(cfg_FY,5,1),0))-$E229+1))</f>
        <v>0</v>
      </c>
      <c r="AM229" s="110" t="n">
        <f aca="false">IF(OR(OR($B229="",$E229="",$F229=""),$L229&lt;&gt;"لا"),0,MAX(0,MIN($F229,EOMONTH(DATE(cfg_FY,6,1),0))-$E229+1))</f>
        <v>0</v>
      </c>
      <c r="AN229" s="110" t="n">
        <f aca="false">IF(OR(OR($B229="",$E229="",$F229=""),$L229&lt;&gt;"لا"),0,MAX(0,MIN($F229,EOMONTH(DATE(cfg_FY,7,1),0))-$E229+1))</f>
        <v>0</v>
      </c>
      <c r="AO229" s="110" t="n">
        <f aca="false">IF(OR(OR($B229="",$E229="",$F229=""),$L229&lt;&gt;"لا"),0,MAX(0,MIN($F229,EOMONTH(DATE(cfg_FY,8,1),0))-$E229+1))</f>
        <v>0</v>
      </c>
      <c r="AP229" s="110" t="n">
        <f aca="false">IF(OR(OR($B229="",$E229="",$F229=""),$L229&lt;&gt;"لا"),0,MAX(0,MIN($F229,EOMONTH(DATE(cfg_FY,9,1),0))-$E229+1))</f>
        <v>0</v>
      </c>
      <c r="AQ229" s="110" t="n">
        <f aca="false">IF(OR(OR($B229="",$E229="",$F229=""),$L229&lt;&gt;"لا"),0,MAX(0,MIN($F229,EOMONTH(DATE(cfg_FY,10,1),0))-$E229+1))</f>
        <v>0</v>
      </c>
      <c r="AR229" s="110" t="n">
        <f aca="false">IF(OR(OR($B229="",$E229="",$F229=""),$L229&lt;&gt;"لا"),0,MAX(0,MIN($F229,EOMONTH(DATE(cfg_FY,11,1),0))-$E229+1))</f>
        <v>0</v>
      </c>
      <c r="AS229" s="110" t="n">
        <f aca="false">IF(OR(OR($B229="",$E229="",$F229=""),$L229&lt;&gt;"لا"),0,MAX(0,MIN($F229,EOMONTH(DATE(cfg_FY,12,1),0))-$E229+1))</f>
        <v>0</v>
      </c>
      <c r="AT229" s="110" t="n">
        <f aca="false">IF(OR(OR($B229="",$E229="",$F229=""),$K229&lt;&gt;"نعم",$M229="نعم"),0,MAX(0,MIN($F229,EOMONTH(DATE(cfg_FY,1,1),0))-MAX($E229,DATE(cfg_FY,1,1))+1))</f>
        <v>0</v>
      </c>
      <c r="AU229" s="110" t="n">
        <f aca="false">IF(OR(OR($B229="",$E229="",$F229=""),$K229&lt;&gt;"نعم",$M229="نعم"),0,MAX(0,MIN($F229,EOMONTH(DATE(cfg_FY,2,1),0))-MAX($E229,DATE(cfg_FY,2,1))+1))</f>
        <v>0</v>
      </c>
      <c r="AV229" s="110" t="n">
        <f aca="false">IF(OR(OR($B229="",$E229="",$F229=""),$K229&lt;&gt;"نعم",$M229="نعم"),0,MAX(0,MIN($F229,EOMONTH(DATE(cfg_FY,3,1),0))-MAX($E229,DATE(cfg_FY,3,1))+1))</f>
        <v>0</v>
      </c>
      <c r="AW229" s="110" t="n">
        <f aca="false">IF(OR(OR($B229="",$E229="",$F229=""),$K229&lt;&gt;"نعم",$M229="نعم"),0,MAX(0,MIN($F229,EOMONTH(DATE(cfg_FY,4,1),0))-MAX($E229,DATE(cfg_FY,4,1))+1))</f>
        <v>0</v>
      </c>
      <c r="AX229" s="110" t="n">
        <f aca="false">IF(OR(OR($B229="",$E229="",$F229=""),$K229&lt;&gt;"نعم",$M229="نعم"),0,MAX(0,MIN($F229,EOMONTH(DATE(cfg_FY,5,1),0))-MAX($E229,DATE(cfg_FY,5,1))+1))</f>
        <v>0</v>
      </c>
      <c r="AY229" s="110" t="n">
        <f aca="false">IF(OR(OR($B229="",$E229="",$F229=""),$K229&lt;&gt;"نعم",$M229="نعم"),0,MAX(0,MIN($F229,EOMONTH(DATE(cfg_FY,6,1),0))-MAX($E229,DATE(cfg_FY,6,1))+1))</f>
        <v>0</v>
      </c>
      <c r="AZ229" s="110" t="n">
        <f aca="false">IF(OR(OR($B229="",$E229="",$F229=""),$K229&lt;&gt;"نعم",$M229="نعم"),0,MAX(0,MIN($F229,EOMONTH(DATE(cfg_FY,7,1),0))-MAX($E229,DATE(cfg_FY,7,1))+1))</f>
        <v>0</v>
      </c>
      <c r="BA229" s="110" t="n">
        <f aca="false">IF(OR(OR($B229="",$E229="",$F229=""),$K229&lt;&gt;"نعم",$M229="نعم"),0,MAX(0,MIN($F229,EOMONTH(DATE(cfg_FY,8,1),0))-MAX($E229,DATE(cfg_FY,8,1))+1))</f>
        <v>0</v>
      </c>
      <c r="BB229" s="110" t="n">
        <f aca="false">IF(OR(OR($B229="",$E229="",$F229=""),$K229&lt;&gt;"نعم",$M229="نعم"),0,MAX(0,MIN($F229,EOMONTH(DATE(cfg_FY,9,1),0))-MAX($E229,DATE(cfg_FY,9,1))+1))</f>
        <v>0</v>
      </c>
      <c r="BC229" s="110" t="n">
        <f aca="false">IF(OR(OR($B229="",$E229="",$F229=""),$K229&lt;&gt;"نعم",$M229="نعم"),0,MAX(0,MIN($F229,EOMONTH(DATE(cfg_FY,10,1),0))-MAX($E229,DATE(cfg_FY,10,1))+1))</f>
        <v>0</v>
      </c>
      <c r="BD229" s="110" t="n">
        <f aca="false">IF(OR(OR($B229="",$E229="",$F229=""),$K229&lt;&gt;"نعم",$M229="نعم"),0,MAX(0,MIN($F229,EOMONTH(DATE(cfg_FY,11,1),0))-MAX($E229,DATE(cfg_FY,11,1))+1))</f>
        <v>0</v>
      </c>
      <c r="BE229" s="110" t="n">
        <f aca="false">IF(OR(OR($B229="",$E229="",$F229=""),$K229&lt;&gt;"نعم",$M229="نعم"),0,MAX(0,MIN($F229,EOMONTH(DATE(cfg_FY,12,1),0))-MAX($E229,DATE(cfg_FY,12,1))+1))</f>
        <v>0</v>
      </c>
    </row>
    <row r="230" customFormat="false" ht="15" hidden="false" customHeight="false" outlineLevel="0" collapsed="false">
      <c r="A230" s="93" t="str">
        <f aca="false">IF(B230="","",ROW()-5)</f>
        <v/>
      </c>
      <c r="B230" s="79"/>
      <c r="C230" s="80" t="str">
        <f aca="false">IF(B230="","",IFERROR(INDEX(الموظفون!$C$6:$C$105,MATCH(B230,الموظفون!$B$6:$B$105,0)),"✖ رقم غير موجود"))</f>
        <v/>
      </c>
      <c r="D230" s="79"/>
      <c r="E230" s="94"/>
      <c r="F230" s="94"/>
      <c r="G230" s="57" t="str">
        <f aca="false">IF(OR($B230="",$E230="",$F230=""),"",MAX(0,F230-E230+1))</f>
        <v/>
      </c>
      <c r="H230" s="58" t="str">
        <f aca="false">IF(D230="","",IFERROR(VLOOKUP(D230,cfg_LT,2,FALSE()),1))</f>
        <v/>
      </c>
      <c r="I230" s="82"/>
      <c r="J230" s="58" t="str">
        <f aca="false">IF(D230="","",IF(I230&lt;&gt;"",I230,H230))</f>
        <v/>
      </c>
      <c r="K230" s="80" t="str">
        <f aca="false">IF(D230="","",IFERROR(VLOOKUP($D230,cfg_LT,3,FALSE()),""))</f>
        <v/>
      </c>
      <c r="L230" s="80" t="str">
        <f aca="false">IF(D230="","",IFERROR(VLOOKUP($D230,cfg_LT,4,FALSE()),""))</f>
        <v/>
      </c>
      <c r="M230" s="80" t="str">
        <f aca="false">IF(D230="","",IFERROR(VLOOKUP($D230,cfg_LT,5,FALSE()),""))</f>
        <v/>
      </c>
      <c r="N230" s="97" t="n">
        <f aca="false">IF(OR(OR($B230="",$E230="",$F230=""),M230&lt;&gt;"نعم"),0,G230*J230*IFERROR(INDEX(الموظفون!$R$6:$R$105,MATCH(B230,الموظفون!$B$6:$B$105,0)),0)/cfg_DAYS_M)</f>
        <v>0</v>
      </c>
      <c r="O230" s="93" t="str">
        <f aca="false">IF(OR(OR($B230="",$E230="",$F230=""),M230&lt;&gt;"نعم"),"",IF(YEAR(E230)=cfg_FY,MONTH(E230),""))</f>
        <v/>
      </c>
      <c r="P230" s="80" t="str">
        <f aca="false">IF(B230="","",IF(OR(D230="",E230="",F230=""),"⚠ أكمل النوع والتواريخ",IF(F230&lt;E230,"✖ النهاية قبل البداية",IF(COUNTIFS($B$6:$B$505,B230,$E$6:$E$505,"&lt;="&amp;F230,$F$6:$F$505,"&gt;="&amp;E230)&gt;1,"⚠ تداخل مع سجل آخر",IF(E230&gt;cfg_VAL_DATE,"⏳ قادمة",IF(F230&lt;cfg_VAL_DATE,"✔ منتهية","✈ جارية في تاريخ التقرير"))))))</f>
        <v/>
      </c>
      <c r="Q230" s="79"/>
      <c r="R230" s="57" t="n">
        <f aca="false">IF(OR(OR($B230="",$E230="",$F230=""),L230&lt;&gt;"لا"),0,MAX(0,MIN(F230,cfg_Y_START-1)-E230+1))</f>
        <v>0</v>
      </c>
      <c r="S230" s="57" t="n">
        <f aca="false">IF(OR(OR($B230="",$E230="",$F230=""),L230&lt;&gt;"لا"),0,MAX(0,MIN(F230,cfg_VAL_DATE)-E230+1))</f>
        <v>0</v>
      </c>
      <c r="T230" s="57" t="n">
        <f aca="false">IF(OR(OR($B230="",$E230="",$F230=""),K230&lt;&gt;"نعم"),0,IF(M230="نعم",IF(AND(ISNUMBER(O230),N(O230)&lt;=cfg_VAL_M),G230,0),MAX(0,MIN(F230,cfg_VAL_DATE)-MAX(E230,cfg_Y_START)+1)))</f>
        <v>0</v>
      </c>
      <c r="V230" s="57" t="n">
        <f aca="false">IF(OR($B230="",$E230="",$F230=""),0,MAX(0,MIN($F230,EOMONTH(DATE(cfg_FY,1,1),0))-MAX($E230,DATE(cfg_FY,1,1))+1)*(1-IF($M230="نعم",0,N($J230))))</f>
        <v>0</v>
      </c>
      <c r="W230" s="57" t="n">
        <f aca="false">IF(OR($B230="",$E230="",$F230=""),0,MAX(0,MIN($F230,EOMONTH(DATE(cfg_FY,2,1),0))-MAX($E230,DATE(cfg_FY,2,1))+1)*(1-IF($M230="نعم",0,N($J230))))</f>
        <v>0</v>
      </c>
      <c r="X230" s="57" t="n">
        <f aca="false">IF(OR($B230="",$E230="",$F230=""),0,MAX(0,MIN($F230,EOMONTH(DATE(cfg_FY,3,1),0))-MAX($E230,DATE(cfg_FY,3,1))+1)*(1-IF($M230="نعم",0,N($J230))))</f>
        <v>0</v>
      </c>
      <c r="Y230" s="57" t="n">
        <f aca="false">IF(OR($B230="",$E230="",$F230=""),0,MAX(0,MIN($F230,EOMONTH(DATE(cfg_FY,4,1),0))-MAX($E230,DATE(cfg_FY,4,1))+1)*(1-IF($M230="نعم",0,N($J230))))</f>
        <v>0</v>
      </c>
      <c r="Z230" s="57" t="n">
        <f aca="false">IF(OR($B230="",$E230="",$F230=""),0,MAX(0,MIN($F230,EOMONTH(DATE(cfg_FY,5,1),0))-MAX($E230,DATE(cfg_FY,5,1))+1)*(1-IF($M230="نعم",0,N($J230))))</f>
        <v>0</v>
      </c>
      <c r="AA230" s="57" t="n">
        <f aca="false">IF(OR($B230="",$E230="",$F230=""),0,MAX(0,MIN($F230,EOMONTH(DATE(cfg_FY,6,1),0))-MAX($E230,DATE(cfg_FY,6,1))+1)*(1-IF($M230="نعم",0,N($J230))))</f>
        <v>0</v>
      </c>
      <c r="AB230" s="57" t="n">
        <f aca="false">IF(OR($B230="",$E230="",$F230=""),0,MAX(0,MIN($F230,EOMONTH(DATE(cfg_FY,7,1),0))-MAX($E230,DATE(cfg_FY,7,1))+1)*(1-IF($M230="نعم",0,N($J230))))</f>
        <v>0</v>
      </c>
      <c r="AC230" s="57" t="n">
        <f aca="false">IF(OR($B230="",$E230="",$F230=""),0,MAX(0,MIN($F230,EOMONTH(DATE(cfg_FY,8,1),0))-MAX($E230,DATE(cfg_FY,8,1))+1)*(1-IF($M230="نعم",0,N($J230))))</f>
        <v>0</v>
      </c>
      <c r="AD230" s="57" t="n">
        <f aca="false">IF(OR($B230="",$E230="",$F230=""),0,MAX(0,MIN($F230,EOMONTH(DATE(cfg_FY,9,1),0))-MAX($E230,DATE(cfg_FY,9,1))+1)*(1-IF($M230="نعم",0,N($J230))))</f>
        <v>0</v>
      </c>
      <c r="AE230" s="57" t="n">
        <f aca="false">IF(OR($B230="",$E230="",$F230=""),0,MAX(0,MIN($F230,EOMONTH(DATE(cfg_FY,10,1),0))-MAX($E230,DATE(cfg_FY,10,1))+1)*(1-IF($M230="نعم",0,N($J230))))</f>
        <v>0</v>
      </c>
      <c r="AF230" s="57" t="n">
        <f aca="false">IF(OR($B230="",$E230="",$F230=""),0,MAX(0,MIN($F230,EOMONTH(DATE(cfg_FY,11,1),0))-MAX($E230,DATE(cfg_FY,11,1))+1)*(1-IF($M230="نعم",0,N($J230))))</f>
        <v>0</v>
      </c>
      <c r="AG230" s="57" t="n">
        <f aca="false">IF(OR($B230="",$E230="",$F230=""),0,MAX(0,MIN($F230,EOMONTH(DATE(cfg_FY,12,1),0))-MAX($E230,DATE(cfg_FY,12,1))+1)*(1-IF($M230="نعم",0,N($J230))))</f>
        <v>0</v>
      </c>
      <c r="AH230" s="57" t="n">
        <f aca="false">IF(OR(OR($B230="",$E230="",$F230=""),$L230&lt;&gt;"لا"),0,MAX(0,MIN($F230,EOMONTH(DATE(cfg_FY,1,1),0))-$E230+1))</f>
        <v>0</v>
      </c>
      <c r="AI230" s="57" t="n">
        <f aca="false">IF(OR(OR($B230="",$E230="",$F230=""),$L230&lt;&gt;"لا"),0,MAX(0,MIN($F230,EOMONTH(DATE(cfg_FY,2,1),0))-$E230+1))</f>
        <v>0</v>
      </c>
      <c r="AJ230" s="57" t="n">
        <f aca="false">IF(OR(OR($B230="",$E230="",$F230=""),$L230&lt;&gt;"لا"),0,MAX(0,MIN($F230,EOMONTH(DATE(cfg_FY,3,1),0))-$E230+1))</f>
        <v>0</v>
      </c>
      <c r="AK230" s="57" t="n">
        <f aca="false">IF(OR(OR($B230="",$E230="",$F230=""),$L230&lt;&gt;"لا"),0,MAX(0,MIN($F230,EOMONTH(DATE(cfg_FY,4,1),0))-$E230+1))</f>
        <v>0</v>
      </c>
      <c r="AL230" s="57" t="n">
        <f aca="false">IF(OR(OR($B230="",$E230="",$F230=""),$L230&lt;&gt;"لا"),0,MAX(0,MIN($F230,EOMONTH(DATE(cfg_FY,5,1),0))-$E230+1))</f>
        <v>0</v>
      </c>
      <c r="AM230" s="57" t="n">
        <f aca="false">IF(OR(OR($B230="",$E230="",$F230=""),$L230&lt;&gt;"لا"),0,MAX(0,MIN($F230,EOMONTH(DATE(cfg_FY,6,1),0))-$E230+1))</f>
        <v>0</v>
      </c>
      <c r="AN230" s="57" t="n">
        <f aca="false">IF(OR(OR($B230="",$E230="",$F230=""),$L230&lt;&gt;"لا"),0,MAX(0,MIN($F230,EOMONTH(DATE(cfg_FY,7,1),0))-$E230+1))</f>
        <v>0</v>
      </c>
      <c r="AO230" s="57" t="n">
        <f aca="false">IF(OR(OR($B230="",$E230="",$F230=""),$L230&lt;&gt;"لا"),0,MAX(0,MIN($F230,EOMONTH(DATE(cfg_FY,8,1),0))-$E230+1))</f>
        <v>0</v>
      </c>
      <c r="AP230" s="57" t="n">
        <f aca="false">IF(OR(OR($B230="",$E230="",$F230=""),$L230&lt;&gt;"لا"),0,MAX(0,MIN($F230,EOMONTH(DATE(cfg_FY,9,1),0))-$E230+1))</f>
        <v>0</v>
      </c>
      <c r="AQ230" s="57" t="n">
        <f aca="false">IF(OR(OR($B230="",$E230="",$F230=""),$L230&lt;&gt;"لا"),0,MAX(0,MIN($F230,EOMONTH(DATE(cfg_FY,10,1),0))-$E230+1))</f>
        <v>0</v>
      </c>
      <c r="AR230" s="57" t="n">
        <f aca="false">IF(OR(OR($B230="",$E230="",$F230=""),$L230&lt;&gt;"لا"),0,MAX(0,MIN($F230,EOMONTH(DATE(cfg_FY,11,1),0))-$E230+1))</f>
        <v>0</v>
      </c>
      <c r="AS230" s="57" t="n">
        <f aca="false">IF(OR(OR($B230="",$E230="",$F230=""),$L230&lt;&gt;"لا"),0,MAX(0,MIN($F230,EOMONTH(DATE(cfg_FY,12,1),0))-$E230+1))</f>
        <v>0</v>
      </c>
      <c r="AT230" s="57" t="n">
        <f aca="false">IF(OR(OR($B230="",$E230="",$F230=""),$K230&lt;&gt;"نعم",$M230="نعم"),0,MAX(0,MIN($F230,EOMONTH(DATE(cfg_FY,1,1),0))-MAX($E230,DATE(cfg_FY,1,1))+1))</f>
        <v>0</v>
      </c>
      <c r="AU230" s="57" t="n">
        <f aca="false">IF(OR(OR($B230="",$E230="",$F230=""),$K230&lt;&gt;"نعم",$M230="نعم"),0,MAX(0,MIN($F230,EOMONTH(DATE(cfg_FY,2,1),0))-MAX($E230,DATE(cfg_FY,2,1))+1))</f>
        <v>0</v>
      </c>
      <c r="AV230" s="57" t="n">
        <f aca="false">IF(OR(OR($B230="",$E230="",$F230=""),$K230&lt;&gt;"نعم",$M230="نعم"),0,MAX(0,MIN($F230,EOMONTH(DATE(cfg_FY,3,1),0))-MAX($E230,DATE(cfg_FY,3,1))+1))</f>
        <v>0</v>
      </c>
      <c r="AW230" s="57" t="n">
        <f aca="false">IF(OR(OR($B230="",$E230="",$F230=""),$K230&lt;&gt;"نعم",$M230="نعم"),0,MAX(0,MIN($F230,EOMONTH(DATE(cfg_FY,4,1),0))-MAX($E230,DATE(cfg_FY,4,1))+1))</f>
        <v>0</v>
      </c>
      <c r="AX230" s="57" t="n">
        <f aca="false">IF(OR(OR($B230="",$E230="",$F230=""),$K230&lt;&gt;"نعم",$M230="نعم"),0,MAX(0,MIN($F230,EOMONTH(DATE(cfg_FY,5,1),0))-MAX($E230,DATE(cfg_FY,5,1))+1))</f>
        <v>0</v>
      </c>
      <c r="AY230" s="57" t="n">
        <f aca="false">IF(OR(OR($B230="",$E230="",$F230=""),$K230&lt;&gt;"نعم",$M230="نعم"),0,MAX(0,MIN($F230,EOMONTH(DATE(cfg_FY,6,1),0))-MAX($E230,DATE(cfg_FY,6,1))+1))</f>
        <v>0</v>
      </c>
      <c r="AZ230" s="57" t="n">
        <f aca="false">IF(OR(OR($B230="",$E230="",$F230=""),$K230&lt;&gt;"نعم",$M230="نعم"),0,MAX(0,MIN($F230,EOMONTH(DATE(cfg_FY,7,1),0))-MAX($E230,DATE(cfg_FY,7,1))+1))</f>
        <v>0</v>
      </c>
      <c r="BA230" s="57" t="n">
        <f aca="false">IF(OR(OR($B230="",$E230="",$F230=""),$K230&lt;&gt;"نعم",$M230="نعم"),0,MAX(0,MIN($F230,EOMONTH(DATE(cfg_FY,8,1),0))-MAX($E230,DATE(cfg_FY,8,1))+1))</f>
        <v>0</v>
      </c>
      <c r="BB230" s="57" t="n">
        <f aca="false">IF(OR(OR($B230="",$E230="",$F230=""),$K230&lt;&gt;"نعم",$M230="نعم"),0,MAX(0,MIN($F230,EOMONTH(DATE(cfg_FY,9,1),0))-MAX($E230,DATE(cfg_FY,9,1))+1))</f>
        <v>0</v>
      </c>
      <c r="BC230" s="57" t="n">
        <f aca="false">IF(OR(OR($B230="",$E230="",$F230=""),$K230&lt;&gt;"نعم",$M230="نعم"),0,MAX(0,MIN($F230,EOMONTH(DATE(cfg_FY,10,1),0))-MAX($E230,DATE(cfg_FY,10,1))+1))</f>
        <v>0</v>
      </c>
      <c r="BD230" s="57" t="n">
        <f aca="false">IF(OR(OR($B230="",$E230="",$F230=""),$K230&lt;&gt;"نعم",$M230="نعم"),0,MAX(0,MIN($F230,EOMONTH(DATE(cfg_FY,11,1),0))-MAX($E230,DATE(cfg_FY,11,1))+1))</f>
        <v>0</v>
      </c>
      <c r="BE230" s="57" t="n">
        <f aca="false">IF(OR(OR($B230="",$E230="",$F230=""),$K230&lt;&gt;"نعم",$M230="نعم"),0,MAX(0,MIN($F230,EOMONTH(DATE(cfg_FY,12,1),0))-MAX($E230,DATE(cfg_FY,12,1))+1))</f>
        <v>0</v>
      </c>
    </row>
    <row r="231" customFormat="false" ht="15" hidden="false" customHeight="false" outlineLevel="0" collapsed="false">
      <c r="A231" s="100" t="str">
        <f aca="false">IF(B231="","",ROW()-5)</f>
        <v/>
      </c>
      <c r="B231" s="79"/>
      <c r="C231" s="102" t="str">
        <f aca="false">IF(B231="","",IFERROR(INDEX(الموظفون!$C$6:$C$105,MATCH(B231,الموظفون!$B$6:$B$105,0)),"✖ رقم غير موجود"))</f>
        <v/>
      </c>
      <c r="D231" s="79"/>
      <c r="E231" s="94"/>
      <c r="F231" s="94"/>
      <c r="G231" s="110" t="str">
        <f aca="false">IF(OR($B231="",$E231="",$F231=""),"",MAX(0,F231-E231+1))</f>
        <v/>
      </c>
      <c r="H231" s="111" t="str">
        <f aca="false">IF(D231="","",IFERROR(VLOOKUP(D231,cfg_LT,2,FALSE()),1))</f>
        <v/>
      </c>
      <c r="I231" s="82"/>
      <c r="J231" s="111" t="str">
        <f aca="false">IF(D231="","",IF(I231&lt;&gt;"",I231,H231))</f>
        <v/>
      </c>
      <c r="K231" s="102" t="str">
        <f aca="false">IF(D231="","",IFERROR(VLOOKUP($D231,cfg_LT,3,FALSE()),""))</f>
        <v/>
      </c>
      <c r="L231" s="102" t="str">
        <f aca="false">IF(D231="","",IFERROR(VLOOKUP($D231,cfg_LT,4,FALSE()),""))</f>
        <v/>
      </c>
      <c r="M231" s="102" t="str">
        <f aca="false">IF(D231="","",IFERROR(VLOOKUP($D231,cfg_LT,5,FALSE()),""))</f>
        <v/>
      </c>
      <c r="N231" s="101" t="n">
        <f aca="false">IF(OR(OR($B231="",$E231="",$F231=""),M231&lt;&gt;"نعم"),0,G231*J231*IFERROR(INDEX(الموظفون!$R$6:$R$105,MATCH(B231,الموظفون!$B$6:$B$105,0)),0)/cfg_DAYS_M)</f>
        <v>0</v>
      </c>
      <c r="O231" s="100" t="str">
        <f aca="false">IF(OR(OR($B231="",$E231="",$F231=""),M231&lt;&gt;"نعم"),"",IF(YEAR(E231)=cfg_FY,MONTH(E231),""))</f>
        <v/>
      </c>
      <c r="P231" s="102" t="str">
        <f aca="false">IF(B231="","",IF(OR(D231="",E231="",F231=""),"⚠ أكمل النوع والتواريخ",IF(F231&lt;E231,"✖ النهاية قبل البداية",IF(COUNTIFS($B$6:$B$505,B231,$E$6:$E$505,"&lt;="&amp;F231,$F$6:$F$505,"&gt;="&amp;E231)&gt;1,"⚠ تداخل مع سجل آخر",IF(E231&gt;cfg_VAL_DATE,"⏳ قادمة",IF(F231&lt;cfg_VAL_DATE,"✔ منتهية","✈ جارية في تاريخ التقرير"))))))</f>
        <v/>
      </c>
      <c r="Q231" s="79"/>
      <c r="R231" s="110" t="n">
        <f aca="false">IF(OR(OR($B231="",$E231="",$F231=""),L231&lt;&gt;"لا"),0,MAX(0,MIN(F231,cfg_Y_START-1)-E231+1))</f>
        <v>0</v>
      </c>
      <c r="S231" s="110" t="n">
        <f aca="false">IF(OR(OR($B231="",$E231="",$F231=""),L231&lt;&gt;"لا"),0,MAX(0,MIN(F231,cfg_VAL_DATE)-E231+1))</f>
        <v>0</v>
      </c>
      <c r="T231" s="110" t="n">
        <f aca="false">IF(OR(OR($B231="",$E231="",$F231=""),K231&lt;&gt;"نعم"),0,IF(M231="نعم",IF(AND(ISNUMBER(O231),N(O231)&lt;=cfg_VAL_M),G231,0),MAX(0,MIN(F231,cfg_VAL_DATE)-MAX(E231,cfg_Y_START)+1)))</f>
        <v>0</v>
      </c>
      <c r="V231" s="110" t="n">
        <f aca="false">IF(OR($B231="",$E231="",$F231=""),0,MAX(0,MIN($F231,EOMONTH(DATE(cfg_FY,1,1),0))-MAX($E231,DATE(cfg_FY,1,1))+1)*(1-IF($M231="نعم",0,N($J231))))</f>
        <v>0</v>
      </c>
      <c r="W231" s="110" t="n">
        <f aca="false">IF(OR($B231="",$E231="",$F231=""),0,MAX(0,MIN($F231,EOMONTH(DATE(cfg_FY,2,1),0))-MAX($E231,DATE(cfg_FY,2,1))+1)*(1-IF($M231="نعم",0,N($J231))))</f>
        <v>0</v>
      </c>
      <c r="X231" s="110" t="n">
        <f aca="false">IF(OR($B231="",$E231="",$F231=""),0,MAX(0,MIN($F231,EOMONTH(DATE(cfg_FY,3,1),0))-MAX($E231,DATE(cfg_FY,3,1))+1)*(1-IF($M231="نعم",0,N($J231))))</f>
        <v>0</v>
      </c>
      <c r="Y231" s="110" t="n">
        <f aca="false">IF(OR($B231="",$E231="",$F231=""),0,MAX(0,MIN($F231,EOMONTH(DATE(cfg_FY,4,1),0))-MAX($E231,DATE(cfg_FY,4,1))+1)*(1-IF($M231="نعم",0,N($J231))))</f>
        <v>0</v>
      </c>
      <c r="Z231" s="110" t="n">
        <f aca="false">IF(OR($B231="",$E231="",$F231=""),0,MAX(0,MIN($F231,EOMONTH(DATE(cfg_FY,5,1),0))-MAX($E231,DATE(cfg_FY,5,1))+1)*(1-IF($M231="نعم",0,N($J231))))</f>
        <v>0</v>
      </c>
      <c r="AA231" s="110" t="n">
        <f aca="false">IF(OR($B231="",$E231="",$F231=""),0,MAX(0,MIN($F231,EOMONTH(DATE(cfg_FY,6,1),0))-MAX($E231,DATE(cfg_FY,6,1))+1)*(1-IF($M231="نعم",0,N($J231))))</f>
        <v>0</v>
      </c>
      <c r="AB231" s="110" t="n">
        <f aca="false">IF(OR($B231="",$E231="",$F231=""),0,MAX(0,MIN($F231,EOMONTH(DATE(cfg_FY,7,1),0))-MAX($E231,DATE(cfg_FY,7,1))+1)*(1-IF($M231="نعم",0,N($J231))))</f>
        <v>0</v>
      </c>
      <c r="AC231" s="110" t="n">
        <f aca="false">IF(OR($B231="",$E231="",$F231=""),0,MAX(0,MIN($F231,EOMONTH(DATE(cfg_FY,8,1),0))-MAX($E231,DATE(cfg_FY,8,1))+1)*(1-IF($M231="نعم",0,N($J231))))</f>
        <v>0</v>
      </c>
      <c r="AD231" s="110" t="n">
        <f aca="false">IF(OR($B231="",$E231="",$F231=""),0,MAX(0,MIN($F231,EOMONTH(DATE(cfg_FY,9,1),0))-MAX($E231,DATE(cfg_FY,9,1))+1)*(1-IF($M231="نعم",0,N($J231))))</f>
        <v>0</v>
      </c>
      <c r="AE231" s="110" t="n">
        <f aca="false">IF(OR($B231="",$E231="",$F231=""),0,MAX(0,MIN($F231,EOMONTH(DATE(cfg_FY,10,1),0))-MAX($E231,DATE(cfg_FY,10,1))+1)*(1-IF($M231="نعم",0,N($J231))))</f>
        <v>0</v>
      </c>
      <c r="AF231" s="110" t="n">
        <f aca="false">IF(OR($B231="",$E231="",$F231=""),0,MAX(0,MIN($F231,EOMONTH(DATE(cfg_FY,11,1),0))-MAX($E231,DATE(cfg_FY,11,1))+1)*(1-IF($M231="نعم",0,N($J231))))</f>
        <v>0</v>
      </c>
      <c r="AG231" s="110" t="n">
        <f aca="false">IF(OR($B231="",$E231="",$F231=""),0,MAX(0,MIN($F231,EOMONTH(DATE(cfg_FY,12,1),0))-MAX($E231,DATE(cfg_FY,12,1))+1)*(1-IF($M231="نعم",0,N($J231))))</f>
        <v>0</v>
      </c>
      <c r="AH231" s="110" t="n">
        <f aca="false">IF(OR(OR($B231="",$E231="",$F231=""),$L231&lt;&gt;"لا"),0,MAX(0,MIN($F231,EOMONTH(DATE(cfg_FY,1,1),0))-$E231+1))</f>
        <v>0</v>
      </c>
      <c r="AI231" s="110" t="n">
        <f aca="false">IF(OR(OR($B231="",$E231="",$F231=""),$L231&lt;&gt;"لا"),0,MAX(0,MIN($F231,EOMONTH(DATE(cfg_FY,2,1),0))-$E231+1))</f>
        <v>0</v>
      </c>
      <c r="AJ231" s="110" t="n">
        <f aca="false">IF(OR(OR($B231="",$E231="",$F231=""),$L231&lt;&gt;"لا"),0,MAX(0,MIN($F231,EOMONTH(DATE(cfg_FY,3,1),0))-$E231+1))</f>
        <v>0</v>
      </c>
      <c r="AK231" s="110" t="n">
        <f aca="false">IF(OR(OR($B231="",$E231="",$F231=""),$L231&lt;&gt;"لا"),0,MAX(0,MIN($F231,EOMONTH(DATE(cfg_FY,4,1),0))-$E231+1))</f>
        <v>0</v>
      </c>
      <c r="AL231" s="110" t="n">
        <f aca="false">IF(OR(OR($B231="",$E231="",$F231=""),$L231&lt;&gt;"لا"),0,MAX(0,MIN($F231,EOMONTH(DATE(cfg_FY,5,1),0))-$E231+1))</f>
        <v>0</v>
      </c>
      <c r="AM231" s="110" t="n">
        <f aca="false">IF(OR(OR($B231="",$E231="",$F231=""),$L231&lt;&gt;"لا"),0,MAX(0,MIN($F231,EOMONTH(DATE(cfg_FY,6,1),0))-$E231+1))</f>
        <v>0</v>
      </c>
      <c r="AN231" s="110" t="n">
        <f aca="false">IF(OR(OR($B231="",$E231="",$F231=""),$L231&lt;&gt;"لا"),0,MAX(0,MIN($F231,EOMONTH(DATE(cfg_FY,7,1),0))-$E231+1))</f>
        <v>0</v>
      </c>
      <c r="AO231" s="110" t="n">
        <f aca="false">IF(OR(OR($B231="",$E231="",$F231=""),$L231&lt;&gt;"لا"),0,MAX(0,MIN($F231,EOMONTH(DATE(cfg_FY,8,1),0))-$E231+1))</f>
        <v>0</v>
      </c>
      <c r="AP231" s="110" t="n">
        <f aca="false">IF(OR(OR($B231="",$E231="",$F231=""),$L231&lt;&gt;"لا"),0,MAX(0,MIN($F231,EOMONTH(DATE(cfg_FY,9,1),0))-$E231+1))</f>
        <v>0</v>
      </c>
      <c r="AQ231" s="110" t="n">
        <f aca="false">IF(OR(OR($B231="",$E231="",$F231=""),$L231&lt;&gt;"لا"),0,MAX(0,MIN($F231,EOMONTH(DATE(cfg_FY,10,1),0))-$E231+1))</f>
        <v>0</v>
      </c>
      <c r="AR231" s="110" t="n">
        <f aca="false">IF(OR(OR($B231="",$E231="",$F231=""),$L231&lt;&gt;"لا"),0,MAX(0,MIN($F231,EOMONTH(DATE(cfg_FY,11,1),0))-$E231+1))</f>
        <v>0</v>
      </c>
      <c r="AS231" s="110" t="n">
        <f aca="false">IF(OR(OR($B231="",$E231="",$F231=""),$L231&lt;&gt;"لا"),0,MAX(0,MIN($F231,EOMONTH(DATE(cfg_FY,12,1),0))-$E231+1))</f>
        <v>0</v>
      </c>
      <c r="AT231" s="110" t="n">
        <f aca="false">IF(OR(OR($B231="",$E231="",$F231=""),$K231&lt;&gt;"نعم",$M231="نعم"),0,MAX(0,MIN($F231,EOMONTH(DATE(cfg_FY,1,1),0))-MAX($E231,DATE(cfg_FY,1,1))+1))</f>
        <v>0</v>
      </c>
      <c r="AU231" s="110" t="n">
        <f aca="false">IF(OR(OR($B231="",$E231="",$F231=""),$K231&lt;&gt;"نعم",$M231="نعم"),0,MAX(0,MIN($F231,EOMONTH(DATE(cfg_FY,2,1),0))-MAX($E231,DATE(cfg_FY,2,1))+1))</f>
        <v>0</v>
      </c>
      <c r="AV231" s="110" t="n">
        <f aca="false">IF(OR(OR($B231="",$E231="",$F231=""),$K231&lt;&gt;"نعم",$M231="نعم"),0,MAX(0,MIN($F231,EOMONTH(DATE(cfg_FY,3,1),0))-MAX($E231,DATE(cfg_FY,3,1))+1))</f>
        <v>0</v>
      </c>
      <c r="AW231" s="110" t="n">
        <f aca="false">IF(OR(OR($B231="",$E231="",$F231=""),$K231&lt;&gt;"نعم",$M231="نعم"),0,MAX(0,MIN($F231,EOMONTH(DATE(cfg_FY,4,1),0))-MAX($E231,DATE(cfg_FY,4,1))+1))</f>
        <v>0</v>
      </c>
      <c r="AX231" s="110" t="n">
        <f aca="false">IF(OR(OR($B231="",$E231="",$F231=""),$K231&lt;&gt;"نعم",$M231="نعم"),0,MAX(0,MIN($F231,EOMONTH(DATE(cfg_FY,5,1),0))-MAX($E231,DATE(cfg_FY,5,1))+1))</f>
        <v>0</v>
      </c>
      <c r="AY231" s="110" t="n">
        <f aca="false">IF(OR(OR($B231="",$E231="",$F231=""),$K231&lt;&gt;"نعم",$M231="نعم"),0,MAX(0,MIN($F231,EOMONTH(DATE(cfg_FY,6,1),0))-MAX($E231,DATE(cfg_FY,6,1))+1))</f>
        <v>0</v>
      </c>
      <c r="AZ231" s="110" t="n">
        <f aca="false">IF(OR(OR($B231="",$E231="",$F231=""),$K231&lt;&gt;"نعم",$M231="نعم"),0,MAX(0,MIN($F231,EOMONTH(DATE(cfg_FY,7,1),0))-MAX($E231,DATE(cfg_FY,7,1))+1))</f>
        <v>0</v>
      </c>
      <c r="BA231" s="110" t="n">
        <f aca="false">IF(OR(OR($B231="",$E231="",$F231=""),$K231&lt;&gt;"نعم",$M231="نعم"),0,MAX(0,MIN($F231,EOMONTH(DATE(cfg_FY,8,1),0))-MAX($E231,DATE(cfg_FY,8,1))+1))</f>
        <v>0</v>
      </c>
      <c r="BB231" s="110" t="n">
        <f aca="false">IF(OR(OR($B231="",$E231="",$F231=""),$K231&lt;&gt;"نعم",$M231="نعم"),0,MAX(0,MIN($F231,EOMONTH(DATE(cfg_FY,9,1),0))-MAX($E231,DATE(cfg_FY,9,1))+1))</f>
        <v>0</v>
      </c>
      <c r="BC231" s="110" t="n">
        <f aca="false">IF(OR(OR($B231="",$E231="",$F231=""),$K231&lt;&gt;"نعم",$M231="نعم"),0,MAX(0,MIN($F231,EOMONTH(DATE(cfg_FY,10,1),0))-MAX($E231,DATE(cfg_FY,10,1))+1))</f>
        <v>0</v>
      </c>
      <c r="BD231" s="110" t="n">
        <f aca="false">IF(OR(OR($B231="",$E231="",$F231=""),$K231&lt;&gt;"نعم",$M231="نعم"),0,MAX(0,MIN($F231,EOMONTH(DATE(cfg_FY,11,1),0))-MAX($E231,DATE(cfg_FY,11,1))+1))</f>
        <v>0</v>
      </c>
      <c r="BE231" s="110" t="n">
        <f aca="false">IF(OR(OR($B231="",$E231="",$F231=""),$K231&lt;&gt;"نعم",$M231="نعم"),0,MAX(0,MIN($F231,EOMONTH(DATE(cfg_FY,12,1),0))-MAX($E231,DATE(cfg_FY,12,1))+1))</f>
        <v>0</v>
      </c>
    </row>
    <row r="232" customFormat="false" ht="15" hidden="false" customHeight="false" outlineLevel="0" collapsed="false">
      <c r="A232" s="93" t="str">
        <f aca="false">IF(B232="","",ROW()-5)</f>
        <v/>
      </c>
      <c r="B232" s="79"/>
      <c r="C232" s="80" t="str">
        <f aca="false">IF(B232="","",IFERROR(INDEX(الموظفون!$C$6:$C$105,MATCH(B232,الموظفون!$B$6:$B$105,0)),"✖ رقم غير موجود"))</f>
        <v/>
      </c>
      <c r="D232" s="79"/>
      <c r="E232" s="94"/>
      <c r="F232" s="94"/>
      <c r="G232" s="57" t="str">
        <f aca="false">IF(OR($B232="",$E232="",$F232=""),"",MAX(0,F232-E232+1))</f>
        <v/>
      </c>
      <c r="H232" s="58" t="str">
        <f aca="false">IF(D232="","",IFERROR(VLOOKUP(D232,cfg_LT,2,FALSE()),1))</f>
        <v/>
      </c>
      <c r="I232" s="82"/>
      <c r="J232" s="58" t="str">
        <f aca="false">IF(D232="","",IF(I232&lt;&gt;"",I232,H232))</f>
        <v/>
      </c>
      <c r="K232" s="80" t="str">
        <f aca="false">IF(D232="","",IFERROR(VLOOKUP($D232,cfg_LT,3,FALSE()),""))</f>
        <v/>
      </c>
      <c r="L232" s="80" t="str">
        <f aca="false">IF(D232="","",IFERROR(VLOOKUP($D232,cfg_LT,4,FALSE()),""))</f>
        <v/>
      </c>
      <c r="M232" s="80" t="str">
        <f aca="false">IF(D232="","",IFERROR(VLOOKUP($D232,cfg_LT,5,FALSE()),""))</f>
        <v/>
      </c>
      <c r="N232" s="97" t="n">
        <f aca="false">IF(OR(OR($B232="",$E232="",$F232=""),M232&lt;&gt;"نعم"),0,G232*J232*IFERROR(INDEX(الموظفون!$R$6:$R$105,MATCH(B232,الموظفون!$B$6:$B$105,0)),0)/cfg_DAYS_M)</f>
        <v>0</v>
      </c>
      <c r="O232" s="93" t="str">
        <f aca="false">IF(OR(OR($B232="",$E232="",$F232=""),M232&lt;&gt;"نعم"),"",IF(YEAR(E232)=cfg_FY,MONTH(E232),""))</f>
        <v/>
      </c>
      <c r="P232" s="80" t="str">
        <f aca="false">IF(B232="","",IF(OR(D232="",E232="",F232=""),"⚠ أكمل النوع والتواريخ",IF(F232&lt;E232,"✖ النهاية قبل البداية",IF(COUNTIFS($B$6:$B$505,B232,$E$6:$E$505,"&lt;="&amp;F232,$F$6:$F$505,"&gt;="&amp;E232)&gt;1,"⚠ تداخل مع سجل آخر",IF(E232&gt;cfg_VAL_DATE,"⏳ قادمة",IF(F232&lt;cfg_VAL_DATE,"✔ منتهية","✈ جارية في تاريخ التقرير"))))))</f>
        <v/>
      </c>
      <c r="Q232" s="79"/>
      <c r="R232" s="57" t="n">
        <f aca="false">IF(OR(OR($B232="",$E232="",$F232=""),L232&lt;&gt;"لا"),0,MAX(0,MIN(F232,cfg_Y_START-1)-E232+1))</f>
        <v>0</v>
      </c>
      <c r="S232" s="57" t="n">
        <f aca="false">IF(OR(OR($B232="",$E232="",$F232=""),L232&lt;&gt;"لا"),0,MAX(0,MIN(F232,cfg_VAL_DATE)-E232+1))</f>
        <v>0</v>
      </c>
      <c r="T232" s="57" t="n">
        <f aca="false">IF(OR(OR($B232="",$E232="",$F232=""),K232&lt;&gt;"نعم"),0,IF(M232="نعم",IF(AND(ISNUMBER(O232),N(O232)&lt;=cfg_VAL_M),G232,0),MAX(0,MIN(F232,cfg_VAL_DATE)-MAX(E232,cfg_Y_START)+1)))</f>
        <v>0</v>
      </c>
      <c r="V232" s="57" t="n">
        <f aca="false">IF(OR($B232="",$E232="",$F232=""),0,MAX(0,MIN($F232,EOMONTH(DATE(cfg_FY,1,1),0))-MAX($E232,DATE(cfg_FY,1,1))+1)*(1-IF($M232="نعم",0,N($J232))))</f>
        <v>0</v>
      </c>
      <c r="W232" s="57" t="n">
        <f aca="false">IF(OR($B232="",$E232="",$F232=""),0,MAX(0,MIN($F232,EOMONTH(DATE(cfg_FY,2,1),0))-MAX($E232,DATE(cfg_FY,2,1))+1)*(1-IF($M232="نعم",0,N($J232))))</f>
        <v>0</v>
      </c>
      <c r="X232" s="57" t="n">
        <f aca="false">IF(OR($B232="",$E232="",$F232=""),0,MAX(0,MIN($F232,EOMONTH(DATE(cfg_FY,3,1),0))-MAX($E232,DATE(cfg_FY,3,1))+1)*(1-IF($M232="نعم",0,N($J232))))</f>
        <v>0</v>
      </c>
      <c r="Y232" s="57" t="n">
        <f aca="false">IF(OR($B232="",$E232="",$F232=""),0,MAX(0,MIN($F232,EOMONTH(DATE(cfg_FY,4,1),0))-MAX($E232,DATE(cfg_FY,4,1))+1)*(1-IF($M232="نعم",0,N($J232))))</f>
        <v>0</v>
      </c>
      <c r="Z232" s="57" t="n">
        <f aca="false">IF(OR($B232="",$E232="",$F232=""),0,MAX(0,MIN($F232,EOMONTH(DATE(cfg_FY,5,1),0))-MAX($E232,DATE(cfg_FY,5,1))+1)*(1-IF($M232="نعم",0,N($J232))))</f>
        <v>0</v>
      </c>
      <c r="AA232" s="57" t="n">
        <f aca="false">IF(OR($B232="",$E232="",$F232=""),0,MAX(0,MIN($F232,EOMONTH(DATE(cfg_FY,6,1),0))-MAX($E232,DATE(cfg_FY,6,1))+1)*(1-IF($M232="نعم",0,N($J232))))</f>
        <v>0</v>
      </c>
      <c r="AB232" s="57" t="n">
        <f aca="false">IF(OR($B232="",$E232="",$F232=""),0,MAX(0,MIN($F232,EOMONTH(DATE(cfg_FY,7,1),0))-MAX($E232,DATE(cfg_FY,7,1))+1)*(1-IF($M232="نعم",0,N($J232))))</f>
        <v>0</v>
      </c>
      <c r="AC232" s="57" t="n">
        <f aca="false">IF(OR($B232="",$E232="",$F232=""),0,MAX(0,MIN($F232,EOMONTH(DATE(cfg_FY,8,1),0))-MAX($E232,DATE(cfg_FY,8,1))+1)*(1-IF($M232="نعم",0,N($J232))))</f>
        <v>0</v>
      </c>
      <c r="AD232" s="57" t="n">
        <f aca="false">IF(OR($B232="",$E232="",$F232=""),0,MAX(0,MIN($F232,EOMONTH(DATE(cfg_FY,9,1),0))-MAX($E232,DATE(cfg_FY,9,1))+1)*(1-IF($M232="نعم",0,N($J232))))</f>
        <v>0</v>
      </c>
      <c r="AE232" s="57" t="n">
        <f aca="false">IF(OR($B232="",$E232="",$F232=""),0,MAX(0,MIN($F232,EOMONTH(DATE(cfg_FY,10,1),0))-MAX($E232,DATE(cfg_FY,10,1))+1)*(1-IF($M232="نعم",0,N($J232))))</f>
        <v>0</v>
      </c>
      <c r="AF232" s="57" t="n">
        <f aca="false">IF(OR($B232="",$E232="",$F232=""),0,MAX(0,MIN($F232,EOMONTH(DATE(cfg_FY,11,1),0))-MAX($E232,DATE(cfg_FY,11,1))+1)*(1-IF($M232="نعم",0,N($J232))))</f>
        <v>0</v>
      </c>
      <c r="AG232" s="57" t="n">
        <f aca="false">IF(OR($B232="",$E232="",$F232=""),0,MAX(0,MIN($F232,EOMONTH(DATE(cfg_FY,12,1),0))-MAX($E232,DATE(cfg_FY,12,1))+1)*(1-IF($M232="نعم",0,N($J232))))</f>
        <v>0</v>
      </c>
      <c r="AH232" s="57" t="n">
        <f aca="false">IF(OR(OR($B232="",$E232="",$F232=""),$L232&lt;&gt;"لا"),0,MAX(0,MIN($F232,EOMONTH(DATE(cfg_FY,1,1),0))-$E232+1))</f>
        <v>0</v>
      </c>
      <c r="AI232" s="57" t="n">
        <f aca="false">IF(OR(OR($B232="",$E232="",$F232=""),$L232&lt;&gt;"لا"),0,MAX(0,MIN($F232,EOMONTH(DATE(cfg_FY,2,1),0))-$E232+1))</f>
        <v>0</v>
      </c>
      <c r="AJ232" s="57" t="n">
        <f aca="false">IF(OR(OR($B232="",$E232="",$F232=""),$L232&lt;&gt;"لا"),0,MAX(0,MIN($F232,EOMONTH(DATE(cfg_FY,3,1),0))-$E232+1))</f>
        <v>0</v>
      </c>
      <c r="AK232" s="57" t="n">
        <f aca="false">IF(OR(OR($B232="",$E232="",$F232=""),$L232&lt;&gt;"لا"),0,MAX(0,MIN($F232,EOMONTH(DATE(cfg_FY,4,1),0))-$E232+1))</f>
        <v>0</v>
      </c>
      <c r="AL232" s="57" t="n">
        <f aca="false">IF(OR(OR($B232="",$E232="",$F232=""),$L232&lt;&gt;"لا"),0,MAX(0,MIN($F232,EOMONTH(DATE(cfg_FY,5,1),0))-$E232+1))</f>
        <v>0</v>
      </c>
      <c r="AM232" s="57" t="n">
        <f aca="false">IF(OR(OR($B232="",$E232="",$F232=""),$L232&lt;&gt;"لا"),0,MAX(0,MIN($F232,EOMONTH(DATE(cfg_FY,6,1),0))-$E232+1))</f>
        <v>0</v>
      </c>
      <c r="AN232" s="57" t="n">
        <f aca="false">IF(OR(OR($B232="",$E232="",$F232=""),$L232&lt;&gt;"لا"),0,MAX(0,MIN($F232,EOMONTH(DATE(cfg_FY,7,1),0))-$E232+1))</f>
        <v>0</v>
      </c>
      <c r="AO232" s="57" t="n">
        <f aca="false">IF(OR(OR($B232="",$E232="",$F232=""),$L232&lt;&gt;"لا"),0,MAX(0,MIN($F232,EOMONTH(DATE(cfg_FY,8,1),0))-$E232+1))</f>
        <v>0</v>
      </c>
      <c r="AP232" s="57" t="n">
        <f aca="false">IF(OR(OR($B232="",$E232="",$F232=""),$L232&lt;&gt;"لا"),0,MAX(0,MIN($F232,EOMONTH(DATE(cfg_FY,9,1),0))-$E232+1))</f>
        <v>0</v>
      </c>
      <c r="AQ232" s="57" t="n">
        <f aca="false">IF(OR(OR($B232="",$E232="",$F232=""),$L232&lt;&gt;"لا"),0,MAX(0,MIN($F232,EOMONTH(DATE(cfg_FY,10,1),0))-$E232+1))</f>
        <v>0</v>
      </c>
      <c r="AR232" s="57" t="n">
        <f aca="false">IF(OR(OR($B232="",$E232="",$F232=""),$L232&lt;&gt;"لا"),0,MAX(0,MIN($F232,EOMONTH(DATE(cfg_FY,11,1),0))-$E232+1))</f>
        <v>0</v>
      </c>
      <c r="AS232" s="57" t="n">
        <f aca="false">IF(OR(OR($B232="",$E232="",$F232=""),$L232&lt;&gt;"لا"),0,MAX(0,MIN($F232,EOMONTH(DATE(cfg_FY,12,1),0))-$E232+1))</f>
        <v>0</v>
      </c>
      <c r="AT232" s="57" t="n">
        <f aca="false">IF(OR(OR($B232="",$E232="",$F232=""),$K232&lt;&gt;"نعم",$M232="نعم"),0,MAX(0,MIN($F232,EOMONTH(DATE(cfg_FY,1,1),0))-MAX($E232,DATE(cfg_FY,1,1))+1))</f>
        <v>0</v>
      </c>
      <c r="AU232" s="57" t="n">
        <f aca="false">IF(OR(OR($B232="",$E232="",$F232=""),$K232&lt;&gt;"نعم",$M232="نعم"),0,MAX(0,MIN($F232,EOMONTH(DATE(cfg_FY,2,1),0))-MAX($E232,DATE(cfg_FY,2,1))+1))</f>
        <v>0</v>
      </c>
      <c r="AV232" s="57" t="n">
        <f aca="false">IF(OR(OR($B232="",$E232="",$F232=""),$K232&lt;&gt;"نعم",$M232="نعم"),0,MAX(0,MIN($F232,EOMONTH(DATE(cfg_FY,3,1),0))-MAX($E232,DATE(cfg_FY,3,1))+1))</f>
        <v>0</v>
      </c>
      <c r="AW232" s="57" t="n">
        <f aca="false">IF(OR(OR($B232="",$E232="",$F232=""),$K232&lt;&gt;"نعم",$M232="نعم"),0,MAX(0,MIN($F232,EOMONTH(DATE(cfg_FY,4,1),0))-MAX($E232,DATE(cfg_FY,4,1))+1))</f>
        <v>0</v>
      </c>
      <c r="AX232" s="57" t="n">
        <f aca="false">IF(OR(OR($B232="",$E232="",$F232=""),$K232&lt;&gt;"نعم",$M232="نعم"),0,MAX(0,MIN($F232,EOMONTH(DATE(cfg_FY,5,1),0))-MAX($E232,DATE(cfg_FY,5,1))+1))</f>
        <v>0</v>
      </c>
      <c r="AY232" s="57" t="n">
        <f aca="false">IF(OR(OR($B232="",$E232="",$F232=""),$K232&lt;&gt;"نعم",$M232="نعم"),0,MAX(0,MIN($F232,EOMONTH(DATE(cfg_FY,6,1),0))-MAX($E232,DATE(cfg_FY,6,1))+1))</f>
        <v>0</v>
      </c>
      <c r="AZ232" s="57" t="n">
        <f aca="false">IF(OR(OR($B232="",$E232="",$F232=""),$K232&lt;&gt;"نعم",$M232="نعم"),0,MAX(0,MIN($F232,EOMONTH(DATE(cfg_FY,7,1),0))-MAX($E232,DATE(cfg_FY,7,1))+1))</f>
        <v>0</v>
      </c>
      <c r="BA232" s="57" t="n">
        <f aca="false">IF(OR(OR($B232="",$E232="",$F232=""),$K232&lt;&gt;"نعم",$M232="نعم"),0,MAX(0,MIN($F232,EOMONTH(DATE(cfg_FY,8,1),0))-MAX($E232,DATE(cfg_FY,8,1))+1))</f>
        <v>0</v>
      </c>
      <c r="BB232" s="57" t="n">
        <f aca="false">IF(OR(OR($B232="",$E232="",$F232=""),$K232&lt;&gt;"نعم",$M232="نعم"),0,MAX(0,MIN($F232,EOMONTH(DATE(cfg_FY,9,1),0))-MAX($E232,DATE(cfg_FY,9,1))+1))</f>
        <v>0</v>
      </c>
      <c r="BC232" s="57" t="n">
        <f aca="false">IF(OR(OR($B232="",$E232="",$F232=""),$K232&lt;&gt;"نعم",$M232="نعم"),0,MAX(0,MIN($F232,EOMONTH(DATE(cfg_FY,10,1),0))-MAX($E232,DATE(cfg_FY,10,1))+1))</f>
        <v>0</v>
      </c>
      <c r="BD232" s="57" t="n">
        <f aca="false">IF(OR(OR($B232="",$E232="",$F232=""),$K232&lt;&gt;"نعم",$M232="نعم"),0,MAX(0,MIN($F232,EOMONTH(DATE(cfg_FY,11,1),0))-MAX($E232,DATE(cfg_FY,11,1))+1))</f>
        <v>0</v>
      </c>
      <c r="BE232" s="57" t="n">
        <f aca="false">IF(OR(OR($B232="",$E232="",$F232=""),$K232&lt;&gt;"نعم",$M232="نعم"),0,MAX(0,MIN($F232,EOMONTH(DATE(cfg_FY,12,1),0))-MAX($E232,DATE(cfg_FY,12,1))+1))</f>
        <v>0</v>
      </c>
    </row>
    <row r="233" customFormat="false" ht="15" hidden="false" customHeight="false" outlineLevel="0" collapsed="false">
      <c r="A233" s="100" t="str">
        <f aca="false">IF(B233="","",ROW()-5)</f>
        <v/>
      </c>
      <c r="B233" s="79"/>
      <c r="C233" s="102" t="str">
        <f aca="false">IF(B233="","",IFERROR(INDEX(الموظفون!$C$6:$C$105,MATCH(B233,الموظفون!$B$6:$B$105,0)),"✖ رقم غير موجود"))</f>
        <v/>
      </c>
      <c r="D233" s="79"/>
      <c r="E233" s="94"/>
      <c r="F233" s="94"/>
      <c r="G233" s="110" t="str">
        <f aca="false">IF(OR($B233="",$E233="",$F233=""),"",MAX(0,F233-E233+1))</f>
        <v/>
      </c>
      <c r="H233" s="111" t="str">
        <f aca="false">IF(D233="","",IFERROR(VLOOKUP(D233,cfg_LT,2,FALSE()),1))</f>
        <v/>
      </c>
      <c r="I233" s="82"/>
      <c r="J233" s="111" t="str">
        <f aca="false">IF(D233="","",IF(I233&lt;&gt;"",I233,H233))</f>
        <v/>
      </c>
      <c r="K233" s="102" t="str">
        <f aca="false">IF(D233="","",IFERROR(VLOOKUP($D233,cfg_LT,3,FALSE()),""))</f>
        <v/>
      </c>
      <c r="L233" s="102" t="str">
        <f aca="false">IF(D233="","",IFERROR(VLOOKUP($D233,cfg_LT,4,FALSE()),""))</f>
        <v/>
      </c>
      <c r="M233" s="102" t="str">
        <f aca="false">IF(D233="","",IFERROR(VLOOKUP($D233,cfg_LT,5,FALSE()),""))</f>
        <v/>
      </c>
      <c r="N233" s="101" t="n">
        <f aca="false">IF(OR(OR($B233="",$E233="",$F233=""),M233&lt;&gt;"نعم"),0,G233*J233*IFERROR(INDEX(الموظفون!$R$6:$R$105,MATCH(B233,الموظفون!$B$6:$B$105,0)),0)/cfg_DAYS_M)</f>
        <v>0</v>
      </c>
      <c r="O233" s="100" t="str">
        <f aca="false">IF(OR(OR($B233="",$E233="",$F233=""),M233&lt;&gt;"نعم"),"",IF(YEAR(E233)=cfg_FY,MONTH(E233),""))</f>
        <v/>
      </c>
      <c r="P233" s="102" t="str">
        <f aca="false">IF(B233="","",IF(OR(D233="",E233="",F233=""),"⚠ أكمل النوع والتواريخ",IF(F233&lt;E233,"✖ النهاية قبل البداية",IF(COUNTIFS($B$6:$B$505,B233,$E$6:$E$505,"&lt;="&amp;F233,$F$6:$F$505,"&gt;="&amp;E233)&gt;1,"⚠ تداخل مع سجل آخر",IF(E233&gt;cfg_VAL_DATE,"⏳ قادمة",IF(F233&lt;cfg_VAL_DATE,"✔ منتهية","✈ جارية في تاريخ التقرير"))))))</f>
        <v/>
      </c>
      <c r="Q233" s="79"/>
      <c r="R233" s="110" t="n">
        <f aca="false">IF(OR(OR($B233="",$E233="",$F233=""),L233&lt;&gt;"لا"),0,MAX(0,MIN(F233,cfg_Y_START-1)-E233+1))</f>
        <v>0</v>
      </c>
      <c r="S233" s="110" t="n">
        <f aca="false">IF(OR(OR($B233="",$E233="",$F233=""),L233&lt;&gt;"لا"),0,MAX(0,MIN(F233,cfg_VAL_DATE)-E233+1))</f>
        <v>0</v>
      </c>
      <c r="T233" s="110" t="n">
        <f aca="false">IF(OR(OR($B233="",$E233="",$F233=""),K233&lt;&gt;"نعم"),0,IF(M233="نعم",IF(AND(ISNUMBER(O233),N(O233)&lt;=cfg_VAL_M),G233,0),MAX(0,MIN(F233,cfg_VAL_DATE)-MAX(E233,cfg_Y_START)+1)))</f>
        <v>0</v>
      </c>
      <c r="V233" s="110" t="n">
        <f aca="false">IF(OR($B233="",$E233="",$F233=""),0,MAX(0,MIN($F233,EOMONTH(DATE(cfg_FY,1,1),0))-MAX($E233,DATE(cfg_FY,1,1))+1)*(1-IF($M233="نعم",0,N($J233))))</f>
        <v>0</v>
      </c>
      <c r="W233" s="110" t="n">
        <f aca="false">IF(OR($B233="",$E233="",$F233=""),0,MAX(0,MIN($F233,EOMONTH(DATE(cfg_FY,2,1),0))-MAX($E233,DATE(cfg_FY,2,1))+1)*(1-IF($M233="نعم",0,N($J233))))</f>
        <v>0</v>
      </c>
      <c r="X233" s="110" t="n">
        <f aca="false">IF(OR($B233="",$E233="",$F233=""),0,MAX(0,MIN($F233,EOMONTH(DATE(cfg_FY,3,1),0))-MAX($E233,DATE(cfg_FY,3,1))+1)*(1-IF($M233="نعم",0,N($J233))))</f>
        <v>0</v>
      </c>
      <c r="Y233" s="110" t="n">
        <f aca="false">IF(OR($B233="",$E233="",$F233=""),0,MAX(0,MIN($F233,EOMONTH(DATE(cfg_FY,4,1),0))-MAX($E233,DATE(cfg_FY,4,1))+1)*(1-IF($M233="نعم",0,N($J233))))</f>
        <v>0</v>
      </c>
      <c r="Z233" s="110" t="n">
        <f aca="false">IF(OR($B233="",$E233="",$F233=""),0,MAX(0,MIN($F233,EOMONTH(DATE(cfg_FY,5,1),0))-MAX($E233,DATE(cfg_FY,5,1))+1)*(1-IF($M233="نعم",0,N($J233))))</f>
        <v>0</v>
      </c>
      <c r="AA233" s="110" t="n">
        <f aca="false">IF(OR($B233="",$E233="",$F233=""),0,MAX(0,MIN($F233,EOMONTH(DATE(cfg_FY,6,1),0))-MAX($E233,DATE(cfg_FY,6,1))+1)*(1-IF($M233="نعم",0,N($J233))))</f>
        <v>0</v>
      </c>
      <c r="AB233" s="110" t="n">
        <f aca="false">IF(OR($B233="",$E233="",$F233=""),0,MAX(0,MIN($F233,EOMONTH(DATE(cfg_FY,7,1),0))-MAX($E233,DATE(cfg_FY,7,1))+1)*(1-IF($M233="نعم",0,N($J233))))</f>
        <v>0</v>
      </c>
      <c r="AC233" s="110" t="n">
        <f aca="false">IF(OR($B233="",$E233="",$F233=""),0,MAX(0,MIN($F233,EOMONTH(DATE(cfg_FY,8,1),0))-MAX($E233,DATE(cfg_FY,8,1))+1)*(1-IF($M233="نعم",0,N($J233))))</f>
        <v>0</v>
      </c>
      <c r="AD233" s="110" t="n">
        <f aca="false">IF(OR($B233="",$E233="",$F233=""),0,MAX(0,MIN($F233,EOMONTH(DATE(cfg_FY,9,1),0))-MAX($E233,DATE(cfg_FY,9,1))+1)*(1-IF($M233="نعم",0,N($J233))))</f>
        <v>0</v>
      </c>
      <c r="AE233" s="110" t="n">
        <f aca="false">IF(OR($B233="",$E233="",$F233=""),0,MAX(0,MIN($F233,EOMONTH(DATE(cfg_FY,10,1),0))-MAX($E233,DATE(cfg_FY,10,1))+1)*(1-IF($M233="نعم",0,N($J233))))</f>
        <v>0</v>
      </c>
      <c r="AF233" s="110" t="n">
        <f aca="false">IF(OR($B233="",$E233="",$F233=""),0,MAX(0,MIN($F233,EOMONTH(DATE(cfg_FY,11,1),0))-MAX($E233,DATE(cfg_FY,11,1))+1)*(1-IF($M233="نعم",0,N($J233))))</f>
        <v>0</v>
      </c>
      <c r="AG233" s="110" t="n">
        <f aca="false">IF(OR($B233="",$E233="",$F233=""),0,MAX(0,MIN($F233,EOMONTH(DATE(cfg_FY,12,1),0))-MAX($E233,DATE(cfg_FY,12,1))+1)*(1-IF($M233="نعم",0,N($J233))))</f>
        <v>0</v>
      </c>
      <c r="AH233" s="110" t="n">
        <f aca="false">IF(OR(OR($B233="",$E233="",$F233=""),$L233&lt;&gt;"لا"),0,MAX(0,MIN($F233,EOMONTH(DATE(cfg_FY,1,1),0))-$E233+1))</f>
        <v>0</v>
      </c>
      <c r="AI233" s="110" t="n">
        <f aca="false">IF(OR(OR($B233="",$E233="",$F233=""),$L233&lt;&gt;"لا"),0,MAX(0,MIN($F233,EOMONTH(DATE(cfg_FY,2,1),0))-$E233+1))</f>
        <v>0</v>
      </c>
      <c r="AJ233" s="110" t="n">
        <f aca="false">IF(OR(OR($B233="",$E233="",$F233=""),$L233&lt;&gt;"لا"),0,MAX(0,MIN($F233,EOMONTH(DATE(cfg_FY,3,1),0))-$E233+1))</f>
        <v>0</v>
      </c>
      <c r="AK233" s="110" t="n">
        <f aca="false">IF(OR(OR($B233="",$E233="",$F233=""),$L233&lt;&gt;"لا"),0,MAX(0,MIN($F233,EOMONTH(DATE(cfg_FY,4,1),0))-$E233+1))</f>
        <v>0</v>
      </c>
      <c r="AL233" s="110" t="n">
        <f aca="false">IF(OR(OR($B233="",$E233="",$F233=""),$L233&lt;&gt;"لا"),0,MAX(0,MIN($F233,EOMONTH(DATE(cfg_FY,5,1),0))-$E233+1))</f>
        <v>0</v>
      </c>
      <c r="AM233" s="110" t="n">
        <f aca="false">IF(OR(OR($B233="",$E233="",$F233=""),$L233&lt;&gt;"لا"),0,MAX(0,MIN($F233,EOMONTH(DATE(cfg_FY,6,1),0))-$E233+1))</f>
        <v>0</v>
      </c>
      <c r="AN233" s="110" t="n">
        <f aca="false">IF(OR(OR($B233="",$E233="",$F233=""),$L233&lt;&gt;"لا"),0,MAX(0,MIN($F233,EOMONTH(DATE(cfg_FY,7,1),0))-$E233+1))</f>
        <v>0</v>
      </c>
      <c r="AO233" s="110" t="n">
        <f aca="false">IF(OR(OR($B233="",$E233="",$F233=""),$L233&lt;&gt;"لا"),0,MAX(0,MIN($F233,EOMONTH(DATE(cfg_FY,8,1),0))-$E233+1))</f>
        <v>0</v>
      </c>
      <c r="AP233" s="110" t="n">
        <f aca="false">IF(OR(OR($B233="",$E233="",$F233=""),$L233&lt;&gt;"لا"),0,MAX(0,MIN($F233,EOMONTH(DATE(cfg_FY,9,1),0))-$E233+1))</f>
        <v>0</v>
      </c>
      <c r="AQ233" s="110" t="n">
        <f aca="false">IF(OR(OR($B233="",$E233="",$F233=""),$L233&lt;&gt;"لا"),0,MAX(0,MIN($F233,EOMONTH(DATE(cfg_FY,10,1),0))-$E233+1))</f>
        <v>0</v>
      </c>
      <c r="AR233" s="110" t="n">
        <f aca="false">IF(OR(OR($B233="",$E233="",$F233=""),$L233&lt;&gt;"لا"),0,MAX(0,MIN($F233,EOMONTH(DATE(cfg_FY,11,1),0))-$E233+1))</f>
        <v>0</v>
      </c>
      <c r="AS233" s="110" t="n">
        <f aca="false">IF(OR(OR($B233="",$E233="",$F233=""),$L233&lt;&gt;"لا"),0,MAX(0,MIN($F233,EOMONTH(DATE(cfg_FY,12,1),0))-$E233+1))</f>
        <v>0</v>
      </c>
      <c r="AT233" s="110" t="n">
        <f aca="false">IF(OR(OR($B233="",$E233="",$F233=""),$K233&lt;&gt;"نعم",$M233="نعم"),0,MAX(0,MIN($F233,EOMONTH(DATE(cfg_FY,1,1),0))-MAX($E233,DATE(cfg_FY,1,1))+1))</f>
        <v>0</v>
      </c>
      <c r="AU233" s="110" t="n">
        <f aca="false">IF(OR(OR($B233="",$E233="",$F233=""),$K233&lt;&gt;"نعم",$M233="نعم"),0,MAX(0,MIN($F233,EOMONTH(DATE(cfg_FY,2,1),0))-MAX($E233,DATE(cfg_FY,2,1))+1))</f>
        <v>0</v>
      </c>
      <c r="AV233" s="110" t="n">
        <f aca="false">IF(OR(OR($B233="",$E233="",$F233=""),$K233&lt;&gt;"نعم",$M233="نعم"),0,MAX(0,MIN($F233,EOMONTH(DATE(cfg_FY,3,1),0))-MAX($E233,DATE(cfg_FY,3,1))+1))</f>
        <v>0</v>
      </c>
      <c r="AW233" s="110" t="n">
        <f aca="false">IF(OR(OR($B233="",$E233="",$F233=""),$K233&lt;&gt;"نعم",$M233="نعم"),0,MAX(0,MIN($F233,EOMONTH(DATE(cfg_FY,4,1),0))-MAX($E233,DATE(cfg_FY,4,1))+1))</f>
        <v>0</v>
      </c>
      <c r="AX233" s="110" t="n">
        <f aca="false">IF(OR(OR($B233="",$E233="",$F233=""),$K233&lt;&gt;"نعم",$M233="نعم"),0,MAX(0,MIN($F233,EOMONTH(DATE(cfg_FY,5,1),0))-MAX($E233,DATE(cfg_FY,5,1))+1))</f>
        <v>0</v>
      </c>
      <c r="AY233" s="110" t="n">
        <f aca="false">IF(OR(OR($B233="",$E233="",$F233=""),$K233&lt;&gt;"نعم",$M233="نعم"),0,MAX(0,MIN($F233,EOMONTH(DATE(cfg_FY,6,1),0))-MAX($E233,DATE(cfg_FY,6,1))+1))</f>
        <v>0</v>
      </c>
      <c r="AZ233" s="110" t="n">
        <f aca="false">IF(OR(OR($B233="",$E233="",$F233=""),$K233&lt;&gt;"نعم",$M233="نعم"),0,MAX(0,MIN($F233,EOMONTH(DATE(cfg_FY,7,1),0))-MAX($E233,DATE(cfg_FY,7,1))+1))</f>
        <v>0</v>
      </c>
      <c r="BA233" s="110" t="n">
        <f aca="false">IF(OR(OR($B233="",$E233="",$F233=""),$K233&lt;&gt;"نعم",$M233="نعم"),0,MAX(0,MIN($F233,EOMONTH(DATE(cfg_FY,8,1),0))-MAX($E233,DATE(cfg_FY,8,1))+1))</f>
        <v>0</v>
      </c>
      <c r="BB233" s="110" t="n">
        <f aca="false">IF(OR(OR($B233="",$E233="",$F233=""),$K233&lt;&gt;"نعم",$M233="نعم"),0,MAX(0,MIN($F233,EOMONTH(DATE(cfg_FY,9,1),0))-MAX($E233,DATE(cfg_FY,9,1))+1))</f>
        <v>0</v>
      </c>
      <c r="BC233" s="110" t="n">
        <f aca="false">IF(OR(OR($B233="",$E233="",$F233=""),$K233&lt;&gt;"نعم",$M233="نعم"),0,MAX(0,MIN($F233,EOMONTH(DATE(cfg_FY,10,1),0))-MAX($E233,DATE(cfg_FY,10,1))+1))</f>
        <v>0</v>
      </c>
      <c r="BD233" s="110" t="n">
        <f aca="false">IF(OR(OR($B233="",$E233="",$F233=""),$K233&lt;&gt;"نعم",$M233="نعم"),0,MAX(0,MIN($F233,EOMONTH(DATE(cfg_FY,11,1),0))-MAX($E233,DATE(cfg_FY,11,1))+1))</f>
        <v>0</v>
      </c>
      <c r="BE233" s="110" t="n">
        <f aca="false">IF(OR(OR($B233="",$E233="",$F233=""),$K233&lt;&gt;"نعم",$M233="نعم"),0,MAX(0,MIN($F233,EOMONTH(DATE(cfg_FY,12,1),0))-MAX($E233,DATE(cfg_FY,12,1))+1))</f>
        <v>0</v>
      </c>
    </row>
    <row r="234" customFormat="false" ht="15" hidden="false" customHeight="false" outlineLevel="0" collapsed="false">
      <c r="A234" s="93" t="str">
        <f aca="false">IF(B234="","",ROW()-5)</f>
        <v/>
      </c>
      <c r="B234" s="79"/>
      <c r="C234" s="80" t="str">
        <f aca="false">IF(B234="","",IFERROR(INDEX(الموظفون!$C$6:$C$105,MATCH(B234,الموظفون!$B$6:$B$105,0)),"✖ رقم غير موجود"))</f>
        <v/>
      </c>
      <c r="D234" s="79"/>
      <c r="E234" s="94"/>
      <c r="F234" s="94"/>
      <c r="G234" s="57" t="str">
        <f aca="false">IF(OR($B234="",$E234="",$F234=""),"",MAX(0,F234-E234+1))</f>
        <v/>
      </c>
      <c r="H234" s="58" t="str">
        <f aca="false">IF(D234="","",IFERROR(VLOOKUP(D234,cfg_LT,2,FALSE()),1))</f>
        <v/>
      </c>
      <c r="I234" s="82"/>
      <c r="J234" s="58" t="str">
        <f aca="false">IF(D234="","",IF(I234&lt;&gt;"",I234,H234))</f>
        <v/>
      </c>
      <c r="K234" s="80" t="str">
        <f aca="false">IF(D234="","",IFERROR(VLOOKUP($D234,cfg_LT,3,FALSE()),""))</f>
        <v/>
      </c>
      <c r="L234" s="80" t="str">
        <f aca="false">IF(D234="","",IFERROR(VLOOKUP($D234,cfg_LT,4,FALSE()),""))</f>
        <v/>
      </c>
      <c r="M234" s="80" t="str">
        <f aca="false">IF(D234="","",IFERROR(VLOOKUP($D234,cfg_LT,5,FALSE()),""))</f>
        <v/>
      </c>
      <c r="N234" s="97" t="n">
        <f aca="false">IF(OR(OR($B234="",$E234="",$F234=""),M234&lt;&gt;"نعم"),0,G234*J234*IFERROR(INDEX(الموظفون!$R$6:$R$105,MATCH(B234,الموظفون!$B$6:$B$105,0)),0)/cfg_DAYS_M)</f>
        <v>0</v>
      </c>
      <c r="O234" s="93" t="str">
        <f aca="false">IF(OR(OR($B234="",$E234="",$F234=""),M234&lt;&gt;"نعم"),"",IF(YEAR(E234)=cfg_FY,MONTH(E234),""))</f>
        <v/>
      </c>
      <c r="P234" s="80" t="str">
        <f aca="false">IF(B234="","",IF(OR(D234="",E234="",F234=""),"⚠ أكمل النوع والتواريخ",IF(F234&lt;E234,"✖ النهاية قبل البداية",IF(COUNTIFS($B$6:$B$505,B234,$E$6:$E$505,"&lt;="&amp;F234,$F$6:$F$505,"&gt;="&amp;E234)&gt;1,"⚠ تداخل مع سجل آخر",IF(E234&gt;cfg_VAL_DATE,"⏳ قادمة",IF(F234&lt;cfg_VAL_DATE,"✔ منتهية","✈ جارية في تاريخ التقرير"))))))</f>
        <v/>
      </c>
      <c r="Q234" s="79"/>
      <c r="R234" s="57" t="n">
        <f aca="false">IF(OR(OR($B234="",$E234="",$F234=""),L234&lt;&gt;"لا"),0,MAX(0,MIN(F234,cfg_Y_START-1)-E234+1))</f>
        <v>0</v>
      </c>
      <c r="S234" s="57" t="n">
        <f aca="false">IF(OR(OR($B234="",$E234="",$F234=""),L234&lt;&gt;"لا"),0,MAX(0,MIN(F234,cfg_VAL_DATE)-E234+1))</f>
        <v>0</v>
      </c>
      <c r="T234" s="57" t="n">
        <f aca="false">IF(OR(OR($B234="",$E234="",$F234=""),K234&lt;&gt;"نعم"),0,IF(M234="نعم",IF(AND(ISNUMBER(O234),N(O234)&lt;=cfg_VAL_M),G234,0),MAX(0,MIN(F234,cfg_VAL_DATE)-MAX(E234,cfg_Y_START)+1)))</f>
        <v>0</v>
      </c>
      <c r="V234" s="57" t="n">
        <f aca="false">IF(OR($B234="",$E234="",$F234=""),0,MAX(0,MIN($F234,EOMONTH(DATE(cfg_FY,1,1),0))-MAX($E234,DATE(cfg_FY,1,1))+1)*(1-IF($M234="نعم",0,N($J234))))</f>
        <v>0</v>
      </c>
      <c r="W234" s="57" t="n">
        <f aca="false">IF(OR($B234="",$E234="",$F234=""),0,MAX(0,MIN($F234,EOMONTH(DATE(cfg_FY,2,1),0))-MAX($E234,DATE(cfg_FY,2,1))+1)*(1-IF($M234="نعم",0,N($J234))))</f>
        <v>0</v>
      </c>
      <c r="X234" s="57" t="n">
        <f aca="false">IF(OR($B234="",$E234="",$F234=""),0,MAX(0,MIN($F234,EOMONTH(DATE(cfg_FY,3,1),0))-MAX($E234,DATE(cfg_FY,3,1))+1)*(1-IF($M234="نعم",0,N($J234))))</f>
        <v>0</v>
      </c>
      <c r="Y234" s="57" t="n">
        <f aca="false">IF(OR($B234="",$E234="",$F234=""),0,MAX(0,MIN($F234,EOMONTH(DATE(cfg_FY,4,1),0))-MAX($E234,DATE(cfg_FY,4,1))+1)*(1-IF($M234="نعم",0,N($J234))))</f>
        <v>0</v>
      </c>
      <c r="Z234" s="57" t="n">
        <f aca="false">IF(OR($B234="",$E234="",$F234=""),0,MAX(0,MIN($F234,EOMONTH(DATE(cfg_FY,5,1),0))-MAX($E234,DATE(cfg_FY,5,1))+1)*(1-IF($M234="نعم",0,N($J234))))</f>
        <v>0</v>
      </c>
      <c r="AA234" s="57" t="n">
        <f aca="false">IF(OR($B234="",$E234="",$F234=""),0,MAX(0,MIN($F234,EOMONTH(DATE(cfg_FY,6,1),0))-MAX($E234,DATE(cfg_FY,6,1))+1)*(1-IF($M234="نعم",0,N($J234))))</f>
        <v>0</v>
      </c>
      <c r="AB234" s="57" t="n">
        <f aca="false">IF(OR($B234="",$E234="",$F234=""),0,MAX(0,MIN($F234,EOMONTH(DATE(cfg_FY,7,1),0))-MAX($E234,DATE(cfg_FY,7,1))+1)*(1-IF($M234="نعم",0,N($J234))))</f>
        <v>0</v>
      </c>
      <c r="AC234" s="57" t="n">
        <f aca="false">IF(OR($B234="",$E234="",$F234=""),0,MAX(0,MIN($F234,EOMONTH(DATE(cfg_FY,8,1),0))-MAX($E234,DATE(cfg_FY,8,1))+1)*(1-IF($M234="نعم",0,N($J234))))</f>
        <v>0</v>
      </c>
      <c r="AD234" s="57" t="n">
        <f aca="false">IF(OR($B234="",$E234="",$F234=""),0,MAX(0,MIN($F234,EOMONTH(DATE(cfg_FY,9,1),0))-MAX($E234,DATE(cfg_FY,9,1))+1)*(1-IF($M234="نعم",0,N($J234))))</f>
        <v>0</v>
      </c>
      <c r="AE234" s="57" t="n">
        <f aca="false">IF(OR($B234="",$E234="",$F234=""),0,MAX(0,MIN($F234,EOMONTH(DATE(cfg_FY,10,1),0))-MAX($E234,DATE(cfg_FY,10,1))+1)*(1-IF($M234="نعم",0,N($J234))))</f>
        <v>0</v>
      </c>
      <c r="AF234" s="57" t="n">
        <f aca="false">IF(OR($B234="",$E234="",$F234=""),0,MAX(0,MIN($F234,EOMONTH(DATE(cfg_FY,11,1),0))-MAX($E234,DATE(cfg_FY,11,1))+1)*(1-IF($M234="نعم",0,N($J234))))</f>
        <v>0</v>
      </c>
      <c r="AG234" s="57" t="n">
        <f aca="false">IF(OR($B234="",$E234="",$F234=""),0,MAX(0,MIN($F234,EOMONTH(DATE(cfg_FY,12,1),0))-MAX($E234,DATE(cfg_FY,12,1))+1)*(1-IF($M234="نعم",0,N($J234))))</f>
        <v>0</v>
      </c>
      <c r="AH234" s="57" t="n">
        <f aca="false">IF(OR(OR($B234="",$E234="",$F234=""),$L234&lt;&gt;"لا"),0,MAX(0,MIN($F234,EOMONTH(DATE(cfg_FY,1,1),0))-$E234+1))</f>
        <v>0</v>
      </c>
      <c r="AI234" s="57" t="n">
        <f aca="false">IF(OR(OR($B234="",$E234="",$F234=""),$L234&lt;&gt;"لا"),0,MAX(0,MIN($F234,EOMONTH(DATE(cfg_FY,2,1),0))-$E234+1))</f>
        <v>0</v>
      </c>
      <c r="AJ234" s="57" t="n">
        <f aca="false">IF(OR(OR($B234="",$E234="",$F234=""),$L234&lt;&gt;"لا"),0,MAX(0,MIN($F234,EOMONTH(DATE(cfg_FY,3,1),0))-$E234+1))</f>
        <v>0</v>
      </c>
      <c r="AK234" s="57" t="n">
        <f aca="false">IF(OR(OR($B234="",$E234="",$F234=""),$L234&lt;&gt;"لا"),0,MAX(0,MIN($F234,EOMONTH(DATE(cfg_FY,4,1),0))-$E234+1))</f>
        <v>0</v>
      </c>
      <c r="AL234" s="57" t="n">
        <f aca="false">IF(OR(OR($B234="",$E234="",$F234=""),$L234&lt;&gt;"لا"),0,MAX(0,MIN($F234,EOMONTH(DATE(cfg_FY,5,1),0))-$E234+1))</f>
        <v>0</v>
      </c>
      <c r="AM234" s="57" t="n">
        <f aca="false">IF(OR(OR($B234="",$E234="",$F234=""),$L234&lt;&gt;"لا"),0,MAX(0,MIN($F234,EOMONTH(DATE(cfg_FY,6,1),0))-$E234+1))</f>
        <v>0</v>
      </c>
      <c r="AN234" s="57" t="n">
        <f aca="false">IF(OR(OR($B234="",$E234="",$F234=""),$L234&lt;&gt;"لا"),0,MAX(0,MIN($F234,EOMONTH(DATE(cfg_FY,7,1),0))-$E234+1))</f>
        <v>0</v>
      </c>
      <c r="AO234" s="57" t="n">
        <f aca="false">IF(OR(OR($B234="",$E234="",$F234=""),$L234&lt;&gt;"لا"),0,MAX(0,MIN($F234,EOMONTH(DATE(cfg_FY,8,1),0))-$E234+1))</f>
        <v>0</v>
      </c>
      <c r="AP234" s="57" t="n">
        <f aca="false">IF(OR(OR($B234="",$E234="",$F234=""),$L234&lt;&gt;"لا"),0,MAX(0,MIN($F234,EOMONTH(DATE(cfg_FY,9,1),0))-$E234+1))</f>
        <v>0</v>
      </c>
      <c r="AQ234" s="57" t="n">
        <f aca="false">IF(OR(OR($B234="",$E234="",$F234=""),$L234&lt;&gt;"لا"),0,MAX(0,MIN($F234,EOMONTH(DATE(cfg_FY,10,1),0))-$E234+1))</f>
        <v>0</v>
      </c>
      <c r="AR234" s="57" t="n">
        <f aca="false">IF(OR(OR($B234="",$E234="",$F234=""),$L234&lt;&gt;"لا"),0,MAX(0,MIN($F234,EOMONTH(DATE(cfg_FY,11,1),0))-$E234+1))</f>
        <v>0</v>
      </c>
      <c r="AS234" s="57" t="n">
        <f aca="false">IF(OR(OR($B234="",$E234="",$F234=""),$L234&lt;&gt;"لا"),0,MAX(0,MIN($F234,EOMONTH(DATE(cfg_FY,12,1),0))-$E234+1))</f>
        <v>0</v>
      </c>
      <c r="AT234" s="57" t="n">
        <f aca="false">IF(OR(OR($B234="",$E234="",$F234=""),$K234&lt;&gt;"نعم",$M234="نعم"),0,MAX(0,MIN($F234,EOMONTH(DATE(cfg_FY,1,1),0))-MAX($E234,DATE(cfg_FY,1,1))+1))</f>
        <v>0</v>
      </c>
      <c r="AU234" s="57" t="n">
        <f aca="false">IF(OR(OR($B234="",$E234="",$F234=""),$K234&lt;&gt;"نعم",$M234="نعم"),0,MAX(0,MIN($F234,EOMONTH(DATE(cfg_FY,2,1),0))-MAX($E234,DATE(cfg_FY,2,1))+1))</f>
        <v>0</v>
      </c>
      <c r="AV234" s="57" t="n">
        <f aca="false">IF(OR(OR($B234="",$E234="",$F234=""),$K234&lt;&gt;"نعم",$M234="نعم"),0,MAX(0,MIN($F234,EOMONTH(DATE(cfg_FY,3,1),0))-MAX($E234,DATE(cfg_FY,3,1))+1))</f>
        <v>0</v>
      </c>
      <c r="AW234" s="57" t="n">
        <f aca="false">IF(OR(OR($B234="",$E234="",$F234=""),$K234&lt;&gt;"نعم",$M234="نعم"),0,MAX(0,MIN($F234,EOMONTH(DATE(cfg_FY,4,1),0))-MAX($E234,DATE(cfg_FY,4,1))+1))</f>
        <v>0</v>
      </c>
      <c r="AX234" s="57" t="n">
        <f aca="false">IF(OR(OR($B234="",$E234="",$F234=""),$K234&lt;&gt;"نعم",$M234="نعم"),0,MAX(0,MIN($F234,EOMONTH(DATE(cfg_FY,5,1),0))-MAX($E234,DATE(cfg_FY,5,1))+1))</f>
        <v>0</v>
      </c>
      <c r="AY234" s="57" t="n">
        <f aca="false">IF(OR(OR($B234="",$E234="",$F234=""),$K234&lt;&gt;"نعم",$M234="نعم"),0,MAX(0,MIN($F234,EOMONTH(DATE(cfg_FY,6,1),0))-MAX($E234,DATE(cfg_FY,6,1))+1))</f>
        <v>0</v>
      </c>
      <c r="AZ234" s="57" t="n">
        <f aca="false">IF(OR(OR($B234="",$E234="",$F234=""),$K234&lt;&gt;"نعم",$M234="نعم"),0,MAX(0,MIN($F234,EOMONTH(DATE(cfg_FY,7,1),0))-MAX($E234,DATE(cfg_FY,7,1))+1))</f>
        <v>0</v>
      </c>
      <c r="BA234" s="57" t="n">
        <f aca="false">IF(OR(OR($B234="",$E234="",$F234=""),$K234&lt;&gt;"نعم",$M234="نعم"),0,MAX(0,MIN($F234,EOMONTH(DATE(cfg_FY,8,1),0))-MAX($E234,DATE(cfg_FY,8,1))+1))</f>
        <v>0</v>
      </c>
      <c r="BB234" s="57" t="n">
        <f aca="false">IF(OR(OR($B234="",$E234="",$F234=""),$K234&lt;&gt;"نعم",$M234="نعم"),0,MAX(0,MIN($F234,EOMONTH(DATE(cfg_FY,9,1),0))-MAX($E234,DATE(cfg_FY,9,1))+1))</f>
        <v>0</v>
      </c>
      <c r="BC234" s="57" t="n">
        <f aca="false">IF(OR(OR($B234="",$E234="",$F234=""),$K234&lt;&gt;"نعم",$M234="نعم"),0,MAX(0,MIN($F234,EOMONTH(DATE(cfg_FY,10,1),0))-MAX($E234,DATE(cfg_FY,10,1))+1))</f>
        <v>0</v>
      </c>
      <c r="BD234" s="57" t="n">
        <f aca="false">IF(OR(OR($B234="",$E234="",$F234=""),$K234&lt;&gt;"نعم",$M234="نعم"),0,MAX(0,MIN($F234,EOMONTH(DATE(cfg_FY,11,1),0))-MAX($E234,DATE(cfg_FY,11,1))+1))</f>
        <v>0</v>
      </c>
      <c r="BE234" s="57" t="n">
        <f aca="false">IF(OR(OR($B234="",$E234="",$F234=""),$K234&lt;&gt;"نعم",$M234="نعم"),0,MAX(0,MIN($F234,EOMONTH(DATE(cfg_FY,12,1),0))-MAX($E234,DATE(cfg_FY,12,1))+1))</f>
        <v>0</v>
      </c>
    </row>
    <row r="235" customFormat="false" ht="15" hidden="false" customHeight="false" outlineLevel="0" collapsed="false">
      <c r="A235" s="100" t="str">
        <f aca="false">IF(B235="","",ROW()-5)</f>
        <v/>
      </c>
      <c r="B235" s="79"/>
      <c r="C235" s="102" t="str">
        <f aca="false">IF(B235="","",IFERROR(INDEX(الموظفون!$C$6:$C$105,MATCH(B235,الموظفون!$B$6:$B$105,0)),"✖ رقم غير موجود"))</f>
        <v/>
      </c>
      <c r="D235" s="79"/>
      <c r="E235" s="94"/>
      <c r="F235" s="94"/>
      <c r="G235" s="110" t="str">
        <f aca="false">IF(OR($B235="",$E235="",$F235=""),"",MAX(0,F235-E235+1))</f>
        <v/>
      </c>
      <c r="H235" s="111" t="str">
        <f aca="false">IF(D235="","",IFERROR(VLOOKUP(D235,cfg_LT,2,FALSE()),1))</f>
        <v/>
      </c>
      <c r="I235" s="82"/>
      <c r="J235" s="111" t="str">
        <f aca="false">IF(D235="","",IF(I235&lt;&gt;"",I235,H235))</f>
        <v/>
      </c>
      <c r="K235" s="102" t="str">
        <f aca="false">IF(D235="","",IFERROR(VLOOKUP($D235,cfg_LT,3,FALSE()),""))</f>
        <v/>
      </c>
      <c r="L235" s="102" t="str">
        <f aca="false">IF(D235="","",IFERROR(VLOOKUP($D235,cfg_LT,4,FALSE()),""))</f>
        <v/>
      </c>
      <c r="M235" s="102" t="str">
        <f aca="false">IF(D235="","",IFERROR(VLOOKUP($D235,cfg_LT,5,FALSE()),""))</f>
        <v/>
      </c>
      <c r="N235" s="101" t="n">
        <f aca="false">IF(OR(OR($B235="",$E235="",$F235=""),M235&lt;&gt;"نعم"),0,G235*J235*IFERROR(INDEX(الموظفون!$R$6:$R$105,MATCH(B235,الموظفون!$B$6:$B$105,0)),0)/cfg_DAYS_M)</f>
        <v>0</v>
      </c>
      <c r="O235" s="100" t="str">
        <f aca="false">IF(OR(OR($B235="",$E235="",$F235=""),M235&lt;&gt;"نعم"),"",IF(YEAR(E235)=cfg_FY,MONTH(E235),""))</f>
        <v/>
      </c>
      <c r="P235" s="102" t="str">
        <f aca="false">IF(B235="","",IF(OR(D235="",E235="",F235=""),"⚠ أكمل النوع والتواريخ",IF(F235&lt;E235,"✖ النهاية قبل البداية",IF(COUNTIFS($B$6:$B$505,B235,$E$6:$E$505,"&lt;="&amp;F235,$F$6:$F$505,"&gt;="&amp;E235)&gt;1,"⚠ تداخل مع سجل آخر",IF(E235&gt;cfg_VAL_DATE,"⏳ قادمة",IF(F235&lt;cfg_VAL_DATE,"✔ منتهية","✈ جارية في تاريخ التقرير"))))))</f>
        <v/>
      </c>
      <c r="Q235" s="79"/>
      <c r="R235" s="110" t="n">
        <f aca="false">IF(OR(OR($B235="",$E235="",$F235=""),L235&lt;&gt;"لا"),0,MAX(0,MIN(F235,cfg_Y_START-1)-E235+1))</f>
        <v>0</v>
      </c>
      <c r="S235" s="110" t="n">
        <f aca="false">IF(OR(OR($B235="",$E235="",$F235=""),L235&lt;&gt;"لا"),0,MAX(0,MIN(F235,cfg_VAL_DATE)-E235+1))</f>
        <v>0</v>
      </c>
      <c r="T235" s="110" t="n">
        <f aca="false">IF(OR(OR($B235="",$E235="",$F235=""),K235&lt;&gt;"نعم"),0,IF(M235="نعم",IF(AND(ISNUMBER(O235),N(O235)&lt;=cfg_VAL_M),G235,0),MAX(0,MIN(F235,cfg_VAL_DATE)-MAX(E235,cfg_Y_START)+1)))</f>
        <v>0</v>
      </c>
      <c r="V235" s="110" t="n">
        <f aca="false">IF(OR($B235="",$E235="",$F235=""),0,MAX(0,MIN($F235,EOMONTH(DATE(cfg_FY,1,1),0))-MAX($E235,DATE(cfg_FY,1,1))+1)*(1-IF($M235="نعم",0,N($J235))))</f>
        <v>0</v>
      </c>
      <c r="W235" s="110" t="n">
        <f aca="false">IF(OR($B235="",$E235="",$F235=""),0,MAX(0,MIN($F235,EOMONTH(DATE(cfg_FY,2,1),0))-MAX($E235,DATE(cfg_FY,2,1))+1)*(1-IF($M235="نعم",0,N($J235))))</f>
        <v>0</v>
      </c>
      <c r="X235" s="110" t="n">
        <f aca="false">IF(OR($B235="",$E235="",$F235=""),0,MAX(0,MIN($F235,EOMONTH(DATE(cfg_FY,3,1),0))-MAX($E235,DATE(cfg_FY,3,1))+1)*(1-IF($M235="نعم",0,N($J235))))</f>
        <v>0</v>
      </c>
      <c r="Y235" s="110" t="n">
        <f aca="false">IF(OR($B235="",$E235="",$F235=""),0,MAX(0,MIN($F235,EOMONTH(DATE(cfg_FY,4,1),0))-MAX($E235,DATE(cfg_FY,4,1))+1)*(1-IF($M235="نعم",0,N($J235))))</f>
        <v>0</v>
      </c>
      <c r="Z235" s="110" t="n">
        <f aca="false">IF(OR($B235="",$E235="",$F235=""),0,MAX(0,MIN($F235,EOMONTH(DATE(cfg_FY,5,1),0))-MAX($E235,DATE(cfg_FY,5,1))+1)*(1-IF($M235="نعم",0,N($J235))))</f>
        <v>0</v>
      </c>
      <c r="AA235" s="110" t="n">
        <f aca="false">IF(OR($B235="",$E235="",$F235=""),0,MAX(0,MIN($F235,EOMONTH(DATE(cfg_FY,6,1),0))-MAX($E235,DATE(cfg_FY,6,1))+1)*(1-IF($M235="نعم",0,N($J235))))</f>
        <v>0</v>
      </c>
      <c r="AB235" s="110" t="n">
        <f aca="false">IF(OR($B235="",$E235="",$F235=""),0,MAX(0,MIN($F235,EOMONTH(DATE(cfg_FY,7,1),0))-MAX($E235,DATE(cfg_FY,7,1))+1)*(1-IF($M235="نعم",0,N($J235))))</f>
        <v>0</v>
      </c>
      <c r="AC235" s="110" t="n">
        <f aca="false">IF(OR($B235="",$E235="",$F235=""),0,MAX(0,MIN($F235,EOMONTH(DATE(cfg_FY,8,1),0))-MAX($E235,DATE(cfg_FY,8,1))+1)*(1-IF($M235="نعم",0,N($J235))))</f>
        <v>0</v>
      </c>
      <c r="AD235" s="110" t="n">
        <f aca="false">IF(OR($B235="",$E235="",$F235=""),0,MAX(0,MIN($F235,EOMONTH(DATE(cfg_FY,9,1),0))-MAX($E235,DATE(cfg_FY,9,1))+1)*(1-IF($M235="نعم",0,N($J235))))</f>
        <v>0</v>
      </c>
      <c r="AE235" s="110" t="n">
        <f aca="false">IF(OR($B235="",$E235="",$F235=""),0,MAX(0,MIN($F235,EOMONTH(DATE(cfg_FY,10,1),0))-MAX($E235,DATE(cfg_FY,10,1))+1)*(1-IF($M235="نعم",0,N($J235))))</f>
        <v>0</v>
      </c>
      <c r="AF235" s="110" t="n">
        <f aca="false">IF(OR($B235="",$E235="",$F235=""),0,MAX(0,MIN($F235,EOMONTH(DATE(cfg_FY,11,1),0))-MAX($E235,DATE(cfg_FY,11,1))+1)*(1-IF($M235="نعم",0,N($J235))))</f>
        <v>0</v>
      </c>
      <c r="AG235" s="110" t="n">
        <f aca="false">IF(OR($B235="",$E235="",$F235=""),0,MAX(0,MIN($F235,EOMONTH(DATE(cfg_FY,12,1),0))-MAX($E235,DATE(cfg_FY,12,1))+1)*(1-IF($M235="نعم",0,N($J235))))</f>
        <v>0</v>
      </c>
      <c r="AH235" s="110" t="n">
        <f aca="false">IF(OR(OR($B235="",$E235="",$F235=""),$L235&lt;&gt;"لا"),0,MAX(0,MIN($F235,EOMONTH(DATE(cfg_FY,1,1),0))-$E235+1))</f>
        <v>0</v>
      </c>
      <c r="AI235" s="110" t="n">
        <f aca="false">IF(OR(OR($B235="",$E235="",$F235=""),$L235&lt;&gt;"لا"),0,MAX(0,MIN($F235,EOMONTH(DATE(cfg_FY,2,1),0))-$E235+1))</f>
        <v>0</v>
      </c>
      <c r="AJ235" s="110" t="n">
        <f aca="false">IF(OR(OR($B235="",$E235="",$F235=""),$L235&lt;&gt;"لا"),0,MAX(0,MIN($F235,EOMONTH(DATE(cfg_FY,3,1),0))-$E235+1))</f>
        <v>0</v>
      </c>
      <c r="AK235" s="110" t="n">
        <f aca="false">IF(OR(OR($B235="",$E235="",$F235=""),$L235&lt;&gt;"لا"),0,MAX(0,MIN($F235,EOMONTH(DATE(cfg_FY,4,1),0))-$E235+1))</f>
        <v>0</v>
      </c>
      <c r="AL235" s="110" t="n">
        <f aca="false">IF(OR(OR($B235="",$E235="",$F235=""),$L235&lt;&gt;"لا"),0,MAX(0,MIN($F235,EOMONTH(DATE(cfg_FY,5,1),0))-$E235+1))</f>
        <v>0</v>
      </c>
      <c r="AM235" s="110" t="n">
        <f aca="false">IF(OR(OR($B235="",$E235="",$F235=""),$L235&lt;&gt;"لا"),0,MAX(0,MIN($F235,EOMONTH(DATE(cfg_FY,6,1),0))-$E235+1))</f>
        <v>0</v>
      </c>
      <c r="AN235" s="110" t="n">
        <f aca="false">IF(OR(OR($B235="",$E235="",$F235=""),$L235&lt;&gt;"لا"),0,MAX(0,MIN($F235,EOMONTH(DATE(cfg_FY,7,1),0))-$E235+1))</f>
        <v>0</v>
      </c>
      <c r="AO235" s="110" t="n">
        <f aca="false">IF(OR(OR($B235="",$E235="",$F235=""),$L235&lt;&gt;"لا"),0,MAX(0,MIN($F235,EOMONTH(DATE(cfg_FY,8,1),0))-$E235+1))</f>
        <v>0</v>
      </c>
      <c r="AP235" s="110" t="n">
        <f aca="false">IF(OR(OR($B235="",$E235="",$F235=""),$L235&lt;&gt;"لا"),0,MAX(0,MIN($F235,EOMONTH(DATE(cfg_FY,9,1),0))-$E235+1))</f>
        <v>0</v>
      </c>
      <c r="AQ235" s="110" t="n">
        <f aca="false">IF(OR(OR($B235="",$E235="",$F235=""),$L235&lt;&gt;"لا"),0,MAX(0,MIN($F235,EOMONTH(DATE(cfg_FY,10,1),0))-$E235+1))</f>
        <v>0</v>
      </c>
      <c r="AR235" s="110" t="n">
        <f aca="false">IF(OR(OR($B235="",$E235="",$F235=""),$L235&lt;&gt;"لا"),0,MAX(0,MIN($F235,EOMONTH(DATE(cfg_FY,11,1),0))-$E235+1))</f>
        <v>0</v>
      </c>
      <c r="AS235" s="110" t="n">
        <f aca="false">IF(OR(OR($B235="",$E235="",$F235=""),$L235&lt;&gt;"لا"),0,MAX(0,MIN($F235,EOMONTH(DATE(cfg_FY,12,1),0))-$E235+1))</f>
        <v>0</v>
      </c>
      <c r="AT235" s="110" t="n">
        <f aca="false">IF(OR(OR($B235="",$E235="",$F235=""),$K235&lt;&gt;"نعم",$M235="نعم"),0,MAX(0,MIN($F235,EOMONTH(DATE(cfg_FY,1,1),0))-MAX($E235,DATE(cfg_FY,1,1))+1))</f>
        <v>0</v>
      </c>
      <c r="AU235" s="110" t="n">
        <f aca="false">IF(OR(OR($B235="",$E235="",$F235=""),$K235&lt;&gt;"نعم",$M235="نعم"),0,MAX(0,MIN($F235,EOMONTH(DATE(cfg_FY,2,1),0))-MAX($E235,DATE(cfg_FY,2,1))+1))</f>
        <v>0</v>
      </c>
      <c r="AV235" s="110" t="n">
        <f aca="false">IF(OR(OR($B235="",$E235="",$F235=""),$K235&lt;&gt;"نعم",$M235="نعم"),0,MAX(0,MIN($F235,EOMONTH(DATE(cfg_FY,3,1),0))-MAX($E235,DATE(cfg_FY,3,1))+1))</f>
        <v>0</v>
      </c>
      <c r="AW235" s="110" t="n">
        <f aca="false">IF(OR(OR($B235="",$E235="",$F235=""),$K235&lt;&gt;"نعم",$M235="نعم"),0,MAX(0,MIN($F235,EOMONTH(DATE(cfg_FY,4,1),0))-MAX($E235,DATE(cfg_FY,4,1))+1))</f>
        <v>0</v>
      </c>
      <c r="AX235" s="110" t="n">
        <f aca="false">IF(OR(OR($B235="",$E235="",$F235=""),$K235&lt;&gt;"نعم",$M235="نعم"),0,MAX(0,MIN($F235,EOMONTH(DATE(cfg_FY,5,1),0))-MAX($E235,DATE(cfg_FY,5,1))+1))</f>
        <v>0</v>
      </c>
      <c r="AY235" s="110" t="n">
        <f aca="false">IF(OR(OR($B235="",$E235="",$F235=""),$K235&lt;&gt;"نعم",$M235="نعم"),0,MAX(0,MIN($F235,EOMONTH(DATE(cfg_FY,6,1),0))-MAX($E235,DATE(cfg_FY,6,1))+1))</f>
        <v>0</v>
      </c>
      <c r="AZ235" s="110" t="n">
        <f aca="false">IF(OR(OR($B235="",$E235="",$F235=""),$K235&lt;&gt;"نعم",$M235="نعم"),0,MAX(0,MIN($F235,EOMONTH(DATE(cfg_FY,7,1),0))-MAX($E235,DATE(cfg_FY,7,1))+1))</f>
        <v>0</v>
      </c>
      <c r="BA235" s="110" t="n">
        <f aca="false">IF(OR(OR($B235="",$E235="",$F235=""),$K235&lt;&gt;"نعم",$M235="نعم"),0,MAX(0,MIN($F235,EOMONTH(DATE(cfg_FY,8,1),0))-MAX($E235,DATE(cfg_FY,8,1))+1))</f>
        <v>0</v>
      </c>
      <c r="BB235" s="110" t="n">
        <f aca="false">IF(OR(OR($B235="",$E235="",$F235=""),$K235&lt;&gt;"نعم",$M235="نعم"),0,MAX(0,MIN($F235,EOMONTH(DATE(cfg_FY,9,1),0))-MAX($E235,DATE(cfg_FY,9,1))+1))</f>
        <v>0</v>
      </c>
      <c r="BC235" s="110" t="n">
        <f aca="false">IF(OR(OR($B235="",$E235="",$F235=""),$K235&lt;&gt;"نعم",$M235="نعم"),0,MAX(0,MIN($F235,EOMONTH(DATE(cfg_FY,10,1),0))-MAX($E235,DATE(cfg_FY,10,1))+1))</f>
        <v>0</v>
      </c>
      <c r="BD235" s="110" t="n">
        <f aca="false">IF(OR(OR($B235="",$E235="",$F235=""),$K235&lt;&gt;"نعم",$M235="نعم"),0,MAX(0,MIN($F235,EOMONTH(DATE(cfg_FY,11,1),0))-MAX($E235,DATE(cfg_FY,11,1))+1))</f>
        <v>0</v>
      </c>
      <c r="BE235" s="110" t="n">
        <f aca="false">IF(OR(OR($B235="",$E235="",$F235=""),$K235&lt;&gt;"نعم",$M235="نعم"),0,MAX(0,MIN($F235,EOMONTH(DATE(cfg_FY,12,1),0))-MAX($E235,DATE(cfg_FY,12,1))+1))</f>
        <v>0</v>
      </c>
    </row>
    <row r="236" customFormat="false" ht="15" hidden="false" customHeight="false" outlineLevel="0" collapsed="false">
      <c r="A236" s="93" t="str">
        <f aca="false">IF(B236="","",ROW()-5)</f>
        <v/>
      </c>
      <c r="B236" s="79"/>
      <c r="C236" s="80" t="str">
        <f aca="false">IF(B236="","",IFERROR(INDEX(الموظفون!$C$6:$C$105,MATCH(B236,الموظفون!$B$6:$B$105,0)),"✖ رقم غير موجود"))</f>
        <v/>
      </c>
      <c r="D236" s="79"/>
      <c r="E236" s="94"/>
      <c r="F236" s="94"/>
      <c r="G236" s="57" t="str">
        <f aca="false">IF(OR($B236="",$E236="",$F236=""),"",MAX(0,F236-E236+1))</f>
        <v/>
      </c>
      <c r="H236" s="58" t="str">
        <f aca="false">IF(D236="","",IFERROR(VLOOKUP(D236,cfg_LT,2,FALSE()),1))</f>
        <v/>
      </c>
      <c r="I236" s="82"/>
      <c r="J236" s="58" t="str">
        <f aca="false">IF(D236="","",IF(I236&lt;&gt;"",I236,H236))</f>
        <v/>
      </c>
      <c r="K236" s="80" t="str">
        <f aca="false">IF(D236="","",IFERROR(VLOOKUP($D236,cfg_LT,3,FALSE()),""))</f>
        <v/>
      </c>
      <c r="L236" s="80" t="str">
        <f aca="false">IF(D236="","",IFERROR(VLOOKUP($D236,cfg_LT,4,FALSE()),""))</f>
        <v/>
      </c>
      <c r="M236" s="80" t="str">
        <f aca="false">IF(D236="","",IFERROR(VLOOKUP($D236,cfg_LT,5,FALSE()),""))</f>
        <v/>
      </c>
      <c r="N236" s="97" t="n">
        <f aca="false">IF(OR(OR($B236="",$E236="",$F236=""),M236&lt;&gt;"نعم"),0,G236*J236*IFERROR(INDEX(الموظفون!$R$6:$R$105,MATCH(B236,الموظفون!$B$6:$B$105,0)),0)/cfg_DAYS_M)</f>
        <v>0</v>
      </c>
      <c r="O236" s="93" t="str">
        <f aca="false">IF(OR(OR($B236="",$E236="",$F236=""),M236&lt;&gt;"نعم"),"",IF(YEAR(E236)=cfg_FY,MONTH(E236),""))</f>
        <v/>
      </c>
      <c r="P236" s="80" t="str">
        <f aca="false">IF(B236="","",IF(OR(D236="",E236="",F236=""),"⚠ أكمل النوع والتواريخ",IF(F236&lt;E236,"✖ النهاية قبل البداية",IF(COUNTIFS($B$6:$B$505,B236,$E$6:$E$505,"&lt;="&amp;F236,$F$6:$F$505,"&gt;="&amp;E236)&gt;1,"⚠ تداخل مع سجل آخر",IF(E236&gt;cfg_VAL_DATE,"⏳ قادمة",IF(F236&lt;cfg_VAL_DATE,"✔ منتهية","✈ جارية في تاريخ التقرير"))))))</f>
        <v/>
      </c>
      <c r="Q236" s="79"/>
      <c r="R236" s="57" t="n">
        <f aca="false">IF(OR(OR($B236="",$E236="",$F236=""),L236&lt;&gt;"لا"),0,MAX(0,MIN(F236,cfg_Y_START-1)-E236+1))</f>
        <v>0</v>
      </c>
      <c r="S236" s="57" t="n">
        <f aca="false">IF(OR(OR($B236="",$E236="",$F236=""),L236&lt;&gt;"لا"),0,MAX(0,MIN(F236,cfg_VAL_DATE)-E236+1))</f>
        <v>0</v>
      </c>
      <c r="T236" s="57" t="n">
        <f aca="false">IF(OR(OR($B236="",$E236="",$F236=""),K236&lt;&gt;"نعم"),0,IF(M236="نعم",IF(AND(ISNUMBER(O236),N(O236)&lt;=cfg_VAL_M),G236,0),MAX(0,MIN(F236,cfg_VAL_DATE)-MAX(E236,cfg_Y_START)+1)))</f>
        <v>0</v>
      </c>
      <c r="V236" s="57" t="n">
        <f aca="false">IF(OR($B236="",$E236="",$F236=""),0,MAX(0,MIN($F236,EOMONTH(DATE(cfg_FY,1,1),0))-MAX($E236,DATE(cfg_FY,1,1))+1)*(1-IF($M236="نعم",0,N($J236))))</f>
        <v>0</v>
      </c>
      <c r="W236" s="57" t="n">
        <f aca="false">IF(OR($B236="",$E236="",$F236=""),0,MAX(0,MIN($F236,EOMONTH(DATE(cfg_FY,2,1),0))-MAX($E236,DATE(cfg_FY,2,1))+1)*(1-IF($M236="نعم",0,N($J236))))</f>
        <v>0</v>
      </c>
      <c r="X236" s="57" t="n">
        <f aca="false">IF(OR($B236="",$E236="",$F236=""),0,MAX(0,MIN($F236,EOMONTH(DATE(cfg_FY,3,1),0))-MAX($E236,DATE(cfg_FY,3,1))+1)*(1-IF($M236="نعم",0,N($J236))))</f>
        <v>0</v>
      </c>
      <c r="Y236" s="57" t="n">
        <f aca="false">IF(OR($B236="",$E236="",$F236=""),0,MAX(0,MIN($F236,EOMONTH(DATE(cfg_FY,4,1),0))-MAX($E236,DATE(cfg_FY,4,1))+1)*(1-IF($M236="نعم",0,N($J236))))</f>
        <v>0</v>
      </c>
      <c r="Z236" s="57" t="n">
        <f aca="false">IF(OR($B236="",$E236="",$F236=""),0,MAX(0,MIN($F236,EOMONTH(DATE(cfg_FY,5,1),0))-MAX($E236,DATE(cfg_FY,5,1))+1)*(1-IF($M236="نعم",0,N($J236))))</f>
        <v>0</v>
      </c>
      <c r="AA236" s="57" t="n">
        <f aca="false">IF(OR($B236="",$E236="",$F236=""),0,MAX(0,MIN($F236,EOMONTH(DATE(cfg_FY,6,1),0))-MAX($E236,DATE(cfg_FY,6,1))+1)*(1-IF($M236="نعم",0,N($J236))))</f>
        <v>0</v>
      </c>
      <c r="AB236" s="57" t="n">
        <f aca="false">IF(OR($B236="",$E236="",$F236=""),0,MAX(0,MIN($F236,EOMONTH(DATE(cfg_FY,7,1),0))-MAX($E236,DATE(cfg_FY,7,1))+1)*(1-IF($M236="نعم",0,N($J236))))</f>
        <v>0</v>
      </c>
      <c r="AC236" s="57" t="n">
        <f aca="false">IF(OR($B236="",$E236="",$F236=""),0,MAX(0,MIN($F236,EOMONTH(DATE(cfg_FY,8,1),0))-MAX($E236,DATE(cfg_FY,8,1))+1)*(1-IF($M236="نعم",0,N($J236))))</f>
        <v>0</v>
      </c>
      <c r="AD236" s="57" t="n">
        <f aca="false">IF(OR($B236="",$E236="",$F236=""),0,MAX(0,MIN($F236,EOMONTH(DATE(cfg_FY,9,1),0))-MAX($E236,DATE(cfg_FY,9,1))+1)*(1-IF($M236="نعم",0,N($J236))))</f>
        <v>0</v>
      </c>
      <c r="AE236" s="57" t="n">
        <f aca="false">IF(OR($B236="",$E236="",$F236=""),0,MAX(0,MIN($F236,EOMONTH(DATE(cfg_FY,10,1),0))-MAX($E236,DATE(cfg_FY,10,1))+1)*(1-IF($M236="نعم",0,N($J236))))</f>
        <v>0</v>
      </c>
      <c r="AF236" s="57" t="n">
        <f aca="false">IF(OR($B236="",$E236="",$F236=""),0,MAX(0,MIN($F236,EOMONTH(DATE(cfg_FY,11,1),0))-MAX($E236,DATE(cfg_FY,11,1))+1)*(1-IF($M236="نعم",0,N($J236))))</f>
        <v>0</v>
      </c>
      <c r="AG236" s="57" t="n">
        <f aca="false">IF(OR($B236="",$E236="",$F236=""),0,MAX(0,MIN($F236,EOMONTH(DATE(cfg_FY,12,1),0))-MAX($E236,DATE(cfg_FY,12,1))+1)*(1-IF($M236="نعم",0,N($J236))))</f>
        <v>0</v>
      </c>
      <c r="AH236" s="57" t="n">
        <f aca="false">IF(OR(OR($B236="",$E236="",$F236=""),$L236&lt;&gt;"لا"),0,MAX(0,MIN($F236,EOMONTH(DATE(cfg_FY,1,1),0))-$E236+1))</f>
        <v>0</v>
      </c>
      <c r="AI236" s="57" t="n">
        <f aca="false">IF(OR(OR($B236="",$E236="",$F236=""),$L236&lt;&gt;"لا"),0,MAX(0,MIN($F236,EOMONTH(DATE(cfg_FY,2,1),0))-$E236+1))</f>
        <v>0</v>
      </c>
      <c r="AJ236" s="57" t="n">
        <f aca="false">IF(OR(OR($B236="",$E236="",$F236=""),$L236&lt;&gt;"لا"),0,MAX(0,MIN($F236,EOMONTH(DATE(cfg_FY,3,1),0))-$E236+1))</f>
        <v>0</v>
      </c>
      <c r="AK236" s="57" t="n">
        <f aca="false">IF(OR(OR($B236="",$E236="",$F236=""),$L236&lt;&gt;"لا"),0,MAX(0,MIN($F236,EOMONTH(DATE(cfg_FY,4,1),0))-$E236+1))</f>
        <v>0</v>
      </c>
      <c r="AL236" s="57" t="n">
        <f aca="false">IF(OR(OR($B236="",$E236="",$F236=""),$L236&lt;&gt;"لا"),0,MAX(0,MIN($F236,EOMONTH(DATE(cfg_FY,5,1),0))-$E236+1))</f>
        <v>0</v>
      </c>
      <c r="AM236" s="57" t="n">
        <f aca="false">IF(OR(OR($B236="",$E236="",$F236=""),$L236&lt;&gt;"لا"),0,MAX(0,MIN($F236,EOMONTH(DATE(cfg_FY,6,1),0))-$E236+1))</f>
        <v>0</v>
      </c>
      <c r="AN236" s="57" t="n">
        <f aca="false">IF(OR(OR($B236="",$E236="",$F236=""),$L236&lt;&gt;"لا"),0,MAX(0,MIN($F236,EOMONTH(DATE(cfg_FY,7,1),0))-$E236+1))</f>
        <v>0</v>
      </c>
      <c r="AO236" s="57" t="n">
        <f aca="false">IF(OR(OR($B236="",$E236="",$F236=""),$L236&lt;&gt;"لا"),0,MAX(0,MIN($F236,EOMONTH(DATE(cfg_FY,8,1),0))-$E236+1))</f>
        <v>0</v>
      </c>
      <c r="AP236" s="57" t="n">
        <f aca="false">IF(OR(OR($B236="",$E236="",$F236=""),$L236&lt;&gt;"لا"),0,MAX(0,MIN($F236,EOMONTH(DATE(cfg_FY,9,1),0))-$E236+1))</f>
        <v>0</v>
      </c>
      <c r="AQ236" s="57" t="n">
        <f aca="false">IF(OR(OR($B236="",$E236="",$F236=""),$L236&lt;&gt;"لا"),0,MAX(0,MIN($F236,EOMONTH(DATE(cfg_FY,10,1),0))-$E236+1))</f>
        <v>0</v>
      </c>
      <c r="AR236" s="57" t="n">
        <f aca="false">IF(OR(OR($B236="",$E236="",$F236=""),$L236&lt;&gt;"لا"),0,MAX(0,MIN($F236,EOMONTH(DATE(cfg_FY,11,1),0))-$E236+1))</f>
        <v>0</v>
      </c>
      <c r="AS236" s="57" t="n">
        <f aca="false">IF(OR(OR($B236="",$E236="",$F236=""),$L236&lt;&gt;"لا"),0,MAX(0,MIN($F236,EOMONTH(DATE(cfg_FY,12,1),0))-$E236+1))</f>
        <v>0</v>
      </c>
      <c r="AT236" s="57" t="n">
        <f aca="false">IF(OR(OR($B236="",$E236="",$F236=""),$K236&lt;&gt;"نعم",$M236="نعم"),0,MAX(0,MIN($F236,EOMONTH(DATE(cfg_FY,1,1),0))-MAX($E236,DATE(cfg_FY,1,1))+1))</f>
        <v>0</v>
      </c>
      <c r="AU236" s="57" t="n">
        <f aca="false">IF(OR(OR($B236="",$E236="",$F236=""),$K236&lt;&gt;"نعم",$M236="نعم"),0,MAX(0,MIN($F236,EOMONTH(DATE(cfg_FY,2,1),0))-MAX($E236,DATE(cfg_FY,2,1))+1))</f>
        <v>0</v>
      </c>
      <c r="AV236" s="57" t="n">
        <f aca="false">IF(OR(OR($B236="",$E236="",$F236=""),$K236&lt;&gt;"نعم",$M236="نعم"),0,MAX(0,MIN($F236,EOMONTH(DATE(cfg_FY,3,1),0))-MAX($E236,DATE(cfg_FY,3,1))+1))</f>
        <v>0</v>
      </c>
      <c r="AW236" s="57" t="n">
        <f aca="false">IF(OR(OR($B236="",$E236="",$F236=""),$K236&lt;&gt;"نعم",$M236="نعم"),0,MAX(0,MIN($F236,EOMONTH(DATE(cfg_FY,4,1),0))-MAX($E236,DATE(cfg_FY,4,1))+1))</f>
        <v>0</v>
      </c>
      <c r="AX236" s="57" t="n">
        <f aca="false">IF(OR(OR($B236="",$E236="",$F236=""),$K236&lt;&gt;"نعم",$M236="نعم"),0,MAX(0,MIN($F236,EOMONTH(DATE(cfg_FY,5,1),0))-MAX($E236,DATE(cfg_FY,5,1))+1))</f>
        <v>0</v>
      </c>
      <c r="AY236" s="57" t="n">
        <f aca="false">IF(OR(OR($B236="",$E236="",$F236=""),$K236&lt;&gt;"نعم",$M236="نعم"),0,MAX(0,MIN($F236,EOMONTH(DATE(cfg_FY,6,1),0))-MAX($E236,DATE(cfg_FY,6,1))+1))</f>
        <v>0</v>
      </c>
      <c r="AZ236" s="57" t="n">
        <f aca="false">IF(OR(OR($B236="",$E236="",$F236=""),$K236&lt;&gt;"نعم",$M236="نعم"),0,MAX(0,MIN($F236,EOMONTH(DATE(cfg_FY,7,1),0))-MAX($E236,DATE(cfg_FY,7,1))+1))</f>
        <v>0</v>
      </c>
      <c r="BA236" s="57" t="n">
        <f aca="false">IF(OR(OR($B236="",$E236="",$F236=""),$K236&lt;&gt;"نعم",$M236="نعم"),0,MAX(0,MIN($F236,EOMONTH(DATE(cfg_FY,8,1),0))-MAX($E236,DATE(cfg_FY,8,1))+1))</f>
        <v>0</v>
      </c>
      <c r="BB236" s="57" t="n">
        <f aca="false">IF(OR(OR($B236="",$E236="",$F236=""),$K236&lt;&gt;"نعم",$M236="نعم"),0,MAX(0,MIN($F236,EOMONTH(DATE(cfg_FY,9,1),0))-MAX($E236,DATE(cfg_FY,9,1))+1))</f>
        <v>0</v>
      </c>
      <c r="BC236" s="57" t="n">
        <f aca="false">IF(OR(OR($B236="",$E236="",$F236=""),$K236&lt;&gt;"نعم",$M236="نعم"),0,MAX(0,MIN($F236,EOMONTH(DATE(cfg_FY,10,1),0))-MAX($E236,DATE(cfg_FY,10,1))+1))</f>
        <v>0</v>
      </c>
      <c r="BD236" s="57" t="n">
        <f aca="false">IF(OR(OR($B236="",$E236="",$F236=""),$K236&lt;&gt;"نعم",$M236="نعم"),0,MAX(0,MIN($F236,EOMONTH(DATE(cfg_FY,11,1),0))-MAX($E236,DATE(cfg_FY,11,1))+1))</f>
        <v>0</v>
      </c>
      <c r="BE236" s="57" t="n">
        <f aca="false">IF(OR(OR($B236="",$E236="",$F236=""),$K236&lt;&gt;"نعم",$M236="نعم"),0,MAX(0,MIN($F236,EOMONTH(DATE(cfg_FY,12,1),0))-MAX($E236,DATE(cfg_FY,12,1))+1))</f>
        <v>0</v>
      </c>
    </row>
    <row r="237" customFormat="false" ht="15" hidden="false" customHeight="false" outlineLevel="0" collapsed="false">
      <c r="A237" s="100" t="str">
        <f aca="false">IF(B237="","",ROW()-5)</f>
        <v/>
      </c>
      <c r="B237" s="79"/>
      <c r="C237" s="102" t="str">
        <f aca="false">IF(B237="","",IFERROR(INDEX(الموظفون!$C$6:$C$105,MATCH(B237,الموظفون!$B$6:$B$105,0)),"✖ رقم غير موجود"))</f>
        <v/>
      </c>
      <c r="D237" s="79"/>
      <c r="E237" s="94"/>
      <c r="F237" s="94"/>
      <c r="G237" s="110" t="str">
        <f aca="false">IF(OR($B237="",$E237="",$F237=""),"",MAX(0,F237-E237+1))</f>
        <v/>
      </c>
      <c r="H237" s="111" t="str">
        <f aca="false">IF(D237="","",IFERROR(VLOOKUP(D237,cfg_LT,2,FALSE()),1))</f>
        <v/>
      </c>
      <c r="I237" s="82"/>
      <c r="J237" s="111" t="str">
        <f aca="false">IF(D237="","",IF(I237&lt;&gt;"",I237,H237))</f>
        <v/>
      </c>
      <c r="K237" s="102" t="str">
        <f aca="false">IF(D237="","",IFERROR(VLOOKUP($D237,cfg_LT,3,FALSE()),""))</f>
        <v/>
      </c>
      <c r="L237" s="102" t="str">
        <f aca="false">IF(D237="","",IFERROR(VLOOKUP($D237,cfg_LT,4,FALSE()),""))</f>
        <v/>
      </c>
      <c r="M237" s="102" t="str">
        <f aca="false">IF(D237="","",IFERROR(VLOOKUP($D237,cfg_LT,5,FALSE()),""))</f>
        <v/>
      </c>
      <c r="N237" s="101" t="n">
        <f aca="false">IF(OR(OR($B237="",$E237="",$F237=""),M237&lt;&gt;"نعم"),0,G237*J237*IFERROR(INDEX(الموظفون!$R$6:$R$105,MATCH(B237,الموظفون!$B$6:$B$105,0)),0)/cfg_DAYS_M)</f>
        <v>0</v>
      </c>
      <c r="O237" s="100" t="str">
        <f aca="false">IF(OR(OR($B237="",$E237="",$F237=""),M237&lt;&gt;"نعم"),"",IF(YEAR(E237)=cfg_FY,MONTH(E237),""))</f>
        <v/>
      </c>
      <c r="P237" s="102" t="str">
        <f aca="false">IF(B237="","",IF(OR(D237="",E237="",F237=""),"⚠ أكمل النوع والتواريخ",IF(F237&lt;E237,"✖ النهاية قبل البداية",IF(COUNTIFS($B$6:$B$505,B237,$E$6:$E$505,"&lt;="&amp;F237,$F$6:$F$505,"&gt;="&amp;E237)&gt;1,"⚠ تداخل مع سجل آخر",IF(E237&gt;cfg_VAL_DATE,"⏳ قادمة",IF(F237&lt;cfg_VAL_DATE,"✔ منتهية","✈ جارية في تاريخ التقرير"))))))</f>
        <v/>
      </c>
      <c r="Q237" s="79"/>
      <c r="R237" s="110" t="n">
        <f aca="false">IF(OR(OR($B237="",$E237="",$F237=""),L237&lt;&gt;"لا"),0,MAX(0,MIN(F237,cfg_Y_START-1)-E237+1))</f>
        <v>0</v>
      </c>
      <c r="S237" s="110" t="n">
        <f aca="false">IF(OR(OR($B237="",$E237="",$F237=""),L237&lt;&gt;"لا"),0,MAX(0,MIN(F237,cfg_VAL_DATE)-E237+1))</f>
        <v>0</v>
      </c>
      <c r="T237" s="110" t="n">
        <f aca="false">IF(OR(OR($B237="",$E237="",$F237=""),K237&lt;&gt;"نعم"),0,IF(M237="نعم",IF(AND(ISNUMBER(O237),N(O237)&lt;=cfg_VAL_M),G237,0),MAX(0,MIN(F237,cfg_VAL_DATE)-MAX(E237,cfg_Y_START)+1)))</f>
        <v>0</v>
      </c>
      <c r="V237" s="110" t="n">
        <f aca="false">IF(OR($B237="",$E237="",$F237=""),0,MAX(0,MIN($F237,EOMONTH(DATE(cfg_FY,1,1),0))-MAX($E237,DATE(cfg_FY,1,1))+1)*(1-IF($M237="نعم",0,N($J237))))</f>
        <v>0</v>
      </c>
      <c r="W237" s="110" t="n">
        <f aca="false">IF(OR($B237="",$E237="",$F237=""),0,MAX(0,MIN($F237,EOMONTH(DATE(cfg_FY,2,1),0))-MAX($E237,DATE(cfg_FY,2,1))+1)*(1-IF($M237="نعم",0,N($J237))))</f>
        <v>0</v>
      </c>
      <c r="X237" s="110" t="n">
        <f aca="false">IF(OR($B237="",$E237="",$F237=""),0,MAX(0,MIN($F237,EOMONTH(DATE(cfg_FY,3,1),0))-MAX($E237,DATE(cfg_FY,3,1))+1)*(1-IF($M237="نعم",0,N($J237))))</f>
        <v>0</v>
      </c>
      <c r="Y237" s="110" t="n">
        <f aca="false">IF(OR($B237="",$E237="",$F237=""),0,MAX(0,MIN($F237,EOMONTH(DATE(cfg_FY,4,1),0))-MAX($E237,DATE(cfg_FY,4,1))+1)*(1-IF($M237="نعم",0,N($J237))))</f>
        <v>0</v>
      </c>
      <c r="Z237" s="110" t="n">
        <f aca="false">IF(OR($B237="",$E237="",$F237=""),0,MAX(0,MIN($F237,EOMONTH(DATE(cfg_FY,5,1),0))-MAX($E237,DATE(cfg_FY,5,1))+1)*(1-IF($M237="نعم",0,N($J237))))</f>
        <v>0</v>
      </c>
      <c r="AA237" s="110" t="n">
        <f aca="false">IF(OR($B237="",$E237="",$F237=""),0,MAX(0,MIN($F237,EOMONTH(DATE(cfg_FY,6,1),0))-MAX($E237,DATE(cfg_FY,6,1))+1)*(1-IF($M237="نعم",0,N($J237))))</f>
        <v>0</v>
      </c>
      <c r="AB237" s="110" t="n">
        <f aca="false">IF(OR($B237="",$E237="",$F237=""),0,MAX(0,MIN($F237,EOMONTH(DATE(cfg_FY,7,1),0))-MAX($E237,DATE(cfg_FY,7,1))+1)*(1-IF($M237="نعم",0,N($J237))))</f>
        <v>0</v>
      </c>
      <c r="AC237" s="110" t="n">
        <f aca="false">IF(OR($B237="",$E237="",$F237=""),0,MAX(0,MIN($F237,EOMONTH(DATE(cfg_FY,8,1),0))-MAX($E237,DATE(cfg_FY,8,1))+1)*(1-IF($M237="نعم",0,N($J237))))</f>
        <v>0</v>
      </c>
      <c r="AD237" s="110" t="n">
        <f aca="false">IF(OR($B237="",$E237="",$F237=""),0,MAX(0,MIN($F237,EOMONTH(DATE(cfg_FY,9,1),0))-MAX($E237,DATE(cfg_FY,9,1))+1)*(1-IF($M237="نعم",0,N($J237))))</f>
        <v>0</v>
      </c>
      <c r="AE237" s="110" t="n">
        <f aca="false">IF(OR($B237="",$E237="",$F237=""),0,MAX(0,MIN($F237,EOMONTH(DATE(cfg_FY,10,1),0))-MAX($E237,DATE(cfg_FY,10,1))+1)*(1-IF($M237="نعم",0,N($J237))))</f>
        <v>0</v>
      </c>
      <c r="AF237" s="110" t="n">
        <f aca="false">IF(OR($B237="",$E237="",$F237=""),0,MAX(0,MIN($F237,EOMONTH(DATE(cfg_FY,11,1),0))-MAX($E237,DATE(cfg_FY,11,1))+1)*(1-IF($M237="نعم",0,N($J237))))</f>
        <v>0</v>
      </c>
      <c r="AG237" s="110" t="n">
        <f aca="false">IF(OR($B237="",$E237="",$F237=""),0,MAX(0,MIN($F237,EOMONTH(DATE(cfg_FY,12,1),0))-MAX($E237,DATE(cfg_FY,12,1))+1)*(1-IF($M237="نعم",0,N($J237))))</f>
        <v>0</v>
      </c>
      <c r="AH237" s="110" t="n">
        <f aca="false">IF(OR(OR($B237="",$E237="",$F237=""),$L237&lt;&gt;"لا"),0,MAX(0,MIN($F237,EOMONTH(DATE(cfg_FY,1,1),0))-$E237+1))</f>
        <v>0</v>
      </c>
      <c r="AI237" s="110" t="n">
        <f aca="false">IF(OR(OR($B237="",$E237="",$F237=""),$L237&lt;&gt;"لا"),0,MAX(0,MIN($F237,EOMONTH(DATE(cfg_FY,2,1),0))-$E237+1))</f>
        <v>0</v>
      </c>
      <c r="AJ237" s="110" t="n">
        <f aca="false">IF(OR(OR($B237="",$E237="",$F237=""),$L237&lt;&gt;"لا"),0,MAX(0,MIN($F237,EOMONTH(DATE(cfg_FY,3,1),0))-$E237+1))</f>
        <v>0</v>
      </c>
      <c r="AK237" s="110" t="n">
        <f aca="false">IF(OR(OR($B237="",$E237="",$F237=""),$L237&lt;&gt;"لا"),0,MAX(0,MIN($F237,EOMONTH(DATE(cfg_FY,4,1),0))-$E237+1))</f>
        <v>0</v>
      </c>
      <c r="AL237" s="110" t="n">
        <f aca="false">IF(OR(OR($B237="",$E237="",$F237=""),$L237&lt;&gt;"لا"),0,MAX(0,MIN($F237,EOMONTH(DATE(cfg_FY,5,1),0))-$E237+1))</f>
        <v>0</v>
      </c>
      <c r="AM237" s="110" t="n">
        <f aca="false">IF(OR(OR($B237="",$E237="",$F237=""),$L237&lt;&gt;"لا"),0,MAX(0,MIN($F237,EOMONTH(DATE(cfg_FY,6,1),0))-$E237+1))</f>
        <v>0</v>
      </c>
      <c r="AN237" s="110" t="n">
        <f aca="false">IF(OR(OR($B237="",$E237="",$F237=""),$L237&lt;&gt;"لا"),0,MAX(0,MIN($F237,EOMONTH(DATE(cfg_FY,7,1),0))-$E237+1))</f>
        <v>0</v>
      </c>
      <c r="AO237" s="110" t="n">
        <f aca="false">IF(OR(OR($B237="",$E237="",$F237=""),$L237&lt;&gt;"لا"),0,MAX(0,MIN($F237,EOMONTH(DATE(cfg_FY,8,1),0))-$E237+1))</f>
        <v>0</v>
      </c>
      <c r="AP237" s="110" t="n">
        <f aca="false">IF(OR(OR($B237="",$E237="",$F237=""),$L237&lt;&gt;"لا"),0,MAX(0,MIN($F237,EOMONTH(DATE(cfg_FY,9,1),0))-$E237+1))</f>
        <v>0</v>
      </c>
      <c r="AQ237" s="110" t="n">
        <f aca="false">IF(OR(OR($B237="",$E237="",$F237=""),$L237&lt;&gt;"لا"),0,MAX(0,MIN($F237,EOMONTH(DATE(cfg_FY,10,1),0))-$E237+1))</f>
        <v>0</v>
      </c>
      <c r="AR237" s="110" t="n">
        <f aca="false">IF(OR(OR($B237="",$E237="",$F237=""),$L237&lt;&gt;"لا"),0,MAX(0,MIN($F237,EOMONTH(DATE(cfg_FY,11,1),0))-$E237+1))</f>
        <v>0</v>
      </c>
      <c r="AS237" s="110" t="n">
        <f aca="false">IF(OR(OR($B237="",$E237="",$F237=""),$L237&lt;&gt;"لا"),0,MAX(0,MIN($F237,EOMONTH(DATE(cfg_FY,12,1),0))-$E237+1))</f>
        <v>0</v>
      </c>
      <c r="AT237" s="110" t="n">
        <f aca="false">IF(OR(OR($B237="",$E237="",$F237=""),$K237&lt;&gt;"نعم",$M237="نعم"),0,MAX(0,MIN($F237,EOMONTH(DATE(cfg_FY,1,1),0))-MAX($E237,DATE(cfg_FY,1,1))+1))</f>
        <v>0</v>
      </c>
      <c r="AU237" s="110" t="n">
        <f aca="false">IF(OR(OR($B237="",$E237="",$F237=""),$K237&lt;&gt;"نعم",$M237="نعم"),0,MAX(0,MIN($F237,EOMONTH(DATE(cfg_FY,2,1),0))-MAX($E237,DATE(cfg_FY,2,1))+1))</f>
        <v>0</v>
      </c>
      <c r="AV237" s="110" t="n">
        <f aca="false">IF(OR(OR($B237="",$E237="",$F237=""),$K237&lt;&gt;"نعم",$M237="نعم"),0,MAX(0,MIN($F237,EOMONTH(DATE(cfg_FY,3,1),0))-MAX($E237,DATE(cfg_FY,3,1))+1))</f>
        <v>0</v>
      </c>
      <c r="AW237" s="110" t="n">
        <f aca="false">IF(OR(OR($B237="",$E237="",$F237=""),$K237&lt;&gt;"نعم",$M237="نعم"),0,MAX(0,MIN($F237,EOMONTH(DATE(cfg_FY,4,1),0))-MAX($E237,DATE(cfg_FY,4,1))+1))</f>
        <v>0</v>
      </c>
      <c r="AX237" s="110" t="n">
        <f aca="false">IF(OR(OR($B237="",$E237="",$F237=""),$K237&lt;&gt;"نعم",$M237="نعم"),0,MAX(0,MIN($F237,EOMONTH(DATE(cfg_FY,5,1),0))-MAX($E237,DATE(cfg_FY,5,1))+1))</f>
        <v>0</v>
      </c>
      <c r="AY237" s="110" t="n">
        <f aca="false">IF(OR(OR($B237="",$E237="",$F237=""),$K237&lt;&gt;"نعم",$M237="نعم"),0,MAX(0,MIN($F237,EOMONTH(DATE(cfg_FY,6,1),0))-MAX($E237,DATE(cfg_FY,6,1))+1))</f>
        <v>0</v>
      </c>
      <c r="AZ237" s="110" t="n">
        <f aca="false">IF(OR(OR($B237="",$E237="",$F237=""),$K237&lt;&gt;"نعم",$M237="نعم"),0,MAX(0,MIN($F237,EOMONTH(DATE(cfg_FY,7,1),0))-MAX($E237,DATE(cfg_FY,7,1))+1))</f>
        <v>0</v>
      </c>
      <c r="BA237" s="110" t="n">
        <f aca="false">IF(OR(OR($B237="",$E237="",$F237=""),$K237&lt;&gt;"نعم",$M237="نعم"),0,MAX(0,MIN($F237,EOMONTH(DATE(cfg_FY,8,1),0))-MAX($E237,DATE(cfg_FY,8,1))+1))</f>
        <v>0</v>
      </c>
      <c r="BB237" s="110" t="n">
        <f aca="false">IF(OR(OR($B237="",$E237="",$F237=""),$K237&lt;&gt;"نعم",$M237="نعم"),0,MAX(0,MIN($F237,EOMONTH(DATE(cfg_FY,9,1),0))-MAX($E237,DATE(cfg_FY,9,1))+1))</f>
        <v>0</v>
      </c>
      <c r="BC237" s="110" t="n">
        <f aca="false">IF(OR(OR($B237="",$E237="",$F237=""),$K237&lt;&gt;"نعم",$M237="نعم"),0,MAX(0,MIN($F237,EOMONTH(DATE(cfg_FY,10,1),0))-MAX($E237,DATE(cfg_FY,10,1))+1))</f>
        <v>0</v>
      </c>
      <c r="BD237" s="110" t="n">
        <f aca="false">IF(OR(OR($B237="",$E237="",$F237=""),$K237&lt;&gt;"نعم",$M237="نعم"),0,MAX(0,MIN($F237,EOMONTH(DATE(cfg_FY,11,1),0))-MAX($E237,DATE(cfg_FY,11,1))+1))</f>
        <v>0</v>
      </c>
      <c r="BE237" s="110" t="n">
        <f aca="false">IF(OR(OR($B237="",$E237="",$F237=""),$K237&lt;&gt;"نعم",$M237="نعم"),0,MAX(0,MIN($F237,EOMONTH(DATE(cfg_FY,12,1),0))-MAX($E237,DATE(cfg_FY,12,1))+1))</f>
        <v>0</v>
      </c>
    </row>
    <row r="238" customFormat="false" ht="15" hidden="false" customHeight="false" outlineLevel="0" collapsed="false">
      <c r="A238" s="93" t="str">
        <f aca="false">IF(B238="","",ROW()-5)</f>
        <v/>
      </c>
      <c r="B238" s="79"/>
      <c r="C238" s="80" t="str">
        <f aca="false">IF(B238="","",IFERROR(INDEX(الموظفون!$C$6:$C$105,MATCH(B238,الموظفون!$B$6:$B$105,0)),"✖ رقم غير موجود"))</f>
        <v/>
      </c>
      <c r="D238" s="79"/>
      <c r="E238" s="94"/>
      <c r="F238" s="94"/>
      <c r="G238" s="57" t="str">
        <f aca="false">IF(OR($B238="",$E238="",$F238=""),"",MAX(0,F238-E238+1))</f>
        <v/>
      </c>
      <c r="H238" s="58" t="str">
        <f aca="false">IF(D238="","",IFERROR(VLOOKUP(D238,cfg_LT,2,FALSE()),1))</f>
        <v/>
      </c>
      <c r="I238" s="82"/>
      <c r="J238" s="58" t="str">
        <f aca="false">IF(D238="","",IF(I238&lt;&gt;"",I238,H238))</f>
        <v/>
      </c>
      <c r="K238" s="80" t="str">
        <f aca="false">IF(D238="","",IFERROR(VLOOKUP($D238,cfg_LT,3,FALSE()),""))</f>
        <v/>
      </c>
      <c r="L238" s="80" t="str">
        <f aca="false">IF(D238="","",IFERROR(VLOOKUP($D238,cfg_LT,4,FALSE()),""))</f>
        <v/>
      </c>
      <c r="M238" s="80" t="str">
        <f aca="false">IF(D238="","",IFERROR(VLOOKUP($D238,cfg_LT,5,FALSE()),""))</f>
        <v/>
      </c>
      <c r="N238" s="97" t="n">
        <f aca="false">IF(OR(OR($B238="",$E238="",$F238=""),M238&lt;&gt;"نعم"),0,G238*J238*IFERROR(INDEX(الموظفون!$R$6:$R$105,MATCH(B238,الموظفون!$B$6:$B$105,0)),0)/cfg_DAYS_M)</f>
        <v>0</v>
      </c>
      <c r="O238" s="93" t="str">
        <f aca="false">IF(OR(OR($B238="",$E238="",$F238=""),M238&lt;&gt;"نعم"),"",IF(YEAR(E238)=cfg_FY,MONTH(E238),""))</f>
        <v/>
      </c>
      <c r="P238" s="80" t="str">
        <f aca="false">IF(B238="","",IF(OR(D238="",E238="",F238=""),"⚠ أكمل النوع والتواريخ",IF(F238&lt;E238,"✖ النهاية قبل البداية",IF(COUNTIFS($B$6:$B$505,B238,$E$6:$E$505,"&lt;="&amp;F238,$F$6:$F$505,"&gt;="&amp;E238)&gt;1,"⚠ تداخل مع سجل آخر",IF(E238&gt;cfg_VAL_DATE,"⏳ قادمة",IF(F238&lt;cfg_VAL_DATE,"✔ منتهية","✈ جارية في تاريخ التقرير"))))))</f>
        <v/>
      </c>
      <c r="Q238" s="79"/>
      <c r="R238" s="57" t="n">
        <f aca="false">IF(OR(OR($B238="",$E238="",$F238=""),L238&lt;&gt;"لا"),0,MAX(0,MIN(F238,cfg_Y_START-1)-E238+1))</f>
        <v>0</v>
      </c>
      <c r="S238" s="57" t="n">
        <f aca="false">IF(OR(OR($B238="",$E238="",$F238=""),L238&lt;&gt;"لا"),0,MAX(0,MIN(F238,cfg_VAL_DATE)-E238+1))</f>
        <v>0</v>
      </c>
      <c r="T238" s="57" t="n">
        <f aca="false">IF(OR(OR($B238="",$E238="",$F238=""),K238&lt;&gt;"نعم"),0,IF(M238="نعم",IF(AND(ISNUMBER(O238),N(O238)&lt;=cfg_VAL_M),G238,0),MAX(0,MIN(F238,cfg_VAL_DATE)-MAX(E238,cfg_Y_START)+1)))</f>
        <v>0</v>
      </c>
      <c r="V238" s="57" t="n">
        <f aca="false">IF(OR($B238="",$E238="",$F238=""),0,MAX(0,MIN($F238,EOMONTH(DATE(cfg_FY,1,1),0))-MAX($E238,DATE(cfg_FY,1,1))+1)*(1-IF($M238="نعم",0,N($J238))))</f>
        <v>0</v>
      </c>
      <c r="W238" s="57" t="n">
        <f aca="false">IF(OR($B238="",$E238="",$F238=""),0,MAX(0,MIN($F238,EOMONTH(DATE(cfg_FY,2,1),0))-MAX($E238,DATE(cfg_FY,2,1))+1)*(1-IF($M238="نعم",0,N($J238))))</f>
        <v>0</v>
      </c>
      <c r="X238" s="57" t="n">
        <f aca="false">IF(OR($B238="",$E238="",$F238=""),0,MAX(0,MIN($F238,EOMONTH(DATE(cfg_FY,3,1),0))-MAX($E238,DATE(cfg_FY,3,1))+1)*(1-IF($M238="نعم",0,N($J238))))</f>
        <v>0</v>
      </c>
      <c r="Y238" s="57" t="n">
        <f aca="false">IF(OR($B238="",$E238="",$F238=""),0,MAX(0,MIN($F238,EOMONTH(DATE(cfg_FY,4,1),0))-MAX($E238,DATE(cfg_FY,4,1))+1)*(1-IF($M238="نعم",0,N($J238))))</f>
        <v>0</v>
      </c>
      <c r="Z238" s="57" t="n">
        <f aca="false">IF(OR($B238="",$E238="",$F238=""),0,MAX(0,MIN($F238,EOMONTH(DATE(cfg_FY,5,1),0))-MAX($E238,DATE(cfg_FY,5,1))+1)*(1-IF($M238="نعم",0,N($J238))))</f>
        <v>0</v>
      </c>
      <c r="AA238" s="57" t="n">
        <f aca="false">IF(OR($B238="",$E238="",$F238=""),0,MAX(0,MIN($F238,EOMONTH(DATE(cfg_FY,6,1),0))-MAX($E238,DATE(cfg_FY,6,1))+1)*(1-IF($M238="نعم",0,N($J238))))</f>
        <v>0</v>
      </c>
      <c r="AB238" s="57" t="n">
        <f aca="false">IF(OR($B238="",$E238="",$F238=""),0,MAX(0,MIN($F238,EOMONTH(DATE(cfg_FY,7,1),0))-MAX($E238,DATE(cfg_FY,7,1))+1)*(1-IF($M238="نعم",0,N($J238))))</f>
        <v>0</v>
      </c>
      <c r="AC238" s="57" t="n">
        <f aca="false">IF(OR($B238="",$E238="",$F238=""),0,MAX(0,MIN($F238,EOMONTH(DATE(cfg_FY,8,1),0))-MAX($E238,DATE(cfg_FY,8,1))+1)*(1-IF($M238="نعم",0,N($J238))))</f>
        <v>0</v>
      </c>
      <c r="AD238" s="57" t="n">
        <f aca="false">IF(OR($B238="",$E238="",$F238=""),0,MAX(0,MIN($F238,EOMONTH(DATE(cfg_FY,9,1),0))-MAX($E238,DATE(cfg_FY,9,1))+1)*(1-IF($M238="نعم",0,N($J238))))</f>
        <v>0</v>
      </c>
      <c r="AE238" s="57" t="n">
        <f aca="false">IF(OR($B238="",$E238="",$F238=""),0,MAX(0,MIN($F238,EOMONTH(DATE(cfg_FY,10,1),0))-MAX($E238,DATE(cfg_FY,10,1))+1)*(1-IF($M238="نعم",0,N($J238))))</f>
        <v>0</v>
      </c>
      <c r="AF238" s="57" t="n">
        <f aca="false">IF(OR($B238="",$E238="",$F238=""),0,MAX(0,MIN($F238,EOMONTH(DATE(cfg_FY,11,1),0))-MAX($E238,DATE(cfg_FY,11,1))+1)*(1-IF($M238="نعم",0,N($J238))))</f>
        <v>0</v>
      </c>
      <c r="AG238" s="57" t="n">
        <f aca="false">IF(OR($B238="",$E238="",$F238=""),0,MAX(0,MIN($F238,EOMONTH(DATE(cfg_FY,12,1),0))-MAX($E238,DATE(cfg_FY,12,1))+1)*(1-IF($M238="نعم",0,N($J238))))</f>
        <v>0</v>
      </c>
      <c r="AH238" s="57" t="n">
        <f aca="false">IF(OR(OR($B238="",$E238="",$F238=""),$L238&lt;&gt;"لا"),0,MAX(0,MIN($F238,EOMONTH(DATE(cfg_FY,1,1),0))-$E238+1))</f>
        <v>0</v>
      </c>
      <c r="AI238" s="57" t="n">
        <f aca="false">IF(OR(OR($B238="",$E238="",$F238=""),$L238&lt;&gt;"لا"),0,MAX(0,MIN($F238,EOMONTH(DATE(cfg_FY,2,1),0))-$E238+1))</f>
        <v>0</v>
      </c>
      <c r="AJ238" s="57" t="n">
        <f aca="false">IF(OR(OR($B238="",$E238="",$F238=""),$L238&lt;&gt;"لا"),0,MAX(0,MIN($F238,EOMONTH(DATE(cfg_FY,3,1),0))-$E238+1))</f>
        <v>0</v>
      </c>
      <c r="AK238" s="57" t="n">
        <f aca="false">IF(OR(OR($B238="",$E238="",$F238=""),$L238&lt;&gt;"لا"),0,MAX(0,MIN($F238,EOMONTH(DATE(cfg_FY,4,1),0))-$E238+1))</f>
        <v>0</v>
      </c>
      <c r="AL238" s="57" t="n">
        <f aca="false">IF(OR(OR($B238="",$E238="",$F238=""),$L238&lt;&gt;"لا"),0,MAX(0,MIN($F238,EOMONTH(DATE(cfg_FY,5,1),0))-$E238+1))</f>
        <v>0</v>
      </c>
      <c r="AM238" s="57" t="n">
        <f aca="false">IF(OR(OR($B238="",$E238="",$F238=""),$L238&lt;&gt;"لا"),0,MAX(0,MIN($F238,EOMONTH(DATE(cfg_FY,6,1),0))-$E238+1))</f>
        <v>0</v>
      </c>
      <c r="AN238" s="57" t="n">
        <f aca="false">IF(OR(OR($B238="",$E238="",$F238=""),$L238&lt;&gt;"لا"),0,MAX(0,MIN($F238,EOMONTH(DATE(cfg_FY,7,1),0))-$E238+1))</f>
        <v>0</v>
      </c>
      <c r="AO238" s="57" t="n">
        <f aca="false">IF(OR(OR($B238="",$E238="",$F238=""),$L238&lt;&gt;"لا"),0,MAX(0,MIN($F238,EOMONTH(DATE(cfg_FY,8,1),0))-$E238+1))</f>
        <v>0</v>
      </c>
      <c r="AP238" s="57" t="n">
        <f aca="false">IF(OR(OR($B238="",$E238="",$F238=""),$L238&lt;&gt;"لا"),0,MAX(0,MIN($F238,EOMONTH(DATE(cfg_FY,9,1),0))-$E238+1))</f>
        <v>0</v>
      </c>
      <c r="AQ238" s="57" t="n">
        <f aca="false">IF(OR(OR($B238="",$E238="",$F238=""),$L238&lt;&gt;"لا"),0,MAX(0,MIN($F238,EOMONTH(DATE(cfg_FY,10,1),0))-$E238+1))</f>
        <v>0</v>
      </c>
      <c r="AR238" s="57" t="n">
        <f aca="false">IF(OR(OR($B238="",$E238="",$F238=""),$L238&lt;&gt;"لا"),0,MAX(0,MIN($F238,EOMONTH(DATE(cfg_FY,11,1),0))-$E238+1))</f>
        <v>0</v>
      </c>
      <c r="AS238" s="57" t="n">
        <f aca="false">IF(OR(OR($B238="",$E238="",$F238=""),$L238&lt;&gt;"لا"),0,MAX(0,MIN($F238,EOMONTH(DATE(cfg_FY,12,1),0))-$E238+1))</f>
        <v>0</v>
      </c>
      <c r="AT238" s="57" t="n">
        <f aca="false">IF(OR(OR($B238="",$E238="",$F238=""),$K238&lt;&gt;"نعم",$M238="نعم"),0,MAX(0,MIN($F238,EOMONTH(DATE(cfg_FY,1,1),0))-MAX($E238,DATE(cfg_FY,1,1))+1))</f>
        <v>0</v>
      </c>
      <c r="AU238" s="57" t="n">
        <f aca="false">IF(OR(OR($B238="",$E238="",$F238=""),$K238&lt;&gt;"نعم",$M238="نعم"),0,MAX(0,MIN($F238,EOMONTH(DATE(cfg_FY,2,1),0))-MAX($E238,DATE(cfg_FY,2,1))+1))</f>
        <v>0</v>
      </c>
      <c r="AV238" s="57" t="n">
        <f aca="false">IF(OR(OR($B238="",$E238="",$F238=""),$K238&lt;&gt;"نعم",$M238="نعم"),0,MAX(0,MIN($F238,EOMONTH(DATE(cfg_FY,3,1),0))-MAX($E238,DATE(cfg_FY,3,1))+1))</f>
        <v>0</v>
      </c>
      <c r="AW238" s="57" t="n">
        <f aca="false">IF(OR(OR($B238="",$E238="",$F238=""),$K238&lt;&gt;"نعم",$M238="نعم"),0,MAX(0,MIN($F238,EOMONTH(DATE(cfg_FY,4,1),0))-MAX($E238,DATE(cfg_FY,4,1))+1))</f>
        <v>0</v>
      </c>
      <c r="AX238" s="57" t="n">
        <f aca="false">IF(OR(OR($B238="",$E238="",$F238=""),$K238&lt;&gt;"نعم",$M238="نعم"),0,MAX(0,MIN($F238,EOMONTH(DATE(cfg_FY,5,1),0))-MAX($E238,DATE(cfg_FY,5,1))+1))</f>
        <v>0</v>
      </c>
      <c r="AY238" s="57" t="n">
        <f aca="false">IF(OR(OR($B238="",$E238="",$F238=""),$K238&lt;&gt;"نعم",$M238="نعم"),0,MAX(0,MIN($F238,EOMONTH(DATE(cfg_FY,6,1),0))-MAX($E238,DATE(cfg_FY,6,1))+1))</f>
        <v>0</v>
      </c>
      <c r="AZ238" s="57" t="n">
        <f aca="false">IF(OR(OR($B238="",$E238="",$F238=""),$K238&lt;&gt;"نعم",$M238="نعم"),0,MAX(0,MIN($F238,EOMONTH(DATE(cfg_FY,7,1),0))-MAX($E238,DATE(cfg_FY,7,1))+1))</f>
        <v>0</v>
      </c>
      <c r="BA238" s="57" t="n">
        <f aca="false">IF(OR(OR($B238="",$E238="",$F238=""),$K238&lt;&gt;"نعم",$M238="نعم"),0,MAX(0,MIN($F238,EOMONTH(DATE(cfg_FY,8,1),0))-MAX($E238,DATE(cfg_FY,8,1))+1))</f>
        <v>0</v>
      </c>
      <c r="BB238" s="57" t="n">
        <f aca="false">IF(OR(OR($B238="",$E238="",$F238=""),$K238&lt;&gt;"نعم",$M238="نعم"),0,MAX(0,MIN($F238,EOMONTH(DATE(cfg_FY,9,1),0))-MAX($E238,DATE(cfg_FY,9,1))+1))</f>
        <v>0</v>
      </c>
      <c r="BC238" s="57" t="n">
        <f aca="false">IF(OR(OR($B238="",$E238="",$F238=""),$K238&lt;&gt;"نعم",$M238="نعم"),0,MAX(0,MIN($F238,EOMONTH(DATE(cfg_FY,10,1),0))-MAX($E238,DATE(cfg_FY,10,1))+1))</f>
        <v>0</v>
      </c>
      <c r="BD238" s="57" t="n">
        <f aca="false">IF(OR(OR($B238="",$E238="",$F238=""),$K238&lt;&gt;"نعم",$M238="نعم"),0,MAX(0,MIN($F238,EOMONTH(DATE(cfg_FY,11,1),0))-MAX($E238,DATE(cfg_FY,11,1))+1))</f>
        <v>0</v>
      </c>
      <c r="BE238" s="57" t="n">
        <f aca="false">IF(OR(OR($B238="",$E238="",$F238=""),$K238&lt;&gt;"نعم",$M238="نعم"),0,MAX(0,MIN($F238,EOMONTH(DATE(cfg_FY,12,1),0))-MAX($E238,DATE(cfg_FY,12,1))+1))</f>
        <v>0</v>
      </c>
    </row>
    <row r="239" customFormat="false" ht="15" hidden="false" customHeight="false" outlineLevel="0" collapsed="false">
      <c r="A239" s="100" t="str">
        <f aca="false">IF(B239="","",ROW()-5)</f>
        <v/>
      </c>
      <c r="B239" s="79"/>
      <c r="C239" s="102" t="str">
        <f aca="false">IF(B239="","",IFERROR(INDEX(الموظفون!$C$6:$C$105,MATCH(B239,الموظفون!$B$6:$B$105,0)),"✖ رقم غير موجود"))</f>
        <v/>
      </c>
      <c r="D239" s="79"/>
      <c r="E239" s="94"/>
      <c r="F239" s="94"/>
      <c r="G239" s="110" t="str">
        <f aca="false">IF(OR($B239="",$E239="",$F239=""),"",MAX(0,F239-E239+1))</f>
        <v/>
      </c>
      <c r="H239" s="111" t="str">
        <f aca="false">IF(D239="","",IFERROR(VLOOKUP(D239,cfg_LT,2,FALSE()),1))</f>
        <v/>
      </c>
      <c r="I239" s="82"/>
      <c r="J239" s="111" t="str">
        <f aca="false">IF(D239="","",IF(I239&lt;&gt;"",I239,H239))</f>
        <v/>
      </c>
      <c r="K239" s="102" t="str">
        <f aca="false">IF(D239="","",IFERROR(VLOOKUP($D239,cfg_LT,3,FALSE()),""))</f>
        <v/>
      </c>
      <c r="L239" s="102" t="str">
        <f aca="false">IF(D239="","",IFERROR(VLOOKUP($D239,cfg_LT,4,FALSE()),""))</f>
        <v/>
      </c>
      <c r="M239" s="102" t="str">
        <f aca="false">IF(D239="","",IFERROR(VLOOKUP($D239,cfg_LT,5,FALSE()),""))</f>
        <v/>
      </c>
      <c r="N239" s="101" t="n">
        <f aca="false">IF(OR(OR($B239="",$E239="",$F239=""),M239&lt;&gt;"نعم"),0,G239*J239*IFERROR(INDEX(الموظفون!$R$6:$R$105,MATCH(B239,الموظفون!$B$6:$B$105,0)),0)/cfg_DAYS_M)</f>
        <v>0</v>
      </c>
      <c r="O239" s="100" t="str">
        <f aca="false">IF(OR(OR($B239="",$E239="",$F239=""),M239&lt;&gt;"نعم"),"",IF(YEAR(E239)=cfg_FY,MONTH(E239),""))</f>
        <v/>
      </c>
      <c r="P239" s="102" t="str">
        <f aca="false">IF(B239="","",IF(OR(D239="",E239="",F239=""),"⚠ أكمل النوع والتواريخ",IF(F239&lt;E239,"✖ النهاية قبل البداية",IF(COUNTIFS($B$6:$B$505,B239,$E$6:$E$505,"&lt;="&amp;F239,$F$6:$F$505,"&gt;="&amp;E239)&gt;1,"⚠ تداخل مع سجل آخر",IF(E239&gt;cfg_VAL_DATE,"⏳ قادمة",IF(F239&lt;cfg_VAL_DATE,"✔ منتهية","✈ جارية في تاريخ التقرير"))))))</f>
        <v/>
      </c>
      <c r="Q239" s="79"/>
      <c r="R239" s="110" t="n">
        <f aca="false">IF(OR(OR($B239="",$E239="",$F239=""),L239&lt;&gt;"لا"),0,MAX(0,MIN(F239,cfg_Y_START-1)-E239+1))</f>
        <v>0</v>
      </c>
      <c r="S239" s="110" t="n">
        <f aca="false">IF(OR(OR($B239="",$E239="",$F239=""),L239&lt;&gt;"لا"),0,MAX(0,MIN(F239,cfg_VAL_DATE)-E239+1))</f>
        <v>0</v>
      </c>
      <c r="T239" s="110" t="n">
        <f aca="false">IF(OR(OR($B239="",$E239="",$F239=""),K239&lt;&gt;"نعم"),0,IF(M239="نعم",IF(AND(ISNUMBER(O239),N(O239)&lt;=cfg_VAL_M),G239,0),MAX(0,MIN(F239,cfg_VAL_DATE)-MAX(E239,cfg_Y_START)+1)))</f>
        <v>0</v>
      </c>
      <c r="V239" s="110" t="n">
        <f aca="false">IF(OR($B239="",$E239="",$F239=""),0,MAX(0,MIN($F239,EOMONTH(DATE(cfg_FY,1,1),0))-MAX($E239,DATE(cfg_FY,1,1))+1)*(1-IF($M239="نعم",0,N($J239))))</f>
        <v>0</v>
      </c>
      <c r="W239" s="110" t="n">
        <f aca="false">IF(OR($B239="",$E239="",$F239=""),0,MAX(0,MIN($F239,EOMONTH(DATE(cfg_FY,2,1),0))-MAX($E239,DATE(cfg_FY,2,1))+1)*(1-IF($M239="نعم",0,N($J239))))</f>
        <v>0</v>
      </c>
      <c r="X239" s="110" t="n">
        <f aca="false">IF(OR($B239="",$E239="",$F239=""),0,MAX(0,MIN($F239,EOMONTH(DATE(cfg_FY,3,1),0))-MAX($E239,DATE(cfg_FY,3,1))+1)*(1-IF($M239="نعم",0,N($J239))))</f>
        <v>0</v>
      </c>
      <c r="Y239" s="110" t="n">
        <f aca="false">IF(OR($B239="",$E239="",$F239=""),0,MAX(0,MIN($F239,EOMONTH(DATE(cfg_FY,4,1),0))-MAX($E239,DATE(cfg_FY,4,1))+1)*(1-IF($M239="نعم",0,N($J239))))</f>
        <v>0</v>
      </c>
      <c r="Z239" s="110" t="n">
        <f aca="false">IF(OR($B239="",$E239="",$F239=""),0,MAX(0,MIN($F239,EOMONTH(DATE(cfg_FY,5,1),0))-MAX($E239,DATE(cfg_FY,5,1))+1)*(1-IF($M239="نعم",0,N($J239))))</f>
        <v>0</v>
      </c>
      <c r="AA239" s="110" t="n">
        <f aca="false">IF(OR($B239="",$E239="",$F239=""),0,MAX(0,MIN($F239,EOMONTH(DATE(cfg_FY,6,1),0))-MAX($E239,DATE(cfg_FY,6,1))+1)*(1-IF($M239="نعم",0,N($J239))))</f>
        <v>0</v>
      </c>
      <c r="AB239" s="110" t="n">
        <f aca="false">IF(OR($B239="",$E239="",$F239=""),0,MAX(0,MIN($F239,EOMONTH(DATE(cfg_FY,7,1),0))-MAX($E239,DATE(cfg_FY,7,1))+1)*(1-IF($M239="نعم",0,N($J239))))</f>
        <v>0</v>
      </c>
      <c r="AC239" s="110" t="n">
        <f aca="false">IF(OR($B239="",$E239="",$F239=""),0,MAX(0,MIN($F239,EOMONTH(DATE(cfg_FY,8,1),0))-MAX($E239,DATE(cfg_FY,8,1))+1)*(1-IF($M239="نعم",0,N($J239))))</f>
        <v>0</v>
      </c>
      <c r="AD239" s="110" t="n">
        <f aca="false">IF(OR($B239="",$E239="",$F239=""),0,MAX(0,MIN($F239,EOMONTH(DATE(cfg_FY,9,1),0))-MAX($E239,DATE(cfg_FY,9,1))+1)*(1-IF($M239="نعم",0,N($J239))))</f>
        <v>0</v>
      </c>
      <c r="AE239" s="110" t="n">
        <f aca="false">IF(OR($B239="",$E239="",$F239=""),0,MAX(0,MIN($F239,EOMONTH(DATE(cfg_FY,10,1),0))-MAX($E239,DATE(cfg_FY,10,1))+1)*(1-IF($M239="نعم",0,N($J239))))</f>
        <v>0</v>
      </c>
      <c r="AF239" s="110" t="n">
        <f aca="false">IF(OR($B239="",$E239="",$F239=""),0,MAX(0,MIN($F239,EOMONTH(DATE(cfg_FY,11,1),0))-MAX($E239,DATE(cfg_FY,11,1))+1)*(1-IF($M239="نعم",0,N($J239))))</f>
        <v>0</v>
      </c>
      <c r="AG239" s="110" t="n">
        <f aca="false">IF(OR($B239="",$E239="",$F239=""),0,MAX(0,MIN($F239,EOMONTH(DATE(cfg_FY,12,1),0))-MAX($E239,DATE(cfg_FY,12,1))+1)*(1-IF($M239="نعم",0,N($J239))))</f>
        <v>0</v>
      </c>
      <c r="AH239" s="110" t="n">
        <f aca="false">IF(OR(OR($B239="",$E239="",$F239=""),$L239&lt;&gt;"لا"),0,MAX(0,MIN($F239,EOMONTH(DATE(cfg_FY,1,1),0))-$E239+1))</f>
        <v>0</v>
      </c>
      <c r="AI239" s="110" t="n">
        <f aca="false">IF(OR(OR($B239="",$E239="",$F239=""),$L239&lt;&gt;"لا"),0,MAX(0,MIN($F239,EOMONTH(DATE(cfg_FY,2,1),0))-$E239+1))</f>
        <v>0</v>
      </c>
      <c r="AJ239" s="110" t="n">
        <f aca="false">IF(OR(OR($B239="",$E239="",$F239=""),$L239&lt;&gt;"لا"),0,MAX(0,MIN($F239,EOMONTH(DATE(cfg_FY,3,1),0))-$E239+1))</f>
        <v>0</v>
      </c>
      <c r="AK239" s="110" t="n">
        <f aca="false">IF(OR(OR($B239="",$E239="",$F239=""),$L239&lt;&gt;"لا"),0,MAX(0,MIN($F239,EOMONTH(DATE(cfg_FY,4,1),0))-$E239+1))</f>
        <v>0</v>
      </c>
      <c r="AL239" s="110" t="n">
        <f aca="false">IF(OR(OR($B239="",$E239="",$F239=""),$L239&lt;&gt;"لا"),0,MAX(0,MIN($F239,EOMONTH(DATE(cfg_FY,5,1),0))-$E239+1))</f>
        <v>0</v>
      </c>
      <c r="AM239" s="110" t="n">
        <f aca="false">IF(OR(OR($B239="",$E239="",$F239=""),$L239&lt;&gt;"لا"),0,MAX(0,MIN($F239,EOMONTH(DATE(cfg_FY,6,1),0))-$E239+1))</f>
        <v>0</v>
      </c>
      <c r="AN239" s="110" t="n">
        <f aca="false">IF(OR(OR($B239="",$E239="",$F239=""),$L239&lt;&gt;"لا"),0,MAX(0,MIN($F239,EOMONTH(DATE(cfg_FY,7,1),0))-$E239+1))</f>
        <v>0</v>
      </c>
      <c r="AO239" s="110" t="n">
        <f aca="false">IF(OR(OR($B239="",$E239="",$F239=""),$L239&lt;&gt;"لا"),0,MAX(0,MIN($F239,EOMONTH(DATE(cfg_FY,8,1),0))-$E239+1))</f>
        <v>0</v>
      </c>
      <c r="AP239" s="110" t="n">
        <f aca="false">IF(OR(OR($B239="",$E239="",$F239=""),$L239&lt;&gt;"لا"),0,MAX(0,MIN($F239,EOMONTH(DATE(cfg_FY,9,1),0))-$E239+1))</f>
        <v>0</v>
      </c>
      <c r="AQ239" s="110" t="n">
        <f aca="false">IF(OR(OR($B239="",$E239="",$F239=""),$L239&lt;&gt;"لا"),0,MAX(0,MIN($F239,EOMONTH(DATE(cfg_FY,10,1),0))-$E239+1))</f>
        <v>0</v>
      </c>
      <c r="AR239" s="110" t="n">
        <f aca="false">IF(OR(OR($B239="",$E239="",$F239=""),$L239&lt;&gt;"لا"),0,MAX(0,MIN($F239,EOMONTH(DATE(cfg_FY,11,1),0))-$E239+1))</f>
        <v>0</v>
      </c>
      <c r="AS239" s="110" t="n">
        <f aca="false">IF(OR(OR($B239="",$E239="",$F239=""),$L239&lt;&gt;"لا"),0,MAX(0,MIN($F239,EOMONTH(DATE(cfg_FY,12,1),0))-$E239+1))</f>
        <v>0</v>
      </c>
      <c r="AT239" s="110" t="n">
        <f aca="false">IF(OR(OR($B239="",$E239="",$F239=""),$K239&lt;&gt;"نعم",$M239="نعم"),0,MAX(0,MIN($F239,EOMONTH(DATE(cfg_FY,1,1),0))-MAX($E239,DATE(cfg_FY,1,1))+1))</f>
        <v>0</v>
      </c>
      <c r="AU239" s="110" t="n">
        <f aca="false">IF(OR(OR($B239="",$E239="",$F239=""),$K239&lt;&gt;"نعم",$M239="نعم"),0,MAX(0,MIN($F239,EOMONTH(DATE(cfg_FY,2,1),0))-MAX($E239,DATE(cfg_FY,2,1))+1))</f>
        <v>0</v>
      </c>
      <c r="AV239" s="110" t="n">
        <f aca="false">IF(OR(OR($B239="",$E239="",$F239=""),$K239&lt;&gt;"نعم",$M239="نعم"),0,MAX(0,MIN($F239,EOMONTH(DATE(cfg_FY,3,1),0))-MAX($E239,DATE(cfg_FY,3,1))+1))</f>
        <v>0</v>
      </c>
      <c r="AW239" s="110" t="n">
        <f aca="false">IF(OR(OR($B239="",$E239="",$F239=""),$K239&lt;&gt;"نعم",$M239="نعم"),0,MAX(0,MIN($F239,EOMONTH(DATE(cfg_FY,4,1),0))-MAX($E239,DATE(cfg_FY,4,1))+1))</f>
        <v>0</v>
      </c>
      <c r="AX239" s="110" t="n">
        <f aca="false">IF(OR(OR($B239="",$E239="",$F239=""),$K239&lt;&gt;"نعم",$M239="نعم"),0,MAX(0,MIN($F239,EOMONTH(DATE(cfg_FY,5,1),0))-MAX($E239,DATE(cfg_FY,5,1))+1))</f>
        <v>0</v>
      </c>
      <c r="AY239" s="110" t="n">
        <f aca="false">IF(OR(OR($B239="",$E239="",$F239=""),$K239&lt;&gt;"نعم",$M239="نعم"),0,MAX(0,MIN($F239,EOMONTH(DATE(cfg_FY,6,1),0))-MAX($E239,DATE(cfg_FY,6,1))+1))</f>
        <v>0</v>
      </c>
      <c r="AZ239" s="110" t="n">
        <f aca="false">IF(OR(OR($B239="",$E239="",$F239=""),$K239&lt;&gt;"نعم",$M239="نعم"),0,MAX(0,MIN($F239,EOMONTH(DATE(cfg_FY,7,1),0))-MAX($E239,DATE(cfg_FY,7,1))+1))</f>
        <v>0</v>
      </c>
      <c r="BA239" s="110" t="n">
        <f aca="false">IF(OR(OR($B239="",$E239="",$F239=""),$K239&lt;&gt;"نعم",$M239="نعم"),0,MAX(0,MIN($F239,EOMONTH(DATE(cfg_FY,8,1),0))-MAX($E239,DATE(cfg_FY,8,1))+1))</f>
        <v>0</v>
      </c>
      <c r="BB239" s="110" t="n">
        <f aca="false">IF(OR(OR($B239="",$E239="",$F239=""),$K239&lt;&gt;"نعم",$M239="نعم"),0,MAX(0,MIN($F239,EOMONTH(DATE(cfg_FY,9,1),0))-MAX($E239,DATE(cfg_FY,9,1))+1))</f>
        <v>0</v>
      </c>
      <c r="BC239" s="110" t="n">
        <f aca="false">IF(OR(OR($B239="",$E239="",$F239=""),$K239&lt;&gt;"نعم",$M239="نعم"),0,MAX(0,MIN($F239,EOMONTH(DATE(cfg_FY,10,1),0))-MAX($E239,DATE(cfg_FY,10,1))+1))</f>
        <v>0</v>
      </c>
      <c r="BD239" s="110" t="n">
        <f aca="false">IF(OR(OR($B239="",$E239="",$F239=""),$K239&lt;&gt;"نعم",$M239="نعم"),0,MAX(0,MIN($F239,EOMONTH(DATE(cfg_FY,11,1),0))-MAX($E239,DATE(cfg_FY,11,1))+1))</f>
        <v>0</v>
      </c>
      <c r="BE239" s="110" t="n">
        <f aca="false">IF(OR(OR($B239="",$E239="",$F239=""),$K239&lt;&gt;"نعم",$M239="نعم"),0,MAX(0,MIN($F239,EOMONTH(DATE(cfg_FY,12,1),0))-MAX($E239,DATE(cfg_FY,12,1))+1))</f>
        <v>0</v>
      </c>
    </row>
    <row r="240" customFormat="false" ht="15" hidden="false" customHeight="false" outlineLevel="0" collapsed="false">
      <c r="A240" s="93" t="str">
        <f aca="false">IF(B240="","",ROW()-5)</f>
        <v/>
      </c>
      <c r="B240" s="79"/>
      <c r="C240" s="80" t="str">
        <f aca="false">IF(B240="","",IFERROR(INDEX(الموظفون!$C$6:$C$105,MATCH(B240,الموظفون!$B$6:$B$105,0)),"✖ رقم غير موجود"))</f>
        <v/>
      </c>
      <c r="D240" s="79"/>
      <c r="E240" s="94"/>
      <c r="F240" s="94"/>
      <c r="G240" s="57" t="str">
        <f aca="false">IF(OR($B240="",$E240="",$F240=""),"",MAX(0,F240-E240+1))</f>
        <v/>
      </c>
      <c r="H240" s="58" t="str">
        <f aca="false">IF(D240="","",IFERROR(VLOOKUP(D240,cfg_LT,2,FALSE()),1))</f>
        <v/>
      </c>
      <c r="I240" s="82"/>
      <c r="J240" s="58" t="str">
        <f aca="false">IF(D240="","",IF(I240&lt;&gt;"",I240,H240))</f>
        <v/>
      </c>
      <c r="K240" s="80" t="str">
        <f aca="false">IF(D240="","",IFERROR(VLOOKUP($D240,cfg_LT,3,FALSE()),""))</f>
        <v/>
      </c>
      <c r="L240" s="80" t="str">
        <f aca="false">IF(D240="","",IFERROR(VLOOKUP($D240,cfg_LT,4,FALSE()),""))</f>
        <v/>
      </c>
      <c r="M240" s="80" t="str">
        <f aca="false">IF(D240="","",IFERROR(VLOOKUP($D240,cfg_LT,5,FALSE()),""))</f>
        <v/>
      </c>
      <c r="N240" s="97" t="n">
        <f aca="false">IF(OR(OR($B240="",$E240="",$F240=""),M240&lt;&gt;"نعم"),0,G240*J240*IFERROR(INDEX(الموظفون!$R$6:$R$105,MATCH(B240,الموظفون!$B$6:$B$105,0)),0)/cfg_DAYS_M)</f>
        <v>0</v>
      </c>
      <c r="O240" s="93" t="str">
        <f aca="false">IF(OR(OR($B240="",$E240="",$F240=""),M240&lt;&gt;"نعم"),"",IF(YEAR(E240)=cfg_FY,MONTH(E240),""))</f>
        <v/>
      </c>
      <c r="P240" s="80" t="str">
        <f aca="false">IF(B240="","",IF(OR(D240="",E240="",F240=""),"⚠ أكمل النوع والتواريخ",IF(F240&lt;E240,"✖ النهاية قبل البداية",IF(COUNTIFS($B$6:$B$505,B240,$E$6:$E$505,"&lt;="&amp;F240,$F$6:$F$505,"&gt;="&amp;E240)&gt;1,"⚠ تداخل مع سجل آخر",IF(E240&gt;cfg_VAL_DATE,"⏳ قادمة",IF(F240&lt;cfg_VAL_DATE,"✔ منتهية","✈ جارية في تاريخ التقرير"))))))</f>
        <v/>
      </c>
      <c r="Q240" s="79"/>
      <c r="R240" s="57" t="n">
        <f aca="false">IF(OR(OR($B240="",$E240="",$F240=""),L240&lt;&gt;"لا"),0,MAX(0,MIN(F240,cfg_Y_START-1)-E240+1))</f>
        <v>0</v>
      </c>
      <c r="S240" s="57" t="n">
        <f aca="false">IF(OR(OR($B240="",$E240="",$F240=""),L240&lt;&gt;"لا"),0,MAX(0,MIN(F240,cfg_VAL_DATE)-E240+1))</f>
        <v>0</v>
      </c>
      <c r="T240" s="57" t="n">
        <f aca="false">IF(OR(OR($B240="",$E240="",$F240=""),K240&lt;&gt;"نعم"),0,IF(M240="نعم",IF(AND(ISNUMBER(O240),N(O240)&lt;=cfg_VAL_M),G240,0),MAX(0,MIN(F240,cfg_VAL_DATE)-MAX(E240,cfg_Y_START)+1)))</f>
        <v>0</v>
      </c>
      <c r="V240" s="57" t="n">
        <f aca="false">IF(OR($B240="",$E240="",$F240=""),0,MAX(0,MIN($F240,EOMONTH(DATE(cfg_FY,1,1),0))-MAX($E240,DATE(cfg_FY,1,1))+1)*(1-IF($M240="نعم",0,N($J240))))</f>
        <v>0</v>
      </c>
      <c r="W240" s="57" t="n">
        <f aca="false">IF(OR($B240="",$E240="",$F240=""),0,MAX(0,MIN($F240,EOMONTH(DATE(cfg_FY,2,1),0))-MAX($E240,DATE(cfg_FY,2,1))+1)*(1-IF($M240="نعم",0,N($J240))))</f>
        <v>0</v>
      </c>
      <c r="X240" s="57" t="n">
        <f aca="false">IF(OR($B240="",$E240="",$F240=""),0,MAX(0,MIN($F240,EOMONTH(DATE(cfg_FY,3,1),0))-MAX($E240,DATE(cfg_FY,3,1))+1)*(1-IF($M240="نعم",0,N($J240))))</f>
        <v>0</v>
      </c>
      <c r="Y240" s="57" t="n">
        <f aca="false">IF(OR($B240="",$E240="",$F240=""),0,MAX(0,MIN($F240,EOMONTH(DATE(cfg_FY,4,1),0))-MAX($E240,DATE(cfg_FY,4,1))+1)*(1-IF($M240="نعم",0,N($J240))))</f>
        <v>0</v>
      </c>
      <c r="Z240" s="57" t="n">
        <f aca="false">IF(OR($B240="",$E240="",$F240=""),0,MAX(0,MIN($F240,EOMONTH(DATE(cfg_FY,5,1),0))-MAX($E240,DATE(cfg_FY,5,1))+1)*(1-IF($M240="نعم",0,N($J240))))</f>
        <v>0</v>
      </c>
      <c r="AA240" s="57" t="n">
        <f aca="false">IF(OR($B240="",$E240="",$F240=""),0,MAX(0,MIN($F240,EOMONTH(DATE(cfg_FY,6,1),0))-MAX($E240,DATE(cfg_FY,6,1))+1)*(1-IF($M240="نعم",0,N($J240))))</f>
        <v>0</v>
      </c>
      <c r="AB240" s="57" t="n">
        <f aca="false">IF(OR($B240="",$E240="",$F240=""),0,MAX(0,MIN($F240,EOMONTH(DATE(cfg_FY,7,1),0))-MAX($E240,DATE(cfg_FY,7,1))+1)*(1-IF($M240="نعم",0,N($J240))))</f>
        <v>0</v>
      </c>
      <c r="AC240" s="57" t="n">
        <f aca="false">IF(OR($B240="",$E240="",$F240=""),0,MAX(0,MIN($F240,EOMONTH(DATE(cfg_FY,8,1),0))-MAX($E240,DATE(cfg_FY,8,1))+1)*(1-IF($M240="نعم",0,N($J240))))</f>
        <v>0</v>
      </c>
      <c r="AD240" s="57" t="n">
        <f aca="false">IF(OR($B240="",$E240="",$F240=""),0,MAX(0,MIN($F240,EOMONTH(DATE(cfg_FY,9,1),0))-MAX($E240,DATE(cfg_FY,9,1))+1)*(1-IF($M240="نعم",0,N($J240))))</f>
        <v>0</v>
      </c>
      <c r="AE240" s="57" t="n">
        <f aca="false">IF(OR($B240="",$E240="",$F240=""),0,MAX(0,MIN($F240,EOMONTH(DATE(cfg_FY,10,1),0))-MAX($E240,DATE(cfg_FY,10,1))+1)*(1-IF($M240="نعم",0,N($J240))))</f>
        <v>0</v>
      </c>
      <c r="AF240" s="57" t="n">
        <f aca="false">IF(OR($B240="",$E240="",$F240=""),0,MAX(0,MIN($F240,EOMONTH(DATE(cfg_FY,11,1),0))-MAX($E240,DATE(cfg_FY,11,1))+1)*(1-IF($M240="نعم",0,N($J240))))</f>
        <v>0</v>
      </c>
      <c r="AG240" s="57" t="n">
        <f aca="false">IF(OR($B240="",$E240="",$F240=""),0,MAX(0,MIN($F240,EOMONTH(DATE(cfg_FY,12,1),0))-MAX($E240,DATE(cfg_FY,12,1))+1)*(1-IF($M240="نعم",0,N($J240))))</f>
        <v>0</v>
      </c>
      <c r="AH240" s="57" t="n">
        <f aca="false">IF(OR(OR($B240="",$E240="",$F240=""),$L240&lt;&gt;"لا"),0,MAX(0,MIN($F240,EOMONTH(DATE(cfg_FY,1,1),0))-$E240+1))</f>
        <v>0</v>
      </c>
      <c r="AI240" s="57" t="n">
        <f aca="false">IF(OR(OR($B240="",$E240="",$F240=""),$L240&lt;&gt;"لا"),0,MAX(0,MIN($F240,EOMONTH(DATE(cfg_FY,2,1),0))-$E240+1))</f>
        <v>0</v>
      </c>
      <c r="AJ240" s="57" t="n">
        <f aca="false">IF(OR(OR($B240="",$E240="",$F240=""),$L240&lt;&gt;"لا"),0,MAX(0,MIN($F240,EOMONTH(DATE(cfg_FY,3,1),0))-$E240+1))</f>
        <v>0</v>
      </c>
      <c r="AK240" s="57" t="n">
        <f aca="false">IF(OR(OR($B240="",$E240="",$F240=""),$L240&lt;&gt;"لا"),0,MAX(0,MIN($F240,EOMONTH(DATE(cfg_FY,4,1),0))-$E240+1))</f>
        <v>0</v>
      </c>
      <c r="AL240" s="57" t="n">
        <f aca="false">IF(OR(OR($B240="",$E240="",$F240=""),$L240&lt;&gt;"لا"),0,MAX(0,MIN($F240,EOMONTH(DATE(cfg_FY,5,1),0))-$E240+1))</f>
        <v>0</v>
      </c>
      <c r="AM240" s="57" t="n">
        <f aca="false">IF(OR(OR($B240="",$E240="",$F240=""),$L240&lt;&gt;"لا"),0,MAX(0,MIN($F240,EOMONTH(DATE(cfg_FY,6,1),0))-$E240+1))</f>
        <v>0</v>
      </c>
      <c r="AN240" s="57" t="n">
        <f aca="false">IF(OR(OR($B240="",$E240="",$F240=""),$L240&lt;&gt;"لا"),0,MAX(0,MIN($F240,EOMONTH(DATE(cfg_FY,7,1),0))-$E240+1))</f>
        <v>0</v>
      </c>
      <c r="AO240" s="57" t="n">
        <f aca="false">IF(OR(OR($B240="",$E240="",$F240=""),$L240&lt;&gt;"لا"),0,MAX(0,MIN($F240,EOMONTH(DATE(cfg_FY,8,1),0))-$E240+1))</f>
        <v>0</v>
      </c>
      <c r="AP240" s="57" t="n">
        <f aca="false">IF(OR(OR($B240="",$E240="",$F240=""),$L240&lt;&gt;"لا"),0,MAX(0,MIN($F240,EOMONTH(DATE(cfg_FY,9,1),0))-$E240+1))</f>
        <v>0</v>
      </c>
      <c r="AQ240" s="57" t="n">
        <f aca="false">IF(OR(OR($B240="",$E240="",$F240=""),$L240&lt;&gt;"لا"),0,MAX(0,MIN($F240,EOMONTH(DATE(cfg_FY,10,1),0))-$E240+1))</f>
        <v>0</v>
      </c>
      <c r="AR240" s="57" t="n">
        <f aca="false">IF(OR(OR($B240="",$E240="",$F240=""),$L240&lt;&gt;"لا"),0,MAX(0,MIN($F240,EOMONTH(DATE(cfg_FY,11,1),0))-$E240+1))</f>
        <v>0</v>
      </c>
      <c r="AS240" s="57" t="n">
        <f aca="false">IF(OR(OR($B240="",$E240="",$F240=""),$L240&lt;&gt;"لا"),0,MAX(0,MIN($F240,EOMONTH(DATE(cfg_FY,12,1),0))-$E240+1))</f>
        <v>0</v>
      </c>
      <c r="AT240" s="57" t="n">
        <f aca="false">IF(OR(OR($B240="",$E240="",$F240=""),$K240&lt;&gt;"نعم",$M240="نعم"),0,MAX(0,MIN($F240,EOMONTH(DATE(cfg_FY,1,1),0))-MAX($E240,DATE(cfg_FY,1,1))+1))</f>
        <v>0</v>
      </c>
      <c r="AU240" s="57" t="n">
        <f aca="false">IF(OR(OR($B240="",$E240="",$F240=""),$K240&lt;&gt;"نعم",$M240="نعم"),0,MAX(0,MIN($F240,EOMONTH(DATE(cfg_FY,2,1),0))-MAX($E240,DATE(cfg_FY,2,1))+1))</f>
        <v>0</v>
      </c>
      <c r="AV240" s="57" t="n">
        <f aca="false">IF(OR(OR($B240="",$E240="",$F240=""),$K240&lt;&gt;"نعم",$M240="نعم"),0,MAX(0,MIN($F240,EOMONTH(DATE(cfg_FY,3,1),0))-MAX($E240,DATE(cfg_FY,3,1))+1))</f>
        <v>0</v>
      </c>
      <c r="AW240" s="57" t="n">
        <f aca="false">IF(OR(OR($B240="",$E240="",$F240=""),$K240&lt;&gt;"نعم",$M240="نعم"),0,MAX(0,MIN($F240,EOMONTH(DATE(cfg_FY,4,1),0))-MAX($E240,DATE(cfg_FY,4,1))+1))</f>
        <v>0</v>
      </c>
      <c r="AX240" s="57" t="n">
        <f aca="false">IF(OR(OR($B240="",$E240="",$F240=""),$K240&lt;&gt;"نعم",$M240="نعم"),0,MAX(0,MIN($F240,EOMONTH(DATE(cfg_FY,5,1),0))-MAX($E240,DATE(cfg_FY,5,1))+1))</f>
        <v>0</v>
      </c>
      <c r="AY240" s="57" t="n">
        <f aca="false">IF(OR(OR($B240="",$E240="",$F240=""),$K240&lt;&gt;"نعم",$M240="نعم"),0,MAX(0,MIN($F240,EOMONTH(DATE(cfg_FY,6,1),0))-MAX($E240,DATE(cfg_FY,6,1))+1))</f>
        <v>0</v>
      </c>
      <c r="AZ240" s="57" t="n">
        <f aca="false">IF(OR(OR($B240="",$E240="",$F240=""),$K240&lt;&gt;"نعم",$M240="نعم"),0,MAX(0,MIN($F240,EOMONTH(DATE(cfg_FY,7,1),0))-MAX($E240,DATE(cfg_FY,7,1))+1))</f>
        <v>0</v>
      </c>
      <c r="BA240" s="57" t="n">
        <f aca="false">IF(OR(OR($B240="",$E240="",$F240=""),$K240&lt;&gt;"نعم",$M240="نعم"),0,MAX(0,MIN($F240,EOMONTH(DATE(cfg_FY,8,1),0))-MAX($E240,DATE(cfg_FY,8,1))+1))</f>
        <v>0</v>
      </c>
      <c r="BB240" s="57" t="n">
        <f aca="false">IF(OR(OR($B240="",$E240="",$F240=""),$K240&lt;&gt;"نعم",$M240="نعم"),0,MAX(0,MIN($F240,EOMONTH(DATE(cfg_FY,9,1),0))-MAX($E240,DATE(cfg_FY,9,1))+1))</f>
        <v>0</v>
      </c>
      <c r="BC240" s="57" t="n">
        <f aca="false">IF(OR(OR($B240="",$E240="",$F240=""),$K240&lt;&gt;"نعم",$M240="نعم"),0,MAX(0,MIN($F240,EOMONTH(DATE(cfg_FY,10,1),0))-MAX($E240,DATE(cfg_FY,10,1))+1))</f>
        <v>0</v>
      </c>
      <c r="BD240" s="57" t="n">
        <f aca="false">IF(OR(OR($B240="",$E240="",$F240=""),$K240&lt;&gt;"نعم",$M240="نعم"),0,MAX(0,MIN($F240,EOMONTH(DATE(cfg_FY,11,1),0))-MAX($E240,DATE(cfg_FY,11,1))+1))</f>
        <v>0</v>
      </c>
      <c r="BE240" s="57" t="n">
        <f aca="false">IF(OR(OR($B240="",$E240="",$F240=""),$K240&lt;&gt;"نعم",$M240="نعم"),0,MAX(0,MIN($F240,EOMONTH(DATE(cfg_FY,12,1),0))-MAX($E240,DATE(cfg_FY,12,1))+1))</f>
        <v>0</v>
      </c>
    </row>
    <row r="241" customFormat="false" ht="15" hidden="false" customHeight="false" outlineLevel="0" collapsed="false">
      <c r="A241" s="100" t="str">
        <f aca="false">IF(B241="","",ROW()-5)</f>
        <v/>
      </c>
      <c r="B241" s="79"/>
      <c r="C241" s="102" t="str">
        <f aca="false">IF(B241="","",IFERROR(INDEX(الموظفون!$C$6:$C$105,MATCH(B241,الموظفون!$B$6:$B$105,0)),"✖ رقم غير موجود"))</f>
        <v/>
      </c>
      <c r="D241" s="79"/>
      <c r="E241" s="94"/>
      <c r="F241" s="94"/>
      <c r="G241" s="110" t="str">
        <f aca="false">IF(OR($B241="",$E241="",$F241=""),"",MAX(0,F241-E241+1))</f>
        <v/>
      </c>
      <c r="H241" s="111" t="str">
        <f aca="false">IF(D241="","",IFERROR(VLOOKUP(D241,cfg_LT,2,FALSE()),1))</f>
        <v/>
      </c>
      <c r="I241" s="82"/>
      <c r="J241" s="111" t="str">
        <f aca="false">IF(D241="","",IF(I241&lt;&gt;"",I241,H241))</f>
        <v/>
      </c>
      <c r="K241" s="102" t="str">
        <f aca="false">IF(D241="","",IFERROR(VLOOKUP($D241,cfg_LT,3,FALSE()),""))</f>
        <v/>
      </c>
      <c r="L241" s="102" t="str">
        <f aca="false">IF(D241="","",IFERROR(VLOOKUP($D241,cfg_LT,4,FALSE()),""))</f>
        <v/>
      </c>
      <c r="M241" s="102" t="str">
        <f aca="false">IF(D241="","",IFERROR(VLOOKUP($D241,cfg_LT,5,FALSE()),""))</f>
        <v/>
      </c>
      <c r="N241" s="101" t="n">
        <f aca="false">IF(OR(OR($B241="",$E241="",$F241=""),M241&lt;&gt;"نعم"),0,G241*J241*IFERROR(INDEX(الموظفون!$R$6:$R$105,MATCH(B241,الموظفون!$B$6:$B$105,0)),0)/cfg_DAYS_M)</f>
        <v>0</v>
      </c>
      <c r="O241" s="100" t="str">
        <f aca="false">IF(OR(OR($B241="",$E241="",$F241=""),M241&lt;&gt;"نعم"),"",IF(YEAR(E241)=cfg_FY,MONTH(E241),""))</f>
        <v/>
      </c>
      <c r="P241" s="102" t="str">
        <f aca="false">IF(B241="","",IF(OR(D241="",E241="",F241=""),"⚠ أكمل النوع والتواريخ",IF(F241&lt;E241,"✖ النهاية قبل البداية",IF(COUNTIFS($B$6:$B$505,B241,$E$6:$E$505,"&lt;="&amp;F241,$F$6:$F$505,"&gt;="&amp;E241)&gt;1,"⚠ تداخل مع سجل آخر",IF(E241&gt;cfg_VAL_DATE,"⏳ قادمة",IF(F241&lt;cfg_VAL_DATE,"✔ منتهية","✈ جارية في تاريخ التقرير"))))))</f>
        <v/>
      </c>
      <c r="Q241" s="79"/>
      <c r="R241" s="110" t="n">
        <f aca="false">IF(OR(OR($B241="",$E241="",$F241=""),L241&lt;&gt;"لا"),0,MAX(0,MIN(F241,cfg_Y_START-1)-E241+1))</f>
        <v>0</v>
      </c>
      <c r="S241" s="110" t="n">
        <f aca="false">IF(OR(OR($B241="",$E241="",$F241=""),L241&lt;&gt;"لا"),0,MAX(0,MIN(F241,cfg_VAL_DATE)-E241+1))</f>
        <v>0</v>
      </c>
      <c r="T241" s="110" t="n">
        <f aca="false">IF(OR(OR($B241="",$E241="",$F241=""),K241&lt;&gt;"نعم"),0,IF(M241="نعم",IF(AND(ISNUMBER(O241),N(O241)&lt;=cfg_VAL_M),G241,0),MAX(0,MIN(F241,cfg_VAL_DATE)-MAX(E241,cfg_Y_START)+1)))</f>
        <v>0</v>
      </c>
      <c r="V241" s="110" t="n">
        <f aca="false">IF(OR($B241="",$E241="",$F241=""),0,MAX(0,MIN($F241,EOMONTH(DATE(cfg_FY,1,1),0))-MAX($E241,DATE(cfg_FY,1,1))+1)*(1-IF($M241="نعم",0,N($J241))))</f>
        <v>0</v>
      </c>
      <c r="W241" s="110" t="n">
        <f aca="false">IF(OR($B241="",$E241="",$F241=""),0,MAX(0,MIN($F241,EOMONTH(DATE(cfg_FY,2,1),0))-MAX($E241,DATE(cfg_FY,2,1))+1)*(1-IF($M241="نعم",0,N($J241))))</f>
        <v>0</v>
      </c>
      <c r="X241" s="110" t="n">
        <f aca="false">IF(OR($B241="",$E241="",$F241=""),0,MAX(0,MIN($F241,EOMONTH(DATE(cfg_FY,3,1),0))-MAX($E241,DATE(cfg_FY,3,1))+1)*(1-IF($M241="نعم",0,N($J241))))</f>
        <v>0</v>
      </c>
      <c r="Y241" s="110" t="n">
        <f aca="false">IF(OR($B241="",$E241="",$F241=""),0,MAX(0,MIN($F241,EOMONTH(DATE(cfg_FY,4,1),0))-MAX($E241,DATE(cfg_FY,4,1))+1)*(1-IF($M241="نعم",0,N($J241))))</f>
        <v>0</v>
      </c>
      <c r="Z241" s="110" t="n">
        <f aca="false">IF(OR($B241="",$E241="",$F241=""),0,MAX(0,MIN($F241,EOMONTH(DATE(cfg_FY,5,1),0))-MAX($E241,DATE(cfg_FY,5,1))+1)*(1-IF($M241="نعم",0,N($J241))))</f>
        <v>0</v>
      </c>
      <c r="AA241" s="110" t="n">
        <f aca="false">IF(OR($B241="",$E241="",$F241=""),0,MAX(0,MIN($F241,EOMONTH(DATE(cfg_FY,6,1),0))-MAX($E241,DATE(cfg_FY,6,1))+1)*(1-IF($M241="نعم",0,N($J241))))</f>
        <v>0</v>
      </c>
      <c r="AB241" s="110" t="n">
        <f aca="false">IF(OR($B241="",$E241="",$F241=""),0,MAX(0,MIN($F241,EOMONTH(DATE(cfg_FY,7,1),0))-MAX($E241,DATE(cfg_FY,7,1))+1)*(1-IF($M241="نعم",0,N($J241))))</f>
        <v>0</v>
      </c>
      <c r="AC241" s="110" t="n">
        <f aca="false">IF(OR($B241="",$E241="",$F241=""),0,MAX(0,MIN($F241,EOMONTH(DATE(cfg_FY,8,1),0))-MAX($E241,DATE(cfg_FY,8,1))+1)*(1-IF($M241="نعم",0,N($J241))))</f>
        <v>0</v>
      </c>
      <c r="AD241" s="110" t="n">
        <f aca="false">IF(OR($B241="",$E241="",$F241=""),0,MAX(0,MIN($F241,EOMONTH(DATE(cfg_FY,9,1),0))-MAX($E241,DATE(cfg_FY,9,1))+1)*(1-IF($M241="نعم",0,N($J241))))</f>
        <v>0</v>
      </c>
      <c r="AE241" s="110" t="n">
        <f aca="false">IF(OR($B241="",$E241="",$F241=""),0,MAX(0,MIN($F241,EOMONTH(DATE(cfg_FY,10,1),0))-MAX($E241,DATE(cfg_FY,10,1))+1)*(1-IF($M241="نعم",0,N($J241))))</f>
        <v>0</v>
      </c>
      <c r="AF241" s="110" t="n">
        <f aca="false">IF(OR($B241="",$E241="",$F241=""),0,MAX(0,MIN($F241,EOMONTH(DATE(cfg_FY,11,1),0))-MAX($E241,DATE(cfg_FY,11,1))+1)*(1-IF($M241="نعم",0,N($J241))))</f>
        <v>0</v>
      </c>
      <c r="AG241" s="110" t="n">
        <f aca="false">IF(OR($B241="",$E241="",$F241=""),0,MAX(0,MIN($F241,EOMONTH(DATE(cfg_FY,12,1),0))-MAX($E241,DATE(cfg_FY,12,1))+1)*(1-IF($M241="نعم",0,N($J241))))</f>
        <v>0</v>
      </c>
      <c r="AH241" s="110" t="n">
        <f aca="false">IF(OR(OR($B241="",$E241="",$F241=""),$L241&lt;&gt;"لا"),0,MAX(0,MIN($F241,EOMONTH(DATE(cfg_FY,1,1),0))-$E241+1))</f>
        <v>0</v>
      </c>
      <c r="AI241" s="110" t="n">
        <f aca="false">IF(OR(OR($B241="",$E241="",$F241=""),$L241&lt;&gt;"لا"),0,MAX(0,MIN($F241,EOMONTH(DATE(cfg_FY,2,1),0))-$E241+1))</f>
        <v>0</v>
      </c>
      <c r="AJ241" s="110" t="n">
        <f aca="false">IF(OR(OR($B241="",$E241="",$F241=""),$L241&lt;&gt;"لا"),0,MAX(0,MIN($F241,EOMONTH(DATE(cfg_FY,3,1),0))-$E241+1))</f>
        <v>0</v>
      </c>
      <c r="AK241" s="110" t="n">
        <f aca="false">IF(OR(OR($B241="",$E241="",$F241=""),$L241&lt;&gt;"لا"),0,MAX(0,MIN($F241,EOMONTH(DATE(cfg_FY,4,1),0))-$E241+1))</f>
        <v>0</v>
      </c>
      <c r="AL241" s="110" t="n">
        <f aca="false">IF(OR(OR($B241="",$E241="",$F241=""),$L241&lt;&gt;"لا"),0,MAX(0,MIN($F241,EOMONTH(DATE(cfg_FY,5,1),0))-$E241+1))</f>
        <v>0</v>
      </c>
      <c r="AM241" s="110" t="n">
        <f aca="false">IF(OR(OR($B241="",$E241="",$F241=""),$L241&lt;&gt;"لا"),0,MAX(0,MIN($F241,EOMONTH(DATE(cfg_FY,6,1),0))-$E241+1))</f>
        <v>0</v>
      </c>
      <c r="AN241" s="110" t="n">
        <f aca="false">IF(OR(OR($B241="",$E241="",$F241=""),$L241&lt;&gt;"لا"),0,MAX(0,MIN($F241,EOMONTH(DATE(cfg_FY,7,1),0))-$E241+1))</f>
        <v>0</v>
      </c>
      <c r="AO241" s="110" t="n">
        <f aca="false">IF(OR(OR($B241="",$E241="",$F241=""),$L241&lt;&gt;"لا"),0,MAX(0,MIN($F241,EOMONTH(DATE(cfg_FY,8,1),0))-$E241+1))</f>
        <v>0</v>
      </c>
      <c r="AP241" s="110" t="n">
        <f aca="false">IF(OR(OR($B241="",$E241="",$F241=""),$L241&lt;&gt;"لا"),0,MAX(0,MIN($F241,EOMONTH(DATE(cfg_FY,9,1),0))-$E241+1))</f>
        <v>0</v>
      </c>
      <c r="AQ241" s="110" t="n">
        <f aca="false">IF(OR(OR($B241="",$E241="",$F241=""),$L241&lt;&gt;"لا"),0,MAX(0,MIN($F241,EOMONTH(DATE(cfg_FY,10,1),0))-$E241+1))</f>
        <v>0</v>
      </c>
      <c r="AR241" s="110" t="n">
        <f aca="false">IF(OR(OR($B241="",$E241="",$F241=""),$L241&lt;&gt;"لا"),0,MAX(0,MIN($F241,EOMONTH(DATE(cfg_FY,11,1),0))-$E241+1))</f>
        <v>0</v>
      </c>
      <c r="AS241" s="110" t="n">
        <f aca="false">IF(OR(OR($B241="",$E241="",$F241=""),$L241&lt;&gt;"لا"),0,MAX(0,MIN($F241,EOMONTH(DATE(cfg_FY,12,1),0))-$E241+1))</f>
        <v>0</v>
      </c>
      <c r="AT241" s="110" t="n">
        <f aca="false">IF(OR(OR($B241="",$E241="",$F241=""),$K241&lt;&gt;"نعم",$M241="نعم"),0,MAX(0,MIN($F241,EOMONTH(DATE(cfg_FY,1,1),0))-MAX($E241,DATE(cfg_FY,1,1))+1))</f>
        <v>0</v>
      </c>
      <c r="AU241" s="110" t="n">
        <f aca="false">IF(OR(OR($B241="",$E241="",$F241=""),$K241&lt;&gt;"نعم",$M241="نعم"),0,MAX(0,MIN($F241,EOMONTH(DATE(cfg_FY,2,1),0))-MAX($E241,DATE(cfg_FY,2,1))+1))</f>
        <v>0</v>
      </c>
      <c r="AV241" s="110" t="n">
        <f aca="false">IF(OR(OR($B241="",$E241="",$F241=""),$K241&lt;&gt;"نعم",$M241="نعم"),0,MAX(0,MIN($F241,EOMONTH(DATE(cfg_FY,3,1),0))-MAX($E241,DATE(cfg_FY,3,1))+1))</f>
        <v>0</v>
      </c>
      <c r="AW241" s="110" t="n">
        <f aca="false">IF(OR(OR($B241="",$E241="",$F241=""),$K241&lt;&gt;"نعم",$M241="نعم"),0,MAX(0,MIN($F241,EOMONTH(DATE(cfg_FY,4,1),0))-MAX($E241,DATE(cfg_FY,4,1))+1))</f>
        <v>0</v>
      </c>
      <c r="AX241" s="110" t="n">
        <f aca="false">IF(OR(OR($B241="",$E241="",$F241=""),$K241&lt;&gt;"نعم",$M241="نعم"),0,MAX(0,MIN($F241,EOMONTH(DATE(cfg_FY,5,1),0))-MAX($E241,DATE(cfg_FY,5,1))+1))</f>
        <v>0</v>
      </c>
      <c r="AY241" s="110" t="n">
        <f aca="false">IF(OR(OR($B241="",$E241="",$F241=""),$K241&lt;&gt;"نعم",$M241="نعم"),0,MAX(0,MIN($F241,EOMONTH(DATE(cfg_FY,6,1),0))-MAX($E241,DATE(cfg_FY,6,1))+1))</f>
        <v>0</v>
      </c>
      <c r="AZ241" s="110" t="n">
        <f aca="false">IF(OR(OR($B241="",$E241="",$F241=""),$K241&lt;&gt;"نعم",$M241="نعم"),0,MAX(0,MIN($F241,EOMONTH(DATE(cfg_FY,7,1),0))-MAX($E241,DATE(cfg_FY,7,1))+1))</f>
        <v>0</v>
      </c>
      <c r="BA241" s="110" t="n">
        <f aca="false">IF(OR(OR($B241="",$E241="",$F241=""),$K241&lt;&gt;"نعم",$M241="نعم"),0,MAX(0,MIN($F241,EOMONTH(DATE(cfg_FY,8,1),0))-MAX($E241,DATE(cfg_FY,8,1))+1))</f>
        <v>0</v>
      </c>
      <c r="BB241" s="110" t="n">
        <f aca="false">IF(OR(OR($B241="",$E241="",$F241=""),$K241&lt;&gt;"نعم",$M241="نعم"),0,MAX(0,MIN($F241,EOMONTH(DATE(cfg_FY,9,1),0))-MAX($E241,DATE(cfg_FY,9,1))+1))</f>
        <v>0</v>
      </c>
      <c r="BC241" s="110" t="n">
        <f aca="false">IF(OR(OR($B241="",$E241="",$F241=""),$K241&lt;&gt;"نعم",$M241="نعم"),0,MAX(0,MIN($F241,EOMONTH(DATE(cfg_FY,10,1),0))-MAX($E241,DATE(cfg_FY,10,1))+1))</f>
        <v>0</v>
      </c>
      <c r="BD241" s="110" t="n">
        <f aca="false">IF(OR(OR($B241="",$E241="",$F241=""),$K241&lt;&gt;"نعم",$M241="نعم"),0,MAX(0,MIN($F241,EOMONTH(DATE(cfg_FY,11,1),0))-MAX($E241,DATE(cfg_FY,11,1))+1))</f>
        <v>0</v>
      </c>
      <c r="BE241" s="110" t="n">
        <f aca="false">IF(OR(OR($B241="",$E241="",$F241=""),$K241&lt;&gt;"نعم",$M241="نعم"),0,MAX(0,MIN($F241,EOMONTH(DATE(cfg_FY,12,1),0))-MAX($E241,DATE(cfg_FY,12,1))+1))</f>
        <v>0</v>
      </c>
    </row>
    <row r="242" customFormat="false" ht="15" hidden="false" customHeight="false" outlineLevel="0" collapsed="false">
      <c r="A242" s="93" t="str">
        <f aca="false">IF(B242="","",ROW()-5)</f>
        <v/>
      </c>
      <c r="B242" s="79"/>
      <c r="C242" s="80" t="str">
        <f aca="false">IF(B242="","",IFERROR(INDEX(الموظفون!$C$6:$C$105,MATCH(B242,الموظفون!$B$6:$B$105,0)),"✖ رقم غير موجود"))</f>
        <v/>
      </c>
      <c r="D242" s="79"/>
      <c r="E242" s="94"/>
      <c r="F242" s="94"/>
      <c r="G242" s="57" t="str">
        <f aca="false">IF(OR($B242="",$E242="",$F242=""),"",MAX(0,F242-E242+1))</f>
        <v/>
      </c>
      <c r="H242" s="58" t="str">
        <f aca="false">IF(D242="","",IFERROR(VLOOKUP(D242,cfg_LT,2,FALSE()),1))</f>
        <v/>
      </c>
      <c r="I242" s="82"/>
      <c r="J242" s="58" t="str">
        <f aca="false">IF(D242="","",IF(I242&lt;&gt;"",I242,H242))</f>
        <v/>
      </c>
      <c r="K242" s="80" t="str">
        <f aca="false">IF(D242="","",IFERROR(VLOOKUP($D242,cfg_LT,3,FALSE()),""))</f>
        <v/>
      </c>
      <c r="L242" s="80" t="str">
        <f aca="false">IF(D242="","",IFERROR(VLOOKUP($D242,cfg_LT,4,FALSE()),""))</f>
        <v/>
      </c>
      <c r="M242" s="80" t="str">
        <f aca="false">IF(D242="","",IFERROR(VLOOKUP($D242,cfg_LT,5,FALSE()),""))</f>
        <v/>
      </c>
      <c r="N242" s="97" t="n">
        <f aca="false">IF(OR(OR($B242="",$E242="",$F242=""),M242&lt;&gt;"نعم"),0,G242*J242*IFERROR(INDEX(الموظفون!$R$6:$R$105,MATCH(B242,الموظفون!$B$6:$B$105,0)),0)/cfg_DAYS_M)</f>
        <v>0</v>
      </c>
      <c r="O242" s="93" t="str">
        <f aca="false">IF(OR(OR($B242="",$E242="",$F242=""),M242&lt;&gt;"نعم"),"",IF(YEAR(E242)=cfg_FY,MONTH(E242),""))</f>
        <v/>
      </c>
      <c r="P242" s="80" t="str">
        <f aca="false">IF(B242="","",IF(OR(D242="",E242="",F242=""),"⚠ أكمل النوع والتواريخ",IF(F242&lt;E242,"✖ النهاية قبل البداية",IF(COUNTIFS($B$6:$B$505,B242,$E$6:$E$505,"&lt;="&amp;F242,$F$6:$F$505,"&gt;="&amp;E242)&gt;1,"⚠ تداخل مع سجل آخر",IF(E242&gt;cfg_VAL_DATE,"⏳ قادمة",IF(F242&lt;cfg_VAL_DATE,"✔ منتهية","✈ جارية في تاريخ التقرير"))))))</f>
        <v/>
      </c>
      <c r="Q242" s="79"/>
      <c r="R242" s="57" t="n">
        <f aca="false">IF(OR(OR($B242="",$E242="",$F242=""),L242&lt;&gt;"لا"),0,MAX(0,MIN(F242,cfg_Y_START-1)-E242+1))</f>
        <v>0</v>
      </c>
      <c r="S242" s="57" t="n">
        <f aca="false">IF(OR(OR($B242="",$E242="",$F242=""),L242&lt;&gt;"لا"),0,MAX(0,MIN(F242,cfg_VAL_DATE)-E242+1))</f>
        <v>0</v>
      </c>
      <c r="T242" s="57" t="n">
        <f aca="false">IF(OR(OR($B242="",$E242="",$F242=""),K242&lt;&gt;"نعم"),0,IF(M242="نعم",IF(AND(ISNUMBER(O242),N(O242)&lt;=cfg_VAL_M),G242,0),MAX(0,MIN(F242,cfg_VAL_DATE)-MAX(E242,cfg_Y_START)+1)))</f>
        <v>0</v>
      </c>
      <c r="V242" s="57" t="n">
        <f aca="false">IF(OR($B242="",$E242="",$F242=""),0,MAX(0,MIN($F242,EOMONTH(DATE(cfg_FY,1,1),0))-MAX($E242,DATE(cfg_FY,1,1))+1)*(1-IF($M242="نعم",0,N($J242))))</f>
        <v>0</v>
      </c>
      <c r="W242" s="57" t="n">
        <f aca="false">IF(OR($B242="",$E242="",$F242=""),0,MAX(0,MIN($F242,EOMONTH(DATE(cfg_FY,2,1),0))-MAX($E242,DATE(cfg_FY,2,1))+1)*(1-IF($M242="نعم",0,N($J242))))</f>
        <v>0</v>
      </c>
      <c r="X242" s="57" t="n">
        <f aca="false">IF(OR($B242="",$E242="",$F242=""),0,MAX(0,MIN($F242,EOMONTH(DATE(cfg_FY,3,1),0))-MAX($E242,DATE(cfg_FY,3,1))+1)*(1-IF($M242="نعم",0,N($J242))))</f>
        <v>0</v>
      </c>
      <c r="Y242" s="57" t="n">
        <f aca="false">IF(OR($B242="",$E242="",$F242=""),0,MAX(0,MIN($F242,EOMONTH(DATE(cfg_FY,4,1),0))-MAX($E242,DATE(cfg_FY,4,1))+1)*(1-IF($M242="نعم",0,N($J242))))</f>
        <v>0</v>
      </c>
      <c r="Z242" s="57" t="n">
        <f aca="false">IF(OR($B242="",$E242="",$F242=""),0,MAX(0,MIN($F242,EOMONTH(DATE(cfg_FY,5,1),0))-MAX($E242,DATE(cfg_FY,5,1))+1)*(1-IF($M242="نعم",0,N($J242))))</f>
        <v>0</v>
      </c>
      <c r="AA242" s="57" t="n">
        <f aca="false">IF(OR($B242="",$E242="",$F242=""),0,MAX(0,MIN($F242,EOMONTH(DATE(cfg_FY,6,1),0))-MAX($E242,DATE(cfg_FY,6,1))+1)*(1-IF($M242="نعم",0,N($J242))))</f>
        <v>0</v>
      </c>
      <c r="AB242" s="57" t="n">
        <f aca="false">IF(OR($B242="",$E242="",$F242=""),0,MAX(0,MIN($F242,EOMONTH(DATE(cfg_FY,7,1),0))-MAX($E242,DATE(cfg_FY,7,1))+1)*(1-IF($M242="نعم",0,N($J242))))</f>
        <v>0</v>
      </c>
      <c r="AC242" s="57" t="n">
        <f aca="false">IF(OR($B242="",$E242="",$F242=""),0,MAX(0,MIN($F242,EOMONTH(DATE(cfg_FY,8,1),0))-MAX($E242,DATE(cfg_FY,8,1))+1)*(1-IF($M242="نعم",0,N($J242))))</f>
        <v>0</v>
      </c>
      <c r="AD242" s="57" t="n">
        <f aca="false">IF(OR($B242="",$E242="",$F242=""),0,MAX(0,MIN($F242,EOMONTH(DATE(cfg_FY,9,1),0))-MAX($E242,DATE(cfg_FY,9,1))+1)*(1-IF($M242="نعم",0,N($J242))))</f>
        <v>0</v>
      </c>
      <c r="AE242" s="57" t="n">
        <f aca="false">IF(OR($B242="",$E242="",$F242=""),0,MAX(0,MIN($F242,EOMONTH(DATE(cfg_FY,10,1),0))-MAX($E242,DATE(cfg_FY,10,1))+1)*(1-IF($M242="نعم",0,N($J242))))</f>
        <v>0</v>
      </c>
      <c r="AF242" s="57" t="n">
        <f aca="false">IF(OR($B242="",$E242="",$F242=""),0,MAX(0,MIN($F242,EOMONTH(DATE(cfg_FY,11,1),0))-MAX($E242,DATE(cfg_FY,11,1))+1)*(1-IF($M242="نعم",0,N($J242))))</f>
        <v>0</v>
      </c>
      <c r="AG242" s="57" t="n">
        <f aca="false">IF(OR($B242="",$E242="",$F242=""),0,MAX(0,MIN($F242,EOMONTH(DATE(cfg_FY,12,1),0))-MAX($E242,DATE(cfg_FY,12,1))+1)*(1-IF($M242="نعم",0,N($J242))))</f>
        <v>0</v>
      </c>
      <c r="AH242" s="57" t="n">
        <f aca="false">IF(OR(OR($B242="",$E242="",$F242=""),$L242&lt;&gt;"لا"),0,MAX(0,MIN($F242,EOMONTH(DATE(cfg_FY,1,1),0))-$E242+1))</f>
        <v>0</v>
      </c>
      <c r="AI242" s="57" t="n">
        <f aca="false">IF(OR(OR($B242="",$E242="",$F242=""),$L242&lt;&gt;"لا"),0,MAX(0,MIN($F242,EOMONTH(DATE(cfg_FY,2,1),0))-$E242+1))</f>
        <v>0</v>
      </c>
      <c r="AJ242" s="57" t="n">
        <f aca="false">IF(OR(OR($B242="",$E242="",$F242=""),$L242&lt;&gt;"لا"),0,MAX(0,MIN($F242,EOMONTH(DATE(cfg_FY,3,1),0))-$E242+1))</f>
        <v>0</v>
      </c>
      <c r="AK242" s="57" t="n">
        <f aca="false">IF(OR(OR($B242="",$E242="",$F242=""),$L242&lt;&gt;"لا"),0,MAX(0,MIN($F242,EOMONTH(DATE(cfg_FY,4,1),0))-$E242+1))</f>
        <v>0</v>
      </c>
      <c r="AL242" s="57" t="n">
        <f aca="false">IF(OR(OR($B242="",$E242="",$F242=""),$L242&lt;&gt;"لا"),0,MAX(0,MIN($F242,EOMONTH(DATE(cfg_FY,5,1),0))-$E242+1))</f>
        <v>0</v>
      </c>
      <c r="AM242" s="57" t="n">
        <f aca="false">IF(OR(OR($B242="",$E242="",$F242=""),$L242&lt;&gt;"لا"),0,MAX(0,MIN($F242,EOMONTH(DATE(cfg_FY,6,1),0))-$E242+1))</f>
        <v>0</v>
      </c>
      <c r="AN242" s="57" t="n">
        <f aca="false">IF(OR(OR($B242="",$E242="",$F242=""),$L242&lt;&gt;"لا"),0,MAX(0,MIN($F242,EOMONTH(DATE(cfg_FY,7,1),0))-$E242+1))</f>
        <v>0</v>
      </c>
      <c r="AO242" s="57" t="n">
        <f aca="false">IF(OR(OR($B242="",$E242="",$F242=""),$L242&lt;&gt;"لا"),0,MAX(0,MIN($F242,EOMONTH(DATE(cfg_FY,8,1),0))-$E242+1))</f>
        <v>0</v>
      </c>
      <c r="AP242" s="57" t="n">
        <f aca="false">IF(OR(OR($B242="",$E242="",$F242=""),$L242&lt;&gt;"لا"),0,MAX(0,MIN($F242,EOMONTH(DATE(cfg_FY,9,1),0))-$E242+1))</f>
        <v>0</v>
      </c>
      <c r="AQ242" s="57" t="n">
        <f aca="false">IF(OR(OR($B242="",$E242="",$F242=""),$L242&lt;&gt;"لا"),0,MAX(0,MIN($F242,EOMONTH(DATE(cfg_FY,10,1),0))-$E242+1))</f>
        <v>0</v>
      </c>
      <c r="AR242" s="57" t="n">
        <f aca="false">IF(OR(OR($B242="",$E242="",$F242=""),$L242&lt;&gt;"لا"),0,MAX(0,MIN($F242,EOMONTH(DATE(cfg_FY,11,1),0))-$E242+1))</f>
        <v>0</v>
      </c>
      <c r="AS242" s="57" t="n">
        <f aca="false">IF(OR(OR($B242="",$E242="",$F242=""),$L242&lt;&gt;"لا"),0,MAX(0,MIN($F242,EOMONTH(DATE(cfg_FY,12,1),0))-$E242+1))</f>
        <v>0</v>
      </c>
      <c r="AT242" s="57" t="n">
        <f aca="false">IF(OR(OR($B242="",$E242="",$F242=""),$K242&lt;&gt;"نعم",$M242="نعم"),0,MAX(0,MIN($F242,EOMONTH(DATE(cfg_FY,1,1),0))-MAX($E242,DATE(cfg_FY,1,1))+1))</f>
        <v>0</v>
      </c>
      <c r="AU242" s="57" t="n">
        <f aca="false">IF(OR(OR($B242="",$E242="",$F242=""),$K242&lt;&gt;"نعم",$M242="نعم"),0,MAX(0,MIN($F242,EOMONTH(DATE(cfg_FY,2,1),0))-MAX($E242,DATE(cfg_FY,2,1))+1))</f>
        <v>0</v>
      </c>
      <c r="AV242" s="57" t="n">
        <f aca="false">IF(OR(OR($B242="",$E242="",$F242=""),$K242&lt;&gt;"نعم",$M242="نعم"),0,MAX(0,MIN($F242,EOMONTH(DATE(cfg_FY,3,1),0))-MAX($E242,DATE(cfg_FY,3,1))+1))</f>
        <v>0</v>
      </c>
      <c r="AW242" s="57" t="n">
        <f aca="false">IF(OR(OR($B242="",$E242="",$F242=""),$K242&lt;&gt;"نعم",$M242="نعم"),0,MAX(0,MIN($F242,EOMONTH(DATE(cfg_FY,4,1),0))-MAX($E242,DATE(cfg_FY,4,1))+1))</f>
        <v>0</v>
      </c>
      <c r="AX242" s="57" t="n">
        <f aca="false">IF(OR(OR($B242="",$E242="",$F242=""),$K242&lt;&gt;"نعم",$M242="نعم"),0,MAX(0,MIN($F242,EOMONTH(DATE(cfg_FY,5,1),0))-MAX($E242,DATE(cfg_FY,5,1))+1))</f>
        <v>0</v>
      </c>
      <c r="AY242" s="57" t="n">
        <f aca="false">IF(OR(OR($B242="",$E242="",$F242=""),$K242&lt;&gt;"نعم",$M242="نعم"),0,MAX(0,MIN($F242,EOMONTH(DATE(cfg_FY,6,1),0))-MAX($E242,DATE(cfg_FY,6,1))+1))</f>
        <v>0</v>
      </c>
      <c r="AZ242" s="57" t="n">
        <f aca="false">IF(OR(OR($B242="",$E242="",$F242=""),$K242&lt;&gt;"نعم",$M242="نعم"),0,MAX(0,MIN($F242,EOMONTH(DATE(cfg_FY,7,1),0))-MAX($E242,DATE(cfg_FY,7,1))+1))</f>
        <v>0</v>
      </c>
      <c r="BA242" s="57" t="n">
        <f aca="false">IF(OR(OR($B242="",$E242="",$F242=""),$K242&lt;&gt;"نعم",$M242="نعم"),0,MAX(0,MIN($F242,EOMONTH(DATE(cfg_FY,8,1),0))-MAX($E242,DATE(cfg_FY,8,1))+1))</f>
        <v>0</v>
      </c>
      <c r="BB242" s="57" t="n">
        <f aca="false">IF(OR(OR($B242="",$E242="",$F242=""),$K242&lt;&gt;"نعم",$M242="نعم"),0,MAX(0,MIN($F242,EOMONTH(DATE(cfg_FY,9,1),0))-MAX($E242,DATE(cfg_FY,9,1))+1))</f>
        <v>0</v>
      </c>
      <c r="BC242" s="57" t="n">
        <f aca="false">IF(OR(OR($B242="",$E242="",$F242=""),$K242&lt;&gt;"نعم",$M242="نعم"),0,MAX(0,MIN($F242,EOMONTH(DATE(cfg_FY,10,1),0))-MAX($E242,DATE(cfg_FY,10,1))+1))</f>
        <v>0</v>
      </c>
      <c r="BD242" s="57" t="n">
        <f aca="false">IF(OR(OR($B242="",$E242="",$F242=""),$K242&lt;&gt;"نعم",$M242="نعم"),0,MAX(0,MIN($F242,EOMONTH(DATE(cfg_FY,11,1),0))-MAX($E242,DATE(cfg_FY,11,1))+1))</f>
        <v>0</v>
      </c>
      <c r="BE242" s="57" t="n">
        <f aca="false">IF(OR(OR($B242="",$E242="",$F242=""),$K242&lt;&gt;"نعم",$M242="نعم"),0,MAX(0,MIN($F242,EOMONTH(DATE(cfg_FY,12,1),0))-MAX($E242,DATE(cfg_FY,12,1))+1))</f>
        <v>0</v>
      </c>
    </row>
    <row r="243" customFormat="false" ht="15" hidden="false" customHeight="false" outlineLevel="0" collapsed="false">
      <c r="A243" s="100" t="str">
        <f aca="false">IF(B243="","",ROW()-5)</f>
        <v/>
      </c>
      <c r="B243" s="79"/>
      <c r="C243" s="102" t="str">
        <f aca="false">IF(B243="","",IFERROR(INDEX(الموظفون!$C$6:$C$105,MATCH(B243,الموظفون!$B$6:$B$105,0)),"✖ رقم غير موجود"))</f>
        <v/>
      </c>
      <c r="D243" s="79"/>
      <c r="E243" s="94"/>
      <c r="F243" s="94"/>
      <c r="G243" s="110" t="str">
        <f aca="false">IF(OR($B243="",$E243="",$F243=""),"",MAX(0,F243-E243+1))</f>
        <v/>
      </c>
      <c r="H243" s="111" t="str">
        <f aca="false">IF(D243="","",IFERROR(VLOOKUP(D243,cfg_LT,2,FALSE()),1))</f>
        <v/>
      </c>
      <c r="I243" s="82"/>
      <c r="J243" s="111" t="str">
        <f aca="false">IF(D243="","",IF(I243&lt;&gt;"",I243,H243))</f>
        <v/>
      </c>
      <c r="K243" s="102" t="str">
        <f aca="false">IF(D243="","",IFERROR(VLOOKUP($D243,cfg_LT,3,FALSE()),""))</f>
        <v/>
      </c>
      <c r="L243" s="102" t="str">
        <f aca="false">IF(D243="","",IFERROR(VLOOKUP($D243,cfg_LT,4,FALSE()),""))</f>
        <v/>
      </c>
      <c r="M243" s="102" t="str">
        <f aca="false">IF(D243="","",IFERROR(VLOOKUP($D243,cfg_LT,5,FALSE()),""))</f>
        <v/>
      </c>
      <c r="N243" s="101" t="n">
        <f aca="false">IF(OR(OR($B243="",$E243="",$F243=""),M243&lt;&gt;"نعم"),0,G243*J243*IFERROR(INDEX(الموظفون!$R$6:$R$105,MATCH(B243,الموظفون!$B$6:$B$105,0)),0)/cfg_DAYS_M)</f>
        <v>0</v>
      </c>
      <c r="O243" s="100" t="str">
        <f aca="false">IF(OR(OR($B243="",$E243="",$F243=""),M243&lt;&gt;"نعم"),"",IF(YEAR(E243)=cfg_FY,MONTH(E243),""))</f>
        <v/>
      </c>
      <c r="P243" s="102" t="str">
        <f aca="false">IF(B243="","",IF(OR(D243="",E243="",F243=""),"⚠ أكمل النوع والتواريخ",IF(F243&lt;E243,"✖ النهاية قبل البداية",IF(COUNTIFS($B$6:$B$505,B243,$E$6:$E$505,"&lt;="&amp;F243,$F$6:$F$505,"&gt;="&amp;E243)&gt;1,"⚠ تداخل مع سجل آخر",IF(E243&gt;cfg_VAL_DATE,"⏳ قادمة",IF(F243&lt;cfg_VAL_DATE,"✔ منتهية","✈ جارية في تاريخ التقرير"))))))</f>
        <v/>
      </c>
      <c r="Q243" s="79"/>
      <c r="R243" s="110" t="n">
        <f aca="false">IF(OR(OR($B243="",$E243="",$F243=""),L243&lt;&gt;"لا"),0,MAX(0,MIN(F243,cfg_Y_START-1)-E243+1))</f>
        <v>0</v>
      </c>
      <c r="S243" s="110" t="n">
        <f aca="false">IF(OR(OR($B243="",$E243="",$F243=""),L243&lt;&gt;"لا"),0,MAX(0,MIN(F243,cfg_VAL_DATE)-E243+1))</f>
        <v>0</v>
      </c>
      <c r="T243" s="110" t="n">
        <f aca="false">IF(OR(OR($B243="",$E243="",$F243=""),K243&lt;&gt;"نعم"),0,IF(M243="نعم",IF(AND(ISNUMBER(O243),N(O243)&lt;=cfg_VAL_M),G243,0),MAX(0,MIN(F243,cfg_VAL_DATE)-MAX(E243,cfg_Y_START)+1)))</f>
        <v>0</v>
      </c>
      <c r="V243" s="110" t="n">
        <f aca="false">IF(OR($B243="",$E243="",$F243=""),0,MAX(0,MIN($F243,EOMONTH(DATE(cfg_FY,1,1),0))-MAX($E243,DATE(cfg_FY,1,1))+1)*(1-IF($M243="نعم",0,N($J243))))</f>
        <v>0</v>
      </c>
      <c r="W243" s="110" t="n">
        <f aca="false">IF(OR($B243="",$E243="",$F243=""),0,MAX(0,MIN($F243,EOMONTH(DATE(cfg_FY,2,1),0))-MAX($E243,DATE(cfg_FY,2,1))+1)*(1-IF($M243="نعم",0,N($J243))))</f>
        <v>0</v>
      </c>
      <c r="X243" s="110" t="n">
        <f aca="false">IF(OR($B243="",$E243="",$F243=""),0,MAX(0,MIN($F243,EOMONTH(DATE(cfg_FY,3,1),0))-MAX($E243,DATE(cfg_FY,3,1))+1)*(1-IF($M243="نعم",0,N($J243))))</f>
        <v>0</v>
      </c>
      <c r="Y243" s="110" t="n">
        <f aca="false">IF(OR($B243="",$E243="",$F243=""),0,MAX(0,MIN($F243,EOMONTH(DATE(cfg_FY,4,1),0))-MAX($E243,DATE(cfg_FY,4,1))+1)*(1-IF($M243="نعم",0,N($J243))))</f>
        <v>0</v>
      </c>
      <c r="Z243" s="110" t="n">
        <f aca="false">IF(OR($B243="",$E243="",$F243=""),0,MAX(0,MIN($F243,EOMONTH(DATE(cfg_FY,5,1),0))-MAX($E243,DATE(cfg_FY,5,1))+1)*(1-IF($M243="نعم",0,N($J243))))</f>
        <v>0</v>
      </c>
      <c r="AA243" s="110" t="n">
        <f aca="false">IF(OR($B243="",$E243="",$F243=""),0,MAX(0,MIN($F243,EOMONTH(DATE(cfg_FY,6,1),0))-MAX($E243,DATE(cfg_FY,6,1))+1)*(1-IF($M243="نعم",0,N($J243))))</f>
        <v>0</v>
      </c>
      <c r="AB243" s="110" t="n">
        <f aca="false">IF(OR($B243="",$E243="",$F243=""),0,MAX(0,MIN($F243,EOMONTH(DATE(cfg_FY,7,1),0))-MAX($E243,DATE(cfg_FY,7,1))+1)*(1-IF($M243="نعم",0,N($J243))))</f>
        <v>0</v>
      </c>
      <c r="AC243" s="110" t="n">
        <f aca="false">IF(OR($B243="",$E243="",$F243=""),0,MAX(0,MIN($F243,EOMONTH(DATE(cfg_FY,8,1),0))-MAX($E243,DATE(cfg_FY,8,1))+1)*(1-IF($M243="نعم",0,N($J243))))</f>
        <v>0</v>
      </c>
      <c r="AD243" s="110" t="n">
        <f aca="false">IF(OR($B243="",$E243="",$F243=""),0,MAX(0,MIN($F243,EOMONTH(DATE(cfg_FY,9,1),0))-MAX($E243,DATE(cfg_FY,9,1))+1)*(1-IF($M243="نعم",0,N($J243))))</f>
        <v>0</v>
      </c>
      <c r="AE243" s="110" t="n">
        <f aca="false">IF(OR($B243="",$E243="",$F243=""),0,MAX(0,MIN($F243,EOMONTH(DATE(cfg_FY,10,1),0))-MAX($E243,DATE(cfg_FY,10,1))+1)*(1-IF($M243="نعم",0,N($J243))))</f>
        <v>0</v>
      </c>
      <c r="AF243" s="110" t="n">
        <f aca="false">IF(OR($B243="",$E243="",$F243=""),0,MAX(0,MIN($F243,EOMONTH(DATE(cfg_FY,11,1),0))-MAX($E243,DATE(cfg_FY,11,1))+1)*(1-IF($M243="نعم",0,N($J243))))</f>
        <v>0</v>
      </c>
      <c r="AG243" s="110" t="n">
        <f aca="false">IF(OR($B243="",$E243="",$F243=""),0,MAX(0,MIN($F243,EOMONTH(DATE(cfg_FY,12,1),0))-MAX($E243,DATE(cfg_FY,12,1))+1)*(1-IF($M243="نعم",0,N($J243))))</f>
        <v>0</v>
      </c>
      <c r="AH243" s="110" t="n">
        <f aca="false">IF(OR(OR($B243="",$E243="",$F243=""),$L243&lt;&gt;"لا"),0,MAX(0,MIN($F243,EOMONTH(DATE(cfg_FY,1,1),0))-$E243+1))</f>
        <v>0</v>
      </c>
      <c r="AI243" s="110" t="n">
        <f aca="false">IF(OR(OR($B243="",$E243="",$F243=""),$L243&lt;&gt;"لا"),0,MAX(0,MIN($F243,EOMONTH(DATE(cfg_FY,2,1),0))-$E243+1))</f>
        <v>0</v>
      </c>
      <c r="AJ243" s="110" t="n">
        <f aca="false">IF(OR(OR($B243="",$E243="",$F243=""),$L243&lt;&gt;"لا"),0,MAX(0,MIN($F243,EOMONTH(DATE(cfg_FY,3,1),0))-$E243+1))</f>
        <v>0</v>
      </c>
      <c r="AK243" s="110" t="n">
        <f aca="false">IF(OR(OR($B243="",$E243="",$F243=""),$L243&lt;&gt;"لا"),0,MAX(0,MIN($F243,EOMONTH(DATE(cfg_FY,4,1),0))-$E243+1))</f>
        <v>0</v>
      </c>
      <c r="AL243" s="110" t="n">
        <f aca="false">IF(OR(OR($B243="",$E243="",$F243=""),$L243&lt;&gt;"لا"),0,MAX(0,MIN($F243,EOMONTH(DATE(cfg_FY,5,1),0))-$E243+1))</f>
        <v>0</v>
      </c>
      <c r="AM243" s="110" t="n">
        <f aca="false">IF(OR(OR($B243="",$E243="",$F243=""),$L243&lt;&gt;"لا"),0,MAX(0,MIN($F243,EOMONTH(DATE(cfg_FY,6,1),0))-$E243+1))</f>
        <v>0</v>
      </c>
      <c r="AN243" s="110" t="n">
        <f aca="false">IF(OR(OR($B243="",$E243="",$F243=""),$L243&lt;&gt;"لا"),0,MAX(0,MIN($F243,EOMONTH(DATE(cfg_FY,7,1),0))-$E243+1))</f>
        <v>0</v>
      </c>
      <c r="AO243" s="110" t="n">
        <f aca="false">IF(OR(OR($B243="",$E243="",$F243=""),$L243&lt;&gt;"لا"),0,MAX(0,MIN($F243,EOMONTH(DATE(cfg_FY,8,1),0))-$E243+1))</f>
        <v>0</v>
      </c>
      <c r="AP243" s="110" t="n">
        <f aca="false">IF(OR(OR($B243="",$E243="",$F243=""),$L243&lt;&gt;"لا"),0,MAX(0,MIN($F243,EOMONTH(DATE(cfg_FY,9,1),0))-$E243+1))</f>
        <v>0</v>
      </c>
      <c r="AQ243" s="110" t="n">
        <f aca="false">IF(OR(OR($B243="",$E243="",$F243=""),$L243&lt;&gt;"لا"),0,MAX(0,MIN($F243,EOMONTH(DATE(cfg_FY,10,1),0))-$E243+1))</f>
        <v>0</v>
      </c>
      <c r="AR243" s="110" t="n">
        <f aca="false">IF(OR(OR($B243="",$E243="",$F243=""),$L243&lt;&gt;"لا"),0,MAX(0,MIN($F243,EOMONTH(DATE(cfg_FY,11,1),0))-$E243+1))</f>
        <v>0</v>
      </c>
      <c r="AS243" s="110" t="n">
        <f aca="false">IF(OR(OR($B243="",$E243="",$F243=""),$L243&lt;&gt;"لا"),0,MAX(0,MIN($F243,EOMONTH(DATE(cfg_FY,12,1),0))-$E243+1))</f>
        <v>0</v>
      </c>
      <c r="AT243" s="110" t="n">
        <f aca="false">IF(OR(OR($B243="",$E243="",$F243=""),$K243&lt;&gt;"نعم",$M243="نعم"),0,MAX(0,MIN($F243,EOMONTH(DATE(cfg_FY,1,1),0))-MAX($E243,DATE(cfg_FY,1,1))+1))</f>
        <v>0</v>
      </c>
      <c r="AU243" s="110" t="n">
        <f aca="false">IF(OR(OR($B243="",$E243="",$F243=""),$K243&lt;&gt;"نعم",$M243="نعم"),0,MAX(0,MIN($F243,EOMONTH(DATE(cfg_FY,2,1),0))-MAX($E243,DATE(cfg_FY,2,1))+1))</f>
        <v>0</v>
      </c>
      <c r="AV243" s="110" t="n">
        <f aca="false">IF(OR(OR($B243="",$E243="",$F243=""),$K243&lt;&gt;"نعم",$M243="نعم"),0,MAX(0,MIN($F243,EOMONTH(DATE(cfg_FY,3,1),0))-MAX($E243,DATE(cfg_FY,3,1))+1))</f>
        <v>0</v>
      </c>
      <c r="AW243" s="110" t="n">
        <f aca="false">IF(OR(OR($B243="",$E243="",$F243=""),$K243&lt;&gt;"نعم",$M243="نعم"),0,MAX(0,MIN($F243,EOMONTH(DATE(cfg_FY,4,1),0))-MAX($E243,DATE(cfg_FY,4,1))+1))</f>
        <v>0</v>
      </c>
      <c r="AX243" s="110" t="n">
        <f aca="false">IF(OR(OR($B243="",$E243="",$F243=""),$K243&lt;&gt;"نعم",$M243="نعم"),0,MAX(0,MIN($F243,EOMONTH(DATE(cfg_FY,5,1),0))-MAX($E243,DATE(cfg_FY,5,1))+1))</f>
        <v>0</v>
      </c>
      <c r="AY243" s="110" t="n">
        <f aca="false">IF(OR(OR($B243="",$E243="",$F243=""),$K243&lt;&gt;"نعم",$M243="نعم"),0,MAX(0,MIN($F243,EOMONTH(DATE(cfg_FY,6,1),0))-MAX($E243,DATE(cfg_FY,6,1))+1))</f>
        <v>0</v>
      </c>
      <c r="AZ243" s="110" t="n">
        <f aca="false">IF(OR(OR($B243="",$E243="",$F243=""),$K243&lt;&gt;"نعم",$M243="نعم"),0,MAX(0,MIN($F243,EOMONTH(DATE(cfg_FY,7,1),0))-MAX($E243,DATE(cfg_FY,7,1))+1))</f>
        <v>0</v>
      </c>
      <c r="BA243" s="110" t="n">
        <f aca="false">IF(OR(OR($B243="",$E243="",$F243=""),$K243&lt;&gt;"نعم",$M243="نعم"),0,MAX(0,MIN($F243,EOMONTH(DATE(cfg_FY,8,1),0))-MAX($E243,DATE(cfg_FY,8,1))+1))</f>
        <v>0</v>
      </c>
      <c r="BB243" s="110" t="n">
        <f aca="false">IF(OR(OR($B243="",$E243="",$F243=""),$K243&lt;&gt;"نعم",$M243="نعم"),0,MAX(0,MIN($F243,EOMONTH(DATE(cfg_FY,9,1),0))-MAX($E243,DATE(cfg_FY,9,1))+1))</f>
        <v>0</v>
      </c>
      <c r="BC243" s="110" t="n">
        <f aca="false">IF(OR(OR($B243="",$E243="",$F243=""),$K243&lt;&gt;"نعم",$M243="نعم"),0,MAX(0,MIN($F243,EOMONTH(DATE(cfg_FY,10,1),0))-MAX($E243,DATE(cfg_FY,10,1))+1))</f>
        <v>0</v>
      </c>
      <c r="BD243" s="110" t="n">
        <f aca="false">IF(OR(OR($B243="",$E243="",$F243=""),$K243&lt;&gt;"نعم",$M243="نعم"),0,MAX(0,MIN($F243,EOMONTH(DATE(cfg_FY,11,1),0))-MAX($E243,DATE(cfg_FY,11,1))+1))</f>
        <v>0</v>
      </c>
      <c r="BE243" s="110" t="n">
        <f aca="false">IF(OR(OR($B243="",$E243="",$F243=""),$K243&lt;&gt;"نعم",$M243="نعم"),0,MAX(0,MIN($F243,EOMONTH(DATE(cfg_FY,12,1),0))-MAX($E243,DATE(cfg_FY,12,1))+1))</f>
        <v>0</v>
      </c>
    </row>
    <row r="244" customFormat="false" ht="15" hidden="false" customHeight="false" outlineLevel="0" collapsed="false">
      <c r="A244" s="93" t="str">
        <f aca="false">IF(B244="","",ROW()-5)</f>
        <v/>
      </c>
      <c r="B244" s="79"/>
      <c r="C244" s="80" t="str">
        <f aca="false">IF(B244="","",IFERROR(INDEX(الموظفون!$C$6:$C$105,MATCH(B244,الموظفون!$B$6:$B$105,0)),"✖ رقم غير موجود"))</f>
        <v/>
      </c>
      <c r="D244" s="79"/>
      <c r="E244" s="94"/>
      <c r="F244" s="94"/>
      <c r="G244" s="57" t="str">
        <f aca="false">IF(OR($B244="",$E244="",$F244=""),"",MAX(0,F244-E244+1))</f>
        <v/>
      </c>
      <c r="H244" s="58" t="str">
        <f aca="false">IF(D244="","",IFERROR(VLOOKUP(D244,cfg_LT,2,FALSE()),1))</f>
        <v/>
      </c>
      <c r="I244" s="82"/>
      <c r="J244" s="58" t="str">
        <f aca="false">IF(D244="","",IF(I244&lt;&gt;"",I244,H244))</f>
        <v/>
      </c>
      <c r="K244" s="80" t="str">
        <f aca="false">IF(D244="","",IFERROR(VLOOKUP($D244,cfg_LT,3,FALSE()),""))</f>
        <v/>
      </c>
      <c r="L244" s="80" t="str">
        <f aca="false">IF(D244="","",IFERROR(VLOOKUP($D244,cfg_LT,4,FALSE()),""))</f>
        <v/>
      </c>
      <c r="M244" s="80" t="str">
        <f aca="false">IF(D244="","",IFERROR(VLOOKUP($D244,cfg_LT,5,FALSE()),""))</f>
        <v/>
      </c>
      <c r="N244" s="97" t="n">
        <f aca="false">IF(OR(OR($B244="",$E244="",$F244=""),M244&lt;&gt;"نعم"),0,G244*J244*IFERROR(INDEX(الموظفون!$R$6:$R$105,MATCH(B244,الموظفون!$B$6:$B$105,0)),0)/cfg_DAYS_M)</f>
        <v>0</v>
      </c>
      <c r="O244" s="93" t="str">
        <f aca="false">IF(OR(OR($B244="",$E244="",$F244=""),M244&lt;&gt;"نعم"),"",IF(YEAR(E244)=cfg_FY,MONTH(E244),""))</f>
        <v/>
      </c>
      <c r="P244" s="80" t="str">
        <f aca="false">IF(B244="","",IF(OR(D244="",E244="",F244=""),"⚠ أكمل النوع والتواريخ",IF(F244&lt;E244,"✖ النهاية قبل البداية",IF(COUNTIFS($B$6:$B$505,B244,$E$6:$E$505,"&lt;="&amp;F244,$F$6:$F$505,"&gt;="&amp;E244)&gt;1,"⚠ تداخل مع سجل آخر",IF(E244&gt;cfg_VAL_DATE,"⏳ قادمة",IF(F244&lt;cfg_VAL_DATE,"✔ منتهية","✈ جارية في تاريخ التقرير"))))))</f>
        <v/>
      </c>
      <c r="Q244" s="79"/>
      <c r="R244" s="57" t="n">
        <f aca="false">IF(OR(OR($B244="",$E244="",$F244=""),L244&lt;&gt;"لا"),0,MAX(0,MIN(F244,cfg_Y_START-1)-E244+1))</f>
        <v>0</v>
      </c>
      <c r="S244" s="57" t="n">
        <f aca="false">IF(OR(OR($B244="",$E244="",$F244=""),L244&lt;&gt;"لا"),0,MAX(0,MIN(F244,cfg_VAL_DATE)-E244+1))</f>
        <v>0</v>
      </c>
      <c r="T244" s="57" t="n">
        <f aca="false">IF(OR(OR($B244="",$E244="",$F244=""),K244&lt;&gt;"نعم"),0,IF(M244="نعم",IF(AND(ISNUMBER(O244),N(O244)&lt;=cfg_VAL_M),G244,0),MAX(0,MIN(F244,cfg_VAL_DATE)-MAX(E244,cfg_Y_START)+1)))</f>
        <v>0</v>
      </c>
      <c r="V244" s="57" t="n">
        <f aca="false">IF(OR($B244="",$E244="",$F244=""),0,MAX(0,MIN($F244,EOMONTH(DATE(cfg_FY,1,1),0))-MAX($E244,DATE(cfg_FY,1,1))+1)*(1-IF($M244="نعم",0,N($J244))))</f>
        <v>0</v>
      </c>
      <c r="W244" s="57" t="n">
        <f aca="false">IF(OR($B244="",$E244="",$F244=""),0,MAX(0,MIN($F244,EOMONTH(DATE(cfg_FY,2,1),0))-MAX($E244,DATE(cfg_FY,2,1))+1)*(1-IF($M244="نعم",0,N($J244))))</f>
        <v>0</v>
      </c>
      <c r="X244" s="57" t="n">
        <f aca="false">IF(OR($B244="",$E244="",$F244=""),0,MAX(0,MIN($F244,EOMONTH(DATE(cfg_FY,3,1),0))-MAX($E244,DATE(cfg_FY,3,1))+1)*(1-IF($M244="نعم",0,N($J244))))</f>
        <v>0</v>
      </c>
      <c r="Y244" s="57" t="n">
        <f aca="false">IF(OR($B244="",$E244="",$F244=""),0,MAX(0,MIN($F244,EOMONTH(DATE(cfg_FY,4,1),0))-MAX($E244,DATE(cfg_FY,4,1))+1)*(1-IF($M244="نعم",0,N($J244))))</f>
        <v>0</v>
      </c>
      <c r="Z244" s="57" t="n">
        <f aca="false">IF(OR($B244="",$E244="",$F244=""),0,MAX(0,MIN($F244,EOMONTH(DATE(cfg_FY,5,1),0))-MAX($E244,DATE(cfg_FY,5,1))+1)*(1-IF($M244="نعم",0,N($J244))))</f>
        <v>0</v>
      </c>
      <c r="AA244" s="57" t="n">
        <f aca="false">IF(OR($B244="",$E244="",$F244=""),0,MAX(0,MIN($F244,EOMONTH(DATE(cfg_FY,6,1),0))-MAX($E244,DATE(cfg_FY,6,1))+1)*(1-IF($M244="نعم",0,N($J244))))</f>
        <v>0</v>
      </c>
      <c r="AB244" s="57" t="n">
        <f aca="false">IF(OR($B244="",$E244="",$F244=""),0,MAX(0,MIN($F244,EOMONTH(DATE(cfg_FY,7,1),0))-MAX($E244,DATE(cfg_FY,7,1))+1)*(1-IF($M244="نعم",0,N($J244))))</f>
        <v>0</v>
      </c>
      <c r="AC244" s="57" t="n">
        <f aca="false">IF(OR($B244="",$E244="",$F244=""),0,MAX(0,MIN($F244,EOMONTH(DATE(cfg_FY,8,1),0))-MAX($E244,DATE(cfg_FY,8,1))+1)*(1-IF($M244="نعم",0,N($J244))))</f>
        <v>0</v>
      </c>
      <c r="AD244" s="57" t="n">
        <f aca="false">IF(OR($B244="",$E244="",$F244=""),0,MAX(0,MIN($F244,EOMONTH(DATE(cfg_FY,9,1),0))-MAX($E244,DATE(cfg_FY,9,1))+1)*(1-IF($M244="نعم",0,N($J244))))</f>
        <v>0</v>
      </c>
      <c r="AE244" s="57" t="n">
        <f aca="false">IF(OR($B244="",$E244="",$F244=""),0,MAX(0,MIN($F244,EOMONTH(DATE(cfg_FY,10,1),0))-MAX($E244,DATE(cfg_FY,10,1))+1)*(1-IF($M244="نعم",0,N($J244))))</f>
        <v>0</v>
      </c>
      <c r="AF244" s="57" t="n">
        <f aca="false">IF(OR($B244="",$E244="",$F244=""),0,MAX(0,MIN($F244,EOMONTH(DATE(cfg_FY,11,1),0))-MAX($E244,DATE(cfg_FY,11,1))+1)*(1-IF($M244="نعم",0,N($J244))))</f>
        <v>0</v>
      </c>
      <c r="AG244" s="57" t="n">
        <f aca="false">IF(OR($B244="",$E244="",$F244=""),0,MAX(0,MIN($F244,EOMONTH(DATE(cfg_FY,12,1),0))-MAX($E244,DATE(cfg_FY,12,1))+1)*(1-IF($M244="نعم",0,N($J244))))</f>
        <v>0</v>
      </c>
      <c r="AH244" s="57" t="n">
        <f aca="false">IF(OR(OR($B244="",$E244="",$F244=""),$L244&lt;&gt;"لا"),0,MAX(0,MIN($F244,EOMONTH(DATE(cfg_FY,1,1),0))-$E244+1))</f>
        <v>0</v>
      </c>
      <c r="AI244" s="57" t="n">
        <f aca="false">IF(OR(OR($B244="",$E244="",$F244=""),$L244&lt;&gt;"لا"),0,MAX(0,MIN($F244,EOMONTH(DATE(cfg_FY,2,1),0))-$E244+1))</f>
        <v>0</v>
      </c>
      <c r="AJ244" s="57" t="n">
        <f aca="false">IF(OR(OR($B244="",$E244="",$F244=""),$L244&lt;&gt;"لا"),0,MAX(0,MIN($F244,EOMONTH(DATE(cfg_FY,3,1),0))-$E244+1))</f>
        <v>0</v>
      </c>
      <c r="AK244" s="57" t="n">
        <f aca="false">IF(OR(OR($B244="",$E244="",$F244=""),$L244&lt;&gt;"لا"),0,MAX(0,MIN($F244,EOMONTH(DATE(cfg_FY,4,1),0))-$E244+1))</f>
        <v>0</v>
      </c>
      <c r="AL244" s="57" t="n">
        <f aca="false">IF(OR(OR($B244="",$E244="",$F244=""),$L244&lt;&gt;"لا"),0,MAX(0,MIN($F244,EOMONTH(DATE(cfg_FY,5,1),0))-$E244+1))</f>
        <v>0</v>
      </c>
      <c r="AM244" s="57" t="n">
        <f aca="false">IF(OR(OR($B244="",$E244="",$F244=""),$L244&lt;&gt;"لا"),0,MAX(0,MIN($F244,EOMONTH(DATE(cfg_FY,6,1),0))-$E244+1))</f>
        <v>0</v>
      </c>
      <c r="AN244" s="57" t="n">
        <f aca="false">IF(OR(OR($B244="",$E244="",$F244=""),$L244&lt;&gt;"لا"),0,MAX(0,MIN($F244,EOMONTH(DATE(cfg_FY,7,1),0))-$E244+1))</f>
        <v>0</v>
      </c>
      <c r="AO244" s="57" t="n">
        <f aca="false">IF(OR(OR($B244="",$E244="",$F244=""),$L244&lt;&gt;"لا"),0,MAX(0,MIN($F244,EOMONTH(DATE(cfg_FY,8,1),0))-$E244+1))</f>
        <v>0</v>
      </c>
      <c r="AP244" s="57" t="n">
        <f aca="false">IF(OR(OR($B244="",$E244="",$F244=""),$L244&lt;&gt;"لا"),0,MAX(0,MIN($F244,EOMONTH(DATE(cfg_FY,9,1),0))-$E244+1))</f>
        <v>0</v>
      </c>
      <c r="AQ244" s="57" t="n">
        <f aca="false">IF(OR(OR($B244="",$E244="",$F244=""),$L244&lt;&gt;"لا"),0,MAX(0,MIN($F244,EOMONTH(DATE(cfg_FY,10,1),0))-$E244+1))</f>
        <v>0</v>
      </c>
      <c r="AR244" s="57" t="n">
        <f aca="false">IF(OR(OR($B244="",$E244="",$F244=""),$L244&lt;&gt;"لا"),0,MAX(0,MIN($F244,EOMONTH(DATE(cfg_FY,11,1),0))-$E244+1))</f>
        <v>0</v>
      </c>
      <c r="AS244" s="57" t="n">
        <f aca="false">IF(OR(OR($B244="",$E244="",$F244=""),$L244&lt;&gt;"لا"),0,MAX(0,MIN($F244,EOMONTH(DATE(cfg_FY,12,1),0))-$E244+1))</f>
        <v>0</v>
      </c>
      <c r="AT244" s="57" t="n">
        <f aca="false">IF(OR(OR($B244="",$E244="",$F244=""),$K244&lt;&gt;"نعم",$M244="نعم"),0,MAX(0,MIN($F244,EOMONTH(DATE(cfg_FY,1,1),0))-MAX($E244,DATE(cfg_FY,1,1))+1))</f>
        <v>0</v>
      </c>
      <c r="AU244" s="57" t="n">
        <f aca="false">IF(OR(OR($B244="",$E244="",$F244=""),$K244&lt;&gt;"نعم",$M244="نعم"),0,MAX(0,MIN($F244,EOMONTH(DATE(cfg_FY,2,1),0))-MAX($E244,DATE(cfg_FY,2,1))+1))</f>
        <v>0</v>
      </c>
      <c r="AV244" s="57" t="n">
        <f aca="false">IF(OR(OR($B244="",$E244="",$F244=""),$K244&lt;&gt;"نعم",$M244="نعم"),0,MAX(0,MIN($F244,EOMONTH(DATE(cfg_FY,3,1),0))-MAX($E244,DATE(cfg_FY,3,1))+1))</f>
        <v>0</v>
      </c>
      <c r="AW244" s="57" t="n">
        <f aca="false">IF(OR(OR($B244="",$E244="",$F244=""),$K244&lt;&gt;"نعم",$M244="نعم"),0,MAX(0,MIN($F244,EOMONTH(DATE(cfg_FY,4,1),0))-MAX($E244,DATE(cfg_FY,4,1))+1))</f>
        <v>0</v>
      </c>
      <c r="AX244" s="57" t="n">
        <f aca="false">IF(OR(OR($B244="",$E244="",$F244=""),$K244&lt;&gt;"نعم",$M244="نعم"),0,MAX(0,MIN($F244,EOMONTH(DATE(cfg_FY,5,1),0))-MAX($E244,DATE(cfg_FY,5,1))+1))</f>
        <v>0</v>
      </c>
      <c r="AY244" s="57" t="n">
        <f aca="false">IF(OR(OR($B244="",$E244="",$F244=""),$K244&lt;&gt;"نعم",$M244="نعم"),0,MAX(0,MIN($F244,EOMONTH(DATE(cfg_FY,6,1),0))-MAX($E244,DATE(cfg_FY,6,1))+1))</f>
        <v>0</v>
      </c>
      <c r="AZ244" s="57" t="n">
        <f aca="false">IF(OR(OR($B244="",$E244="",$F244=""),$K244&lt;&gt;"نعم",$M244="نعم"),0,MAX(0,MIN($F244,EOMONTH(DATE(cfg_FY,7,1),0))-MAX($E244,DATE(cfg_FY,7,1))+1))</f>
        <v>0</v>
      </c>
      <c r="BA244" s="57" t="n">
        <f aca="false">IF(OR(OR($B244="",$E244="",$F244=""),$K244&lt;&gt;"نعم",$M244="نعم"),0,MAX(0,MIN($F244,EOMONTH(DATE(cfg_FY,8,1),0))-MAX($E244,DATE(cfg_FY,8,1))+1))</f>
        <v>0</v>
      </c>
      <c r="BB244" s="57" t="n">
        <f aca="false">IF(OR(OR($B244="",$E244="",$F244=""),$K244&lt;&gt;"نعم",$M244="نعم"),0,MAX(0,MIN($F244,EOMONTH(DATE(cfg_FY,9,1),0))-MAX($E244,DATE(cfg_FY,9,1))+1))</f>
        <v>0</v>
      </c>
      <c r="BC244" s="57" t="n">
        <f aca="false">IF(OR(OR($B244="",$E244="",$F244=""),$K244&lt;&gt;"نعم",$M244="نعم"),0,MAX(0,MIN($F244,EOMONTH(DATE(cfg_FY,10,1),0))-MAX($E244,DATE(cfg_FY,10,1))+1))</f>
        <v>0</v>
      </c>
      <c r="BD244" s="57" t="n">
        <f aca="false">IF(OR(OR($B244="",$E244="",$F244=""),$K244&lt;&gt;"نعم",$M244="نعم"),0,MAX(0,MIN($F244,EOMONTH(DATE(cfg_FY,11,1),0))-MAX($E244,DATE(cfg_FY,11,1))+1))</f>
        <v>0</v>
      </c>
      <c r="BE244" s="57" t="n">
        <f aca="false">IF(OR(OR($B244="",$E244="",$F244=""),$K244&lt;&gt;"نعم",$M244="نعم"),0,MAX(0,MIN($F244,EOMONTH(DATE(cfg_FY,12,1),0))-MAX($E244,DATE(cfg_FY,12,1))+1))</f>
        <v>0</v>
      </c>
    </row>
    <row r="245" customFormat="false" ht="15" hidden="false" customHeight="false" outlineLevel="0" collapsed="false">
      <c r="A245" s="100" t="str">
        <f aca="false">IF(B245="","",ROW()-5)</f>
        <v/>
      </c>
      <c r="B245" s="79"/>
      <c r="C245" s="102" t="str">
        <f aca="false">IF(B245="","",IFERROR(INDEX(الموظفون!$C$6:$C$105,MATCH(B245,الموظفون!$B$6:$B$105,0)),"✖ رقم غير موجود"))</f>
        <v/>
      </c>
      <c r="D245" s="79"/>
      <c r="E245" s="94"/>
      <c r="F245" s="94"/>
      <c r="G245" s="110" t="str">
        <f aca="false">IF(OR($B245="",$E245="",$F245=""),"",MAX(0,F245-E245+1))</f>
        <v/>
      </c>
      <c r="H245" s="111" t="str">
        <f aca="false">IF(D245="","",IFERROR(VLOOKUP(D245,cfg_LT,2,FALSE()),1))</f>
        <v/>
      </c>
      <c r="I245" s="82"/>
      <c r="J245" s="111" t="str">
        <f aca="false">IF(D245="","",IF(I245&lt;&gt;"",I245,H245))</f>
        <v/>
      </c>
      <c r="K245" s="102" t="str">
        <f aca="false">IF(D245="","",IFERROR(VLOOKUP($D245,cfg_LT,3,FALSE()),""))</f>
        <v/>
      </c>
      <c r="L245" s="102" t="str">
        <f aca="false">IF(D245="","",IFERROR(VLOOKUP($D245,cfg_LT,4,FALSE()),""))</f>
        <v/>
      </c>
      <c r="M245" s="102" t="str">
        <f aca="false">IF(D245="","",IFERROR(VLOOKUP($D245,cfg_LT,5,FALSE()),""))</f>
        <v/>
      </c>
      <c r="N245" s="101" t="n">
        <f aca="false">IF(OR(OR($B245="",$E245="",$F245=""),M245&lt;&gt;"نعم"),0,G245*J245*IFERROR(INDEX(الموظفون!$R$6:$R$105,MATCH(B245,الموظفون!$B$6:$B$105,0)),0)/cfg_DAYS_M)</f>
        <v>0</v>
      </c>
      <c r="O245" s="100" t="str">
        <f aca="false">IF(OR(OR($B245="",$E245="",$F245=""),M245&lt;&gt;"نعم"),"",IF(YEAR(E245)=cfg_FY,MONTH(E245),""))</f>
        <v/>
      </c>
      <c r="P245" s="102" t="str">
        <f aca="false">IF(B245="","",IF(OR(D245="",E245="",F245=""),"⚠ أكمل النوع والتواريخ",IF(F245&lt;E245,"✖ النهاية قبل البداية",IF(COUNTIFS($B$6:$B$505,B245,$E$6:$E$505,"&lt;="&amp;F245,$F$6:$F$505,"&gt;="&amp;E245)&gt;1,"⚠ تداخل مع سجل آخر",IF(E245&gt;cfg_VAL_DATE,"⏳ قادمة",IF(F245&lt;cfg_VAL_DATE,"✔ منتهية","✈ جارية في تاريخ التقرير"))))))</f>
        <v/>
      </c>
      <c r="Q245" s="79"/>
      <c r="R245" s="110" t="n">
        <f aca="false">IF(OR(OR($B245="",$E245="",$F245=""),L245&lt;&gt;"لا"),0,MAX(0,MIN(F245,cfg_Y_START-1)-E245+1))</f>
        <v>0</v>
      </c>
      <c r="S245" s="110" t="n">
        <f aca="false">IF(OR(OR($B245="",$E245="",$F245=""),L245&lt;&gt;"لا"),0,MAX(0,MIN(F245,cfg_VAL_DATE)-E245+1))</f>
        <v>0</v>
      </c>
      <c r="T245" s="110" t="n">
        <f aca="false">IF(OR(OR($B245="",$E245="",$F245=""),K245&lt;&gt;"نعم"),0,IF(M245="نعم",IF(AND(ISNUMBER(O245),N(O245)&lt;=cfg_VAL_M),G245,0),MAX(0,MIN(F245,cfg_VAL_DATE)-MAX(E245,cfg_Y_START)+1)))</f>
        <v>0</v>
      </c>
      <c r="V245" s="110" t="n">
        <f aca="false">IF(OR($B245="",$E245="",$F245=""),0,MAX(0,MIN($F245,EOMONTH(DATE(cfg_FY,1,1),0))-MAX($E245,DATE(cfg_FY,1,1))+1)*(1-IF($M245="نعم",0,N($J245))))</f>
        <v>0</v>
      </c>
      <c r="W245" s="110" t="n">
        <f aca="false">IF(OR($B245="",$E245="",$F245=""),0,MAX(0,MIN($F245,EOMONTH(DATE(cfg_FY,2,1),0))-MAX($E245,DATE(cfg_FY,2,1))+1)*(1-IF($M245="نعم",0,N($J245))))</f>
        <v>0</v>
      </c>
      <c r="X245" s="110" t="n">
        <f aca="false">IF(OR($B245="",$E245="",$F245=""),0,MAX(0,MIN($F245,EOMONTH(DATE(cfg_FY,3,1),0))-MAX($E245,DATE(cfg_FY,3,1))+1)*(1-IF($M245="نعم",0,N($J245))))</f>
        <v>0</v>
      </c>
      <c r="Y245" s="110" t="n">
        <f aca="false">IF(OR($B245="",$E245="",$F245=""),0,MAX(0,MIN($F245,EOMONTH(DATE(cfg_FY,4,1),0))-MAX($E245,DATE(cfg_FY,4,1))+1)*(1-IF($M245="نعم",0,N($J245))))</f>
        <v>0</v>
      </c>
      <c r="Z245" s="110" t="n">
        <f aca="false">IF(OR($B245="",$E245="",$F245=""),0,MAX(0,MIN($F245,EOMONTH(DATE(cfg_FY,5,1),0))-MAX($E245,DATE(cfg_FY,5,1))+1)*(1-IF($M245="نعم",0,N($J245))))</f>
        <v>0</v>
      </c>
      <c r="AA245" s="110" t="n">
        <f aca="false">IF(OR($B245="",$E245="",$F245=""),0,MAX(0,MIN($F245,EOMONTH(DATE(cfg_FY,6,1),0))-MAX($E245,DATE(cfg_FY,6,1))+1)*(1-IF($M245="نعم",0,N($J245))))</f>
        <v>0</v>
      </c>
      <c r="AB245" s="110" t="n">
        <f aca="false">IF(OR($B245="",$E245="",$F245=""),0,MAX(0,MIN($F245,EOMONTH(DATE(cfg_FY,7,1),0))-MAX($E245,DATE(cfg_FY,7,1))+1)*(1-IF($M245="نعم",0,N($J245))))</f>
        <v>0</v>
      </c>
      <c r="AC245" s="110" t="n">
        <f aca="false">IF(OR($B245="",$E245="",$F245=""),0,MAX(0,MIN($F245,EOMONTH(DATE(cfg_FY,8,1),0))-MAX($E245,DATE(cfg_FY,8,1))+1)*(1-IF($M245="نعم",0,N($J245))))</f>
        <v>0</v>
      </c>
      <c r="AD245" s="110" t="n">
        <f aca="false">IF(OR($B245="",$E245="",$F245=""),0,MAX(0,MIN($F245,EOMONTH(DATE(cfg_FY,9,1),0))-MAX($E245,DATE(cfg_FY,9,1))+1)*(1-IF($M245="نعم",0,N($J245))))</f>
        <v>0</v>
      </c>
      <c r="AE245" s="110" t="n">
        <f aca="false">IF(OR($B245="",$E245="",$F245=""),0,MAX(0,MIN($F245,EOMONTH(DATE(cfg_FY,10,1),0))-MAX($E245,DATE(cfg_FY,10,1))+1)*(1-IF($M245="نعم",0,N($J245))))</f>
        <v>0</v>
      </c>
      <c r="AF245" s="110" t="n">
        <f aca="false">IF(OR($B245="",$E245="",$F245=""),0,MAX(0,MIN($F245,EOMONTH(DATE(cfg_FY,11,1),0))-MAX($E245,DATE(cfg_FY,11,1))+1)*(1-IF($M245="نعم",0,N($J245))))</f>
        <v>0</v>
      </c>
      <c r="AG245" s="110" t="n">
        <f aca="false">IF(OR($B245="",$E245="",$F245=""),0,MAX(0,MIN($F245,EOMONTH(DATE(cfg_FY,12,1),0))-MAX($E245,DATE(cfg_FY,12,1))+1)*(1-IF($M245="نعم",0,N($J245))))</f>
        <v>0</v>
      </c>
      <c r="AH245" s="110" t="n">
        <f aca="false">IF(OR(OR($B245="",$E245="",$F245=""),$L245&lt;&gt;"لا"),0,MAX(0,MIN($F245,EOMONTH(DATE(cfg_FY,1,1),0))-$E245+1))</f>
        <v>0</v>
      </c>
      <c r="AI245" s="110" t="n">
        <f aca="false">IF(OR(OR($B245="",$E245="",$F245=""),$L245&lt;&gt;"لا"),0,MAX(0,MIN($F245,EOMONTH(DATE(cfg_FY,2,1),0))-$E245+1))</f>
        <v>0</v>
      </c>
      <c r="AJ245" s="110" t="n">
        <f aca="false">IF(OR(OR($B245="",$E245="",$F245=""),$L245&lt;&gt;"لا"),0,MAX(0,MIN($F245,EOMONTH(DATE(cfg_FY,3,1),0))-$E245+1))</f>
        <v>0</v>
      </c>
      <c r="AK245" s="110" t="n">
        <f aca="false">IF(OR(OR($B245="",$E245="",$F245=""),$L245&lt;&gt;"لا"),0,MAX(0,MIN($F245,EOMONTH(DATE(cfg_FY,4,1),0))-$E245+1))</f>
        <v>0</v>
      </c>
      <c r="AL245" s="110" t="n">
        <f aca="false">IF(OR(OR($B245="",$E245="",$F245=""),$L245&lt;&gt;"لا"),0,MAX(0,MIN($F245,EOMONTH(DATE(cfg_FY,5,1),0))-$E245+1))</f>
        <v>0</v>
      </c>
      <c r="AM245" s="110" t="n">
        <f aca="false">IF(OR(OR($B245="",$E245="",$F245=""),$L245&lt;&gt;"لا"),0,MAX(0,MIN($F245,EOMONTH(DATE(cfg_FY,6,1),0))-$E245+1))</f>
        <v>0</v>
      </c>
      <c r="AN245" s="110" t="n">
        <f aca="false">IF(OR(OR($B245="",$E245="",$F245=""),$L245&lt;&gt;"لا"),0,MAX(0,MIN($F245,EOMONTH(DATE(cfg_FY,7,1),0))-$E245+1))</f>
        <v>0</v>
      </c>
      <c r="AO245" s="110" t="n">
        <f aca="false">IF(OR(OR($B245="",$E245="",$F245=""),$L245&lt;&gt;"لا"),0,MAX(0,MIN($F245,EOMONTH(DATE(cfg_FY,8,1),0))-$E245+1))</f>
        <v>0</v>
      </c>
      <c r="AP245" s="110" t="n">
        <f aca="false">IF(OR(OR($B245="",$E245="",$F245=""),$L245&lt;&gt;"لا"),0,MAX(0,MIN($F245,EOMONTH(DATE(cfg_FY,9,1),0))-$E245+1))</f>
        <v>0</v>
      </c>
      <c r="AQ245" s="110" t="n">
        <f aca="false">IF(OR(OR($B245="",$E245="",$F245=""),$L245&lt;&gt;"لا"),0,MAX(0,MIN($F245,EOMONTH(DATE(cfg_FY,10,1),0))-$E245+1))</f>
        <v>0</v>
      </c>
      <c r="AR245" s="110" t="n">
        <f aca="false">IF(OR(OR($B245="",$E245="",$F245=""),$L245&lt;&gt;"لا"),0,MAX(0,MIN($F245,EOMONTH(DATE(cfg_FY,11,1),0))-$E245+1))</f>
        <v>0</v>
      </c>
      <c r="AS245" s="110" t="n">
        <f aca="false">IF(OR(OR($B245="",$E245="",$F245=""),$L245&lt;&gt;"لا"),0,MAX(0,MIN($F245,EOMONTH(DATE(cfg_FY,12,1),0))-$E245+1))</f>
        <v>0</v>
      </c>
      <c r="AT245" s="110" t="n">
        <f aca="false">IF(OR(OR($B245="",$E245="",$F245=""),$K245&lt;&gt;"نعم",$M245="نعم"),0,MAX(0,MIN($F245,EOMONTH(DATE(cfg_FY,1,1),0))-MAX($E245,DATE(cfg_FY,1,1))+1))</f>
        <v>0</v>
      </c>
      <c r="AU245" s="110" t="n">
        <f aca="false">IF(OR(OR($B245="",$E245="",$F245=""),$K245&lt;&gt;"نعم",$M245="نعم"),0,MAX(0,MIN($F245,EOMONTH(DATE(cfg_FY,2,1),0))-MAX($E245,DATE(cfg_FY,2,1))+1))</f>
        <v>0</v>
      </c>
      <c r="AV245" s="110" t="n">
        <f aca="false">IF(OR(OR($B245="",$E245="",$F245=""),$K245&lt;&gt;"نعم",$M245="نعم"),0,MAX(0,MIN($F245,EOMONTH(DATE(cfg_FY,3,1),0))-MAX($E245,DATE(cfg_FY,3,1))+1))</f>
        <v>0</v>
      </c>
      <c r="AW245" s="110" t="n">
        <f aca="false">IF(OR(OR($B245="",$E245="",$F245=""),$K245&lt;&gt;"نعم",$M245="نعم"),0,MAX(0,MIN($F245,EOMONTH(DATE(cfg_FY,4,1),0))-MAX($E245,DATE(cfg_FY,4,1))+1))</f>
        <v>0</v>
      </c>
      <c r="AX245" s="110" t="n">
        <f aca="false">IF(OR(OR($B245="",$E245="",$F245=""),$K245&lt;&gt;"نعم",$M245="نعم"),0,MAX(0,MIN($F245,EOMONTH(DATE(cfg_FY,5,1),0))-MAX($E245,DATE(cfg_FY,5,1))+1))</f>
        <v>0</v>
      </c>
      <c r="AY245" s="110" t="n">
        <f aca="false">IF(OR(OR($B245="",$E245="",$F245=""),$K245&lt;&gt;"نعم",$M245="نعم"),0,MAX(0,MIN($F245,EOMONTH(DATE(cfg_FY,6,1),0))-MAX($E245,DATE(cfg_FY,6,1))+1))</f>
        <v>0</v>
      </c>
      <c r="AZ245" s="110" t="n">
        <f aca="false">IF(OR(OR($B245="",$E245="",$F245=""),$K245&lt;&gt;"نعم",$M245="نعم"),0,MAX(0,MIN($F245,EOMONTH(DATE(cfg_FY,7,1),0))-MAX($E245,DATE(cfg_FY,7,1))+1))</f>
        <v>0</v>
      </c>
      <c r="BA245" s="110" t="n">
        <f aca="false">IF(OR(OR($B245="",$E245="",$F245=""),$K245&lt;&gt;"نعم",$M245="نعم"),0,MAX(0,MIN($F245,EOMONTH(DATE(cfg_FY,8,1),0))-MAX($E245,DATE(cfg_FY,8,1))+1))</f>
        <v>0</v>
      </c>
      <c r="BB245" s="110" t="n">
        <f aca="false">IF(OR(OR($B245="",$E245="",$F245=""),$K245&lt;&gt;"نعم",$M245="نعم"),0,MAX(0,MIN($F245,EOMONTH(DATE(cfg_FY,9,1),0))-MAX($E245,DATE(cfg_FY,9,1))+1))</f>
        <v>0</v>
      </c>
      <c r="BC245" s="110" t="n">
        <f aca="false">IF(OR(OR($B245="",$E245="",$F245=""),$K245&lt;&gt;"نعم",$M245="نعم"),0,MAX(0,MIN($F245,EOMONTH(DATE(cfg_FY,10,1),0))-MAX($E245,DATE(cfg_FY,10,1))+1))</f>
        <v>0</v>
      </c>
      <c r="BD245" s="110" t="n">
        <f aca="false">IF(OR(OR($B245="",$E245="",$F245=""),$K245&lt;&gt;"نعم",$M245="نعم"),0,MAX(0,MIN($F245,EOMONTH(DATE(cfg_FY,11,1),0))-MAX($E245,DATE(cfg_FY,11,1))+1))</f>
        <v>0</v>
      </c>
      <c r="BE245" s="110" t="n">
        <f aca="false">IF(OR(OR($B245="",$E245="",$F245=""),$K245&lt;&gt;"نعم",$M245="نعم"),0,MAX(0,MIN($F245,EOMONTH(DATE(cfg_FY,12,1),0))-MAX($E245,DATE(cfg_FY,12,1))+1))</f>
        <v>0</v>
      </c>
    </row>
    <row r="246" customFormat="false" ht="15" hidden="false" customHeight="false" outlineLevel="0" collapsed="false">
      <c r="A246" s="93" t="str">
        <f aca="false">IF(B246="","",ROW()-5)</f>
        <v/>
      </c>
      <c r="B246" s="79"/>
      <c r="C246" s="80" t="str">
        <f aca="false">IF(B246="","",IFERROR(INDEX(الموظفون!$C$6:$C$105,MATCH(B246,الموظفون!$B$6:$B$105,0)),"✖ رقم غير موجود"))</f>
        <v/>
      </c>
      <c r="D246" s="79"/>
      <c r="E246" s="94"/>
      <c r="F246" s="94"/>
      <c r="G246" s="57" t="str">
        <f aca="false">IF(OR($B246="",$E246="",$F246=""),"",MAX(0,F246-E246+1))</f>
        <v/>
      </c>
      <c r="H246" s="58" t="str">
        <f aca="false">IF(D246="","",IFERROR(VLOOKUP(D246,cfg_LT,2,FALSE()),1))</f>
        <v/>
      </c>
      <c r="I246" s="82"/>
      <c r="J246" s="58" t="str">
        <f aca="false">IF(D246="","",IF(I246&lt;&gt;"",I246,H246))</f>
        <v/>
      </c>
      <c r="K246" s="80" t="str">
        <f aca="false">IF(D246="","",IFERROR(VLOOKUP($D246,cfg_LT,3,FALSE()),""))</f>
        <v/>
      </c>
      <c r="L246" s="80" t="str">
        <f aca="false">IF(D246="","",IFERROR(VLOOKUP($D246,cfg_LT,4,FALSE()),""))</f>
        <v/>
      </c>
      <c r="M246" s="80" t="str">
        <f aca="false">IF(D246="","",IFERROR(VLOOKUP($D246,cfg_LT,5,FALSE()),""))</f>
        <v/>
      </c>
      <c r="N246" s="97" t="n">
        <f aca="false">IF(OR(OR($B246="",$E246="",$F246=""),M246&lt;&gt;"نعم"),0,G246*J246*IFERROR(INDEX(الموظفون!$R$6:$R$105,MATCH(B246,الموظفون!$B$6:$B$105,0)),0)/cfg_DAYS_M)</f>
        <v>0</v>
      </c>
      <c r="O246" s="93" t="str">
        <f aca="false">IF(OR(OR($B246="",$E246="",$F246=""),M246&lt;&gt;"نعم"),"",IF(YEAR(E246)=cfg_FY,MONTH(E246),""))</f>
        <v/>
      </c>
      <c r="P246" s="80" t="str">
        <f aca="false">IF(B246="","",IF(OR(D246="",E246="",F246=""),"⚠ أكمل النوع والتواريخ",IF(F246&lt;E246,"✖ النهاية قبل البداية",IF(COUNTIFS($B$6:$B$505,B246,$E$6:$E$505,"&lt;="&amp;F246,$F$6:$F$505,"&gt;="&amp;E246)&gt;1,"⚠ تداخل مع سجل آخر",IF(E246&gt;cfg_VAL_DATE,"⏳ قادمة",IF(F246&lt;cfg_VAL_DATE,"✔ منتهية","✈ جارية في تاريخ التقرير"))))))</f>
        <v/>
      </c>
      <c r="Q246" s="79"/>
      <c r="R246" s="57" t="n">
        <f aca="false">IF(OR(OR($B246="",$E246="",$F246=""),L246&lt;&gt;"لا"),0,MAX(0,MIN(F246,cfg_Y_START-1)-E246+1))</f>
        <v>0</v>
      </c>
      <c r="S246" s="57" t="n">
        <f aca="false">IF(OR(OR($B246="",$E246="",$F246=""),L246&lt;&gt;"لا"),0,MAX(0,MIN(F246,cfg_VAL_DATE)-E246+1))</f>
        <v>0</v>
      </c>
      <c r="T246" s="57" t="n">
        <f aca="false">IF(OR(OR($B246="",$E246="",$F246=""),K246&lt;&gt;"نعم"),0,IF(M246="نعم",IF(AND(ISNUMBER(O246),N(O246)&lt;=cfg_VAL_M),G246,0),MAX(0,MIN(F246,cfg_VAL_DATE)-MAX(E246,cfg_Y_START)+1)))</f>
        <v>0</v>
      </c>
      <c r="V246" s="57" t="n">
        <f aca="false">IF(OR($B246="",$E246="",$F246=""),0,MAX(0,MIN($F246,EOMONTH(DATE(cfg_FY,1,1),0))-MAX($E246,DATE(cfg_FY,1,1))+1)*(1-IF($M246="نعم",0,N($J246))))</f>
        <v>0</v>
      </c>
      <c r="W246" s="57" t="n">
        <f aca="false">IF(OR($B246="",$E246="",$F246=""),0,MAX(0,MIN($F246,EOMONTH(DATE(cfg_FY,2,1),0))-MAX($E246,DATE(cfg_FY,2,1))+1)*(1-IF($M246="نعم",0,N($J246))))</f>
        <v>0</v>
      </c>
      <c r="X246" s="57" t="n">
        <f aca="false">IF(OR($B246="",$E246="",$F246=""),0,MAX(0,MIN($F246,EOMONTH(DATE(cfg_FY,3,1),0))-MAX($E246,DATE(cfg_FY,3,1))+1)*(1-IF($M246="نعم",0,N($J246))))</f>
        <v>0</v>
      </c>
      <c r="Y246" s="57" t="n">
        <f aca="false">IF(OR($B246="",$E246="",$F246=""),0,MAX(0,MIN($F246,EOMONTH(DATE(cfg_FY,4,1),0))-MAX($E246,DATE(cfg_FY,4,1))+1)*(1-IF($M246="نعم",0,N($J246))))</f>
        <v>0</v>
      </c>
      <c r="Z246" s="57" t="n">
        <f aca="false">IF(OR($B246="",$E246="",$F246=""),0,MAX(0,MIN($F246,EOMONTH(DATE(cfg_FY,5,1),0))-MAX($E246,DATE(cfg_FY,5,1))+1)*(1-IF($M246="نعم",0,N($J246))))</f>
        <v>0</v>
      </c>
      <c r="AA246" s="57" t="n">
        <f aca="false">IF(OR($B246="",$E246="",$F246=""),0,MAX(0,MIN($F246,EOMONTH(DATE(cfg_FY,6,1),0))-MAX($E246,DATE(cfg_FY,6,1))+1)*(1-IF($M246="نعم",0,N($J246))))</f>
        <v>0</v>
      </c>
      <c r="AB246" s="57" t="n">
        <f aca="false">IF(OR($B246="",$E246="",$F246=""),0,MAX(0,MIN($F246,EOMONTH(DATE(cfg_FY,7,1),0))-MAX($E246,DATE(cfg_FY,7,1))+1)*(1-IF($M246="نعم",0,N($J246))))</f>
        <v>0</v>
      </c>
      <c r="AC246" s="57" t="n">
        <f aca="false">IF(OR($B246="",$E246="",$F246=""),0,MAX(0,MIN($F246,EOMONTH(DATE(cfg_FY,8,1),0))-MAX($E246,DATE(cfg_FY,8,1))+1)*(1-IF($M246="نعم",0,N($J246))))</f>
        <v>0</v>
      </c>
      <c r="AD246" s="57" t="n">
        <f aca="false">IF(OR($B246="",$E246="",$F246=""),0,MAX(0,MIN($F246,EOMONTH(DATE(cfg_FY,9,1),0))-MAX($E246,DATE(cfg_FY,9,1))+1)*(1-IF($M246="نعم",0,N($J246))))</f>
        <v>0</v>
      </c>
      <c r="AE246" s="57" t="n">
        <f aca="false">IF(OR($B246="",$E246="",$F246=""),0,MAX(0,MIN($F246,EOMONTH(DATE(cfg_FY,10,1),0))-MAX($E246,DATE(cfg_FY,10,1))+1)*(1-IF($M246="نعم",0,N($J246))))</f>
        <v>0</v>
      </c>
      <c r="AF246" s="57" t="n">
        <f aca="false">IF(OR($B246="",$E246="",$F246=""),0,MAX(0,MIN($F246,EOMONTH(DATE(cfg_FY,11,1),0))-MAX($E246,DATE(cfg_FY,11,1))+1)*(1-IF($M246="نعم",0,N($J246))))</f>
        <v>0</v>
      </c>
      <c r="AG246" s="57" t="n">
        <f aca="false">IF(OR($B246="",$E246="",$F246=""),0,MAX(0,MIN($F246,EOMONTH(DATE(cfg_FY,12,1),0))-MAX($E246,DATE(cfg_FY,12,1))+1)*(1-IF($M246="نعم",0,N($J246))))</f>
        <v>0</v>
      </c>
      <c r="AH246" s="57" t="n">
        <f aca="false">IF(OR(OR($B246="",$E246="",$F246=""),$L246&lt;&gt;"لا"),0,MAX(0,MIN($F246,EOMONTH(DATE(cfg_FY,1,1),0))-$E246+1))</f>
        <v>0</v>
      </c>
      <c r="AI246" s="57" t="n">
        <f aca="false">IF(OR(OR($B246="",$E246="",$F246=""),$L246&lt;&gt;"لا"),0,MAX(0,MIN($F246,EOMONTH(DATE(cfg_FY,2,1),0))-$E246+1))</f>
        <v>0</v>
      </c>
      <c r="AJ246" s="57" t="n">
        <f aca="false">IF(OR(OR($B246="",$E246="",$F246=""),$L246&lt;&gt;"لا"),0,MAX(0,MIN($F246,EOMONTH(DATE(cfg_FY,3,1),0))-$E246+1))</f>
        <v>0</v>
      </c>
      <c r="AK246" s="57" t="n">
        <f aca="false">IF(OR(OR($B246="",$E246="",$F246=""),$L246&lt;&gt;"لا"),0,MAX(0,MIN($F246,EOMONTH(DATE(cfg_FY,4,1),0))-$E246+1))</f>
        <v>0</v>
      </c>
      <c r="AL246" s="57" t="n">
        <f aca="false">IF(OR(OR($B246="",$E246="",$F246=""),$L246&lt;&gt;"لا"),0,MAX(0,MIN($F246,EOMONTH(DATE(cfg_FY,5,1),0))-$E246+1))</f>
        <v>0</v>
      </c>
      <c r="AM246" s="57" t="n">
        <f aca="false">IF(OR(OR($B246="",$E246="",$F246=""),$L246&lt;&gt;"لا"),0,MAX(0,MIN($F246,EOMONTH(DATE(cfg_FY,6,1),0))-$E246+1))</f>
        <v>0</v>
      </c>
      <c r="AN246" s="57" t="n">
        <f aca="false">IF(OR(OR($B246="",$E246="",$F246=""),$L246&lt;&gt;"لا"),0,MAX(0,MIN($F246,EOMONTH(DATE(cfg_FY,7,1),0))-$E246+1))</f>
        <v>0</v>
      </c>
      <c r="AO246" s="57" t="n">
        <f aca="false">IF(OR(OR($B246="",$E246="",$F246=""),$L246&lt;&gt;"لا"),0,MAX(0,MIN($F246,EOMONTH(DATE(cfg_FY,8,1),0))-$E246+1))</f>
        <v>0</v>
      </c>
      <c r="AP246" s="57" t="n">
        <f aca="false">IF(OR(OR($B246="",$E246="",$F246=""),$L246&lt;&gt;"لا"),0,MAX(0,MIN($F246,EOMONTH(DATE(cfg_FY,9,1),0))-$E246+1))</f>
        <v>0</v>
      </c>
      <c r="AQ246" s="57" t="n">
        <f aca="false">IF(OR(OR($B246="",$E246="",$F246=""),$L246&lt;&gt;"لا"),0,MAX(0,MIN($F246,EOMONTH(DATE(cfg_FY,10,1),0))-$E246+1))</f>
        <v>0</v>
      </c>
      <c r="AR246" s="57" t="n">
        <f aca="false">IF(OR(OR($B246="",$E246="",$F246=""),$L246&lt;&gt;"لا"),0,MAX(0,MIN($F246,EOMONTH(DATE(cfg_FY,11,1),0))-$E246+1))</f>
        <v>0</v>
      </c>
      <c r="AS246" s="57" t="n">
        <f aca="false">IF(OR(OR($B246="",$E246="",$F246=""),$L246&lt;&gt;"لا"),0,MAX(0,MIN($F246,EOMONTH(DATE(cfg_FY,12,1),0))-$E246+1))</f>
        <v>0</v>
      </c>
      <c r="AT246" s="57" t="n">
        <f aca="false">IF(OR(OR($B246="",$E246="",$F246=""),$K246&lt;&gt;"نعم",$M246="نعم"),0,MAX(0,MIN($F246,EOMONTH(DATE(cfg_FY,1,1),0))-MAX($E246,DATE(cfg_FY,1,1))+1))</f>
        <v>0</v>
      </c>
      <c r="AU246" s="57" t="n">
        <f aca="false">IF(OR(OR($B246="",$E246="",$F246=""),$K246&lt;&gt;"نعم",$M246="نعم"),0,MAX(0,MIN($F246,EOMONTH(DATE(cfg_FY,2,1),0))-MAX($E246,DATE(cfg_FY,2,1))+1))</f>
        <v>0</v>
      </c>
      <c r="AV246" s="57" t="n">
        <f aca="false">IF(OR(OR($B246="",$E246="",$F246=""),$K246&lt;&gt;"نعم",$M246="نعم"),0,MAX(0,MIN($F246,EOMONTH(DATE(cfg_FY,3,1),0))-MAX($E246,DATE(cfg_FY,3,1))+1))</f>
        <v>0</v>
      </c>
      <c r="AW246" s="57" t="n">
        <f aca="false">IF(OR(OR($B246="",$E246="",$F246=""),$K246&lt;&gt;"نعم",$M246="نعم"),0,MAX(0,MIN($F246,EOMONTH(DATE(cfg_FY,4,1),0))-MAX($E246,DATE(cfg_FY,4,1))+1))</f>
        <v>0</v>
      </c>
      <c r="AX246" s="57" t="n">
        <f aca="false">IF(OR(OR($B246="",$E246="",$F246=""),$K246&lt;&gt;"نعم",$M246="نعم"),0,MAX(0,MIN($F246,EOMONTH(DATE(cfg_FY,5,1),0))-MAX($E246,DATE(cfg_FY,5,1))+1))</f>
        <v>0</v>
      </c>
      <c r="AY246" s="57" t="n">
        <f aca="false">IF(OR(OR($B246="",$E246="",$F246=""),$K246&lt;&gt;"نعم",$M246="نعم"),0,MAX(0,MIN($F246,EOMONTH(DATE(cfg_FY,6,1),0))-MAX($E246,DATE(cfg_FY,6,1))+1))</f>
        <v>0</v>
      </c>
      <c r="AZ246" s="57" t="n">
        <f aca="false">IF(OR(OR($B246="",$E246="",$F246=""),$K246&lt;&gt;"نعم",$M246="نعم"),0,MAX(0,MIN($F246,EOMONTH(DATE(cfg_FY,7,1),0))-MAX($E246,DATE(cfg_FY,7,1))+1))</f>
        <v>0</v>
      </c>
      <c r="BA246" s="57" t="n">
        <f aca="false">IF(OR(OR($B246="",$E246="",$F246=""),$K246&lt;&gt;"نعم",$M246="نعم"),0,MAX(0,MIN($F246,EOMONTH(DATE(cfg_FY,8,1),0))-MAX($E246,DATE(cfg_FY,8,1))+1))</f>
        <v>0</v>
      </c>
      <c r="BB246" s="57" t="n">
        <f aca="false">IF(OR(OR($B246="",$E246="",$F246=""),$K246&lt;&gt;"نعم",$M246="نعم"),0,MAX(0,MIN($F246,EOMONTH(DATE(cfg_FY,9,1),0))-MAX($E246,DATE(cfg_FY,9,1))+1))</f>
        <v>0</v>
      </c>
      <c r="BC246" s="57" t="n">
        <f aca="false">IF(OR(OR($B246="",$E246="",$F246=""),$K246&lt;&gt;"نعم",$M246="نعم"),0,MAX(0,MIN($F246,EOMONTH(DATE(cfg_FY,10,1),0))-MAX($E246,DATE(cfg_FY,10,1))+1))</f>
        <v>0</v>
      </c>
      <c r="BD246" s="57" t="n">
        <f aca="false">IF(OR(OR($B246="",$E246="",$F246=""),$K246&lt;&gt;"نعم",$M246="نعم"),0,MAX(0,MIN($F246,EOMONTH(DATE(cfg_FY,11,1),0))-MAX($E246,DATE(cfg_FY,11,1))+1))</f>
        <v>0</v>
      </c>
      <c r="BE246" s="57" t="n">
        <f aca="false">IF(OR(OR($B246="",$E246="",$F246=""),$K246&lt;&gt;"نعم",$M246="نعم"),0,MAX(0,MIN($F246,EOMONTH(DATE(cfg_FY,12,1),0))-MAX($E246,DATE(cfg_FY,12,1))+1))</f>
        <v>0</v>
      </c>
    </row>
    <row r="247" customFormat="false" ht="15" hidden="false" customHeight="false" outlineLevel="0" collapsed="false">
      <c r="A247" s="100" t="str">
        <f aca="false">IF(B247="","",ROW()-5)</f>
        <v/>
      </c>
      <c r="B247" s="79"/>
      <c r="C247" s="102" t="str">
        <f aca="false">IF(B247="","",IFERROR(INDEX(الموظفون!$C$6:$C$105,MATCH(B247,الموظفون!$B$6:$B$105,0)),"✖ رقم غير موجود"))</f>
        <v/>
      </c>
      <c r="D247" s="79"/>
      <c r="E247" s="94"/>
      <c r="F247" s="94"/>
      <c r="G247" s="110" t="str">
        <f aca="false">IF(OR($B247="",$E247="",$F247=""),"",MAX(0,F247-E247+1))</f>
        <v/>
      </c>
      <c r="H247" s="111" t="str">
        <f aca="false">IF(D247="","",IFERROR(VLOOKUP(D247,cfg_LT,2,FALSE()),1))</f>
        <v/>
      </c>
      <c r="I247" s="82"/>
      <c r="J247" s="111" t="str">
        <f aca="false">IF(D247="","",IF(I247&lt;&gt;"",I247,H247))</f>
        <v/>
      </c>
      <c r="K247" s="102" t="str">
        <f aca="false">IF(D247="","",IFERROR(VLOOKUP($D247,cfg_LT,3,FALSE()),""))</f>
        <v/>
      </c>
      <c r="L247" s="102" t="str">
        <f aca="false">IF(D247="","",IFERROR(VLOOKUP($D247,cfg_LT,4,FALSE()),""))</f>
        <v/>
      </c>
      <c r="M247" s="102" t="str">
        <f aca="false">IF(D247="","",IFERROR(VLOOKUP($D247,cfg_LT,5,FALSE()),""))</f>
        <v/>
      </c>
      <c r="N247" s="101" t="n">
        <f aca="false">IF(OR(OR($B247="",$E247="",$F247=""),M247&lt;&gt;"نعم"),0,G247*J247*IFERROR(INDEX(الموظفون!$R$6:$R$105,MATCH(B247,الموظفون!$B$6:$B$105,0)),0)/cfg_DAYS_M)</f>
        <v>0</v>
      </c>
      <c r="O247" s="100" t="str">
        <f aca="false">IF(OR(OR($B247="",$E247="",$F247=""),M247&lt;&gt;"نعم"),"",IF(YEAR(E247)=cfg_FY,MONTH(E247),""))</f>
        <v/>
      </c>
      <c r="P247" s="102" t="str">
        <f aca="false">IF(B247="","",IF(OR(D247="",E247="",F247=""),"⚠ أكمل النوع والتواريخ",IF(F247&lt;E247,"✖ النهاية قبل البداية",IF(COUNTIFS($B$6:$B$505,B247,$E$6:$E$505,"&lt;="&amp;F247,$F$6:$F$505,"&gt;="&amp;E247)&gt;1,"⚠ تداخل مع سجل آخر",IF(E247&gt;cfg_VAL_DATE,"⏳ قادمة",IF(F247&lt;cfg_VAL_DATE,"✔ منتهية","✈ جارية في تاريخ التقرير"))))))</f>
        <v/>
      </c>
      <c r="Q247" s="79"/>
      <c r="R247" s="110" t="n">
        <f aca="false">IF(OR(OR($B247="",$E247="",$F247=""),L247&lt;&gt;"لا"),0,MAX(0,MIN(F247,cfg_Y_START-1)-E247+1))</f>
        <v>0</v>
      </c>
      <c r="S247" s="110" t="n">
        <f aca="false">IF(OR(OR($B247="",$E247="",$F247=""),L247&lt;&gt;"لا"),0,MAX(0,MIN(F247,cfg_VAL_DATE)-E247+1))</f>
        <v>0</v>
      </c>
      <c r="T247" s="110" t="n">
        <f aca="false">IF(OR(OR($B247="",$E247="",$F247=""),K247&lt;&gt;"نعم"),0,IF(M247="نعم",IF(AND(ISNUMBER(O247),N(O247)&lt;=cfg_VAL_M),G247,0),MAX(0,MIN(F247,cfg_VAL_DATE)-MAX(E247,cfg_Y_START)+1)))</f>
        <v>0</v>
      </c>
      <c r="V247" s="110" t="n">
        <f aca="false">IF(OR($B247="",$E247="",$F247=""),0,MAX(0,MIN($F247,EOMONTH(DATE(cfg_FY,1,1),0))-MAX($E247,DATE(cfg_FY,1,1))+1)*(1-IF($M247="نعم",0,N($J247))))</f>
        <v>0</v>
      </c>
      <c r="W247" s="110" t="n">
        <f aca="false">IF(OR($B247="",$E247="",$F247=""),0,MAX(0,MIN($F247,EOMONTH(DATE(cfg_FY,2,1),0))-MAX($E247,DATE(cfg_FY,2,1))+1)*(1-IF($M247="نعم",0,N($J247))))</f>
        <v>0</v>
      </c>
      <c r="X247" s="110" t="n">
        <f aca="false">IF(OR($B247="",$E247="",$F247=""),0,MAX(0,MIN($F247,EOMONTH(DATE(cfg_FY,3,1),0))-MAX($E247,DATE(cfg_FY,3,1))+1)*(1-IF($M247="نعم",0,N($J247))))</f>
        <v>0</v>
      </c>
      <c r="Y247" s="110" t="n">
        <f aca="false">IF(OR($B247="",$E247="",$F247=""),0,MAX(0,MIN($F247,EOMONTH(DATE(cfg_FY,4,1),0))-MAX($E247,DATE(cfg_FY,4,1))+1)*(1-IF($M247="نعم",0,N($J247))))</f>
        <v>0</v>
      </c>
      <c r="Z247" s="110" t="n">
        <f aca="false">IF(OR($B247="",$E247="",$F247=""),0,MAX(0,MIN($F247,EOMONTH(DATE(cfg_FY,5,1),0))-MAX($E247,DATE(cfg_FY,5,1))+1)*(1-IF($M247="نعم",0,N($J247))))</f>
        <v>0</v>
      </c>
      <c r="AA247" s="110" t="n">
        <f aca="false">IF(OR($B247="",$E247="",$F247=""),0,MAX(0,MIN($F247,EOMONTH(DATE(cfg_FY,6,1),0))-MAX($E247,DATE(cfg_FY,6,1))+1)*(1-IF($M247="نعم",0,N($J247))))</f>
        <v>0</v>
      </c>
      <c r="AB247" s="110" t="n">
        <f aca="false">IF(OR($B247="",$E247="",$F247=""),0,MAX(0,MIN($F247,EOMONTH(DATE(cfg_FY,7,1),0))-MAX($E247,DATE(cfg_FY,7,1))+1)*(1-IF($M247="نعم",0,N($J247))))</f>
        <v>0</v>
      </c>
      <c r="AC247" s="110" t="n">
        <f aca="false">IF(OR($B247="",$E247="",$F247=""),0,MAX(0,MIN($F247,EOMONTH(DATE(cfg_FY,8,1),0))-MAX($E247,DATE(cfg_FY,8,1))+1)*(1-IF($M247="نعم",0,N($J247))))</f>
        <v>0</v>
      </c>
      <c r="AD247" s="110" t="n">
        <f aca="false">IF(OR($B247="",$E247="",$F247=""),0,MAX(0,MIN($F247,EOMONTH(DATE(cfg_FY,9,1),0))-MAX($E247,DATE(cfg_FY,9,1))+1)*(1-IF($M247="نعم",0,N($J247))))</f>
        <v>0</v>
      </c>
      <c r="AE247" s="110" t="n">
        <f aca="false">IF(OR($B247="",$E247="",$F247=""),0,MAX(0,MIN($F247,EOMONTH(DATE(cfg_FY,10,1),0))-MAX($E247,DATE(cfg_FY,10,1))+1)*(1-IF($M247="نعم",0,N($J247))))</f>
        <v>0</v>
      </c>
      <c r="AF247" s="110" t="n">
        <f aca="false">IF(OR($B247="",$E247="",$F247=""),0,MAX(0,MIN($F247,EOMONTH(DATE(cfg_FY,11,1),0))-MAX($E247,DATE(cfg_FY,11,1))+1)*(1-IF($M247="نعم",0,N($J247))))</f>
        <v>0</v>
      </c>
      <c r="AG247" s="110" t="n">
        <f aca="false">IF(OR($B247="",$E247="",$F247=""),0,MAX(0,MIN($F247,EOMONTH(DATE(cfg_FY,12,1),0))-MAX($E247,DATE(cfg_FY,12,1))+1)*(1-IF($M247="نعم",0,N($J247))))</f>
        <v>0</v>
      </c>
      <c r="AH247" s="110" t="n">
        <f aca="false">IF(OR(OR($B247="",$E247="",$F247=""),$L247&lt;&gt;"لا"),0,MAX(0,MIN($F247,EOMONTH(DATE(cfg_FY,1,1),0))-$E247+1))</f>
        <v>0</v>
      </c>
      <c r="AI247" s="110" t="n">
        <f aca="false">IF(OR(OR($B247="",$E247="",$F247=""),$L247&lt;&gt;"لا"),0,MAX(0,MIN($F247,EOMONTH(DATE(cfg_FY,2,1),0))-$E247+1))</f>
        <v>0</v>
      </c>
      <c r="AJ247" s="110" t="n">
        <f aca="false">IF(OR(OR($B247="",$E247="",$F247=""),$L247&lt;&gt;"لا"),0,MAX(0,MIN($F247,EOMONTH(DATE(cfg_FY,3,1),0))-$E247+1))</f>
        <v>0</v>
      </c>
      <c r="AK247" s="110" t="n">
        <f aca="false">IF(OR(OR($B247="",$E247="",$F247=""),$L247&lt;&gt;"لا"),0,MAX(0,MIN($F247,EOMONTH(DATE(cfg_FY,4,1),0))-$E247+1))</f>
        <v>0</v>
      </c>
      <c r="AL247" s="110" t="n">
        <f aca="false">IF(OR(OR($B247="",$E247="",$F247=""),$L247&lt;&gt;"لا"),0,MAX(0,MIN($F247,EOMONTH(DATE(cfg_FY,5,1),0))-$E247+1))</f>
        <v>0</v>
      </c>
      <c r="AM247" s="110" t="n">
        <f aca="false">IF(OR(OR($B247="",$E247="",$F247=""),$L247&lt;&gt;"لا"),0,MAX(0,MIN($F247,EOMONTH(DATE(cfg_FY,6,1),0))-$E247+1))</f>
        <v>0</v>
      </c>
      <c r="AN247" s="110" t="n">
        <f aca="false">IF(OR(OR($B247="",$E247="",$F247=""),$L247&lt;&gt;"لا"),0,MAX(0,MIN($F247,EOMONTH(DATE(cfg_FY,7,1),0))-$E247+1))</f>
        <v>0</v>
      </c>
      <c r="AO247" s="110" t="n">
        <f aca="false">IF(OR(OR($B247="",$E247="",$F247=""),$L247&lt;&gt;"لا"),0,MAX(0,MIN($F247,EOMONTH(DATE(cfg_FY,8,1),0))-$E247+1))</f>
        <v>0</v>
      </c>
      <c r="AP247" s="110" t="n">
        <f aca="false">IF(OR(OR($B247="",$E247="",$F247=""),$L247&lt;&gt;"لا"),0,MAX(0,MIN($F247,EOMONTH(DATE(cfg_FY,9,1),0))-$E247+1))</f>
        <v>0</v>
      </c>
      <c r="AQ247" s="110" t="n">
        <f aca="false">IF(OR(OR($B247="",$E247="",$F247=""),$L247&lt;&gt;"لا"),0,MAX(0,MIN($F247,EOMONTH(DATE(cfg_FY,10,1),0))-$E247+1))</f>
        <v>0</v>
      </c>
      <c r="AR247" s="110" t="n">
        <f aca="false">IF(OR(OR($B247="",$E247="",$F247=""),$L247&lt;&gt;"لا"),0,MAX(0,MIN($F247,EOMONTH(DATE(cfg_FY,11,1),0))-$E247+1))</f>
        <v>0</v>
      </c>
      <c r="AS247" s="110" t="n">
        <f aca="false">IF(OR(OR($B247="",$E247="",$F247=""),$L247&lt;&gt;"لا"),0,MAX(0,MIN($F247,EOMONTH(DATE(cfg_FY,12,1),0))-$E247+1))</f>
        <v>0</v>
      </c>
      <c r="AT247" s="110" t="n">
        <f aca="false">IF(OR(OR($B247="",$E247="",$F247=""),$K247&lt;&gt;"نعم",$M247="نعم"),0,MAX(0,MIN($F247,EOMONTH(DATE(cfg_FY,1,1),0))-MAX($E247,DATE(cfg_FY,1,1))+1))</f>
        <v>0</v>
      </c>
      <c r="AU247" s="110" t="n">
        <f aca="false">IF(OR(OR($B247="",$E247="",$F247=""),$K247&lt;&gt;"نعم",$M247="نعم"),0,MAX(0,MIN($F247,EOMONTH(DATE(cfg_FY,2,1),0))-MAX($E247,DATE(cfg_FY,2,1))+1))</f>
        <v>0</v>
      </c>
      <c r="AV247" s="110" t="n">
        <f aca="false">IF(OR(OR($B247="",$E247="",$F247=""),$K247&lt;&gt;"نعم",$M247="نعم"),0,MAX(0,MIN($F247,EOMONTH(DATE(cfg_FY,3,1),0))-MAX($E247,DATE(cfg_FY,3,1))+1))</f>
        <v>0</v>
      </c>
      <c r="AW247" s="110" t="n">
        <f aca="false">IF(OR(OR($B247="",$E247="",$F247=""),$K247&lt;&gt;"نعم",$M247="نعم"),0,MAX(0,MIN($F247,EOMONTH(DATE(cfg_FY,4,1),0))-MAX($E247,DATE(cfg_FY,4,1))+1))</f>
        <v>0</v>
      </c>
      <c r="AX247" s="110" t="n">
        <f aca="false">IF(OR(OR($B247="",$E247="",$F247=""),$K247&lt;&gt;"نعم",$M247="نعم"),0,MAX(0,MIN($F247,EOMONTH(DATE(cfg_FY,5,1),0))-MAX($E247,DATE(cfg_FY,5,1))+1))</f>
        <v>0</v>
      </c>
      <c r="AY247" s="110" t="n">
        <f aca="false">IF(OR(OR($B247="",$E247="",$F247=""),$K247&lt;&gt;"نعم",$M247="نعم"),0,MAX(0,MIN($F247,EOMONTH(DATE(cfg_FY,6,1),0))-MAX($E247,DATE(cfg_FY,6,1))+1))</f>
        <v>0</v>
      </c>
      <c r="AZ247" s="110" t="n">
        <f aca="false">IF(OR(OR($B247="",$E247="",$F247=""),$K247&lt;&gt;"نعم",$M247="نعم"),0,MAX(0,MIN($F247,EOMONTH(DATE(cfg_FY,7,1),0))-MAX($E247,DATE(cfg_FY,7,1))+1))</f>
        <v>0</v>
      </c>
      <c r="BA247" s="110" t="n">
        <f aca="false">IF(OR(OR($B247="",$E247="",$F247=""),$K247&lt;&gt;"نعم",$M247="نعم"),0,MAX(0,MIN($F247,EOMONTH(DATE(cfg_FY,8,1),0))-MAX($E247,DATE(cfg_FY,8,1))+1))</f>
        <v>0</v>
      </c>
      <c r="BB247" s="110" t="n">
        <f aca="false">IF(OR(OR($B247="",$E247="",$F247=""),$K247&lt;&gt;"نعم",$M247="نعم"),0,MAX(0,MIN($F247,EOMONTH(DATE(cfg_FY,9,1),0))-MAX($E247,DATE(cfg_FY,9,1))+1))</f>
        <v>0</v>
      </c>
      <c r="BC247" s="110" t="n">
        <f aca="false">IF(OR(OR($B247="",$E247="",$F247=""),$K247&lt;&gt;"نعم",$M247="نعم"),0,MAX(0,MIN($F247,EOMONTH(DATE(cfg_FY,10,1),0))-MAX($E247,DATE(cfg_FY,10,1))+1))</f>
        <v>0</v>
      </c>
      <c r="BD247" s="110" t="n">
        <f aca="false">IF(OR(OR($B247="",$E247="",$F247=""),$K247&lt;&gt;"نعم",$M247="نعم"),0,MAX(0,MIN($F247,EOMONTH(DATE(cfg_FY,11,1),0))-MAX($E247,DATE(cfg_FY,11,1))+1))</f>
        <v>0</v>
      </c>
      <c r="BE247" s="110" t="n">
        <f aca="false">IF(OR(OR($B247="",$E247="",$F247=""),$K247&lt;&gt;"نعم",$M247="نعم"),0,MAX(0,MIN($F247,EOMONTH(DATE(cfg_FY,12,1),0))-MAX($E247,DATE(cfg_FY,12,1))+1))</f>
        <v>0</v>
      </c>
    </row>
    <row r="248" customFormat="false" ht="15" hidden="false" customHeight="false" outlineLevel="0" collapsed="false">
      <c r="A248" s="93" t="str">
        <f aca="false">IF(B248="","",ROW()-5)</f>
        <v/>
      </c>
      <c r="B248" s="79"/>
      <c r="C248" s="80" t="str">
        <f aca="false">IF(B248="","",IFERROR(INDEX(الموظفون!$C$6:$C$105,MATCH(B248,الموظفون!$B$6:$B$105,0)),"✖ رقم غير موجود"))</f>
        <v/>
      </c>
      <c r="D248" s="79"/>
      <c r="E248" s="94"/>
      <c r="F248" s="94"/>
      <c r="G248" s="57" t="str">
        <f aca="false">IF(OR($B248="",$E248="",$F248=""),"",MAX(0,F248-E248+1))</f>
        <v/>
      </c>
      <c r="H248" s="58" t="str">
        <f aca="false">IF(D248="","",IFERROR(VLOOKUP(D248,cfg_LT,2,FALSE()),1))</f>
        <v/>
      </c>
      <c r="I248" s="82"/>
      <c r="J248" s="58" t="str">
        <f aca="false">IF(D248="","",IF(I248&lt;&gt;"",I248,H248))</f>
        <v/>
      </c>
      <c r="K248" s="80" t="str">
        <f aca="false">IF(D248="","",IFERROR(VLOOKUP($D248,cfg_LT,3,FALSE()),""))</f>
        <v/>
      </c>
      <c r="L248" s="80" t="str">
        <f aca="false">IF(D248="","",IFERROR(VLOOKUP($D248,cfg_LT,4,FALSE()),""))</f>
        <v/>
      </c>
      <c r="M248" s="80" t="str">
        <f aca="false">IF(D248="","",IFERROR(VLOOKUP($D248,cfg_LT,5,FALSE()),""))</f>
        <v/>
      </c>
      <c r="N248" s="97" t="n">
        <f aca="false">IF(OR(OR($B248="",$E248="",$F248=""),M248&lt;&gt;"نعم"),0,G248*J248*IFERROR(INDEX(الموظفون!$R$6:$R$105,MATCH(B248,الموظفون!$B$6:$B$105,0)),0)/cfg_DAYS_M)</f>
        <v>0</v>
      </c>
      <c r="O248" s="93" t="str">
        <f aca="false">IF(OR(OR($B248="",$E248="",$F248=""),M248&lt;&gt;"نعم"),"",IF(YEAR(E248)=cfg_FY,MONTH(E248),""))</f>
        <v/>
      </c>
      <c r="P248" s="80" t="str">
        <f aca="false">IF(B248="","",IF(OR(D248="",E248="",F248=""),"⚠ أكمل النوع والتواريخ",IF(F248&lt;E248,"✖ النهاية قبل البداية",IF(COUNTIFS($B$6:$B$505,B248,$E$6:$E$505,"&lt;="&amp;F248,$F$6:$F$505,"&gt;="&amp;E248)&gt;1,"⚠ تداخل مع سجل آخر",IF(E248&gt;cfg_VAL_DATE,"⏳ قادمة",IF(F248&lt;cfg_VAL_DATE,"✔ منتهية","✈ جارية في تاريخ التقرير"))))))</f>
        <v/>
      </c>
      <c r="Q248" s="79"/>
      <c r="R248" s="57" t="n">
        <f aca="false">IF(OR(OR($B248="",$E248="",$F248=""),L248&lt;&gt;"لا"),0,MAX(0,MIN(F248,cfg_Y_START-1)-E248+1))</f>
        <v>0</v>
      </c>
      <c r="S248" s="57" t="n">
        <f aca="false">IF(OR(OR($B248="",$E248="",$F248=""),L248&lt;&gt;"لا"),0,MAX(0,MIN(F248,cfg_VAL_DATE)-E248+1))</f>
        <v>0</v>
      </c>
      <c r="T248" s="57" t="n">
        <f aca="false">IF(OR(OR($B248="",$E248="",$F248=""),K248&lt;&gt;"نعم"),0,IF(M248="نعم",IF(AND(ISNUMBER(O248),N(O248)&lt;=cfg_VAL_M),G248,0),MAX(0,MIN(F248,cfg_VAL_DATE)-MAX(E248,cfg_Y_START)+1)))</f>
        <v>0</v>
      </c>
      <c r="V248" s="57" t="n">
        <f aca="false">IF(OR($B248="",$E248="",$F248=""),0,MAX(0,MIN($F248,EOMONTH(DATE(cfg_FY,1,1),0))-MAX($E248,DATE(cfg_FY,1,1))+1)*(1-IF($M248="نعم",0,N($J248))))</f>
        <v>0</v>
      </c>
      <c r="W248" s="57" t="n">
        <f aca="false">IF(OR($B248="",$E248="",$F248=""),0,MAX(0,MIN($F248,EOMONTH(DATE(cfg_FY,2,1),0))-MAX($E248,DATE(cfg_FY,2,1))+1)*(1-IF($M248="نعم",0,N($J248))))</f>
        <v>0</v>
      </c>
      <c r="X248" s="57" t="n">
        <f aca="false">IF(OR($B248="",$E248="",$F248=""),0,MAX(0,MIN($F248,EOMONTH(DATE(cfg_FY,3,1),0))-MAX($E248,DATE(cfg_FY,3,1))+1)*(1-IF($M248="نعم",0,N($J248))))</f>
        <v>0</v>
      </c>
      <c r="Y248" s="57" t="n">
        <f aca="false">IF(OR($B248="",$E248="",$F248=""),0,MAX(0,MIN($F248,EOMONTH(DATE(cfg_FY,4,1),0))-MAX($E248,DATE(cfg_FY,4,1))+1)*(1-IF($M248="نعم",0,N($J248))))</f>
        <v>0</v>
      </c>
      <c r="Z248" s="57" t="n">
        <f aca="false">IF(OR($B248="",$E248="",$F248=""),0,MAX(0,MIN($F248,EOMONTH(DATE(cfg_FY,5,1),0))-MAX($E248,DATE(cfg_FY,5,1))+1)*(1-IF($M248="نعم",0,N($J248))))</f>
        <v>0</v>
      </c>
      <c r="AA248" s="57" t="n">
        <f aca="false">IF(OR($B248="",$E248="",$F248=""),0,MAX(0,MIN($F248,EOMONTH(DATE(cfg_FY,6,1),0))-MAX($E248,DATE(cfg_FY,6,1))+1)*(1-IF($M248="نعم",0,N($J248))))</f>
        <v>0</v>
      </c>
      <c r="AB248" s="57" t="n">
        <f aca="false">IF(OR($B248="",$E248="",$F248=""),0,MAX(0,MIN($F248,EOMONTH(DATE(cfg_FY,7,1),0))-MAX($E248,DATE(cfg_FY,7,1))+1)*(1-IF($M248="نعم",0,N($J248))))</f>
        <v>0</v>
      </c>
      <c r="AC248" s="57" t="n">
        <f aca="false">IF(OR($B248="",$E248="",$F248=""),0,MAX(0,MIN($F248,EOMONTH(DATE(cfg_FY,8,1),0))-MAX($E248,DATE(cfg_FY,8,1))+1)*(1-IF($M248="نعم",0,N($J248))))</f>
        <v>0</v>
      </c>
      <c r="AD248" s="57" t="n">
        <f aca="false">IF(OR($B248="",$E248="",$F248=""),0,MAX(0,MIN($F248,EOMONTH(DATE(cfg_FY,9,1),0))-MAX($E248,DATE(cfg_FY,9,1))+1)*(1-IF($M248="نعم",0,N($J248))))</f>
        <v>0</v>
      </c>
      <c r="AE248" s="57" t="n">
        <f aca="false">IF(OR($B248="",$E248="",$F248=""),0,MAX(0,MIN($F248,EOMONTH(DATE(cfg_FY,10,1),0))-MAX($E248,DATE(cfg_FY,10,1))+1)*(1-IF($M248="نعم",0,N($J248))))</f>
        <v>0</v>
      </c>
      <c r="AF248" s="57" t="n">
        <f aca="false">IF(OR($B248="",$E248="",$F248=""),0,MAX(0,MIN($F248,EOMONTH(DATE(cfg_FY,11,1),0))-MAX($E248,DATE(cfg_FY,11,1))+1)*(1-IF($M248="نعم",0,N($J248))))</f>
        <v>0</v>
      </c>
      <c r="AG248" s="57" t="n">
        <f aca="false">IF(OR($B248="",$E248="",$F248=""),0,MAX(0,MIN($F248,EOMONTH(DATE(cfg_FY,12,1),0))-MAX($E248,DATE(cfg_FY,12,1))+1)*(1-IF($M248="نعم",0,N($J248))))</f>
        <v>0</v>
      </c>
      <c r="AH248" s="57" t="n">
        <f aca="false">IF(OR(OR($B248="",$E248="",$F248=""),$L248&lt;&gt;"لا"),0,MAX(0,MIN($F248,EOMONTH(DATE(cfg_FY,1,1),0))-$E248+1))</f>
        <v>0</v>
      </c>
      <c r="AI248" s="57" t="n">
        <f aca="false">IF(OR(OR($B248="",$E248="",$F248=""),$L248&lt;&gt;"لا"),0,MAX(0,MIN($F248,EOMONTH(DATE(cfg_FY,2,1),0))-$E248+1))</f>
        <v>0</v>
      </c>
      <c r="AJ248" s="57" t="n">
        <f aca="false">IF(OR(OR($B248="",$E248="",$F248=""),$L248&lt;&gt;"لا"),0,MAX(0,MIN($F248,EOMONTH(DATE(cfg_FY,3,1),0))-$E248+1))</f>
        <v>0</v>
      </c>
      <c r="AK248" s="57" t="n">
        <f aca="false">IF(OR(OR($B248="",$E248="",$F248=""),$L248&lt;&gt;"لا"),0,MAX(0,MIN($F248,EOMONTH(DATE(cfg_FY,4,1),0))-$E248+1))</f>
        <v>0</v>
      </c>
      <c r="AL248" s="57" t="n">
        <f aca="false">IF(OR(OR($B248="",$E248="",$F248=""),$L248&lt;&gt;"لا"),0,MAX(0,MIN($F248,EOMONTH(DATE(cfg_FY,5,1),0))-$E248+1))</f>
        <v>0</v>
      </c>
      <c r="AM248" s="57" t="n">
        <f aca="false">IF(OR(OR($B248="",$E248="",$F248=""),$L248&lt;&gt;"لا"),0,MAX(0,MIN($F248,EOMONTH(DATE(cfg_FY,6,1),0))-$E248+1))</f>
        <v>0</v>
      </c>
      <c r="AN248" s="57" t="n">
        <f aca="false">IF(OR(OR($B248="",$E248="",$F248=""),$L248&lt;&gt;"لا"),0,MAX(0,MIN($F248,EOMONTH(DATE(cfg_FY,7,1),0))-$E248+1))</f>
        <v>0</v>
      </c>
      <c r="AO248" s="57" t="n">
        <f aca="false">IF(OR(OR($B248="",$E248="",$F248=""),$L248&lt;&gt;"لا"),0,MAX(0,MIN($F248,EOMONTH(DATE(cfg_FY,8,1),0))-$E248+1))</f>
        <v>0</v>
      </c>
      <c r="AP248" s="57" t="n">
        <f aca="false">IF(OR(OR($B248="",$E248="",$F248=""),$L248&lt;&gt;"لا"),0,MAX(0,MIN($F248,EOMONTH(DATE(cfg_FY,9,1),0))-$E248+1))</f>
        <v>0</v>
      </c>
      <c r="AQ248" s="57" t="n">
        <f aca="false">IF(OR(OR($B248="",$E248="",$F248=""),$L248&lt;&gt;"لا"),0,MAX(0,MIN($F248,EOMONTH(DATE(cfg_FY,10,1),0))-$E248+1))</f>
        <v>0</v>
      </c>
      <c r="AR248" s="57" t="n">
        <f aca="false">IF(OR(OR($B248="",$E248="",$F248=""),$L248&lt;&gt;"لا"),0,MAX(0,MIN($F248,EOMONTH(DATE(cfg_FY,11,1),0))-$E248+1))</f>
        <v>0</v>
      </c>
      <c r="AS248" s="57" t="n">
        <f aca="false">IF(OR(OR($B248="",$E248="",$F248=""),$L248&lt;&gt;"لا"),0,MAX(0,MIN($F248,EOMONTH(DATE(cfg_FY,12,1),0))-$E248+1))</f>
        <v>0</v>
      </c>
      <c r="AT248" s="57" t="n">
        <f aca="false">IF(OR(OR($B248="",$E248="",$F248=""),$K248&lt;&gt;"نعم",$M248="نعم"),0,MAX(0,MIN($F248,EOMONTH(DATE(cfg_FY,1,1),0))-MAX($E248,DATE(cfg_FY,1,1))+1))</f>
        <v>0</v>
      </c>
      <c r="AU248" s="57" t="n">
        <f aca="false">IF(OR(OR($B248="",$E248="",$F248=""),$K248&lt;&gt;"نعم",$M248="نعم"),0,MAX(0,MIN($F248,EOMONTH(DATE(cfg_FY,2,1),0))-MAX($E248,DATE(cfg_FY,2,1))+1))</f>
        <v>0</v>
      </c>
      <c r="AV248" s="57" t="n">
        <f aca="false">IF(OR(OR($B248="",$E248="",$F248=""),$K248&lt;&gt;"نعم",$M248="نعم"),0,MAX(0,MIN($F248,EOMONTH(DATE(cfg_FY,3,1),0))-MAX($E248,DATE(cfg_FY,3,1))+1))</f>
        <v>0</v>
      </c>
      <c r="AW248" s="57" t="n">
        <f aca="false">IF(OR(OR($B248="",$E248="",$F248=""),$K248&lt;&gt;"نعم",$M248="نعم"),0,MAX(0,MIN($F248,EOMONTH(DATE(cfg_FY,4,1),0))-MAX($E248,DATE(cfg_FY,4,1))+1))</f>
        <v>0</v>
      </c>
      <c r="AX248" s="57" t="n">
        <f aca="false">IF(OR(OR($B248="",$E248="",$F248=""),$K248&lt;&gt;"نعم",$M248="نعم"),0,MAX(0,MIN($F248,EOMONTH(DATE(cfg_FY,5,1),0))-MAX($E248,DATE(cfg_FY,5,1))+1))</f>
        <v>0</v>
      </c>
      <c r="AY248" s="57" t="n">
        <f aca="false">IF(OR(OR($B248="",$E248="",$F248=""),$K248&lt;&gt;"نعم",$M248="نعم"),0,MAX(0,MIN($F248,EOMONTH(DATE(cfg_FY,6,1),0))-MAX($E248,DATE(cfg_FY,6,1))+1))</f>
        <v>0</v>
      </c>
      <c r="AZ248" s="57" t="n">
        <f aca="false">IF(OR(OR($B248="",$E248="",$F248=""),$K248&lt;&gt;"نعم",$M248="نعم"),0,MAX(0,MIN($F248,EOMONTH(DATE(cfg_FY,7,1),0))-MAX($E248,DATE(cfg_FY,7,1))+1))</f>
        <v>0</v>
      </c>
      <c r="BA248" s="57" t="n">
        <f aca="false">IF(OR(OR($B248="",$E248="",$F248=""),$K248&lt;&gt;"نعم",$M248="نعم"),0,MAX(0,MIN($F248,EOMONTH(DATE(cfg_FY,8,1),0))-MAX($E248,DATE(cfg_FY,8,1))+1))</f>
        <v>0</v>
      </c>
      <c r="BB248" s="57" t="n">
        <f aca="false">IF(OR(OR($B248="",$E248="",$F248=""),$K248&lt;&gt;"نعم",$M248="نعم"),0,MAX(0,MIN($F248,EOMONTH(DATE(cfg_FY,9,1),0))-MAX($E248,DATE(cfg_FY,9,1))+1))</f>
        <v>0</v>
      </c>
      <c r="BC248" s="57" t="n">
        <f aca="false">IF(OR(OR($B248="",$E248="",$F248=""),$K248&lt;&gt;"نعم",$M248="نعم"),0,MAX(0,MIN($F248,EOMONTH(DATE(cfg_FY,10,1),0))-MAX($E248,DATE(cfg_FY,10,1))+1))</f>
        <v>0</v>
      </c>
      <c r="BD248" s="57" t="n">
        <f aca="false">IF(OR(OR($B248="",$E248="",$F248=""),$K248&lt;&gt;"نعم",$M248="نعم"),0,MAX(0,MIN($F248,EOMONTH(DATE(cfg_FY,11,1),0))-MAX($E248,DATE(cfg_FY,11,1))+1))</f>
        <v>0</v>
      </c>
      <c r="BE248" s="57" t="n">
        <f aca="false">IF(OR(OR($B248="",$E248="",$F248=""),$K248&lt;&gt;"نعم",$M248="نعم"),0,MAX(0,MIN($F248,EOMONTH(DATE(cfg_FY,12,1),0))-MAX($E248,DATE(cfg_FY,12,1))+1))</f>
        <v>0</v>
      </c>
    </row>
    <row r="249" customFormat="false" ht="15" hidden="false" customHeight="false" outlineLevel="0" collapsed="false">
      <c r="A249" s="100" t="str">
        <f aca="false">IF(B249="","",ROW()-5)</f>
        <v/>
      </c>
      <c r="B249" s="79"/>
      <c r="C249" s="102" t="str">
        <f aca="false">IF(B249="","",IFERROR(INDEX(الموظفون!$C$6:$C$105,MATCH(B249,الموظفون!$B$6:$B$105,0)),"✖ رقم غير موجود"))</f>
        <v/>
      </c>
      <c r="D249" s="79"/>
      <c r="E249" s="94"/>
      <c r="F249" s="94"/>
      <c r="G249" s="110" t="str">
        <f aca="false">IF(OR($B249="",$E249="",$F249=""),"",MAX(0,F249-E249+1))</f>
        <v/>
      </c>
      <c r="H249" s="111" t="str">
        <f aca="false">IF(D249="","",IFERROR(VLOOKUP(D249,cfg_LT,2,FALSE()),1))</f>
        <v/>
      </c>
      <c r="I249" s="82"/>
      <c r="J249" s="111" t="str">
        <f aca="false">IF(D249="","",IF(I249&lt;&gt;"",I249,H249))</f>
        <v/>
      </c>
      <c r="K249" s="102" t="str">
        <f aca="false">IF(D249="","",IFERROR(VLOOKUP($D249,cfg_LT,3,FALSE()),""))</f>
        <v/>
      </c>
      <c r="L249" s="102" t="str">
        <f aca="false">IF(D249="","",IFERROR(VLOOKUP($D249,cfg_LT,4,FALSE()),""))</f>
        <v/>
      </c>
      <c r="M249" s="102" t="str">
        <f aca="false">IF(D249="","",IFERROR(VLOOKUP($D249,cfg_LT,5,FALSE()),""))</f>
        <v/>
      </c>
      <c r="N249" s="101" t="n">
        <f aca="false">IF(OR(OR($B249="",$E249="",$F249=""),M249&lt;&gt;"نعم"),0,G249*J249*IFERROR(INDEX(الموظفون!$R$6:$R$105,MATCH(B249,الموظفون!$B$6:$B$105,0)),0)/cfg_DAYS_M)</f>
        <v>0</v>
      </c>
      <c r="O249" s="100" t="str">
        <f aca="false">IF(OR(OR($B249="",$E249="",$F249=""),M249&lt;&gt;"نعم"),"",IF(YEAR(E249)=cfg_FY,MONTH(E249),""))</f>
        <v/>
      </c>
      <c r="P249" s="102" t="str">
        <f aca="false">IF(B249="","",IF(OR(D249="",E249="",F249=""),"⚠ أكمل النوع والتواريخ",IF(F249&lt;E249,"✖ النهاية قبل البداية",IF(COUNTIFS($B$6:$B$505,B249,$E$6:$E$505,"&lt;="&amp;F249,$F$6:$F$505,"&gt;="&amp;E249)&gt;1,"⚠ تداخل مع سجل آخر",IF(E249&gt;cfg_VAL_DATE,"⏳ قادمة",IF(F249&lt;cfg_VAL_DATE,"✔ منتهية","✈ جارية في تاريخ التقرير"))))))</f>
        <v/>
      </c>
      <c r="Q249" s="79"/>
      <c r="R249" s="110" t="n">
        <f aca="false">IF(OR(OR($B249="",$E249="",$F249=""),L249&lt;&gt;"لا"),0,MAX(0,MIN(F249,cfg_Y_START-1)-E249+1))</f>
        <v>0</v>
      </c>
      <c r="S249" s="110" t="n">
        <f aca="false">IF(OR(OR($B249="",$E249="",$F249=""),L249&lt;&gt;"لا"),0,MAX(0,MIN(F249,cfg_VAL_DATE)-E249+1))</f>
        <v>0</v>
      </c>
      <c r="T249" s="110" t="n">
        <f aca="false">IF(OR(OR($B249="",$E249="",$F249=""),K249&lt;&gt;"نعم"),0,IF(M249="نعم",IF(AND(ISNUMBER(O249),N(O249)&lt;=cfg_VAL_M),G249,0),MAX(0,MIN(F249,cfg_VAL_DATE)-MAX(E249,cfg_Y_START)+1)))</f>
        <v>0</v>
      </c>
      <c r="V249" s="110" t="n">
        <f aca="false">IF(OR($B249="",$E249="",$F249=""),0,MAX(0,MIN($F249,EOMONTH(DATE(cfg_FY,1,1),0))-MAX($E249,DATE(cfg_FY,1,1))+1)*(1-IF($M249="نعم",0,N($J249))))</f>
        <v>0</v>
      </c>
      <c r="W249" s="110" t="n">
        <f aca="false">IF(OR($B249="",$E249="",$F249=""),0,MAX(0,MIN($F249,EOMONTH(DATE(cfg_FY,2,1),0))-MAX($E249,DATE(cfg_FY,2,1))+1)*(1-IF($M249="نعم",0,N($J249))))</f>
        <v>0</v>
      </c>
      <c r="X249" s="110" t="n">
        <f aca="false">IF(OR($B249="",$E249="",$F249=""),0,MAX(0,MIN($F249,EOMONTH(DATE(cfg_FY,3,1),0))-MAX($E249,DATE(cfg_FY,3,1))+1)*(1-IF($M249="نعم",0,N($J249))))</f>
        <v>0</v>
      </c>
      <c r="Y249" s="110" t="n">
        <f aca="false">IF(OR($B249="",$E249="",$F249=""),0,MAX(0,MIN($F249,EOMONTH(DATE(cfg_FY,4,1),0))-MAX($E249,DATE(cfg_FY,4,1))+1)*(1-IF($M249="نعم",0,N($J249))))</f>
        <v>0</v>
      </c>
      <c r="Z249" s="110" t="n">
        <f aca="false">IF(OR($B249="",$E249="",$F249=""),0,MAX(0,MIN($F249,EOMONTH(DATE(cfg_FY,5,1),0))-MAX($E249,DATE(cfg_FY,5,1))+1)*(1-IF($M249="نعم",0,N($J249))))</f>
        <v>0</v>
      </c>
      <c r="AA249" s="110" t="n">
        <f aca="false">IF(OR($B249="",$E249="",$F249=""),0,MAX(0,MIN($F249,EOMONTH(DATE(cfg_FY,6,1),0))-MAX($E249,DATE(cfg_FY,6,1))+1)*(1-IF($M249="نعم",0,N($J249))))</f>
        <v>0</v>
      </c>
      <c r="AB249" s="110" t="n">
        <f aca="false">IF(OR($B249="",$E249="",$F249=""),0,MAX(0,MIN($F249,EOMONTH(DATE(cfg_FY,7,1),0))-MAX($E249,DATE(cfg_FY,7,1))+1)*(1-IF($M249="نعم",0,N($J249))))</f>
        <v>0</v>
      </c>
      <c r="AC249" s="110" t="n">
        <f aca="false">IF(OR($B249="",$E249="",$F249=""),0,MAX(0,MIN($F249,EOMONTH(DATE(cfg_FY,8,1),0))-MAX($E249,DATE(cfg_FY,8,1))+1)*(1-IF($M249="نعم",0,N($J249))))</f>
        <v>0</v>
      </c>
      <c r="AD249" s="110" t="n">
        <f aca="false">IF(OR($B249="",$E249="",$F249=""),0,MAX(0,MIN($F249,EOMONTH(DATE(cfg_FY,9,1),0))-MAX($E249,DATE(cfg_FY,9,1))+1)*(1-IF($M249="نعم",0,N($J249))))</f>
        <v>0</v>
      </c>
      <c r="AE249" s="110" t="n">
        <f aca="false">IF(OR($B249="",$E249="",$F249=""),0,MAX(0,MIN($F249,EOMONTH(DATE(cfg_FY,10,1),0))-MAX($E249,DATE(cfg_FY,10,1))+1)*(1-IF($M249="نعم",0,N($J249))))</f>
        <v>0</v>
      </c>
      <c r="AF249" s="110" t="n">
        <f aca="false">IF(OR($B249="",$E249="",$F249=""),0,MAX(0,MIN($F249,EOMONTH(DATE(cfg_FY,11,1),0))-MAX($E249,DATE(cfg_FY,11,1))+1)*(1-IF($M249="نعم",0,N($J249))))</f>
        <v>0</v>
      </c>
      <c r="AG249" s="110" t="n">
        <f aca="false">IF(OR($B249="",$E249="",$F249=""),0,MAX(0,MIN($F249,EOMONTH(DATE(cfg_FY,12,1),0))-MAX($E249,DATE(cfg_FY,12,1))+1)*(1-IF($M249="نعم",0,N($J249))))</f>
        <v>0</v>
      </c>
      <c r="AH249" s="110" t="n">
        <f aca="false">IF(OR(OR($B249="",$E249="",$F249=""),$L249&lt;&gt;"لا"),0,MAX(0,MIN($F249,EOMONTH(DATE(cfg_FY,1,1),0))-$E249+1))</f>
        <v>0</v>
      </c>
      <c r="AI249" s="110" t="n">
        <f aca="false">IF(OR(OR($B249="",$E249="",$F249=""),$L249&lt;&gt;"لا"),0,MAX(0,MIN($F249,EOMONTH(DATE(cfg_FY,2,1),0))-$E249+1))</f>
        <v>0</v>
      </c>
      <c r="AJ249" s="110" t="n">
        <f aca="false">IF(OR(OR($B249="",$E249="",$F249=""),$L249&lt;&gt;"لا"),0,MAX(0,MIN($F249,EOMONTH(DATE(cfg_FY,3,1),0))-$E249+1))</f>
        <v>0</v>
      </c>
      <c r="AK249" s="110" t="n">
        <f aca="false">IF(OR(OR($B249="",$E249="",$F249=""),$L249&lt;&gt;"لا"),0,MAX(0,MIN($F249,EOMONTH(DATE(cfg_FY,4,1),0))-$E249+1))</f>
        <v>0</v>
      </c>
      <c r="AL249" s="110" t="n">
        <f aca="false">IF(OR(OR($B249="",$E249="",$F249=""),$L249&lt;&gt;"لا"),0,MAX(0,MIN($F249,EOMONTH(DATE(cfg_FY,5,1),0))-$E249+1))</f>
        <v>0</v>
      </c>
      <c r="AM249" s="110" t="n">
        <f aca="false">IF(OR(OR($B249="",$E249="",$F249=""),$L249&lt;&gt;"لا"),0,MAX(0,MIN($F249,EOMONTH(DATE(cfg_FY,6,1),0))-$E249+1))</f>
        <v>0</v>
      </c>
      <c r="AN249" s="110" t="n">
        <f aca="false">IF(OR(OR($B249="",$E249="",$F249=""),$L249&lt;&gt;"لا"),0,MAX(0,MIN($F249,EOMONTH(DATE(cfg_FY,7,1),0))-$E249+1))</f>
        <v>0</v>
      </c>
      <c r="AO249" s="110" t="n">
        <f aca="false">IF(OR(OR($B249="",$E249="",$F249=""),$L249&lt;&gt;"لا"),0,MAX(0,MIN($F249,EOMONTH(DATE(cfg_FY,8,1),0))-$E249+1))</f>
        <v>0</v>
      </c>
      <c r="AP249" s="110" t="n">
        <f aca="false">IF(OR(OR($B249="",$E249="",$F249=""),$L249&lt;&gt;"لا"),0,MAX(0,MIN($F249,EOMONTH(DATE(cfg_FY,9,1),0))-$E249+1))</f>
        <v>0</v>
      </c>
      <c r="AQ249" s="110" t="n">
        <f aca="false">IF(OR(OR($B249="",$E249="",$F249=""),$L249&lt;&gt;"لا"),0,MAX(0,MIN($F249,EOMONTH(DATE(cfg_FY,10,1),0))-$E249+1))</f>
        <v>0</v>
      </c>
      <c r="AR249" s="110" t="n">
        <f aca="false">IF(OR(OR($B249="",$E249="",$F249=""),$L249&lt;&gt;"لا"),0,MAX(0,MIN($F249,EOMONTH(DATE(cfg_FY,11,1),0))-$E249+1))</f>
        <v>0</v>
      </c>
      <c r="AS249" s="110" t="n">
        <f aca="false">IF(OR(OR($B249="",$E249="",$F249=""),$L249&lt;&gt;"لا"),0,MAX(0,MIN($F249,EOMONTH(DATE(cfg_FY,12,1),0))-$E249+1))</f>
        <v>0</v>
      </c>
      <c r="AT249" s="110" t="n">
        <f aca="false">IF(OR(OR($B249="",$E249="",$F249=""),$K249&lt;&gt;"نعم",$M249="نعم"),0,MAX(0,MIN($F249,EOMONTH(DATE(cfg_FY,1,1),0))-MAX($E249,DATE(cfg_FY,1,1))+1))</f>
        <v>0</v>
      </c>
      <c r="AU249" s="110" t="n">
        <f aca="false">IF(OR(OR($B249="",$E249="",$F249=""),$K249&lt;&gt;"نعم",$M249="نعم"),0,MAX(0,MIN($F249,EOMONTH(DATE(cfg_FY,2,1),0))-MAX($E249,DATE(cfg_FY,2,1))+1))</f>
        <v>0</v>
      </c>
      <c r="AV249" s="110" t="n">
        <f aca="false">IF(OR(OR($B249="",$E249="",$F249=""),$K249&lt;&gt;"نعم",$M249="نعم"),0,MAX(0,MIN($F249,EOMONTH(DATE(cfg_FY,3,1),0))-MAX($E249,DATE(cfg_FY,3,1))+1))</f>
        <v>0</v>
      </c>
      <c r="AW249" s="110" t="n">
        <f aca="false">IF(OR(OR($B249="",$E249="",$F249=""),$K249&lt;&gt;"نعم",$M249="نعم"),0,MAX(0,MIN($F249,EOMONTH(DATE(cfg_FY,4,1),0))-MAX($E249,DATE(cfg_FY,4,1))+1))</f>
        <v>0</v>
      </c>
      <c r="AX249" s="110" t="n">
        <f aca="false">IF(OR(OR($B249="",$E249="",$F249=""),$K249&lt;&gt;"نعم",$M249="نعم"),0,MAX(0,MIN($F249,EOMONTH(DATE(cfg_FY,5,1),0))-MAX($E249,DATE(cfg_FY,5,1))+1))</f>
        <v>0</v>
      </c>
      <c r="AY249" s="110" t="n">
        <f aca="false">IF(OR(OR($B249="",$E249="",$F249=""),$K249&lt;&gt;"نعم",$M249="نعم"),0,MAX(0,MIN($F249,EOMONTH(DATE(cfg_FY,6,1),0))-MAX($E249,DATE(cfg_FY,6,1))+1))</f>
        <v>0</v>
      </c>
      <c r="AZ249" s="110" t="n">
        <f aca="false">IF(OR(OR($B249="",$E249="",$F249=""),$K249&lt;&gt;"نعم",$M249="نعم"),0,MAX(0,MIN($F249,EOMONTH(DATE(cfg_FY,7,1),0))-MAX($E249,DATE(cfg_FY,7,1))+1))</f>
        <v>0</v>
      </c>
      <c r="BA249" s="110" t="n">
        <f aca="false">IF(OR(OR($B249="",$E249="",$F249=""),$K249&lt;&gt;"نعم",$M249="نعم"),0,MAX(0,MIN($F249,EOMONTH(DATE(cfg_FY,8,1),0))-MAX($E249,DATE(cfg_FY,8,1))+1))</f>
        <v>0</v>
      </c>
      <c r="BB249" s="110" t="n">
        <f aca="false">IF(OR(OR($B249="",$E249="",$F249=""),$K249&lt;&gt;"نعم",$M249="نعم"),0,MAX(0,MIN($F249,EOMONTH(DATE(cfg_FY,9,1),0))-MAX($E249,DATE(cfg_FY,9,1))+1))</f>
        <v>0</v>
      </c>
      <c r="BC249" s="110" t="n">
        <f aca="false">IF(OR(OR($B249="",$E249="",$F249=""),$K249&lt;&gt;"نعم",$M249="نعم"),0,MAX(0,MIN($F249,EOMONTH(DATE(cfg_FY,10,1),0))-MAX($E249,DATE(cfg_FY,10,1))+1))</f>
        <v>0</v>
      </c>
      <c r="BD249" s="110" t="n">
        <f aca="false">IF(OR(OR($B249="",$E249="",$F249=""),$K249&lt;&gt;"نعم",$M249="نعم"),0,MAX(0,MIN($F249,EOMONTH(DATE(cfg_FY,11,1),0))-MAX($E249,DATE(cfg_FY,11,1))+1))</f>
        <v>0</v>
      </c>
      <c r="BE249" s="110" t="n">
        <f aca="false">IF(OR(OR($B249="",$E249="",$F249=""),$K249&lt;&gt;"نعم",$M249="نعم"),0,MAX(0,MIN($F249,EOMONTH(DATE(cfg_FY,12,1),0))-MAX($E249,DATE(cfg_FY,12,1))+1))</f>
        <v>0</v>
      </c>
    </row>
    <row r="250" customFormat="false" ht="15" hidden="false" customHeight="false" outlineLevel="0" collapsed="false">
      <c r="A250" s="93" t="str">
        <f aca="false">IF(B250="","",ROW()-5)</f>
        <v/>
      </c>
      <c r="B250" s="79"/>
      <c r="C250" s="80" t="str">
        <f aca="false">IF(B250="","",IFERROR(INDEX(الموظفون!$C$6:$C$105,MATCH(B250,الموظفون!$B$6:$B$105,0)),"✖ رقم غير موجود"))</f>
        <v/>
      </c>
      <c r="D250" s="79"/>
      <c r="E250" s="94"/>
      <c r="F250" s="94"/>
      <c r="G250" s="57" t="str">
        <f aca="false">IF(OR($B250="",$E250="",$F250=""),"",MAX(0,F250-E250+1))</f>
        <v/>
      </c>
      <c r="H250" s="58" t="str">
        <f aca="false">IF(D250="","",IFERROR(VLOOKUP(D250,cfg_LT,2,FALSE()),1))</f>
        <v/>
      </c>
      <c r="I250" s="82"/>
      <c r="J250" s="58" t="str">
        <f aca="false">IF(D250="","",IF(I250&lt;&gt;"",I250,H250))</f>
        <v/>
      </c>
      <c r="K250" s="80" t="str">
        <f aca="false">IF(D250="","",IFERROR(VLOOKUP($D250,cfg_LT,3,FALSE()),""))</f>
        <v/>
      </c>
      <c r="L250" s="80" t="str">
        <f aca="false">IF(D250="","",IFERROR(VLOOKUP($D250,cfg_LT,4,FALSE()),""))</f>
        <v/>
      </c>
      <c r="M250" s="80" t="str">
        <f aca="false">IF(D250="","",IFERROR(VLOOKUP($D250,cfg_LT,5,FALSE()),""))</f>
        <v/>
      </c>
      <c r="N250" s="97" t="n">
        <f aca="false">IF(OR(OR($B250="",$E250="",$F250=""),M250&lt;&gt;"نعم"),0,G250*J250*IFERROR(INDEX(الموظفون!$R$6:$R$105,MATCH(B250,الموظفون!$B$6:$B$105,0)),0)/cfg_DAYS_M)</f>
        <v>0</v>
      </c>
      <c r="O250" s="93" t="str">
        <f aca="false">IF(OR(OR($B250="",$E250="",$F250=""),M250&lt;&gt;"نعم"),"",IF(YEAR(E250)=cfg_FY,MONTH(E250),""))</f>
        <v/>
      </c>
      <c r="P250" s="80" t="str">
        <f aca="false">IF(B250="","",IF(OR(D250="",E250="",F250=""),"⚠ أكمل النوع والتواريخ",IF(F250&lt;E250,"✖ النهاية قبل البداية",IF(COUNTIFS($B$6:$B$505,B250,$E$6:$E$505,"&lt;="&amp;F250,$F$6:$F$505,"&gt;="&amp;E250)&gt;1,"⚠ تداخل مع سجل آخر",IF(E250&gt;cfg_VAL_DATE,"⏳ قادمة",IF(F250&lt;cfg_VAL_DATE,"✔ منتهية","✈ جارية في تاريخ التقرير"))))))</f>
        <v/>
      </c>
      <c r="Q250" s="79"/>
      <c r="R250" s="57" t="n">
        <f aca="false">IF(OR(OR($B250="",$E250="",$F250=""),L250&lt;&gt;"لا"),0,MAX(0,MIN(F250,cfg_Y_START-1)-E250+1))</f>
        <v>0</v>
      </c>
      <c r="S250" s="57" t="n">
        <f aca="false">IF(OR(OR($B250="",$E250="",$F250=""),L250&lt;&gt;"لا"),0,MAX(0,MIN(F250,cfg_VAL_DATE)-E250+1))</f>
        <v>0</v>
      </c>
      <c r="T250" s="57" t="n">
        <f aca="false">IF(OR(OR($B250="",$E250="",$F250=""),K250&lt;&gt;"نعم"),0,IF(M250="نعم",IF(AND(ISNUMBER(O250),N(O250)&lt;=cfg_VAL_M),G250,0),MAX(0,MIN(F250,cfg_VAL_DATE)-MAX(E250,cfg_Y_START)+1)))</f>
        <v>0</v>
      </c>
      <c r="V250" s="57" t="n">
        <f aca="false">IF(OR($B250="",$E250="",$F250=""),0,MAX(0,MIN($F250,EOMONTH(DATE(cfg_FY,1,1),0))-MAX($E250,DATE(cfg_FY,1,1))+1)*(1-IF($M250="نعم",0,N($J250))))</f>
        <v>0</v>
      </c>
      <c r="W250" s="57" t="n">
        <f aca="false">IF(OR($B250="",$E250="",$F250=""),0,MAX(0,MIN($F250,EOMONTH(DATE(cfg_FY,2,1),0))-MAX($E250,DATE(cfg_FY,2,1))+1)*(1-IF($M250="نعم",0,N($J250))))</f>
        <v>0</v>
      </c>
      <c r="X250" s="57" t="n">
        <f aca="false">IF(OR($B250="",$E250="",$F250=""),0,MAX(0,MIN($F250,EOMONTH(DATE(cfg_FY,3,1),0))-MAX($E250,DATE(cfg_FY,3,1))+1)*(1-IF($M250="نعم",0,N($J250))))</f>
        <v>0</v>
      </c>
      <c r="Y250" s="57" t="n">
        <f aca="false">IF(OR($B250="",$E250="",$F250=""),0,MAX(0,MIN($F250,EOMONTH(DATE(cfg_FY,4,1),0))-MAX($E250,DATE(cfg_FY,4,1))+1)*(1-IF($M250="نعم",0,N($J250))))</f>
        <v>0</v>
      </c>
      <c r="Z250" s="57" t="n">
        <f aca="false">IF(OR($B250="",$E250="",$F250=""),0,MAX(0,MIN($F250,EOMONTH(DATE(cfg_FY,5,1),0))-MAX($E250,DATE(cfg_FY,5,1))+1)*(1-IF($M250="نعم",0,N($J250))))</f>
        <v>0</v>
      </c>
      <c r="AA250" s="57" t="n">
        <f aca="false">IF(OR($B250="",$E250="",$F250=""),0,MAX(0,MIN($F250,EOMONTH(DATE(cfg_FY,6,1),0))-MAX($E250,DATE(cfg_FY,6,1))+1)*(1-IF($M250="نعم",0,N($J250))))</f>
        <v>0</v>
      </c>
      <c r="AB250" s="57" t="n">
        <f aca="false">IF(OR($B250="",$E250="",$F250=""),0,MAX(0,MIN($F250,EOMONTH(DATE(cfg_FY,7,1),0))-MAX($E250,DATE(cfg_FY,7,1))+1)*(1-IF($M250="نعم",0,N($J250))))</f>
        <v>0</v>
      </c>
      <c r="AC250" s="57" t="n">
        <f aca="false">IF(OR($B250="",$E250="",$F250=""),0,MAX(0,MIN($F250,EOMONTH(DATE(cfg_FY,8,1),0))-MAX($E250,DATE(cfg_FY,8,1))+1)*(1-IF($M250="نعم",0,N($J250))))</f>
        <v>0</v>
      </c>
      <c r="AD250" s="57" t="n">
        <f aca="false">IF(OR($B250="",$E250="",$F250=""),0,MAX(0,MIN($F250,EOMONTH(DATE(cfg_FY,9,1),0))-MAX($E250,DATE(cfg_FY,9,1))+1)*(1-IF($M250="نعم",0,N($J250))))</f>
        <v>0</v>
      </c>
      <c r="AE250" s="57" t="n">
        <f aca="false">IF(OR($B250="",$E250="",$F250=""),0,MAX(0,MIN($F250,EOMONTH(DATE(cfg_FY,10,1),0))-MAX($E250,DATE(cfg_FY,10,1))+1)*(1-IF($M250="نعم",0,N($J250))))</f>
        <v>0</v>
      </c>
      <c r="AF250" s="57" t="n">
        <f aca="false">IF(OR($B250="",$E250="",$F250=""),0,MAX(0,MIN($F250,EOMONTH(DATE(cfg_FY,11,1),0))-MAX($E250,DATE(cfg_FY,11,1))+1)*(1-IF($M250="نعم",0,N($J250))))</f>
        <v>0</v>
      </c>
      <c r="AG250" s="57" t="n">
        <f aca="false">IF(OR($B250="",$E250="",$F250=""),0,MAX(0,MIN($F250,EOMONTH(DATE(cfg_FY,12,1),0))-MAX($E250,DATE(cfg_FY,12,1))+1)*(1-IF($M250="نعم",0,N($J250))))</f>
        <v>0</v>
      </c>
      <c r="AH250" s="57" t="n">
        <f aca="false">IF(OR(OR($B250="",$E250="",$F250=""),$L250&lt;&gt;"لا"),0,MAX(0,MIN($F250,EOMONTH(DATE(cfg_FY,1,1),0))-$E250+1))</f>
        <v>0</v>
      </c>
      <c r="AI250" s="57" t="n">
        <f aca="false">IF(OR(OR($B250="",$E250="",$F250=""),$L250&lt;&gt;"لا"),0,MAX(0,MIN($F250,EOMONTH(DATE(cfg_FY,2,1),0))-$E250+1))</f>
        <v>0</v>
      </c>
      <c r="AJ250" s="57" t="n">
        <f aca="false">IF(OR(OR($B250="",$E250="",$F250=""),$L250&lt;&gt;"لا"),0,MAX(0,MIN($F250,EOMONTH(DATE(cfg_FY,3,1),0))-$E250+1))</f>
        <v>0</v>
      </c>
      <c r="AK250" s="57" t="n">
        <f aca="false">IF(OR(OR($B250="",$E250="",$F250=""),$L250&lt;&gt;"لا"),0,MAX(0,MIN($F250,EOMONTH(DATE(cfg_FY,4,1),0))-$E250+1))</f>
        <v>0</v>
      </c>
      <c r="AL250" s="57" t="n">
        <f aca="false">IF(OR(OR($B250="",$E250="",$F250=""),$L250&lt;&gt;"لا"),0,MAX(0,MIN($F250,EOMONTH(DATE(cfg_FY,5,1),0))-$E250+1))</f>
        <v>0</v>
      </c>
      <c r="AM250" s="57" t="n">
        <f aca="false">IF(OR(OR($B250="",$E250="",$F250=""),$L250&lt;&gt;"لا"),0,MAX(0,MIN($F250,EOMONTH(DATE(cfg_FY,6,1),0))-$E250+1))</f>
        <v>0</v>
      </c>
      <c r="AN250" s="57" t="n">
        <f aca="false">IF(OR(OR($B250="",$E250="",$F250=""),$L250&lt;&gt;"لا"),0,MAX(0,MIN($F250,EOMONTH(DATE(cfg_FY,7,1),0))-$E250+1))</f>
        <v>0</v>
      </c>
      <c r="AO250" s="57" t="n">
        <f aca="false">IF(OR(OR($B250="",$E250="",$F250=""),$L250&lt;&gt;"لا"),0,MAX(0,MIN($F250,EOMONTH(DATE(cfg_FY,8,1),0))-$E250+1))</f>
        <v>0</v>
      </c>
      <c r="AP250" s="57" t="n">
        <f aca="false">IF(OR(OR($B250="",$E250="",$F250=""),$L250&lt;&gt;"لا"),0,MAX(0,MIN($F250,EOMONTH(DATE(cfg_FY,9,1),0))-$E250+1))</f>
        <v>0</v>
      </c>
      <c r="AQ250" s="57" t="n">
        <f aca="false">IF(OR(OR($B250="",$E250="",$F250=""),$L250&lt;&gt;"لا"),0,MAX(0,MIN($F250,EOMONTH(DATE(cfg_FY,10,1),0))-$E250+1))</f>
        <v>0</v>
      </c>
      <c r="AR250" s="57" t="n">
        <f aca="false">IF(OR(OR($B250="",$E250="",$F250=""),$L250&lt;&gt;"لا"),0,MAX(0,MIN($F250,EOMONTH(DATE(cfg_FY,11,1),0))-$E250+1))</f>
        <v>0</v>
      </c>
      <c r="AS250" s="57" t="n">
        <f aca="false">IF(OR(OR($B250="",$E250="",$F250=""),$L250&lt;&gt;"لا"),0,MAX(0,MIN($F250,EOMONTH(DATE(cfg_FY,12,1),0))-$E250+1))</f>
        <v>0</v>
      </c>
      <c r="AT250" s="57" t="n">
        <f aca="false">IF(OR(OR($B250="",$E250="",$F250=""),$K250&lt;&gt;"نعم",$M250="نعم"),0,MAX(0,MIN($F250,EOMONTH(DATE(cfg_FY,1,1),0))-MAX($E250,DATE(cfg_FY,1,1))+1))</f>
        <v>0</v>
      </c>
      <c r="AU250" s="57" t="n">
        <f aca="false">IF(OR(OR($B250="",$E250="",$F250=""),$K250&lt;&gt;"نعم",$M250="نعم"),0,MAX(0,MIN($F250,EOMONTH(DATE(cfg_FY,2,1),0))-MAX($E250,DATE(cfg_FY,2,1))+1))</f>
        <v>0</v>
      </c>
      <c r="AV250" s="57" t="n">
        <f aca="false">IF(OR(OR($B250="",$E250="",$F250=""),$K250&lt;&gt;"نعم",$M250="نعم"),0,MAX(0,MIN($F250,EOMONTH(DATE(cfg_FY,3,1),0))-MAX($E250,DATE(cfg_FY,3,1))+1))</f>
        <v>0</v>
      </c>
      <c r="AW250" s="57" t="n">
        <f aca="false">IF(OR(OR($B250="",$E250="",$F250=""),$K250&lt;&gt;"نعم",$M250="نعم"),0,MAX(0,MIN($F250,EOMONTH(DATE(cfg_FY,4,1),0))-MAX($E250,DATE(cfg_FY,4,1))+1))</f>
        <v>0</v>
      </c>
      <c r="AX250" s="57" t="n">
        <f aca="false">IF(OR(OR($B250="",$E250="",$F250=""),$K250&lt;&gt;"نعم",$M250="نعم"),0,MAX(0,MIN($F250,EOMONTH(DATE(cfg_FY,5,1),0))-MAX($E250,DATE(cfg_FY,5,1))+1))</f>
        <v>0</v>
      </c>
      <c r="AY250" s="57" t="n">
        <f aca="false">IF(OR(OR($B250="",$E250="",$F250=""),$K250&lt;&gt;"نعم",$M250="نعم"),0,MAX(0,MIN($F250,EOMONTH(DATE(cfg_FY,6,1),0))-MAX($E250,DATE(cfg_FY,6,1))+1))</f>
        <v>0</v>
      </c>
      <c r="AZ250" s="57" t="n">
        <f aca="false">IF(OR(OR($B250="",$E250="",$F250=""),$K250&lt;&gt;"نعم",$M250="نعم"),0,MAX(0,MIN($F250,EOMONTH(DATE(cfg_FY,7,1),0))-MAX($E250,DATE(cfg_FY,7,1))+1))</f>
        <v>0</v>
      </c>
      <c r="BA250" s="57" t="n">
        <f aca="false">IF(OR(OR($B250="",$E250="",$F250=""),$K250&lt;&gt;"نعم",$M250="نعم"),0,MAX(0,MIN($F250,EOMONTH(DATE(cfg_FY,8,1),0))-MAX($E250,DATE(cfg_FY,8,1))+1))</f>
        <v>0</v>
      </c>
      <c r="BB250" s="57" t="n">
        <f aca="false">IF(OR(OR($B250="",$E250="",$F250=""),$K250&lt;&gt;"نعم",$M250="نعم"),0,MAX(0,MIN($F250,EOMONTH(DATE(cfg_FY,9,1),0))-MAX($E250,DATE(cfg_FY,9,1))+1))</f>
        <v>0</v>
      </c>
      <c r="BC250" s="57" t="n">
        <f aca="false">IF(OR(OR($B250="",$E250="",$F250=""),$K250&lt;&gt;"نعم",$M250="نعم"),0,MAX(0,MIN($F250,EOMONTH(DATE(cfg_FY,10,1),0))-MAX($E250,DATE(cfg_FY,10,1))+1))</f>
        <v>0</v>
      </c>
      <c r="BD250" s="57" t="n">
        <f aca="false">IF(OR(OR($B250="",$E250="",$F250=""),$K250&lt;&gt;"نعم",$M250="نعم"),0,MAX(0,MIN($F250,EOMONTH(DATE(cfg_FY,11,1),0))-MAX($E250,DATE(cfg_FY,11,1))+1))</f>
        <v>0</v>
      </c>
      <c r="BE250" s="57" t="n">
        <f aca="false">IF(OR(OR($B250="",$E250="",$F250=""),$K250&lt;&gt;"نعم",$M250="نعم"),0,MAX(0,MIN($F250,EOMONTH(DATE(cfg_FY,12,1),0))-MAX($E250,DATE(cfg_FY,12,1))+1))</f>
        <v>0</v>
      </c>
    </row>
    <row r="251" customFormat="false" ht="15" hidden="false" customHeight="false" outlineLevel="0" collapsed="false">
      <c r="A251" s="100" t="str">
        <f aca="false">IF(B251="","",ROW()-5)</f>
        <v/>
      </c>
      <c r="B251" s="79"/>
      <c r="C251" s="102" t="str">
        <f aca="false">IF(B251="","",IFERROR(INDEX(الموظفون!$C$6:$C$105,MATCH(B251,الموظفون!$B$6:$B$105,0)),"✖ رقم غير موجود"))</f>
        <v/>
      </c>
      <c r="D251" s="79"/>
      <c r="E251" s="94"/>
      <c r="F251" s="94"/>
      <c r="G251" s="110" t="str">
        <f aca="false">IF(OR($B251="",$E251="",$F251=""),"",MAX(0,F251-E251+1))</f>
        <v/>
      </c>
      <c r="H251" s="111" t="str">
        <f aca="false">IF(D251="","",IFERROR(VLOOKUP(D251,cfg_LT,2,FALSE()),1))</f>
        <v/>
      </c>
      <c r="I251" s="82"/>
      <c r="J251" s="111" t="str">
        <f aca="false">IF(D251="","",IF(I251&lt;&gt;"",I251,H251))</f>
        <v/>
      </c>
      <c r="K251" s="102" t="str">
        <f aca="false">IF(D251="","",IFERROR(VLOOKUP($D251,cfg_LT,3,FALSE()),""))</f>
        <v/>
      </c>
      <c r="L251" s="102" t="str">
        <f aca="false">IF(D251="","",IFERROR(VLOOKUP($D251,cfg_LT,4,FALSE()),""))</f>
        <v/>
      </c>
      <c r="M251" s="102" t="str">
        <f aca="false">IF(D251="","",IFERROR(VLOOKUP($D251,cfg_LT,5,FALSE()),""))</f>
        <v/>
      </c>
      <c r="N251" s="101" t="n">
        <f aca="false">IF(OR(OR($B251="",$E251="",$F251=""),M251&lt;&gt;"نعم"),0,G251*J251*IFERROR(INDEX(الموظفون!$R$6:$R$105,MATCH(B251,الموظفون!$B$6:$B$105,0)),0)/cfg_DAYS_M)</f>
        <v>0</v>
      </c>
      <c r="O251" s="100" t="str">
        <f aca="false">IF(OR(OR($B251="",$E251="",$F251=""),M251&lt;&gt;"نعم"),"",IF(YEAR(E251)=cfg_FY,MONTH(E251),""))</f>
        <v/>
      </c>
      <c r="P251" s="102" t="str">
        <f aca="false">IF(B251="","",IF(OR(D251="",E251="",F251=""),"⚠ أكمل النوع والتواريخ",IF(F251&lt;E251,"✖ النهاية قبل البداية",IF(COUNTIFS($B$6:$B$505,B251,$E$6:$E$505,"&lt;="&amp;F251,$F$6:$F$505,"&gt;="&amp;E251)&gt;1,"⚠ تداخل مع سجل آخر",IF(E251&gt;cfg_VAL_DATE,"⏳ قادمة",IF(F251&lt;cfg_VAL_DATE,"✔ منتهية","✈ جارية في تاريخ التقرير"))))))</f>
        <v/>
      </c>
      <c r="Q251" s="79"/>
      <c r="R251" s="110" t="n">
        <f aca="false">IF(OR(OR($B251="",$E251="",$F251=""),L251&lt;&gt;"لا"),0,MAX(0,MIN(F251,cfg_Y_START-1)-E251+1))</f>
        <v>0</v>
      </c>
      <c r="S251" s="110" t="n">
        <f aca="false">IF(OR(OR($B251="",$E251="",$F251=""),L251&lt;&gt;"لا"),0,MAX(0,MIN(F251,cfg_VAL_DATE)-E251+1))</f>
        <v>0</v>
      </c>
      <c r="T251" s="110" t="n">
        <f aca="false">IF(OR(OR($B251="",$E251="",$F251=""),K251&lt;&gt;"نعم"),0,IF(M251="نعم",IF(AND(ISNUMBER(O251),N(O251)&lt;=cfg_VAL_M),G251,0),MAX(0,MIN(F251,cfg_VAL_DATE)-MAX(E251,cfg_Y_START)+1)))</f>
        <v>0</v>
      </c>
      <c r="V251" s="110" t="n">
        <f aca="false">IF(OR($B251="",$E251="",$F251=""),0,MAX(0,MIN($F251,EOMONTH(DATE(cfg_FY,1,1),0))-MAX($E251,DATE(cfg_FY,1,1))+1)*(1-IF($M251="نعم",0,N($J251))))</f>
        <v>0</v>
      </c>
      <c r="W251" s="110" t="n">
        <f aca="false">IF(OR($B251="",$E251="",$F251=""),0,MAX(0,MIN($F251,EOMONTH(DATE(cfg_FY,2,1),0))-MAX($E251,DATE(cfg_FY,2,1))+1)*(1-IF($M251="نعم",0,N($J251))))</f>
        <v>0</v>
      </c>
      <c r="X251" s="110" t="n">
        <f aca="false">IF(OR($B251="",$E251="",$F251=""),0,MAX(0,MIN($F251,EOMONTH(DATE(cfg_FY,3,1),0))-MAX($E251,DATE(cfg_FY,3,1))+1)*(1-IF($M251="نعم",0,N($J251))))</f>
        <v>0</v>
      </c>
      <c r="Y251" s="110" t="n">
        <f aca="false">IF(OR($B251="",$E251="",$F251=""),0,MAX(0,MIN($F251,EOMONTH(DATE(cfg_FY,4,1),0))-MAX($E251,DATE(cfg_FY,4,1))+1)*(1-IF($M251="نعم",0,N($J251))))</f>
        <v>0</v>
      </c>
      <c r="Z251" s="110" t="n">
        <f aca="false">IF(OR($B251="",$E251="",$F251=""),0,MAX(0,MIN($F251,EOMONTH(DATE(cfg_FY,5,1),0))-MAX($E251,DATE(cfg_FY,5,1))+1)*(1-IF($M251="نعم",0,N($J251))))</f>
        <v>0</v>
      </c>
      <c r="AA251" s="110" t="n">
        <f aca="false">IF(OR($B251="",$E251="",$F251=""),0,MAX(0,MIN($F251,EOMONTH(DATE(cfg_FY,6,1),0))-MAX($E251,DATE(cfg_FY,6,1))+1)*(1-IF($M251="نعم",0,N($J251))))</f>
        <v>0</v>
      </c>
      <c r="AB251" s="110" t="n">
        <f aca="false">IF(OR($B251="",$E251="",$F251=""),0,MAX(0,MIN($F251,EOMONTH(DATE(cfg_FY,7,1),0))-MAX($E251,DATE(cfg_FY,7,1))+1)*(1-IF($M251="نعم",0,N($J251))))</f>
        <v>0</v>
      </c>
      <c r="AC251" s="110" t="n">
        <f aca="false">IF(OR($B251="",$E251="",$F251=""),0,MAX(0,MIN($F251,EOMONTH(DATE(cfg_FY,8,1),0))-MAX($E251,DATE(cfg_FY,8,1))+1)*(1-IF($M251="نعم",0,N($J251))))</f>
        <v>0</v>
      </c>
      <c r="AD251" s="110" t="n">
        <f aca="false">IF(OR($B251="",$E251="",$F251=""),0,MAX(0,MIN($F251,EOMONTH(DATE(cfg_FY,9,1),0))-MAX($E251,DATE(cfg_FY,9,1))+1)*(1-IF($M251="نعم",0,N($J251))))</f>
        <v>0</v>
      </c>
      <c r="AE251" s="110" t="n">
        <f aca="false">IF(OR($B251="",$E251="",$F251=""),0,MAX(0,MIN($F251,EOMONTH(DATE(cfg_FY,10,1),0))-MAX($E251,DATE(cfg_FY,10,1))+1)*(1-IF($M251="نعم",0,N($J251))))</f>
        <v>0</v>
      </c>
      <c r="AF251" s="110" t="n">
        <f aca="false">IF(OR($B251="",$E251="",$F251=""),0,MAX(0,MIN($F251,EOMONTH(DATE(cfg_FY,11,1),0))-MAX($E251,DATE(cfg_FY,11,1))+1)*(1-IF($M251="نعم",0,N($J251))))</f>
        <v>0</v>
      </c>
      <c r="AG251" s="110" t="n">
        <f aca="false">IF(OR($B251="",$E251="",$F251=""),0,MAX(0,MIN($F251,EOMONTH(DATE(cfg_FY,12,1),0))-MAX($E251,DATE(cfg_FY,12,1))+1)*(1-IF($M251="نعم",0,N($J251))))</f>
        <v>0</v>
      </c>
      <c r="AH251" s="110" t="n">
        <f aca="false">IF(OR(OR($B251="",$E251="",$F251=""),$L251&lt;&gt;"لا"),0,MAX(0,MIN($F251,EOMONTH(DATE(cfg_FY,1,1),0))-$E251+1))</f>
        <v>0</v>
      </c>
      <c r="AI251" s="110" t="n">
        <f aca="false">IF(OR(OR($B251="",$E251="",$F251=""),$L251&lt;&gt;"لا"),0,MAX(0,MIN($F251,EOMONTH(DATE(cfg_FY,2,1),0))-$E251+1))</f>
        <v>0</v>
      </c>
      <c r="AJ251" s="110" t="n">
        <f aca="false">IF(OR(OR($B251="",$E251="",$F251=""),$L251&lt;&gt;"لا"),0,MAX(0,MIN($F251,EOMONTH(DATE(cfg_FY,3,1),0))-$E251+1))</f>
        <v>0</v>
      </c>
      <c r="AK251" s="110" t="n">
        <f aca="false">IF(OR(OR($B251="",$E251="",$F251=""),$L251&lt;&gt;"لا"),0,MAX(0,MIN($F251,EOMONTH(DATE(cfg_FY,4,1),0))-$E251+1))</f>
        <v>0</v>
      </c>
      <c r="AL251" s="110" t="n">
        <f aca="false">IF(OR(OR($B251="",$E251="",$F251=""),$L251&lt;&gt;"لا"),0,MAX(0,MIN($F251,EOMONTH(DATE(cfg_FY,5,1),0))-$E251+1))</f>
        <v>0</v>
      </c>
      <c r="AM251" s="110" t="n">
        <f aca="false">IF(OR(OR($B251="",$E251="",$F251=""),$L251&lt;&gt;"لا"),0,MAX(0,MIN($F251,EOMONTH(DATE(cfg_FY,6,1),0))-$E251+1))</f>
        <v>0</v>
      </c>
      <c r="AN251" s="110" t="n">
        <f aca="false">IF(OR(OR($B251="",$E251="",$F251=""),$L251&lt;&gt;"لا"),0,MAX(0,MIN($F251,EOMONTH(DATE(cfg_FY,7,1),0))-$E251+1))</f>
        <v>0</v>
      </c>
      <c r="AO251" s="110" t="n">
        <f aca="false">IF(OR(OR($B251="",$E251="",$F251=""),$L251&lt;&gt;"لا"),0,MAX(0,MIN($F251,EOMONTH(DATE(cfg_FY,8,1),0))-$E251+1))</f>
        <v>0</v>
      </c>
      <c r="AP251" s="110" t="n">
        <f aca="false">IF(OR(OR($B251="",$E251="",$F251=""),$L251&lt;&gt;"لا"),0,MAX(0,MIN($F251,EOMONTH(DATE(cfg_FY,9,1),0))-$E251+1))</f>
        <v>0</v>
      </c>
      <c r="AQ251" s="110" t="n">
        <f aca="false">IF(OR(OR($B251="",$E251="",$F251=""),$L251&lt;&gt;"لا"),0,MAX(0,MIN($F251,EOMONTH(DATE(cfg_FY,10,1),0))-$E251+1))</f>
        <v>0</v>
      </c>
      <c r="AR251" s="110" t="n">
        <f aca="false">IF(OR(OR($B251="",$E251="",$F251=""),$L251&lt;&gt;"لا"),0,MAX(0,MIN($F251,EOMONTH(DATE(cfg_FY,11,1),0))-$E251+1))</f>
        <v>0</v>
      </c>
      <c r="AS251" s="110" t="n">
        <f aca="false">IF(OR(OR($B251="",$E251="",$F251=""),$L251&lt;&gt;"لا"),0,MAX(0,MIN($F251,EOMONTH(DATE(cfg_FY,12,1),0))-$E251+1))</f>
        <v>0</v>
      </c>
      <c r="AT251" s="110" t="n">
        <f aca="false">IF(OR(OR($B251="",$E251="",$F251=""),$K251&lt;&gt;"نعم",$M251="نعم"),0,MAX(0,MIN($F251,EOMONTH(DATE(cfg_FY,1,1),0))-MAX($E251,DATE(cfg_FY,1,1))+1))</f>
        <v>0</v>
      </c>
      <c r="AU251" s="110" t="n">
        <f aca="false">IF(OR(OR($B251="",$E251="",$F251=""),$K251&lt;&gt;"نعم",$M251="نعم"),0,MAX(0,MIN($F251,EOMONTH(DATE(cfg_FY,2,1),0))-MAX($E251,DATE(cfg_FY,2,1))+1))</f>
        <v>0</v>
      </c>
      <c r="AV251" s="110" t="n">
        <f aca="false">IF(OR(OR($B251="",$E251="",$F251=""),$K251&lt;&gt;"نعم",$M251="نعم"),0,MAX(0,MIN($F251,EOMONTH(DATE(cfg_FY,3,1),0))-MAX($E251,DATE(cfg_FY,3,1))+1))</f>
        <v>0</v>
      </c>
      <c r="AW251" s="110" t="n">
        <f aca="false">IF(OR(OR($B251="",$E251="",$F251=""),$K251&lt;&gt;"نعم",$M251="نعم"),0,MAX(0,MIN($F251,EOMONTH(DATE(cfg_FY,4,1),0))-MAX($E251,DATE(cfg_FY,4,1))+1))</f>
        <v>0</v>
      </c>
      <c r="AX251" s="110" t="n">
        <f aca="false">IF(OR(OR($B251="",$E251="",$F251=""),$K251&lt;&gt;"نعم",$M251="نعم"),0,MAX(0,MIN($F251,EOMONTH(DATE(cfg_FY,5,1),0))-MAX($E251,DATE(cfg_FY,5,1))+1))</f>
        <v>0</v>
      </c>
      <c r="AY251" s="110" t="n">
        <f aca="false">IF(OR(OR($B251="",$E251="",$F251=""),$K251&lt;&gt;"نعم",$M251="نعم"),0,MAX(0,MIN($F251,EOMONTH(DATE(cfg_FY,6,1),0))-MAX($E251,DATE(cfg_FY,6,1))+1))</f>
        <v>0</v>
      </c>
      <c r="AZ251" s="110" t="n">
        <f aca="false">IF(OR(OR($B251="",$E251="",$F251=""),$K251&lt;&gt;"نعم",$M251="نعم"),0,MAX(0,MIN($F251,EOMONTH(DATE(cfg_FY,7,1),0))-MAX($E251,DATE(cfg_FY,7,1))+1))</f>
        <v>0</v>
      </c>
      <c r="BA251" s="110" t="n">
        <f aca="false">IF(OR(OR($B251="",$E251="",$F251=""),$K251&lt;&gt;"نعم",$M251="نعم"),0,MAX(0,MIN($F251,EOMONTH(DATE(cfg_FY,8,1),0))-MAX($E251,DATE(cfg_FY,8,1))+1))</f>
        <v>0</v>
      </c>
      <c r="BB251" s="110" t="n">
        <f aca="false">IF(OR(OR($B251="",$E251="",$F251=""),$K251&lt;&gt;"نعم",$M251="نعم"),0,MAX(0,MIN($F251,EOMONTH(DATE(cfg_FY,9,1),0))-MAX($E251,DATE(cfg_FY,9,1))+1))</f>
        <v>0</v>
      </c>
      <c r="BC251" s="110" t="n">
        <f aca="false">IF(OR(OR($B251="",$E251="",$F251=""),$K251&lt;&gt;"نعم",$M251="نعم"),0,MAX(0,MIN($F251,EOMONTH(DATE(cfg_FY,10,1),0))-MAX($E251,DATE(cfg_FY,10,1))+1))</f>
        <v>0</v>
      </c>
      <c r="BD251" s="110" t="n">
        <f aca="false">IF(OR(OR($B251="",$E251="",$F251=""),$K251&lt;&gt;"نعم",$M251="نعم"),0,MAX(0,MIN($F251,EOMONTH(DATE(cfg_FY,11,1),0))-MAX($E251,DATE(cfg_FY,11,1))+1))</f>
        <v>0</v>
      </c>
      <c r="BE251" s="110" t="n">
        <f aca="false">IF(OR(OR($B251="",$E251="",$F251=""),$K251&lt;&gt;"نعم",$M251="نعم"),0,MAX(0,MIN($F251,EOMONTH(DATE(cfg_FY,12,1),0))-MAX($E251,DATE(cfg_FY,12,1))+1))</f>
        <v>0</v>
      </c>
    </row>
    <row r="252" customFormat="false" ht="15" hidden="false" customHeight="false" outlineLevel="0" collapsed="false">
      <c r="A252" s="93" t="str">
        <f aca="false">IF(B252="","",ROW()-5)</f>
        <v/>
      </c>
      <c r="B252" s="79"/>
      <c r="C252" s="80" t="str">
        <f aca="false">IF(B252="","",IFERROR(INDEX(الموظفون!$C$6:$C$105,MATCH(B252,الموظفون!$B$6:$B$105,0)),"✖ رقم غير موجود"))</f>
        <v/>
      </c>
      <c r="D252" s="79"/>
      <c r="E252" s="94"/>
      <c r="F252" s="94"/>
      <c r="G252" s="57" t="str">
        <f aca="false">IF(OR($B252="",$E252="",$F252=""),"",MAX(0,F252-E252+1))</f>
        <v/>
      </c>
      <c r="H252" s="58" t="str">
        <f aca="false">IF(D252="","",IFERROR(VLOOKUP(D252,cfg_LT,2,FALSE()),1))</f>
        <v/>
      </c>
      <c r="I252" s="82"/>
      <c r="J252" s="58" t="str">
        <f aca="false">IF(D252="","",IF(I252&lt;&gt;"",I252,H252))</f>
        <v/>
      </c>
      <c r="K252" s="80" t="str">
        <f aca="false">IF(D252="","",IFERROR(VLOOKUP($D252,cfg_LT,3,FALSE()),""))</f>
        <v/>
      </c>
      <c r="L252" s="80" t="str">
        <f aca="false">IF(D252="","",IFERROR(VLOOKUP($D252,cfg_LT,4,FALSE()),""))</f>
        <v/>
      </c>
      <c r="M252" s="80" t="str">
        <f aca="false">IF(D252="","",IFERROR(VLOOKUP($D252,cfg_LT,5,FALSE()),""))</f>
        <v/>
      </c>
      <c r="N252" s="97" t="n">
        <f aca="false">IF(OR(OR($B252="",$E252="",$F252=""),M252&lt;&gt;"نعم"),0,G252*J252*IFERROR(INDEX(الموظفون!$R$6:$R$105,MATCH(B252,الموظفون!$B$6:$B$105,0)),0)/cfg_DAYS_M)</f>
        <v>0</v>
      </c>
      <c r="O252" s="93" t="str">
        <f aca="false">IF(OR(OR($B252="",$E252="",$F252=""),M252&lt;&gt;"نعم"),"",IF(YEAR(E252)=cfg_FY,MONTH(E252),""))</f>
        <v/>
      </c>
      <c r="P252" s="80" t="str">
        <f aca="false">IF(B252="","",IF(OR(D252="",E252="",F252=""),"⚠ أكمل النوع والتواريخ",IF(F252&lt;E252,"✖ النهاية قبل البداية",IF(COUNTIFS($B$6:$B$505,B252,$E$6:$E$505,"&lt;="&amp;F252,$F$6:$F$505,"&gt;="&amp;E252)&gt;1,"⚠ تداخل مع سجل آخر",IF(E252&gt;cfg_VAL_DATE,"⏳ قادمة",IF(F252&lt;cfg_VAL_DATE,"✔ منتهية","✈ جارية في تاريخ التقرير"))))))</f>
        <v/>
      </c>
      <c r="Q252" s="79"/>
      <c r="R252" s="57" t="n">
        <f aca="false">IF(OR(OR($B252="",$E252="",$F252=""),L252&lt;&gt;"لا"),0,MAX(0,MIN(F252,cfg_Y_START-1)-E252+1))</f>
        <v>0</v>
      </c>
      <c r="S252" s="57" t="n">
        <f aca="false">IF(OR(OR($B252="",$E252="",$F252=""),L252&lt;&gt;"لا"),0,MAX(0,MIN(F252,cfg_VAL_DATE)-E252+1))</f>
        <v>0</v>
      </c>
      <c r="T252" s="57" t="n">
        <f aca="false">IF(OR(OR($B252="",$E252="",$F252=""),K252&lt;&gt;"نعم"),0,IF(M252="نعم",IF(AND(ISNUMBER(O252),N(O252)&lt;=cfg_VAL_M),G252,0),MAX(0,MIN(F252,cfg_VAL_DATE)-MAX(E252,cfg_Y_START)+1)))</f>
        <v>0</v>
      </c>
      <c r="V252" s="57" t="n">
        <f aca="false">IF(OR($B252="",$E252="",$F252=""),0,MAX(0,MIN($F252,EOMONTH(DATE(cfg_FY,1,1),0))-MAX($E252,DATE(cfg_FY,1,1))+1)*(1-IF($M252="نعم",0,N($J252))))</f>
        <v>0</v>
      </c>
      <c r="W252" s="57" t="n">
        <f aca="false">IF(OR($B252="",$E252="",$F252=""),0,MAX(0,MIN($F252,EOMONTH(DATE(cfg_FY,2,1),0))-MAX($E252,DATE(cfg_FY,2,1))+1)*(1-IF($M252="نعم",0,N($J252))))</f>
        <v>0</v>
      </c>
      <c r="X252" s="57" t="n">
        <f aca="false">IF(OR($B252="",$E252="",$F252=""),0,MAX(0,MIN($F252,EOMONTH(DATE(cfg_FY,3,1),0))-MAX($E252,DATE(cfg_FY,3,1))+1)*(1-IF($M252="نعم",0,N($J252))))</f>
        <v>0</v>
      </c>
      <c r="Y252" s="57" t="n">
        <f aca="false">IF(OR($B252="",$E252="",$F252=""),0,MAX(0,MIN($F252,EOMONTH(DATE(cfg_FY,4,1),0))-MAX($E252,DATE(cfg_FY,4,1))+1)*(1-IF($M252="نعم",0,N($J252))))</f>
        <v>0</v>
      </c>
      <c r="Z252" s="57" t="n">
        <f aca="false">IF(OR($B252="",$E252="",$F252=""),0,MAX(0,MIN($F252,EOMONTH(DATE(cfg_FY,5,1),0))-MAX($E252,DATE(cfg_FY,5,1))+1)*(1-IF($M252="نعم",0,N($J252))))</f>
        <v>0</v>
      </c>
      <c r="AA252" s="57" t="n">
        <f aca="false">IF(OR($B252="",$E252="",$F252=""),0,MAX(0,MIN($F252,EOMONTH(DATE(cfg_FY,6,1),0))-MAX($E252,DATE(cfg_FY,6,1))+1)*(1-IF($M252="نعم",0,N($J252))))</f>
        <v>0</v>
      </c>
      <c r="AB252" s="57" t="n">
        <f aca="false">IF(OR($B252="",$E252="",$F252=""),0,MAX(0,MIN($F252,EOMONTH(DATE(cfg_FY,7,1),0))-MAX($E252,DATE(cfg_FY,7,1))+1)*(1-IF($M252="نعم",0,N($J252))))</f>
        <v>0</v>
      </c>
      <c r="AC252" s="57" t="n">
        <f aca="false">IF(OR($B252="",$E252="",$F252=""),0,MAX(0,MIN($F252,EOMONTH(DATE(cfg_FY,8,1),0))-MAX($E252,DATE(cfg_FY,8,1))+1)*(1-IF($M252="نعم",0,N($J252))))</f>
        <v>0</v>
      </c>
      <c r="AD252" s="57" t="n">
        <f aca="false">IF(OR($B252="",$E252="",$F252=""),0,MAX(0,MIN($F252,EOMONTH(DATE(cfg_FY,9,1),0))-MAX($E252,DATE(cfg_FY,9,1))+1)*(1-IF($M252="نعم",0,N($J252))))</f>
        <v>0</v>
      </c>
      <c r="AE252" s="57" t="n">
        <f aca="false">IF(OR($B252="",$E252="",$F252=""),0,MAX(0,MIN($F252,EOMONTH(DATE(cfg_FY,10,1),0))-MAX($E252,DATE(cfg_FY,10,1))+1)*(1-IF($M252="نعم",0,N($J252))))</f>
        <v>0</v>
      </c>
      <c r="AF252" s="57" t="n">
        <f aca="false">IF(OR($B252="",$E252="",$F252=""),0,MAX(0,MIN($F252,EOMONTH(DATE(cfg_FY,11,1),0))-MAX($E252,DATE(cfg_FY,11,1))+1)*(1-IF($M252="نعم",0,N($J252))))</f>
        <v>0</v>
      </c>
      <c r="AG252" s="57" t="n">
        <f aca="false">IF(OR($B252="",$E252="",$F252=""),0,MAX(0,MIN($F252,EOMONTH(DATE(cfg_FY,12,1),0))-MAX($E252,DATE(cfg_FY,12,1))+1)*(1-IF($M252="نعم",0,N($J252))))</f>
        <v>0</v>
      </c>
      <c r="AH252" s="57" t="n">
        <f aca="false">IF(OR(OR($B252="",$E252="",$F252=""),$L252&lt;&gt;"لا"),0,MAX(0,MIN($F252,EOMONTH(DATE(cfg_FY,1,1),0))-$E252+1))</f>
        <v>0</v>
      </c>
      <c r="AI252" s="57" t="n">
        <f aca="false">IF(OR(OR($B252="",$E252="",$F252=""),$L252&lt;&gt;"لا"),0,MAX(0,MIN($F252,EOMONTH(DATE(cfg_FY,2,1),0))-$E252+1))</f>
        <v>0</v>
      </c>
      <c r="AJ252" s="57" t="n">
        <f aca="false">IF(OR(OR($B252="",$E252="",$F252=""),$L252&lt;&gt;"لا"),0,MAX(0,MIN($F252,EOMONTH(DATE(cfg_FY,3,1),0))-$E252+1))</f>
        <v>0</v>
      </c>
      <c r="AK252" s="57" t="n">
        <f aca="false">IF(OR(OR($B252="",$E252="",$F252=""),$L252&lt;&gt;"لا"),0,MAX(0,MIN($F252,EOMONTH(DATE(cfg_FY,4,1),0))-$E252+1))</f>
        <v>0</v>
      </c>
      <c r="AL252" s="57" t="n">
        <f aca="false">IF(OR(OR($B252="",$E252="",$F252=""),$L252&lt;&gt;"لا"),0,MAX(0,MIN($F252,EOMONTH(DATE(cfg_FY,5,1),0))-$E252+1))</f>
        <v>0</v>
      </c>
      <c r="AM252" s="57" t="n">
        <f aca="false">IF(OR(OR($B252="",$E252="",$F252=""),$L252&lt;&gt;"لا"),0,MAX(0,MIN($F252,EOMONTH(DATE(cfg_FY,6,1),0))-$E252+1))</f>
        <v>0</v>
      </c>
      <c r="AN252" s="57" t="n">
        <f aca="false">IF(OR(OR($B252="",$E252="",$F252=""),$L252&lt;&gt;"لا"),0,MAX(0,MIN($F252,EOMONTH(DATE(cfg_FY,7,1),0))-$E252+1))</f>
        <v>0</v>
      </c>
      <c r="AO252" s="57" t="n">
        <f aca="false">IF(OR(OR($B252="",$E252="",$F252=""),$L252&lt;&gt;"لا"),0,MAX(0,MIN($F252,EOMONTH(DATE(cfg_FY,8,1),0))-$E252+1))</f>
        <v>0</v>
      </c>
      <c r="AP252" s="57" t="n">
        <f aca="false">IF(OR(OR($B252="",$E252="",$F252=""),$L252&lt;&gt;"لا"),0,MAX(0,MIN($F252,EOMONTH(DATE(cfg_FY,9,1),0))-$E252+1))</f>
        <v>0</v>
      </c>
      <c r="AQ252" s="57" t="n">
        <f aca="false">IF(OR(OR($B252="",$E252="",$F252=""),$L252&lt;&gt;"لا"),0,MAX(0,MIN($F252,EOMONTH(DATE(cfg_FY,10,1),0))-$E252+1))</f>
        <v>0</v>
      </c>
      <c r="AR252" s="57" t="n">
        <f aca="false">IF(OR(OR($B252="",$E252="",$F252=""),$L252&lt;&gt;"لا"),0,MAX(0,MIN($F252,EOMONTH(DATE(cfg_FY,11,1),0))-$E252+1))</f>
        <v>0</v>
      </c>
      <c r="AS252" s="57" t="n">
        <f aca="false">IF(OR(OR($B252="",$E252="",$F252=""),$L252&lt;&gt;"لا"),0,MAX(0,MIN($F252,EOMONTH(DATE(cfg_FY,12,1),0))-$E252+1))</f>
        <v>0</v>
      </c>
      <c r="AT252" s="57" t="n">
        <f aca="false">IF(OR(OR($B252="",$E252="",$F252=""),$K252&lt;&gt;"نعم",$M252="نعم"),0,MAX(0,MIN($F252,EOMONTH(DATE(cfg_FY,1,1),0))-MAX($E252,DATE(cfg_FY,1,1))+1))</f>
        <v>0</v>
      </c>
      <c r="AU252" s="57" t="n">
        <f aca="false">IF(OR(OR($B252="",$E252="",$F252=""),$K252&lt;&gt;"نعم",$M252="نعم"),0,MAX(0,MIN($F252,EOMONTH(DATE(cfg_FY,2,1),0))-MAX($E252,DATE(cfg_FY,2,1))+1))</f>
        <v>0</v>
      </c>
      <c r="AV252" s="57" t="n">
        <f aca="false">IF(OR(OR($B252="",$E252="",$F252=""),$K252&lt;&gt;"نعم",$M252="نعم"),0,MAX(0,MIN($F252,EOMONTH(DATE(cfg_FY,3,1),0))-MAX($E252,DATE(cfg_FY,3,1))+1))</f>
        <v>0</v>
      </c>
      <c r="AW252" s="57" t="n">
        <f aca="false">IF(OR(OR($B252="",$E252="",$F252=""),$K252&lt;&gt;"نعم",$M252="نعم"),0,MAX(0,MIN($F252,EOMONTH(DATE(cfg_FY,4,1),0))-MAX($E252,DATE(cfg_FY,4,1))+1))</f>
        <v>0</v>
      </c>
      <c r="AX252" s="57" t="n">
        <f aca="false">IF(OR(OR($B252="",$E252="",$F252=""),$K252&lt;&gt;"نعم",$M252="نعم"),0,MAX(0,MIN($F252,EOMONTH(DATE(cfg_FY,5,1),0))-MAX($E252,DATE(cfg_FY,5,1))+1))</f>
        <v>0</v>
      </c>
      <c r="AY252" s="57" t="n">
        <f aca="false">IF(OR(OR($B252="",$E252="",$F252=""),$K252&lt;&gt;"نعم",$M252="نعم"),0,MAX(0,MIN($F252,EOMONTH(DATE(cfg_FY,6,1),0))-MAX($E252,DATE(cfg_FY,6,1))+1))</f>
        <v>0</v>
      </c>
      <c r="AZ252" s="57" t="n">
        <f aca="false">IF(OR(OR($B252="",$E252="",$F252=""),$K252&lt;&gt;"نعم",$M252="نعم"),0,MAX(0,MIN($F252,EOMONTH(DATE(cfg_FY,7,1),0))-MAX($E252,DATE(cfg_FY,7,1))+1))</f>
        <v>0</v>
      </c>
      <c r="BA252" s="57" t="n">
        <f aca="false">IF(OR(OR($B252="",$E252="",$F252=""),$K252&lt;&gt;"نعم",$M252="نعم"),0,MAX(0,MIN($F252,EOMONTH(DATE(cfg_FY,8,1),0))-MAX($E252,DATE(cfg_FY,8,1))+1))</f>
        <v>0</v>
      </c>
      <c r="BB252" s="57" t="n">
        <f aca="false">IF(OR(OR($B252="",$E252="",$F252=""),$K252&lt;&gt;"نعم",$M252="نعم"),0,MAX(0,MIN($F252,EOMONTH(DATE(cfg_FY,9,1),0))-MAX($E252,DATE(cfg_FY,9,1))+1))</f>
        <v>0</v>
      </c>
      <c r="BC252" s="57" t="n">
        <f aca="false">IF(OR(OR($B252="",$E252="",$F252=""),$K252&lt;&gt;"نعم",$M252="نعم"),0,MAX(0,MIN($F252,EOMONTH(DATE(cfg_FY,10,1),0))-MAX($E252,DATE(cfg_FY,10,1))+1))</f>
        <v>0</v>
      </c>
      <c r="BD252" s="57" t="n">
        <f aca="false">IF(OR(OR($B252="",$E252="",$F252=""),$K252&lt;&gt;"نعم",$M252="نعم"),0,MAX(0,MIN($F252,EOMONTH(DATE(cfg_FY,11,1),0))-MAX($E252,DATE(cfg_FY,11,1))+1))</f>
        <v>0</v>
      </c>
      <c r="BE252" s="57" t="n">
        <f aca="false">IF(OR(OR($B252="",$E252="",$F252=""),$K252&lt;&gt;"نعم",$M252="نعم"),0,MAX(0,MIN($F252,EOMONTH(DATE(cfg_FY,12,1),0))-MAX($E252,DATE(cfg_FY,12,1))+1))</f>
        <v>0</v>
      </c>
    </row>
    <row r="253" customFormat="false" ht="15" hidden="false" customHeight="false" outlineLevel="0" collapsed="false">
      <c r="A253" s="100" t="str">
        <f aca="false">IF(B253="","",ROW()-5)</f>
        <v/>
      </c>
      <c r="B253" s="79"/>
      <c r="C253" s="102" t="str">
        <f aca="false">IF(B253="","",IFERROR(INDEX(الموظفون!$C$6:$C$105,MATCH(B253,الموظفون!$B$6:$B$105,0)),"✖ رقم غير موجود"))</f>
        <v/>
      </c>
      <c r="D253" s="79"/>
      <c r="E253" s="94"/>
      <c r="F253" s="94"/>
      <c r="G253" s="110" t="str">
        <f aca="false">IF(OR($B253="",$E253="",$F253=""),"",MAX(0,F253-E253+1))</f>
        <v/>
      </c>
      <c r="H253" s="111" t="str">
        <f aca="false">IF(D253="","",IFERROR(VLOOKUP(D253,cfg_LT,2,FALSE()),1))</f>
        <v/>
      </c>
      <c r="I253" s="82"/>
      <c r="J253" s="111" t="str">
        <f aca="false">IF(D253="","",IF(I253&lt;&gt;"",I253,H253))</f>
        <v/>
      </c>
      <c r="K253" s="102" t="str">
        <f aca="false">IF(D253="","",IFERROR(VLOOKUP($D253,cfg_LT,3,FALSE()),""))</f>
        <v/>
      </c>
      <c r="L253" s="102" t="str">
        <f aca="false">IF(D253="","",IFERROR(VLOOKUP($D253,cfg_LT,4,FALSE()),""))</f>
        <v/>
      </c>
      <c r="M253" s="102" t="str">
        <f aca="false">IF(D253="","",IFERROR(VLOOKUP($D253,cfg_LT,5,FALSE()),""))</f>
        <v/>
      </c>
      <c r="N253" s="101" t="n">
        <f aca="false">IF(OR(OR($B253="",$E253="",$F253=""),M253&lt;&gt;"نعم"),0,G253*J253*IFERROR(INDEX(الموظفون!$R$6:$R$105,MATCH(B253,الموظفون!$B$6:$B$105,0)),0)/cfg_DAYS_M)</f>
        <v>0</v>
      </c>
      <c r="O253" s="100" t="str">
        <f aca="false">IF(OR(OR($B253="",$E253="",$F253=""),M253&lt;&gt;"نعم"),"",IF(YEAR(E253)=cfg_FY,MONTH(E253),""))</f>
        <v/>
      </c>
      <c r="P253" s="102" t="str">
        <f aca="false">IF(B253="","",IF(OR(D253="",E253="",F253=""),"⚠ أكمل النوع والتواريخ",IF(F253&lt;E253,"✖ النهاية قبل البداية",IF(COUNTIFS($B$6:$B$505,B253,$E$6:$E$505,"&lt;="&amp;F253,$F$6:$F$505,"&gt;="&amp;E253)&gt;1,"⚠ تداخل مع سجل آخر",IF(E253&gt;cfg_VAL_DATE,"⏳ قادمة",IF(F253&lt;cfg_VAL_DATE,"✔ منتهية","✈ جارية في تاريخ التقرير"))))))</f>
        <v/>
      </c>
      <c r="Q253" s="79"/>
      <c r="R253" s="110" t="n">
        <f aca="false">IF(OR(OR($B253="",$E253="",$F253=""),L253&lt;&gt;"لا"),0,MAX(0,MIN(F253,cfg_Y_START-1)-E253+1))</f>
        <v>0</v>
      </c>
      <c r="S253" s="110" t="n">
        <f aca="false">IF(OR(OR($B253="",$E253="",$F253=""),L253&lt;&gt;"لا"),0,MAX(0,MIN(F253,cfg_VAL_DATE)-E253+1))</f>
        <v>0</v>
      </c>
      <c r="T253" s="110" t="n">
        <f aca="false">IF(OR(OR($B253="",$E253="",$F253=""),K253&lt;&gt;"نعم"),0,IF(M253="نعم",IF(AND(ISNUMBER(O253),N(O253)&lt;=cfg_VAL_M),G253,0),MAX(0,MIN(F253,cfg_VAL_DATE)-MAX(E253,cfg_Y_START)+1)))</f>
        <v>0</v>
      </c>
      <c r="V253" s="110" t="n">
        <f aca="false">IF(OR($B253="",$E253="",$F253=""),0,MAX(0,MIN($F253,EOMONTH(DATE(cfg_FY,1,1),0))-MAX($E253,DATE(cfg_FY,1,1))+1)*(1-IF($M253="نعم",0,N($J253))))</f>
        <v>0</v>
      </c>
      <c r="W253" s="110" t="n">
        <f aca="false">IF(OR($B253="",$E253="",$F253=""),0,MAX(0,MIN($F253,EOMONTH(DATE(cfg_FY,2,1),0))-MAX($E253,DATE(cfg_FY,2,1))+1)*(1-IF($M253="نعم",0,N($J253))))</f>
        <v>0</v>
      </c>
      <c r="X253" s="110" t="n">
        <f aca="false">IF(OR($B253="",$E253="",$F253=""),0,MAX(0,MIN($F253,EOMONTH(DATE(cfg_FY,3,1),0))-MAX($E253,DATE(cfg_FY,3,1))+1)*(1-IF($M253="نعم",0,N($J253))))</f>
        <v>0</v>
      </c>
      <c r="Y253" s="110" t="n">
        <f aca="false">IF(OR($B253="",$E253="",$F253=""),0,MAX(0,MIN($F253,EOMONTH(DATE(cfg_FY,4,1),0))-MAX($E253,DATE(cfg_FY,4,1))+1)*(1-IF($M253="نعم",0,N($J253))))</f>
        <v>0</v>
      </c>
      <c r="Z253" s="110" t="n">
        <f aca="false">IF(OR($B253="",$E253="",$F253=""),0,MAX(0,MIN($F253,EOMONTH(DATE(cfg_FY,5,1),0))-MAX($E253,DATE(cfg_FY,5,1))+1)*(1-IF($M253="نعم",0,N($J253))))</f>
        <v>0</v>
      </c>
      <c r="AA253" s="110" t="n">
        <f aca="false">IF(OR($B253="",$E253="",$F253=""),0,MAX(0,MIN($F253,EOMONTH(DATE(cfg_FY,6,1),0))-MAX($E253,DATE(cfg_FY,6,1))+1)*(1-IF($M253="نعم",0,N($J253))))</f>
        <v>0</v>
      </c>
      <c r="AB253" s="110" t="n">
        <f aca="false">IF(OR($B253="",$E253="",$F253=""),0,MAX(0,MIN($F253,EOMONTH(DATE(cfg_FY,7,1),0))-MAX($E253,DATE(cfg_FY,7,1))+1)*(1-IF($M253="نعم",0,N($J253))))</f>
        <v>0</v>
      </c>
      <c r="AC253" s="110" t="n">
        <f aca="false">IF(OR($B253="",$E253="",$F253=""),0,MAX(0,MIN($F253,EOMONTH(DATE(cfg_FY,8,1),0))-MAX($E253,DATE(cfg_FY,8,1))+1)*(1-IF($M253="نعم",0,N($J253))))</f>
        <v>0</v>
      </c>
      <c r="AD253" s="110" t="n">
        <f aca="false">IF(OR($B253="",$E253="",$F253=""),0,MAX(0,MIN($F253,EOMONTH(DATE(cfg_FY,9,1),0))-MAX($E253,DATE(cfg_FY,9,1))+1)*(1-IF($M253="نعم",0,N($J253))))</f>
        <v>0</v>
      </c>
      <c r="AE253" s="110" t="n">
        <f aca="false">IF(OR($B253="",$E253="",$F253=""),0,MAX(0,MIN($F253,EOMONTH(DATE(cfg_FY,10,1),0))-MAX($E253,DATE(cfg_FY,10,1))+1)*(1-IF($M253="نعم",0,N($J253))))</f>
        <v>0</v>
      </c>
      <c r="AF253" s="110" t="n">
        <f aca="false">IF(OR($B253="",$E253="",$F253=""),0,MAX(0,MIN($F253,EOMONTH(DATE(cfg_FY,11,1),0))-MAX($E253,DATE(cfg_FY,11,1))+1)*(1-IF($M253="نعم",0,N($J253))))</f>
        <v>0</v>
      </c>
      <c r="AG253" s="110" t="n">
        <f aca="false">IF(OR($B253="",$E253="",$F253=""),0,MAX(0,MIN($F253,EOMONTH(DATE(cfg_FY,12,1),0))-MAX($E253,DATE(cfg_FY,12,1))+1)*(1-IF($M253="نعم",0,N($J253))))</f>
        <v>0</v>
      </c>
      <c r="AH253" s="110" t="n">
        <f aca="false">IF(OR(OR($B253="",$E253="",$F253=""),$L253&lt;&gt;"لا"),0,MAX(0,MIN($F253,EOMONTH(DATE(cfg_FY,1,1),0))-$E253+1))</f>
        <v>0</v>
      </c>
      <c r="AI253" s="110" t="n">
        <f aca="false">IF(OR(OR($B253="",$E253="",$F253=""),$L253&lt;&gt;"لا"),0,MAX(0,MIN($F253,EOMONTH(DATE(cfg_FY,2,1),0))-$E253+1))</f>
        <v>0</v>
      </c>
      <c r="AJ253" s="110" t="n">
        <f aca="false">IF(OR(OR($B253="",$E253="",$F253=""),$L253&lt;&gt;"لا"),0,MAX(0,MIN($F253,EOMONTH(DATE(cfg_FY,3,1),0))-$E253+1))</f>
        <v>0</v>
      </c>
      <c r="AK253" s="110" t="n">
        <f aca="false">IF(OR(OR($B253="",$E253="",$F253=""),$L253&lt;&gt;"لا"),0,MAX(0,MIN($F253,EOMONTH(DATE(cfg_FY,4,1),0))-$E253+1))</f>
        <v>0</v>
      </c>
      <c r="AL253" s="110" t="n">
        <f aca="false">IF(OR(OR($B253="",$E253="",$F253=""),$L253&lt;&gt;"لا"),0,MAX(0,MIN($F253,EOMONTH(DATE(cfg_FY,5,1),0))-$E253+1))</f>
        <v>0</v>
      </c>
      <c r="AM253" s="110" t="n">
        <f aca="false">IF(OR(OR($B253="",$E253="",$F253=""),$L253&lt;&gt;"لا"),0,MAX(0,MIN($F253,EOMONTH(DATE(cfg_FY,6,1),0))-$E253+1))</f>
        <v>0</v>
      </c>
      <c r="AN253" s="110" t="n">
        <f aca="false">IF(OR(OR($B253="",$E253="",$F253=""),$L253&lt;&gt;"لا"),0,MAX(0,MIN($F253,EOMONTH(DATE(cfg_FY,7,1),0))-$E253+1))</f>
        <v>0</v>
      </c>
      <c r="AO253" s="110" t="n">
        <f aca="false">IF(OR(OR($B253="",$E253="",$F253=""),$L253&lt;&gt;"لا"),0,MAX(0,MIN($F253,EOMONTH(DATE(cfg_FY,8,1),0))-$E253+1))</f>
        <v>0</v>
      </c>
      <c r="AP253" s="110" t="n">
        <f aca="false">IF(OR(OR($B253="",$E253="",$F253=""),$L253&lt;&gt;"لا"),0,MAX(0,MIN($F253,EOMONTH(DATE(cfg_FY,9,1),0))-$E253+1))</f>
        <v>0</v>
      </c>
      <c r="AQ253" s="110" t="n">
        <f aca="false">IF(OR(OR($B253="",$E253="",$F253=""),$L253&lt;&gt;"لا"),0,MAX(0,MIN($F253,EOMONTH(DATE(cfg_FY,10,1),0))-$E253+1))</f>
        <v>0</v>
      </c>
      <c r="AR253" s="110" t="n">
        <f aca="false">IF(OR(OR($B253="",$E253="",$F253=""),$L253&lt;&gt;"لا"),0,MAX(0,MIN($F253,EOMONTH(DATE(cfg_FY,11,1),0))-$E253+1))</f>
        <v>0</v>
      </c>
      <c r="AS253" s="110" t="n">
        <f aca="false">IF(OR(OR($B253="",$E253="",$F253=""),$L253&lt;&gt;"لا"),0,MAX(0,MIN($F253,EOMONTH(DATE(cfg_FY,12,1),0))-$E253+1))</f>
        <v>0</v>
      </c>
      <c r="AT253" s="110" t="n">
        <f aca="false">IF(OR(OR($B253="",$E253="",$F253=""),$K253&lt;&gt;"نعم",$M253="نعم"),0,MAX(0,MIN($F253,EOMONTH(DATE(cfg_FY,1,1),0))-MAX($E253,DATE(cfg_FY,1,1))+1))</f>
        <v>0</v>
      </c>
      <c r="AU253" s="110" t="n">
        <f aca="false">IF(OR(OR($B253="",$E253="",$F253=""),$K253&lt;&gt;"نعم",$M253="نعم"),0,MAX(0,MIN($F253,EOMONTH(DATE(cfg_FY,2,1),0))-MAX($E253,DATE(cfg_FY,2,1))+1))</f>
        <v>0</v>
      </c>
      <c r="AV253" s="110" t="n">
        <f aca="false">IF(OR(OR($B253="",$E253="",$F253=""),$K253&lt;&gt;"نعم",$M253="نعم"),0,MAX(0,MIN($F253,EOMONTH(DATE(cfg_FY,3,1),0))-MAX($E253,DATE(cfg_FY,3,1))+1))</f>
        <v>0</v>
      </c>
      <c r="AW253" s="110" t="n">
        <f aca="false">IF(OR(OR($B253="",$E253="",$F253=""),$K253&lt;&gt;"نعم",$M253="نعم"),0,MAX(0,MIN($F253,EOMONTH(DATE(cfg_FY,4,1),0))-MAX($E253,DATE(cfg_FY,4,1))+1))</f>
        <v>0</v>
      </c>
      <c r="AX253" s="110" t="n">
        <f aca="false">IF(OR(OR($B253="",$E253="",$F253=""),$K253&lt;&gt;"نعم",$M253="نعم"),0,MAX(0,MIN($F253,EOMONTH(DATE(cfg_FY,5,1),0))-MAX($E253,DATE(cfg_FY,5,1))+1))</f>
        <v>0</v>
      </c>
      <c r="AY253" s="110" t="n">
        <f aca="false">IF(OR(OR($B253="",$E253="",$F253=""),$K253&lt;&gt;"نعم",$M253="نعم"),0,MAX(0,MIN($F253,EOMONTH(DATE(cfg_FY,6,1),0))-MAX($E253,DATE(cfg_FY,6,1))+1))</f>
        <v>0</v>
      </c>
      <c r="AZ253" s="110" t="n">
        <f aca="false">IF(OR(OR($B253="",$E253="",$F253=""),$K253&lt;&gt;"نعم",$M253="نعم"),0,MAX(0,MIN($F253,EOMONTH(DATE(cfg_FY,7,1),0))-MAX($E253,DATE(cfg_FY,7,1))+1))</f>
        <v>0</v>
      </c>
      <c r="BA253" s="110" t="n">
        <f aca="false">IF(OR(OR($B253="",$E253="",$F253=""),$K253&lt;&gt;"نعم",$M253="نعم"),0,MAX(0,MIN($F253,EOMONTH(DATE(cfg_FY,8,1),0))-MAX($E253,DATE(cfg_FY,8,1))+1))</f>
        <v>0</v>
      </c>
      <c r="BB253" s="110" t="n">
        <f aca="false">IF(OR(OR($B253="",$E253="",$F253=""),$K253&lt;&gt;"نعم",$M253="نعم"),0,MAX(0,MIN($F253,EOMONTH(DATE(cfg_FY,9,1),0))-MAX($E253,DATE(cfg_FY,9,1))+1))</f>
        <v>0</v>
      </c>
      <c r="BC253" s="110" t="n">
        <f aca="false">IF(OR(OR($B253="",$E253="",$F253=""),$K253&lt;&gt;"نعم",$M253="نعم"),0,MAX(0,MIN($F253,EOMONTH(DATE(cfg_FY,10,1),0))-MAX($E253,DATE(cfg_FY,10,1))+1))</f>
        <v>0</v>
      </c>
      <c r="BD253" s="110" t="n">
        <f aca="false">IF(OR(OR($B253="",$E253="",$F253=""),$K253&lt;&gt;"نعم",$M253="نعم"),0,MAX(0,MIN($F253,EOMONTH(DATE(cfg_FY,11,1),0))-MAX($E253,DATE(cfg_FY,11,1))+1))</f>
        <v>0</v>
      </c>
      <c r="BE253" s="110" t="n">
        <f aca="false">IF(OR(OR($B253="",$E253="",$F253=""),$K253&lt;&gt;"نعم",$M253="نعم"),0,MAX(0,MIN($F253,EOMONTH(DATE(cfg_FY,12,1),0))-MAX($E253,DATE(cfg_FY,12,1))+1))</f>
        <v>0</v>
      </c>
    </row>
    <row r="254" customFormat="false" ht="15" hidden="false" customHeight="false" outlineLevel="0" collapsed="false">
      <c r="A254" s="93" t="str">
        <f aca="false">IF(B254="","",ROW()-5)</f>
        <v/>
      </c>
      <c r="B254" s="79"/>
      <c r="C254" s="80" t="str">
        <f aca="false">IF(B254="","",IFERROR(INDEX(الموظفون!$C$6:$C$105,MATCH(B254,الموظفون!$B$6:$B$105,0)),"✖ رقم غير موجود"))</f>
        <v/>
      </c>
      <c r="D254" s="79"/>
      <c r="E254" s="94"/>
      <c r="F254" s="94"/>
      <c r="G254" s="57" t="str">
        <f aca="false">IF(OR($B254="",$E254="",$F254=""),"",MAX(0,F254-E254+1))</f>
        <v/>
      </c>
      <c r="H254" s="58" t="str">
        <f aca="false">IF(D254="","",IFERROR(VLOOKUP(D254,cfg_LT,2,FALSE()),1))</f>
        <v/>
      </c>
      <c r="I254" s="82"/>
      <c r="J254" s="58" t="str">
        <f aca="false">IF(D254="","",IF(I254&lt;&gt;"",I254,H254))</f>
        <v/>
      </c>
      <c r="K254" s="80" t="str">
        <f aca="false">IF(D254="","",IFERROR(VLOOKUP($D254,cfg_LT,3,FALSE()),""))</f>
        <v/>
      </c>
      <c r="L254" s="80" t="str">
        <f aca="false">IF(D254="","",IFERROR(VLOOKUP($D254,cfg_LT,4,FALSE()),""))</f>
        <v/>
      </c>
      <c r="M254" s="80" t="str">
        <f aca="false">IF(D254="","",IFERROR(VLOOKUP($D254,cfg_LT,5,FALSE()),""))</f>
        <v/>
      </c>
      <c r="N254" s="97" t="n">
        <f aca="false">IF(OR(OR($B254="",$E254="",$F254=""),M254&lt;&gt;"نعم"),0,G254*J254*IFERROR(INDEX(الموظفون!$R$6:$R$105,MATCH(B254,الموظفون!$B$6:$B$105,0)),0)/cfg_DAYS_M)</f>
        <v>0</v>
      </c>
      <c r="O254" s="93" t="str">
        <f aca="false">IF(OR(OR($B254="",$E254="",$F254=""),M254&lt;&gt;"نعم"),"",IF(YEAR(E254)=cfg_FY,MONTH(E254),""))</f>
        <v/>
      </c>
      <c r="P254" s="80" t="str">
        <f aca="false">IF(B254="","",IF(OR(D254="",E254="",F254=""),"⚠ أكمل النوع والتواريخ",IF(F254&lt;E254,"✖ النهاية قبل البداية",IF(COUNTIFS($B$6:$B$505,B254,$E$6:$E$505,"&lt;="&amp;F254,$F$6:$F$505,"&gt;="&amp;E254)&gt;1,"⚠ تداخل مع سجل آخر",IF(E254&gt;cfg_VAL_DATE,"⏳ قادمة",IF(F254&lt;cfg_VAL_DATE,"✔ منتهية","✈ جارية في تاريخ التقرير"))))))</f>
        <v/>
      </c>
      <c r="Q254" s="79"/>
      <c r="R254" s="57" t="n">
        <f aca="false">IF(OR(OR($B254="",$E254="",$F254=""),L254&lt;&gt;"لا"),0,MAX(0,MIN(F254,cfg_Y_START-1)-E254+1))</f>
        <v>0</v>
      </c>
      <c r="S254" s="57" t="n">
        <f aca="false">IF(OR(OR($B254="",$E254="",$F254=""),L254&lt;&gt;"لا"),0,MAX(0,MIN(F254,cfg_VAL_DATE)-E254+1))</f>
        <v>0</v>
      </c>
      <c r="T254" s="57" t="n">
        <f aca="false">IF(OR(OR($B254="",$E254="",$F254=""),K254&lt;&gt;"نعم"),0,IF(M254="نعم",IF(AND(ISNUMBER(O254),N(O254)&lt;=cfg_VAL_M),G254,0),MAX(0,MIN(F254,cfg_VAL_DATE)-MAX(E254,cfg_Y_START)+1)))</f>
        <v>0</v>
      </c>
      <c r="V254" s="57" t="n">
        <f aca="false">IF(OR($B254="",$E254="",$F254=""),0,MAX(0,MIN($F254,EOMONTH(DATE(cfg_FY,1,1),0))-MAX($E254,DATE(cfg_FY,1,1))+1)*(1-IF($M254="نعم",0,N($J254))))</f>
        <v>0</v>
      </c>
      <c r="W254" s="57" t="n">
        <f aca="false">IF(OR($B254="",$E254="",$F254=""),0,MAX(0,MIN($F254,EOMONTH(DATE(cfg_FY,2,1),0))-MAX($E254,DATE(cfg_FY,2,1))+1)*(1-IF($M254="نعم",0,N($J254))))</f>
        <v>0</v>
      </c>
      <c r="X254" s="57" t="n">
        <f aca="false">IF(OR($B254="",$E254="",$F254=""),0,MAX(0,MIN($F254,EOMONTH(DATE(cfg_FY,3,1),0))-MAX($E254,DATE(cfg_FY,3,1))+1)*(1-IF($M254="نعم",0,N($J254))))</f>
        <v>0</v>
      </c>
      <c r="Y254" s="57" t="n">
        <f aca="false">IF(OR($B254="",$E254="",$F254=""),0,MAX(0,MIN($F254,EOMONTH(DATE(cfg_FY,4,1),0))-MAX($E254,DATE(cfg_FY,4,1))+1)*(1-IF($M254="نعم",0,N($J254))))</f>
        <v>0</v>
      </c>
      <c r="Z254" s="57" t="n">
        <f aca="false">IF(OR($B254="",$E254="",$F254=""),0,MAX(0,MIN($F254,EOMONTH(DATE(cfg_FY,5,1),0))-MAX($E254,DATE(cfg_FY,5,1))+1)*(1-IF($M254="نعم",0,N($J254))))</f>
        <v>0</v>
      </c>
      <c r="AA254" s="57" t="n">
        <f aca="false">IF(OR($B254="",$E254="",$F254=""),0,MAX(0,MIN($F254,EOMONTH(DATE(cfg_FY,6,1),0))-MAX($E254,DATE(cfg_FY,6,1))+1)*(1-IF($M254="نعم",0,N($J254))))</f>
        <v>0</v>
      </c>
      <c r="AB254" s="57" t="n">
        <f aca="false">IF(OR($B254="",$E254="",$F254=""),0,MAX(0,MIN($F254,EOMONTH(DATE(cfg_FY,7,1),0))-MAX($E254,DATE(cfg_FY,7,1))+1)*(1-IF($M254="نعم",0,N($J254))))</f>
        <v>0</v>
      </c>
      <c r="AC254" s="57" t="n">
        <f aca="false">IF(OR($B254="",$E254="",$F254=""),0,MAX(0,MIN($F254,EOMONTH(DATE(cfg_FY,8,1),0))-MAX($E254,DATE(cfg_FY,8,1))+1)*(1-IF($M254="نعم",0,N($J254))))</f>
        <v>0</v>
      </c>
      <c r="AD254" s="57" t="n">
        <f aca="false">IF(OR($B254="",$E254="",$F254=""),0,MAX(0,MIN($F254,EOMONTH(DATE(cfg_FY,9,1),0))-MAX($E254,DATE(cfg_FY,9,1))+1)*(1-IF($M254="نعم",0,N($J254))))</f>
        <v>0</v>
      </c>
      <c r="AE254" s="57" t="n">
        <f aca="false">IF(OR($B254="",$E254="",$F254=""),0,MAX(0,MIN($F254,EOMONTH(DATE(cfg_FY,10,1),0))-MAX($E254,DATE(cfg_FY,10,1))+1)*(1-IF($M254="نعم",0,N($J254))))</f>
        <v>0</v>
      </c>
      <c r="AF254" s="57" t="n">
        <f aca="false">IF(OR($B254="",$E254="",$F254=""),0,MAX(0,MIN($F254,EOMONTH(DATE(cfg_FY,11,1),0))-MAX($E254,DATE(cfg_FY,11,1))+1)*(1-IF($M254="نعم",0,N($J254))))</f>
        <v>0</v>
      </c>
      <c r="AG254" s="57" t="n">
        <f aca="false">IF(OR($B254="",$E254="",$F254=""),0,MAX(0,MIN($F254,EOMONTH(DATE(cfg_FY,12,1),0))-MAX($E254,DATE(cfg_FY,12,1))+1)*(1-IF($M254="نعم",0,N($J254))))</f>
        <v>0</v>
      </c>
      <c r="AH254" s="57" t="n">
        <f aca="false">IF(OR(OR($B254="",$E254="",$F254=""),$L254&lt;&gt;"لا"),0,MAX(0,MIN($F254,EOMONTH(DATE(cfg_FY,1,1),0))-$E254+1))</f>
        <v>0</v>
      </c>
      <c r="AI254" s="57" t="n">
        <f aca="false">IF(OR(OR($B254="",$E254="",$F254=""),$L254&lt;&gt;"لا"),0,MAX(0,MIN($F254,EOMONTH(DATE(cfg_FY,2,1),0))-$E254+1))</f>
        <v>0</v>
      </c>
      <c r="AJ254" s="57" t="n">
        <f aca="false">IF(OR(OR($B254="",$E254="",$F254=""),$L254&lt;&gt;"لا"),0,MAX(0,MIN($F254,EOMONTH(DATE(cfg_FY,3,1),0))-$E254+1))</f>
        <v>0</v>
      </c>
      <c r="AK254" s="57" t="n">
        <f aca="false">IF(OR(OR($B254="",$E254="",$F254=""),$L254&lt;&gt;"لا"),0,MAX(0,MIN($F254,EOMONTH(DATE(cfg_FY,4,1),0))-$E254+1))</f>
        <v>0</v>
      </c>
      <c r="AL254" s="57" t="n">
        <f aca="false">IF(OR(OR($B254="",$E254="",$F254=""),$L254&lt;&gt;"لا"),0,MAX(0,MIN($F254,EOMONTH(DATE(cfg_FY,5,1),0))-$E254+1))</f>
        <v>0</v>
      </c>
      <c r="AM254" s="57" t="n">
        <f aca="false">IF(OR(OR($B254="",$E254="",$F254=""),$L254&lt;&gt;"لا"),0,MAX(0,MIN($F254,EOMONTH(DATE(cfg_FY,6,1),0))-$E254+1))</f>
        <v>0</v>
      </c>
      <c r="AN254" s="57" t="n">
        <f aca="false">IF(OR(OR($B254="",$E254="",$F254=""),$L254&lt;&gt;"لا"),0,MAX(0,MIN($F254,EOMONTH(DATE(cfg_FY,7,1),0))-$E254+1))</f>
        <v>0</v>
      </c>
      <c r="AO254" s="57" t="n">
        <f aca="false">IF(OR(OR($B254="",$E254="",$F254=""),$L254&lt;&gt;"لا"),0,MAX(0,MIN($F254,EOMONTH(DATE(cfg_FY,8,1),0))-$E254+1))</f>
        <v>0</v>
      </c>
      <c r="AP254" s="57" t="n">
        <f aca="false">IF(OR(OR($B254="",$E254="",$F254=""),$L254&lt;&gt;"لا"),0,MAX(0,MIN($F254,EOMONTH(DATE(cfg_FY,9,1),0))-$E254+1))</f>
        <v>0</v>
      </c>
      <c r="AQ254" s="57" t="n">
        <f aca="false">IF(OR(OR($B254="",$E254="",$F254=""),$L254&lt;&gt;"لا"),0,MAX(0,MIN($F254,EOMONTH(DATE(cfg_FY,10,1),0))-$E254+1))</f>
        <v>0</v>
      </c>
      <c r="AR254" s="57" t="n">
        <f aca="false">IF(OR(OR($B254="",$E254="",$F254=""),$L254&lt;&gt;"لا"),0,MAX(0,MIN($F254,EOMONTH(DATE(cfg_FY,11,1),0))-$E254+1))</f>
        <v>0</v>
      </c>
      <c r="AS254" s="57" t="n">
        <f aca="false">IF(OR(OR($B254="",$E254="",$F254=""),$L254&lt;&gt;"لا"),0,MAX(0,MIN($F254,EOMONTH(DATE(cfg_FY,12,1),0))-$E254+1))</f>
        <v>0</v>
      </c>
      <c r="AT254" s="57" t="n">
        <f aca="false">IF(OR(OR($B254="",$E254="",$F254=""),$K254&lt;&gt;"نعم",$M254="نعم"),0,MAX(0,MIN($F254,EOMONTH(DATE(cfg_FY,1,1),0))-MAX($E254,DATE(cfg_FY,1,1))+1))</f>
        <v>0</v>
      </c>
      <c r="AU254" s="57" t="n">
        <f aca="false">IF(OR(OR($B254="",$E254="",$F254=""),$K254&lt;&gt;"نعم",$M254="نعم"),0,MAX(0,MIN($F254,EOMONTH(DATE(cfg_FY,2,1),0))-MAX($E254,DATE(cfg_FY,2,1))+1))</f>
        <v>0</v>
      </c>
      <c r="AV254" s="57" t="n">
        <f aca="false">IF(OR(OR($B254="",$E254="",$F254=""),$K254&lt;&gt;"نعم",$M254="نعم"),0,MAX(0,MIN($F254,EOMONTH(DATE(cfg_FY,3,1),0))-MAX($E254,DATE(cfg_FY,3,1))+1))</f>
        <v>0</v>
      </c>
      <c r="AW254" s="57" t="n">
        <f aca="false">IF(OR(OR($B254="",$E254="",$F254=""),$K254&lt;&gt;"نعم",$M254="نعم"),0,MAX(0,MIN($F254,EOMONTH(DATE(cfg_FY,4,1),0))-MAX($E254,DATE(cfg_FY,4,1))+1))</f>
        <v>0</v>
      </c>
      <c r="AX254" s="57" t="n">
        <f aca="false">IF(OR(OR($B254="",$E254="",$F254=""),$K254&lt;&gt;"نعم",$M254="نعم"),0,MAX(0,MIN($F254,EOMONTH(DATE(cfg_FY,5,1),0))-MAX($E254,DATE(cfg_FY,5,1))+1))</f>
        <v>0</v>
      </c>
      <c r="AY254" s="57" t="n">
        <f aca="false">IF(OR(OR($B254="",$E254="",$F254=""),$K254&lt;&gt;"نعم",$M254="نعم"),0,MAX(0,MIN($F254,EOMONTH(DATE(cfg_FY,6,1),0))-MAX($E254,DATE(cfg_FY,6,1))+1))</f>
        <v>0</v>
      </c>
      <c r="AZ254" s="57" t="n">
        <f aca="false">IF(OR(OR($B254="",$E254="",$F254=""),$K254&lt;&gt;"نعم",$M254="نعم"),0,MAX(0,MIN($F254,EOMONTH(DATE(cfg_FY,7,1),0))-MAX($E254,DATE(cfg_FY,7,1))+1))</f>
        <v>0</v>
      </c>
      <c r="BA254" s="57" t="n">
        <f aca="false">IF(OR(OR($B254="",$E254="",$F254=""),$K254&lt;&gt;"نعم",$M254="نعم"),0,MAX(0,MIN($F254,EOMONTH(DATE(cfg_FY,8,1),0))-MAX($E254,DATE(cfg_FY,8,1))+1))</f>
        <v>0</v>
      </c>
      <c r="BB254" s="57" t="n">
        <f aca="false">IF(OR(OR($B254="",$E254="",$F254=""),$K254&lt;&gt;"نعم",$M254="نعم"),0,MAX(0,MIN($F254,EOMONTH(DATE(cfg_FY,9,1),0))-MAX($E254,DATE(cfg_FY,9,1))+1))</f>
        <v>0</v>
      </c>
      <c r="BC254" s="57" t="n">
        <f aca="false">IF(OR(OR($B254="",$E254="",$F254=""),$K254&lt;&gt;"نعم",$M254="نعم"),0,MAX(0,MIN($F254,EOMONTH(DATE(cfg_FY,10,1),0))-MAX($E254,DATE(cfg_FY,10,1))+1))</f>
        <v>0</v>
      </c>
      <c r="BD254" s="57" t="n">
        <f aca="false">IF(OR(OR($B254="",$E254="",$F254=""),$K254&lt;&gt;"نعم",$M254="نعم"),0,MAX(0,MIN($F254,EOMONTH(DATE(cfg_FY,11,1),0))-MAX($E254,DATE(cfg_FY,11,1))+1))</f>
        <v>0</v>
      </c>
      <c r="BE254" s="57" t="n">
        <f aca="false">IF(OR(OR($B254="",$E254="",$F254=""),$K254&lt;&gt;"نعم",$M254="نعم"),0,MAX(0,MIN($F254,EOMONTH(DATE(cfg_FY,12,1),0))-MAX($E254,DATE(cfg_FY,12,1))+1))</f>
        <v>0</v>
      </c>
    </row>
    <row r="255" customFormat="false" ht="15" hidden="false" customHeight="false" outlineLevel="0" collapsed="false">
      <c r="A255" s="100" t="str">
        <f aca="false">IF(B255="","",ROW()-5)</f>
        <v/>
      </c>
      <c r="B255" s="79"/>
      <c r="C255" s="102" t="str">
        <f aca="false">IF(B255="","",IFERROR(INDEX(الموظفون!$C$6:$C$105,MATCH(B255,الموظفون!$B$6:$B$105,0)),"✖ رقم غير موجود"))</f>
        <v/>
      </c>
      <c r="D255" s="79"/>
      <c r="E255" s="94"/>
      <c r="F255" s="94"/>
      <c r="G255" s="110" t="str">
        <f aca="false">IF(OR($B255="",$E255="",$F255=""),"",MAX(0,F255-E255+1))</f>
        <v/>
      </c>
      <c r="H255" s="111" t="str">
        <f aca="false">IF(D255="","",IFERROR(VLOOKUP(D255,cfg_LT,2,FALSE()),1))</f>
        <v/>
      </c>
      <c r="I255" s="82"/>
      <c r="J255" s="111" t="str">
        <f aca="false">IF(D255="","",IF(I255&lt;&gt;"",I255,H255))</f>
        <v/>
      </c>
      <c r="K255" s="102" t="str">
        <f aca="false">IF(D255="","",IFERROR(VLOOKUP($D255,cfg_LT,3,FALSE()),""))</f>
        <v/>
      </c>
      <c r="L255" s="102" t="str">
        <f aca="false">IF(D255="","",IFERROR(VLOOKUP($D255,cfg_LT,4,FALSE()),""))</f>
        <v/>
      </c>
      <c r="M255" s="102" t="str">
        <f aca="false">IF(D255="","",IFERROR(VLOOKUP($D255,cfg_LT,5,FALSE()),""))</f>
        <v/>
      </c>
      <c r="N255" s="101" t="n">
        <f aca="false">IF(OR(OR($B255="",$E255="",$F255=""),M255&lt;&gt;"نعم"),0,G255*J255*IFERROR(INDEX(الموظفون!$R$6:$R$105,MATCH(B255,الموظفون!$B$6:$B$105,0)),0)/cfg_DAYS_M)</f>
        <v>0</v>
      </c>
      <c r="O255" s="100" t="str">
        <f aca="false">IF(OR(OR($B255="",$E255="",$F255=""),M255&lt;&gt;"نعم"),"",IF(YEAR(E255)=cfg_FY,MONTH(E255),""))</f>
        <v/>
      </c>
      <c r="P255" s="102" t="str">
        <f aca="false">IF(B255="","",IF(OR(D255="",E255="",F255=""),"⚠ أكمل النوع والتواريخ",IF(F255&lt;E255,"✖ النهاية قبل البداية",IF(COUNTIFS($B$6:$B$505,B255,$E$6:$E$505,"&lt;="&amp;F255,$F$6:$F$505,"&gt;="&amp;E255)&gt;1,"⚠ تداخل مع سجل آخر",IF(E255&gt;cfg_VAL_DATE,"⏳ قادمة",IF(F255&lt;cfg_VAL_DATE,"✔ منتهية","✈ جارية في تاريخ التقرير"))))))</f>
        <v/>
      </c>
      <c r="Q255" s="79"/>
      <c r="R255" s="110" t="n">
        <f aca="false">IF(OR(OR($B255="",$E255="",$F255=""),L255&lt;&gt;"لا"),0,MAX(0,MIN(F255,cfg_Y_START-1)-E255+1))</f>
        <v>0</v>
      </c>
      <c r="S255" s="110" t="n">
        <f aca="false">IF(OR(OR($B255="",$E255="",$F255=""),L255&lt;&gt;"لا"),0,MAX(0,MIN(F255,cfg_VAL_DATE)-E255+1))</f>
        <v>0</v>
      </c>
      <c r="T255" s="110" t="n">
        <f aca="false">IF(OR(OR($B255="",$E255="",$F255=""),K255&lt;&gt;"نعم"),0,IF(M255="نعم",IF(AND(ISNUMBER(O255),N(O255)&lt;=cfg_VAL_M),G255,0),MAX(0,MIN(F255,cfg_VAL_DATE)-MAX(E255,cfg_Y_START)+1)))</f>
        <v>0</v>
      </c>
      <c r="V255" s="110" t="n">
        <f aca="false">IF(OR($B255="",$E255="",$F255=""),0,MAX(0,MIN($F255,EOMONTH(DATE(cfg_FY,1,1),0))-MAX($E255,DATE(cfg_FY,1,1))+1)*(1-IF($M255="نعم",0,N($J255))))</f>
        <v>0</v>
      </c>
      <c r="W255" s="110" t="n">
        <f aca="false">IF(OR($B255="",$E255="",$F255=""),0,MAX(0,MIN($F255,EOMONTH(DATE(cfg_FY,2,1),0))-MAX($E255,DATE(cfg_FY,2,1))+1)*(1-IF($M255="نعم",0,N($J255))))</f>
        <v>0</v>
      </c>
      <c r="X255" s="110" t="n">
        <f aca="false">IF(OR($B255="",$E255="",$F255=""),0,MAX(0,MIN($F255,EOMONTH(DATE(cfg_FY,3,1),0))-MAX($E255,DATE(cfg_FY,3,1))+1)*(1-IF($M255="نعم",0,N($J255))))</f>
        <v>0</v>
      </c>
      <c r="Y255" s="110" t="n">
        <f aca="false">IF(OR($B255="",$E255="",$F255=""),0,MAX(0,MIN($F255,EOMONTH(DATE(cfg_FY,4,1),0))-MAX($E255,DATE(cfg_FY,4,1))+1)*(1-IF($M255="نعم",0,N($J255))))</f>
        <v>0</v>
      </c>
      <c r="Z255" s="110" t="n">
        <f aca="false">IF(OR($B255="",$E255="",$F255=""),0,MAX(0,MIN($F255,EOMONTH(DATE(cfg_FY,5,1),0))-MAX($E255,DATE(cfg_FY,5,1))+1)*(1-IF($M255="نعم",0,N($J255))))</f>
        <v>0</v>
      </c>
      <c r="AA255" s="110" t="n">
        <f aca="false">IF(OR($B255="",$E255="",$F255=""),0,MAX(0,MIN($F255,EOMONTH(DATE(cfg_FY,6,1),0))-MAX($E255,DATE(cfg_FY,6,1))+1)*(1-IF($M255="نعم",0,N($J255))))</f>
        <v>0</v>
      </c>
      <c r="AB255" s="110" t="n">
        <f aca="false">IF(OR($B255="",$E255="",$F255=""),0,MAX(0,MIN($F255,EOMONTH(DATE(cfg_FY,7,1),0))-MAX($E255,DATE(cfg_FY,7,1))+1)*(1-IF($M255="نعم",0,N($J255))))</f>
        <v>0</v>
      </c>
      <c r="AC255" s="110" t="n">
        <f aca="false">IF(OR($B255="",$E255="",$F255=""),0,MAX(0,MIN($F255,EOMONTH(DATE(cfg_FY,8,1),0))-MAX($E255,DATE(cfg_FY,8,1))+1)*(1-IF($M255="نعم",0,N($J255))))</f>
        <v>0</v>
      </c>
      <c r="AD255" s="110" t="n">
        <f aca="false">IF(OR($B255="",$E255="",$F255=""),0,MAX(0,MIN($F255,EOMONTH(DATE(cfg_FY,9,1),0))-MAX($E255,DATE(cfg_FY,9,1))+1)*(1-IF($M255="نعم",0,N($J255))))</f>
        <v>0</v>
      </c>
      <c r="AE255" s="110" t="n">
        <f aca="false">IF(OR($B255="",$E255="",$F255=""),0,MAX(0,MIN($F255,EOMONTH(DATE(cfg_FY,10,1),0))-MAX($E255,DATE(cfg_FY,10,1))+1)*(1-IF($M255="نعم",0,N($J255))))</f>
        <v>0</v>
      </c>
      <c r="AF255" s="110" t="n">
        <f aca="false">IF(OR($B255="",$E255="",$F255=""),0,MAX(0,MIN($F255,EOMONTH(DATE(cfg_FY,11,1),0))-MAX($E255,DATE(cfg_FY,11,1))+1)*(1-IF($M255="نعم",0,N($J255))))</f>
        <v>0</v>
      </c>
      <c r="AG255" s="110" t="n">
        <f aca="false">IF(OR($B255="",$E255="",$F255=""),0,MAX(0,MIN($F255,EOMONTH(DATE(cfg_FY,12,1),0))-MAX($E255,DATE(cfg_FY,12,1))+1)*(1-IF($M255="نعم",0,N($J255))))</f>
        <v>0</v>
      </c>
      <c r="AH255" s="110" t="n">
        <f aca="false">IF(OR(OR($B255="",$E255="",$F255=""),$L255&lt;&gt;"لا"),0,MAX(0,MIN($F255,EOMONTH(DATE(cfg_FY,1,1),0))-$E255+1))</f>
        <v>0</v>
      </c>
      <c r="AI255" s="110" t="n">
        <f aca="false">IF(OR(OR($B255="",$E255="",$F255=""),$L255&lt;&gt;"لا"),0,MAX(0,MIN($F255,EOMONTH(DATE(cfg_FY,2,1),0))-$E255+1))</f>
        <v>0</v>
      </c>
      <c r="AJ255" s="110" t="n">
        <f aca="false">IF(OR(OR($B255="",$E255="",$F255=""),$L255&lt;&gt;"لا"),0,MAX(0,MIN($F255,EOMONTH(DATE(cfg_FY,3,1),0))-$E255+1))</f>
        <v>0</v>
      </c>
      <c r="AK255" s="110" t="n">
        <f aca="false">IF(OR(OR($B255="",$E255="",$F255=""),$L255&lt;&gt;"لا"),0,MAX(0,MIN($F255,EOMONTH(DATE(cfg_FY,4,1),0))-$E255+1))</f>
        <v>0</v>
      </c>
      <c r="AL255" s="110" t="n">
        <f aca="false">IF(OR(OR($B255="",$E255="",$F255=""),$L255&lt;&gt;"لا"),0,MAX(0,MIN($F255,EOMONTH(DATE(cfg_FY,5,1),0))-$E255+1))</f>
        <v>0</v>
      </c>
      <c r="AM255" s="110" t="n">
        <f aca="false">IF(OR(OR($B255="",$E255="",$F255=""),$L255&lt;&gt;"لا"),0,MAX(0,MIN($F255,EOMONTH(DATE(cfg_FY,6,1),0))-$E255+1))</f>
        <v>0</v>
      </c>
      <c r="AN255" s="110" t="n">
        <f aca="false">IF(OR(OR($B255="",$E255="",$F255=""),$L255&lt;&gt;"لا"),0,MAX(0,MIN($F255,EOMONTH(DATE(cfg_FY,7,1),0))-$E255+1))</f>
        <v>0</v>
      </c>
      <c r="AO255" s="110" t="n">
        <f aca="false">IF(OR(OR($B255="",$E255="",$F255=""),$L255&lt;&gt;"لا"),0,MAX(0,MIN($F255,EOMONTH(DATE(cfg_FY,8,1),0))-$E255+1))</f>
        <v>0</v>
      </c>
      <c r="AP255" s="110" t="n">
        <f aca="false">IF(OR(OR($B255="",$E255="",$F255=""),$L255&lt;&gt;"لا"),0,MAX(0,MIN($F255,EOMONTH(DATE(cfg_FY,9,1),0))-$E255+1))</f>
        <v>0</v>
      </c>
      <c r="AQ255" s="110" t="n">
        <f aca="false">IF(OR(OR($B255="",$E255="",$F255=""),$L255&lt;&gt;"لا"),0,MAX(0,MIN($F255,EOMONTH(DATE(cfg_FY,10,1),0))-$E255+1))</f>
        <v>0</v>
      </c>
      <c r="AR255" s="110" t="n">
        <f aca="false">IF(OR(OR($B255="",$E255="",$F255=""),$L255&lt;&gt;"لا"),0,MAX(0,MIN($F255,EOMONTH(DATE(cfg_FY,11,1),0))-$E255+1))</f>
        <v>0</v>
      </c>
      <c r="AS255" s="110" t="n">
        <f aca="false">IF(OR(OR($B255="",$E255="",$F255=""),$L255&lt;&gt;"لا"),0,MAX(0,MIN($F255,EOMONTH(DATE(cfg_FY,12,1),0))-$E255+1))</f>
        <v>0</v>
      </c>
      <c r="AT255" s="110" t="n">
        <f aca="false">IF(OR(OR($B255="",$E255="",$F255=""),$K255&lt;&gt;"نعم",$M255="نعم"),0,MAX(0,MIN($F255,EOMONTH(DATE(cfg_FY,1,1),0))-MAX($E255,DATE(cfg_FY,1,1))+1))</f>
        <v>0</v>
      </c>
      <c r="AU255" s="110" t="n">
        <f aca="false">IF(OR(OR($B255="",$E255="",$F255=""),$K255&lt;&gt;"نعم",$M255="نعم"),0,MAX(0,MIN($F255,EOMONTH(DATE(cfg_FY,2,1),0))-MAX($E255,DATE(cfg_FY,2,1))+1))</f>
        <v>0</v>
      </c>
      <c r="AV255" s="110" t="n">
        <f aca="false">IF(OR(OR($B255="",$E255="",$F255=""),$K255&lt;&gt;"نعم",$M255="نعم"),0,MAX(0,MIN($F255,EOMONTH(DATE(cfg_FY,3,1),0))-MAX($E255,DATE(cfg_FY,3,1))+1))</f>
        <v>0</v>
      </c>
      <c r="AW255" s="110" t="n">
        <f aca="false">IF(OR(OR($B255="",$E255="",$F255=""),$K255&lt;&gt;"نعم",$M255="نعم"),0,MAX(0,MIN($F255,EOMONTH(DATE(cfg_FY,4,1),0))-MAX($E255,DATE(cfg_FY,4,1))+1))</f>
        <v>0</v>
      </c>
      <c r="AX255" s="110" t="n">
        <f aca="false">IF(OR(OR($B255="",$E255="",$F255=""),$K255&lt;&gt;"نعم",$M255="نعم"),0,MAX(0,MIN($F255,EOMONTH(DATE(cfg_FY,5,1),0))-MAX($E255,DATE(cfg_FY,5,1))+1))</f>
        <v>0</v>
      </c>
      <c r="AY255" s="110" t="n">
        <f aca="false">IF(OR(OR($B255="",$E255="",$F255=""),$K255&lt;&gt;"نعم",$M255="نعم"),0,MAX(0,MIN($F255,EOMONTH(DATE(cfg_FY,6,1),0))-MAX($E255,DATE(cfg_FY,6,1))+1))</f>
        <v>0</v>
      </c>
      <c r="AZ255" s="110" t="n">
        <f aca="false">IF(OR(OR($B255="",$E255="",$F255=""),$K255&lt;&gt;"نعم",$M255="نعم"),0,MAX(0,MIN($F255,EOMONTH(DATE(cfg_FY,7,1),0))-MAX($E255,DATE(cfg_FY,7,1))+1))</f>
        <v>0</v>
      </c>
      <c r="BA255" s="110" t="n">
        <f aca="false">IF(OR(OR($B255="",$E255="",$F255=""),$K255&lt;&gt;"نعم",$M255="نعم"),0,MAX(0,MIN($F255,EOMONTH(DATE(cfg_FY,8,1),0))-MAX($E255,DATE(cfg_FY,8,1))+1))</f>
        <v>0</v>
      </c>
      <c r="BB255" s="110" t="n">
        <f aca="false">IF(OR(OR($B255="",$E255="",$F255=""),$K255&lt;&gt;"نعم",$M255="نعم"),0,MAX(0,MIN($F255,EOMONTH(DATE(cfg_FY,9,1),0))-MAX($E255,DATE(cfg_FY,9,1))+1))</f>
        <v>0</v>
      </c>
      <c r="BC255" s="110" t="n">
        <f aca="false">IF(OR(OR($B255="",$E255="",$F255=""),$K255&lt;&gt;"نعم",$M255="نعم"),0,MAX(0,MIN($F255,EOMONTH(DATE(cfg_FY,10,1),0))-MAX($E255,DATE(cfg_FY,10,1))+1))</f>
        <v>0</v>
      </c>
      <c r="BD255" s="110" t="n">
        <f aca="false">IF(OR(OR($B255="",$E255="",$F255=""),$K255&lt;&gt;"نعم",$M255="نعم"),0,MAX(0,MIN($F255,EOMONTH(DATE(cfg_FY,11,1),0))-MAX($E255,DATE(cfg_FY,11,1))+1))</f>
        <v>0</v>
      </c>
      <c r="BE255" s="110" t="n">
        <f aca="false">IF(OR(OR($B255="",$E255="",$F255=""),$K255&lt;&gt;"نعم",$M255="نعم"),0,MAX(0,MIN($F255,EOMONTH(DATE(cfg_FY,12,1),0))-MAX($E255,DATE(cfg_FY,12,1))+1))</f>
        <v>0</v>
      </c>
    </row>
    <row r="256" customFormat="false" ht="15" hidden="false" customHeight="false" outlineLevel="0" collapsed="false">
      <c r="A256" s="93" t="str">
        <f aca="false">IF(B256="","",ROW()-5)</f>
        <v/>
      </c>
      <c r="B256" s="79"/>
      <c r="C256" s="80" t="str">
        <f aca="false">IF(B256="","",IFERROR(INDEX(الموظفون!$C$6:$C$105,MATCH(B256,الموظفون!$B$6:$B$105,0)),"✖ رقم غير موجود"))</f>
        <v/>
      </c>
      <c r="D256" s="79"/>
      <c r="E256" s="94"/>
      <c r="F256" s="94"/>
      <c r="G256" s="57" t="str">
        <f aca="false">IF(OR($B256="",$E256="",$F256=""),"",MAX(0,F256-E256+1))</f>
        <v/>
      </c>
      <c r="H256" s="58" t="str">
        <f aca="false">IF(D256="","",IFERROR(VLOOKUP(D256,cfg_LT,2,FALSE()),1))</f>
        <v/>
      </c>
      <c r="I256" s="82"/>
      <c r="J256" s="58" t="str">
        <f aca="false">IF(D256="","",IF(I256&lt;&gt;"",I256,H256))</f>
        <v/>
      </c>
      <c r="K256" s="80" t="str">
        <f aca="false">IF(D256="","",IFERROR(VLOOKUP($D256,cfg_LT,3,FALSE()),""))</f>
        <v/>
      </c>
      <c r="L256" s="80" t="str">
        <f aca="false">IF(D256="","",IFERROR(VLOOKUP($D256,cfg_LT,4,FALSE()),""))</f>
        <v/>
      </c>
      <c r="M256" s="80" t="str">
        <f aca="false">IF(D256="","",IFERROR(VLOOKUP($D256,cfg_LT,5,FALSE()),""))</f>
        <v/>
      </c>
      <c r="N256" s="97" t="n">
        <f aca="false">IF(OR(OR($B256="",$E256="",$F256=""),M256&lt;&gt;"نعم"),0,G256*J256*IFERROR(INDEX(الموظفون!$R$6:$R$105,MATCH(B256,الموظفون!$B$6:$B$105,0)),0)/cfg_DAYS_M)</f>
        <v>0</v>
      </c>
      <c r="O256" s="93" t="str">
        <f aca="false">IF(OR(OR($B256="",$E256="",$F256=""),M256&lt;&gt;"نعم"),"",IF(YEAR(E256)=cfg_FY,MONTH(E256),""))</f>
        <v/>
      </c>
      <c r="P256" s="80" t="str">
        <f aca="false">IF(B256="","",IF(OR(D256="",E256="",F256=""),"⚠ أكمل النوع والتواريخ",IF(F256&lt;E256,"✖ النهاية قبل البداية",IF(COUNTIFS($B$6:$B$505,B256,$E$6:$E$505,"&lt;="&amp;F256,$F$6:$F$505,"&gt;="&amp;E256)&gt;1,"⚠ تداخل مع سجل آخر",IF(E256&gt;cfg_VAL_DATE,"⏳ قادمة",IF(F256&lt;cfg_VAL_DATE,"✔ منتهية","✈ جارية في تاريخ التقرير"))))))</f>
        <v/>
      </c>
      <c r="Q256" s="79"/>
      <c r="R256" s="57" t="n">
        <f aca="false">IF(OR(OR($B256="",$E256="",$F256=""),L256&lt;&gt;"لا"),0,MAX(0,MIN(F256,cfg_Y_START-1)-E256+1))</f>
        <v>0</v>
      </c>
      <c r="S256" s="57" t="n">
        <f aca="false">IF(OR(OR($B256="",$E256="",$F256=""),L256&lt;&gt;"لا"),0,MAX(0,MIN(F256,cfg_VAL_DATE)-E256+1))</f>
        <v>0</v>
      </c>
      <c r="T256" s="57" t="n">
        <f aca="false">IF(OR(OR($B256="",$E256="",$F256=""),K256&lt;&gt;"نعم"),0,IF(M256="نعم",IF(AND(ISNUMBER(O256),N(O256)&lt;=cfg_VAL_M),G256,0),MAX(0,MIN(F256,cfg_VAL_DATE)-MAX(E256,cfg_Y_START)+1)))</f>
        <v>0</v>
      </c>
      <c r="V256" s="57" t="n">
        <f aca="false">IF(OR($B256="",$E256="",$F256=""),0,MAX(0,MIN($F256,EOMONTH(DATE(cfg_FY,1,1),0))-MAX($E256,DATE(cfg_FY,1,1))+1)*(1-IF($M256="نعم",0,N($J256))))</f>
        <v>0</v>
      </c>
      <c r="W256" s="57" t="n">
        <f aca="false">IF(OR($B256="",$E256="",$F256=""),0,MAX(0,MIN($F256,EOMONTH(DATE(cfg_FY,2,1),0))-MAX($E256,DATE(cfg_FY,2,1))+1)*(1-IF($M256="نعم",0,N($J256))))</f>
        <v>0</v>
      </c>
      <c r="X256" s="57" t="n">
        <f aca="false">IF(OR($B256="",$E256="",$F256=""),0,MAX(0,MIN($F256,EOMONTH(DATE(cfg_FY,3,1),0))-MAX($E256,DATE(cfg_FY,3,1))+1)*(1-IF($M256="نعم",0,N($J256))))</f>
        <v>0</v>
      </c>
      <c r="Y256" s="57" t="n">
        <f aca="false">IF(OR($B256="",$E256="",$F256=""),0,MAX(0,MIN($F256,EOMONTH(DATE(cfg_FY,4,1),0))-MAX($E256,DATE(cfg_FY,4,1))+1)*(1-IF($M256="نعم",0,N($J256))))</f>
        <v>0</v>
      </c>
      <c r="Z256" s="57" t="n">
        <f aca="false">IF(OR($B256="",$E256="",$F256=""),0,MAX(0,MIN($F256,EOMONTH(DATE(cfg_FY,5,1),0))-MAX($E256,DATE(cfg_FY,5,1))+1)*(1-IF($M256="نعم",0,N($J256))))</f>
        <v>0</v>
      </c>
      <c r="AA256" s="57" t="n">
        <f aca="false">IF(OR($B256="",$E256="",$F256=""),0,MAX(0,MIN($F256,EOMONTH(DATE(cfg_FY,6,1),0))-MAX($E256,DATE(cfg_FY,6,1))+1)*(1-IF($M256="نعم",0,N($J256))))</f>
        <v>0</v>
      </c>
      <c r="AB256" s="57" t="n">
        <f aca="false">IF(OR($B256="",$E256="",$F256=""),0,MAX(0,MIN($F256,EOMONTH(DATE(cfg_FY,7,1),0))-MAX($E256,DATE(cfg_FY,7,1))+1)*(1-IF($M256="نعم",0,N($J256))))</f>
        <v>0</v>
      </c>
      <c r="AC256" s="57" t="n">
        <f aca="false">IF(OR($B256="",$E256="",$F256=""),0,MAX(0,MIN($F256,EOMONTH(DATE(cfg_FY,8,1),0))-MAX($E256,DATE(cfg_FY,8,1))+1)*(1-IF($M256="نعم",0,N($J256))))</f>
        <v>0</v>
      </c>
      <c r="AD256" s="57" t="n">
        <f aca="false">IF(OR($B256="",$E256="",$F256=""),0,MAX(0,MIN($F256,EOMONTH(DATE(cfg_FY,9,1),0))-MAX($E256,DATE(cfg_FY,9,1))+1)*(1-IF($M256="نعم",0,N($J256))))</f>
        <v>0</v>
      </c>
      <c r="AE256" s="57" t="n">
        <f aca="false">IF(OR($B256="",$E256="",$F256=""),0,MAX(0,MIN($F256,EOMONTH(DATE(cfg_FY,10,1),0))-MAX($E256,DATE(cfg_FY,10,1))+1)*(1-IF($M256="نعم",0,N($J256))))</f>
        <v>0</v>
      </c>
      <c r="AF256" s="57" t="n">
        <f aca="false">IF(OR($B256="",$E256="",$F256=""),0,MAX(0,MIN($F256,EOMONTH(DATE(cfg_FY,11,1),0))-MAX($E256,DATE(cfg_FY,11,1))+1)*(1-IF($M256="نعم",0,N($J256))))</f>
        <v>0</v>
      </c>
      <c r="AG256" s="57" t="n">
        <f aca="false">IF(OR($B256="",$E256="",$F256=""),0,MAX(0,MIN($F256,EOMONTH(DATE(cfg_FY,12,1),0))-MAX($E256,DATE(cfg_FY,12,1))+1)*(1-IF($M256="نعم",0,N($J256))))</f>
        <v>0</v>
      </c>
      <c r="AH256" s="57" t="n">
        <f aca="false">IF(OR(OR($B256="",$E256="",$F256=""),$L256&lt;&gt;"لا"),0,MAX(0,MIN($F256,EOMONTH(DATE(cfg_FY,1,1),0))-$E256+1))</f>
        <v>0</v>
      </c>
      <c r="AI256" s="57" t="n">
        <f aca="false">IF(OR(OR($B256="",$E256="",$F256=""),$L256&lt;&gt;"لا"),0,MAX(0,MIN($F256,EOMONTH(DATE(cfg_FY,2,1),0))-$E256+1))</f>
        <v>0</v>
      </c>
      <c r="AJ256" s="57" t="n">
        <f aca="false">IF(OR(OR($B256="",$E256="",$F256=""),$L256&lt;&gt;"لا"),0,MAX(0,MIN($F256,EOMONTH(DATE(cfg_FY,3,1),0))-$E256+1))</f>
        <v>0</v>
      </c>
      <c r="AK256" s="57" t="n">
        <f aca="false">IF(OR(OR($B256="",$E256="",$F256=""),$L256&lt;&gt;"لا"),0,MAX(0,MIN($F256,EOMONTH(DATE(cfg_FY,4,1),0))-$E256+1))</f>
        <v>0</v>
      </c>
      <c r="AL256" s="57" t="n">
        <f aca="false">IF(OR(OR($B256="",$E256="",$F256=""),$L256&lt;&gt;"لا"),0,MAX(0,MIN($F256,EOMONTH(DATE(cfg_FY,5,1),0))-$E256+1))</f>
        <v>0</v>
      </c>
      <c r="AM256" s="57" t="n">
        <f aca="false">IF(OR(OR($B256="",$E256="",$F256=""),$L256&lt;&gt;"لا"),0,MAX(0,MIN($F256,EOMONTH(DATE(cfg_FY,6,1),0))-$E256+1))</f>
        <v>0</v>
      </c>
      <c r="AN256" s="57" t="n">
        <f aca="false">IF(OR(OR($B256="",$E256="",$F256=""),$L256&lt;&gt;"لا"),0,MAX(0,MIN($F256,EOMONTH(DATE(cfg_FY,7,1),0))-$E256+1))</f>
        <v>0</v>
      </c>
      <c r="AO256" s="57" t="n">
        <f aca="false">IF(OR(OR($B256="",$E256="",$F256=""),$L256&lt;&gt;"لا"),0,MAX(0,MIN($F256,EOMONTH(DATE(cfg_FY,8,1),0))-$E256+1))</f>
        <v>0</v>
      </c>
      <c r="AP256" s="57" t="n">
        <f aca="false">IF(OR(OR($B256="",$E256="",$F256=""),$L256&lt;&gt;"لا"),0,MAX(0,MIN($F256,EOMONTH(DATE(cfg_FY,9,1),0))-$E256+1))</f>
        <v>0</v>
      </c>
      <c r="AQ256" s="57" t="n">
        <f aca="false">IF(OR(OR($B256="",$E256="",$F256=""),$L256&lt;&gt;"لا"),0,MAX(0,MIN($F256,EOMONTH(DATE(cfg_FY,10,1),0))-$E256+1))</f>
        <v>0</v>
      </c>
      <c r="AR256" s="57" t="n">
        <f aca="false">IF(OR(OR($B256="",$E256="",$F256=""),$L256&lt;&gt;"لا"),0,MAX(0,MIN($F256,EOMONTH(DATE(cfg_FY,11,1),0))-$E256+1))</f>
        <v>0</v>
      </c>
      <c r="AS256" s="57" t="n">
        <f aca="false">IF(OR(OR($B256="",$E256="",$F256=""),$L256&lt;&gt;"لا"),0,MAX(0,MIN($F256,EOMONTH(DATE(cfg_FY,12,1),0))-$E256+1))</f>
        <v>0</v>
      </c>
      <c r="AT256" s="57" t="n">
        <f aca="false">IF(OR(OR($B256="",$E256="",$F256=""),$K256&lt;&gt;"نعم",$M256="نعم"),0,MAX(0,MIN($F256,EOMONTH(DATE(cfg_FY,1,1),0))-MAX($E256,DATE(cfg_FY,1,1))+1))</f>
        <v>0</v>
      </c>
      <c r="AU256" s="57" t="n">
        <f aca="false">IF(OR(OR($B256="",$E256="",$F256=""),$K256&lt;&gt;"نعم",$M256="نعم"),0,MAX(0,MIN($F256,EOMONTH(DATE(cfg_FY,2,1),0))-MAX($E256,DATE(cfg_FY,2,1))+1))</f>
        <v>0</v>
      </c>
      <c r="AV256" s="57" t="n">
        <f aca="false">IF(OR(OR($B256="",$E256="",$F256=""),$K256&lt;&gt;"نعم",$M256="نعم"),0,MAX(0,MIN($F256,EOMONTH(DATE(cfg_FY,3,1),0))-MAX($E256,DATE(cfg_FY,3,1))+1))</f>
        <v>0</v>
      </c>
      <c r="AW256" s="57" t="n">
        <f aca="false">IF(OR(OR($B256="",$E256="",$F256=""),$K256&lt;&gt;"نعم",$M256="نعم"),0,MAX(0,MIN($F256,EOMONTH(DATE(cfg_FY,4,1),0))-MAX($E256,DATE(cfg_FY,4,1))+1))</f>
        <v>0</v>
      </c>
      <c r="AX256" s="57" t="n">
        <f aca="false">IF(OR(OR($B256="",$E256="",$F256=""),$K256&lt;&gt;"نعم",$M256="نعم"),0,MAX(0,MIN($F256,EOMONTH(DATE(cfg_FY,5,1),0))-MAX($E256,DATE(cfg_FY,5,1))+1))</f>
        <v>0</v>
      </c>
      <c r="AY256" s="57" t="n">
        <f aca="false">IF(OR(OR($B256="",$E256="",$F256=""),$K256&lt;&gt;"نعم",$M256="نعم"),0,MAX(0,MIN($F256,EOMONTH(DATE(cfg_FY,6,1),0))-MAX($E256,DATE(cfg_FY,6,1))+1))</f>
        <v>0</v>
      </c>
      <c r="AZ256" s="57" t="n">
        <f aca="false">IF(OR(OR($B256="",$E256="",$F256=""),$K256&lt;&gt;"نعم",$M256="نعم"),0,MAX(0,MIN($F256,EOMONTH(DATE(cfg_FY,7,1),0))-MAX($E256,DATE(cfg_FY,7,1))+1))</f>
        <v>0</v>
      </c>
      <c r="BA256" s="57" t="n">
        <f aca="false">IF(OR(OR($B256="",$E256="",$F256=""),$K256&lt;&gt;"نعم",$M256="نعم"),0,MAX(0,MIN($F256,EOMONTH(DATE(cfg_FY,8,1),0))-MAX($E256,DATE(cfg_FY,8,1))+1))</f>
        <v>0</v>
      </c>
      <c r="BB256" s="57" t="n">
        <f aca="false">IF(OR(OR($B256="",$E256="",$F256=""),$K256&lt;&gt;"نعم",$M256="نعم"),0,MAX(0,MIN($F256,EOMONTH(DATE(cfg_FY,9,1),0))-MAX($E256,DATE(cfg_FY,9,1))+1))</f>
        <v>0</v>
      </c>
      <c r="BC256" s="57" t="n">
        <f aca="false">IF(OR(OR($B256="",$E256="",$F256=""),$K256&lt;&gt;"نعم",$M256="نعم"),0,MAX(0,MIN($F256,EOMONTH(DATE(cfg_FY,10,1),0))-MAX($E256,DATE(cfg_FY,10,1))+1))</f>
        <v>0</v>
      </c>
      <c r="BD256" s="57" t="n">
        <f aca="false">IF(OR(OR($B256="",$E256="",$F256=""),$K256&lt;&gt;"نعم",$M256="نعم"),0,MAX(0,MIN($F256,EOMONTH(DATE(cfg_FY,11,1),0))-MAX($E256,DATE(cfg_FY,11,1))+1))</f>
        <v>0</v>
      </c>
      <c r="BE256" s="57" t="n">
        <f aca="false">IF(OR(OR($B256="",$E256="",$F256=""),$K256&lt;&gt;"نعم",$M256="نعم"),0,MAX(0,MIN($F256,EOMONTH(DATE(cfg_FY,12,1),0))-MAX($E256,DATE(cfg_FY,12,1))+1))</f>
        <v>0</v>
      </c>
    </row>
    <row r="257" customFormat="false" ht="15" hidden="false" customHeight="false" outlineLevel="0" collapsed="false">
      <c r="A257" s="100" t="str">
        <f aca="false">IF(B257="","",ROW()-5)</f>
        <v/>
      </c>
      <c r="B257" s="79"/>
      <c r="C257" s="102" t="str">
        <f aca="false">IF(B257="","",IFERROR(INDEX(الموظفون!$C$6:$C$105,MATCH(B257,الموظفون!$B$6:$B$105,0)),"✖ رقم غير موجود"))</f>
        <v/>
      </c>
      <c r="D257" s="79"/>
      <c r="E257" s="94"/>
      <c r="F257" s="94"/>
      <c r="G257" s="110" t="str">
        <f aca="false">IF(OR($B257="",$E257="",$F257=""),"",MAX(0,F257-E257+1))</f>
        <v/>
      </c>
      <c r="H257" s="111" t="str">
        <f aca="false">IF(D257="","",IFERROR(VLOOKUP(D257,cfg_LT,2,FALSE()),1))</f>
        <v/>
      </c>
      <c r="I257" s="82"/>
      <c r="J257" s="111" t="str">
        <f aca="false">IF(D257="","",IF(I257&lt;&gt;"",I257,H257))</f>
        <v/>
      </c>
      <c r="K257" s="102" t="str">
        <f aca="false">IF(D257="","",IFERROR(VLOOKUP($D257,cfg_LT,3,FALSE()),""))</f>
        <v/>
      </c>
      <c r="L257" s="102" t="str">
        <f aca="false">IF(D257="","",IFERROR(VLOOKUP($D257,cfg_LT,4,FALSE()),""))</f>
        <v/>
      </c>
      <c r="M257" s="102" t="str">
        <f aca="false">IF(D257="","",IFERROR(VLOOKUP($D257,cfg_LT,5,FALSE()),""))</f>
        <v/>
      </c>
      <c r="N257" s="101" t="n">
        <f aca="false">IF(OR(OR($B257="",$E257="",$F257=""),M257&lt;&gt;"نعم"),0,G257*J257*IFERROR(INDEX(الموظفون!$R$6:$R$105,MATCH(B257,الموظفون!$B$6:$B$105,0)),0)/cfg_DAYS_M)</f>
        <v>0</v>
      </c>
      <c r="O257" s="100" t="str">
        <f aca="false">IF(OR(OR($B257="",$E257="",$F257=""),M257&lt;&gt;"نعم"),"",IF(YEAR(E257)=cfg_FY,MONTH(E257),""))</f>
        <v/>
      </c>
      <c r="P257" s="102" t="str">
        <f aca="false">IF(B257="","",IF(OR(D257="",E257="",F257=""),"⚠ أكمل النوع والتواريخ",IF(F257&lt;E257,"✖ النهاية قبل البداية",IF(COUNTIFS($B$6:$B$505,B257,$E$6:$E$505,"&lt;="&amp;F257,$F$6:$F$505,"&gt;="&amp;E257)&gt;1,"⚠ تداخل مع سجل آخر",IF(E257&gt;cfg_VAL_DATE,"⏳ قادمة",IF(F257&lt;cfg_VAL_DATE,"✔ منتهية","✈ جارية في تاريخ التقرير"))))))</f>
        <v/>
      </c>
      <c r="Q257" s="79"/>
      <c r="R257" s="110" t="n">
        <f aca="false">IF(OR(OR($B257="",$E257="",$F257=""),L257&lt;&gt;"لا"),0,MAX(0,MIN(F257,cfg_Y_START-1)-E257+1))</f>
        <v>0</v>
      </c>
      <c r="S257" s="110" t="n">
        <f aca="false">IF(OR(OR($B257="",$E257="",$F257=""),L257&lt;&gt;"لا"),0,MAX(0,MIN(F257,cfg_VAL_DATE)-E257+1))</f>
        <v>0</v>
      </c>
      <c r="T257" s="110" t="n">
        <f aca="false">IF(OR(OR($B257="",$E257="",$F257=""),K257&lt;&gt;"نعم"),0,IF(M257="نعم",IF(AND(ISNUMBER(O257),N(O257)&lt;=cfg_VAL_M),G257,0),MAX(0,MIN(F257,cfg_VAL_DATE)-MAX(E257,cfg_Y_START)+1)))</f>
        <v>0</v>
      </c>
      <c r="V257" s="110" t="n">
        <f aca="false">IF(OR($B257="",$E257="",$F257=""),0,MAX(0,MIN($F257,EOMONTH(DATE(cfg_FY,1,1),0))-MAX($E257,DATE(cfg_FY,1,1))+1)*(1-IF($M257="نعم",0,N($J257))))</f>
        <v>0</v>
      </c>
      <c r="W257" s="110" t="n">
        <f aca="false">IF(OR($B257="",$E257="",$F257=""),0,MAX(0,MIN($F257,EOMONTH(DATE(cfg_FY,2,1),0))-MAX($E257,DATE(cfg_FY,2,1))+1)*(1-IF($M257="نعم",0,N($J257))))</f>
        <v>0</v>
      </c>
      <c r="X257" s="110" t="n">
        <f aca="false">IF(OR($B257="",$E257="",$F257=""),0,MAX(0,MIN($F257,EOMONTH(DATE(cfg_FY,3,1),0))-MAX($E257,DATE(cfg_FY,3,1))+1)*(1-IF($M257="نعم",0,N($J257))))</f>
        <v>0</v>
      </c>
      <c r="Y257" s="110" t="n">
        <f aca="false">IF(OR($B257="",$E257="",$F257=""),0,MAX(0,MIN($F257,EOMONTH(DATE(cfg_FY,4,1),0))-MAX($E257,DATE(cfg_FY,4,1))+1)*(1-IF($M257="نعم",0,N($J257))))</f>
        <v>0</v>
      </c>
      <c r="Z257" s="110" t="n">
        <f aca="false">IF(OR($B257="",$E257="",$F257=""),0,MAX(0,MIN($F257,EOMONTH(DATE(cfg_FY,5,1),0))-MAX($E257,DATE(cfg_FY,5,1))+1)*(1-IF($M257="نعم",0,N($J257))))</f>
        <v>0</v>
      </c>
      <c r="AA257" s="110" t="n">
        <f aca="false">IF(OR($B257="",$E257="",$F257=""),0,MAX(0,MIN($F257,EOMONTH(DATE(cfg_FY,6,1),0))-MAX($E257,DATE(cfg_FY,6,1))+1)*(1-IF($M257="نعم",0,N($J257))))</f>
        <v>0</v>
      </c>
      <c r="AB257" s="110" t="n">
        <f aca="false">IF(OR($B257="",$E257="",$F257=""),0,MAX(0,MIN($F257,EOMONTH(DATE(cfg_FY,7,1),0))-MAX($E257,DATE(cfg_FY,7,1))+1)*(1-IF($M257="نعم",0,N($J257))))</f>
        <v>0</v>
      </c>
      <c r="AC257" s="110" t="n">
        <f aca="false">IF(OR($B257="",$E257="",$F257=""),0,MAX(0,MIN($F257,EOMONTH(DATE(cfg_FY,8,1),0))-MAX($E257,DATE(cfg_FY,8,1))+1)*(1-IF($M257="نعم",0,N($J257))))</f>
        <v>0</v>
      </c>
      <c r="AD257" s="110" t="n">
        <f aca="false">IF(OR($B257="",$E257="",$F257=""),0,MAX(0,MIN($F257,EOMONTH(DATE(cfg_FY,9,1),0))-MAX($E257,DATE(cfg_FY,9,1))+1)*(1-IF($M257="نعم",0,N($J257))))</f>
        <v>0</v>
      </c>
      <c r="AE257" s="110" t="n">
        <f aca="false">IF(OR($B257="",$E257="",$F257=""),0,MAX(0,MIN($F257,EOMONTH(DATE(cfg_FY,10,1),0))-MAX($E257,DATE(cfg_FY,10,1))+1)*(1-IF($M257="نعم",0,N($J257))))</f>
        <v>0</v>
      </c>
      <c r="AF257" s="110" t="n">
        <f aca="false">IF(OR($B257="",$E257="",$F257=""),0,MAX(0,MIN($F257,EOMONTH(DATE(cfg_FY,11,1),0))-MAX($E257,DATE(cfg_FY,11,1))+1)*(1-IF($M257="نعم",0,N($J257))))</f>
        <v>0</v>
      </c>
      <c r="AG257" s="110" t="n">
        <f aca="false">IF(OR($B257="",$E257="",$F257=""),0,MAX(0,MIN($F257,EOMONTH(DATE(cfg_FY,12,1),0))-MAX($E257,DATE(cfg_FY,12,1))+1)*(1-IF($M257="نعم",0,N($J257))))</f>
        <v>0</v>
      </c>
      <c r="AH257" s="110" t="n">
        <f aca="false">IF(OR(OR($B257="",$E257="",$F257=""),$L257&lt;&gt;"لا"),0,MAX(0,MIN($F257,EOMONTH(DATE(cfg_FY,1,1),0))-$E257+1))</f>
        <v>0</v>
      </c>
      <c r="AI257" s="110" t="n">
        <f aca="false">IF(OR(OR($B257="",$E257="",$F257=""),$L257&lt;&gt;"لا"),0,MAX(0,MIN($F257,EOMONTH(DATE(cfg_FY,2,1),0))-$E257+1))</f>
        <v>0</v>
      </c>
      <c r="AJ257" s="110" t="n">
        <f aca="false">IF(OR(OR($B257="",$E257="",$F257=""),$L257&lt;&gt;"لا"),0,MAX(0,MIN($F257,EOMONTH(DATE(cfg_FY,3,1),0))-$E257+1))</f>
        <v>0</v>
      </c>
      <c r="AK257" s="110" t="n">
        <f aca="false">IF(OR(OR($B257="",$E257="",$F257=""),$L257&lt;&gt;"لا"),0,MAX(0,MIN($F257,EOMONTH(DATE(cfg_FY,4,1),0))-$E257+1))</f>
        <v>0</v>
      </c>
      <c r="AL257" s="110" t="n">
        <f aca="false">IF(OR(OR($B257="",$E257="",$F257=""),$L257&lt;&gt;"لا"),0,MAX(0,MIN($F257,EOMONTH(DATE(cfg_FY,5,1),0))-$E257+1))</f>
        <v>0</v>
      </c>
      <c r="AM257" s="110" t="n">
        <f aca="false">IF(OR(OR($B257="",$E257="",$F257=""),$L257&lt;&gt;"لا"),0,MAX(0,MIN($F257,EOMONTH(DATE(cfg_FY,6,1),0))-$E257+1))</f>
        <v>0</v>
      </c>
      <c r="AN257" s="110" t="n">
        <f aca="false">IF(OR(OR($B257="",$E257="",$F257=""),$L257&lt;&gt;"لا"),0,MAX(0,MIN($F257,EOMONTH(DATE(cfg_FY,7,1),0))-$E257+1))</f>
        <v>0</v>
      </c>
      <c r="AO257" s="110" t="n">
        <f aca="false">IF(OR(OR($B257="",$E257="",$F257=""),$L257&lt;&gt;"لا"),0,MAX(0,MIN($F257,EOMONTH(DATE(cfg_FY,8,1),0))-$E257+1))</f>
        <v>0</v>
      </c>
      <c r="AP257" s="110" t="n">
        <f aca="false">IF(OR(OR($B257="",$E257="",$F257=""),$L257&lt;&gt;"لا"),0,MAX(0,MIN($F257,EOMONTH(DATE(cfg_FY,9,1),0))-$E257+1))</f>
        <v>0</v>
      </c>
      <c r="AQ257" s="110" t="n">
        <f aca="false">IF(OR(OR($B257="",$E257="",$F257=""),$L257&lt;&gt;"لا"),0,MAX(0,MIN($F257,EOMONTH(DATE(cfg_FY,10,1),0))-$E257+1))</f>
        <v>0</v>
      </c>
      <c r="AR257" s="110" t="n">
        <f aca="false">IF(OR(OR($B257="",$E257="",$F257=""),$L257&lt;&gt;"لا"),0,MAX(0,MIN($F257,EOMONTH(DATE(cfg_FY,11,1),0))-$E257+1))</f>
        <v>0</v>
      </c>
      <c r="AS257" s="110" t="n">
        <f aca="false">IF(OR(OR($B257="",$E257="",$F257=""),$L257&lt;&gt;"لا"),0,MAX(0,MIN($F257,EOMONTH(DATE(cfg_FY,12,1),0))-$E257+1))</f>
        <v>0</v>
      </c>
      <c r="AT257" s="110" t="n">
        <f aca="false">IF(OR(OR($B257="",$E257="",$F257=""),$K257&lt;&gt;"نعم",$M257="نعم"),0,MAX(0,MIN($F257,EOMONTH(DATE(cfg_FY,1,1),0))-MAX($E257,DATE(cfg_FY,1,1))+1))</f>
        <v>0</v>
      </c>
      <c r="AU257" s="110" t="n">
        <f aca="false">IF(OR(OR($B257="",$E257="",$F257=""),$K257&lt;&gt;"نعم",$M257="نعم"),0,MAX(0,MIN($F257,EOMONTH(DATE(cfg_FY,2,1),0))-MAX($E257,DATE(cfg_FY,2,1))+1))</f>
        <v>0</v>
      </c>
      <c r="AV257" s="110" t="n">
        <f aca="false">IF(OR(OR($B257="",$E257="",$F257=""),$K257&lt;&gt;"نعم",$M257="نعم"),0,MAX(0,MIN($F257,EOMONTH(DATE(cfg_FY,3,1),0))-MAX($E257,DATE(cfg_FY,3,1))+1))</f>
        <v>0</v>
      </c>
      <c r="AW257" s="110" t="n">
        <f aca="false">IF(OR(OR($B257="",$E257="",$F257=""),$K257&lt;&gt;"نعم",$M257="نعم"),0,MAX(0,MIN($F257,EOMONTH(DATE(cfg_FY,4,1),0))-MAX($E257,DATE(cfg_FY,4,1))+1))</f>
        <v>0</v>
      </c>
      <c r="AX257" s="110" t="n">
        <f aca="false">IF(OR(OR($B257="",$E257="",$F257=""),$K257&lt;&gt;"نعم",$M257="نعم"),0,MAX(0,MIN($F257,EOMONTH(DATE(cfg_FY,5,1),0))-MAX($E257,DATE(cfg_FY,5,1))+1))</f>
        <v>0</v>
      </c>
      <c r="AY257" s="110" t="n">
        <f aca="false">IF(OR(OR($B257="",$E257="",$F257=""),$K257&lt;&gt;"نعم",$M257="نعم"),0,MAX(0,MIN($F257,EOMONTH(DATE(cfg_FY,6,1),0))-MAX($E257,DATE(cfg_FY,6,1))+1))</f>
        <v>0</v>
      </c>
      <c r="AZ257" s="110" t="n">
        <f aca="false">IF(OR(OR($B257="",$E257="",$F257=""),$K257&lt;&gt;"نعم",$M257="نعم"),0,MAX(0,MIN($F257,EOMONTH(DATE(cfg_FY,7,1),0))-MAX($E257,DATE(cfg_FY,7,1))+1))</f>
        <v>0</v>
      </c>
      <c r="BA257" s="110" t="n">
        <f aca="false">IF(OR(OR($B257="",$E257="",$F257=""),$K257&lt;&gt;"نعم",$M257="نعم"),0,MAX(0,MIN($F257,EOMONTH(DATE(cfg_FY,8,1),0))-MAX($E257,DATE(cfg_FY,8,1))+1))</f>
        <v>0</v>
      </c>
      <c r="BB257" s="110" t="n">
        <f aca="false">IF(OR(OR($B257="",$E257="",$F257=""),$K257&lt;&gt;"نعم",$M257="نعم"),0,MAX(0,MIN($F257,EOMONTH(DATE(cfg_FY,9,1),0))-MAX($E257,DATE(cfg_FY,9,1))+1))</f>
        <v>0</v>
      </c>
      <c r="BC257" s="110" t="n">
        <f aca="false">IF(OR(OR($B257="",$E257="",$F257=""),$K257&lt;&gt;"نعم",$M257="نعم"),0,MAX(0,MIN($F257,EOMONTH(DATE(cfg_FY,10,1),0))-MAX($E257,DATE(cfg_FY,10,1))+1))</f>
        <v>0</v>
      </c>
      <c r="BD257" s="110" t="n">
        <f aca="false">IF(OR(OR($B257="",$E257="",$F257=""),$K257&lt;&gt;"نعم",$M257="نعم"),0,MAX(0,MIN($F257,EOMONTH(DATE(cfg_FY,11,1),0))-MAX($E257,DATE(cfg_FY,11,1))+1))</f>
        <v>0</v>
      </c>
      <c r="BE257" s="110" t="n">
        <f aca="false">IF(OR(OR($B257="",$E257="",$F257=""),$K257&lt;&gt;"نعم",$M257="نعم"),0,MAX(0,MIN($F257,EOMONTH(DATE(cfg_FY,12,1),0))-MAX($E257,DATE(cfg_FY,12,1))+1))</f>
        <v>0</v>
      </c>
    </row>
    <row r="258" customFormat="false" ht="15" hidden="false" customHeight="false" outlineLevel="0" collapsed="false">
      <c r="A258" s="93" t="str">
        <f aca="false">IF(B258="","",ROW()-5)</f>
        <v/>
      </c>
      <c r="B258" s="79"/>
      <c r="C258" s="80" t="str">
        <f aca="false">IF(B258="","",IFERROR(INDEX(الموظفون!$C$6:$C$105,MATCH(B258,الموظفون!$B$6:$B$105,0)),"✖ رقم غير موجود"))</f>
        <v/>
      </c>
      <c r="D258" s="79"/>
      <c r="E258" s="94"/>
      <c r="F258" s="94"/>
      <c r="G258" s="57" t="str">
        <f aca="false">IF(OR($B258="",$E258="",$F258=""),"",MAX(0,F258-E258+1))</f>
        <v/>
      </c>
      <c r="H258" s="58" t="str">
        <f aca="false">IF(D258="","",IFERROR(VLOOKUP(D258,cfg_LT,2,FALSE()),1))</f>
        <v/>
      </c>
      <c r="I258" s="82"/>
      <c r="J258" s="58" t="str">
        <f aca="false">IF(D258="","",IF(I258&lt;&gt;"",I258,H258))</f>
        <v/>
      </c>
      <c r="K258" s="80" t="str">
        <f aca="false">IF(D258="","",IFERROR(VLOOKUP($D258,cfg_LT,3,FALSE()),""))</f>
        <v/>
      </c>
      <c r="L258" s="80" t="str">
        <f aca="false">IF(D258="","",IFERROR(VLOOKUP($D258,cfg_LT,4,FALSE()),""))</f>
        <v/>
      </c>
      <c r="M258" s="80" t="str">
        <f aca="false">IF(D258="","",IFERROR(VLOOKUP($D258,cfg_LT,5,FALSE()),""))</f>
        <v/>
      </c>
      <c r="N258" s="97" t="n">
        <f aca="false">IF(OR(OR($B258="",$E258="",$F258=""),M258&lt;&gt;"نعم"),0,G258*J258*IFERROR(INDEX(الموظفون!$R$6:$R$105,MATCH(B258,الموظفون!$B$6:$B$105,0)),0)/cfg_DAYS_M)</f>
        <v>0</v>
      </c>
      <c r="O258" s="93" t="str">
        <f aca="false">IF(OR(OR($B258="",$E258="",$F258=""),M258&lt;&gt;"نعم"),"",IF(YEAR(E258)=cfg_FY,MONTH(E258),""))</f>
        <v/>
      </c>
      <c r="P258" s="80" t="str">
        <f aca="false">IF(B258="","",IF(OR(D258="",E258="",F258=""),"⚠ أكمل النوع والتواريخ",IF(F258&lt;E258,"✖ النهاية قبل البداية",IF(COUNTIFS($B$6:$B$505,B258,$E$6:$E$505,"&lt;="&amp;F258,$F$6:$F$505,"&gt;="&amp;E258)&gt;1,"⚠ تداخل مع سجل آخر",IF(E258&gt;cfg_VAL_DATE,"⏳ قادمة",IF(F258&lt;cfg_VAL_DATE,"✔ منتهية","✈ جارية في تاريخ التقرير"))))))</f>
        <v/>
      </c>
      <c r="Q258" s="79"/>
      <c r="R258" s="57" t="n">
        <f aca="false">IF(OR(OR($B258="",$E258="",$F258=""),L258&lt;&gt;"لا"),0,MAX(0,MIN(F258,cfg_Y_START-1)-E258+1))</f>
        <v>0</v>
      </c>
      <c r="S258" s="57" t="n">
        <f aca="false">IF(OR(OR($B258="",$E258="",$F258=""),L258&lt;&gt;"لا"),0,MAX(0,MIN(F258,cfg_VAL_DATE)-E258+1))</f>
        <v>0</v>
      </c>
      <c r="T258" s="57" t="n">
        <f aca="false">IF(OR(OR($B258="",$E258="",$F258=""),K258&lt;&gt;"نعم"),0,IF(M258="نعم",IF(AND(ISNUMBER(O258),N(O258)&lt;=cfg_VAL_M),G258,0),MAX(0,MIN(F258,cfg_VAL_DATE)-MAX(E258,cfg_Y_START)+1)))</f>
        <v>0</v>
      </c>
      <c r="V258" s="57" t="n">
        <f aca="false">IF(OR($B258="",$E258="",$F258=""),0,MAX(0,MIN($F258,EOMONTH(DATE(cfg_FY,1,1),0))-MAX($E258,DATE(cfg_FY,1,1))+1)*(1-IF($M258="نعم",0,N($J258))))</f>
        <v>0</v>
      </c>
      <c r="W258" s="57" t="n">
        <f aca="false">IF(OR($B258="",$E258="",$F258=""),0,MAX(0,MIN($F258,EOMONTH(DATE(cfg_FY,2,1),0))-MAX($E258,DATE(cfg_FY,2,1))+1)*(1-IF($M258="نعم",0,N($J258))))</f>
        <v>0</v>
      </c>
      <c r="X258" s="57" t="n">
        <f aca="false">IF(OR($B258="",$E258="",$F258=""),0,MAX(0,MIN($F258,EOMONTH(DATE(cfg_FY,3,1),0))-MAX($E258,DATE(cfg_FY,3,1))+1)*(1-IF($M258="نعم",0,N($J258))))</f>
        <v>0</v>
      </c>
      <c r="Y258" s="57" t="n">
        <f aca="false">IF(OR($B258="",$E258="",$F258=""),0,MAX(0,MIN($F258,EOMONTH(DATE(cfg_FY,4,1),0))-MAX($E258,DATE(cfg_FY,4,1))+1)*(1-IF($M258="نعم",0,N($J258))))</f>
        <v>0</v>
      </c>
      <c r="Z258" s="57" t="n">
        <f aca="false">IF(OR($B258="",$E258="",$F258=""),0,MAX(0,MIN($F258,EOMONTH(DATE(cfg_FY,5,1),0))-MAX($E258,DATE(cfg_FY,5,1))+1)*(1-IF($M258="نعم",0,N($J258))))</f>
        <v>0</v>
      </c>
      <c r="AA258" s="57" t="n">
        <f aca="false">IF(OR($B258="",$E258="",$F258=""),0,MAX(0,MIN($F258,EOMONTH(DATE(cfg_FY,6,1),0))-MAX($E258,DATE(cfg_FY,6,1))+1)*(1-IF($M258="نعم",0,N($J258))))</f>
        <v>0</v>
      </c>
      <c r="AB258" s="57" t="n">
        <f aca="false">IF(OR($B258="",$E258="",$F258=""),0,MAX(0,MIN($F258,EOMONTH(DATE(cfg_FY,7,1),0))-MAX($E258,DATE(cfg_FY,7,1))+1)*(1-IF($M258="نعم",0,N($J258))))</f>
        <v>0</v>
      </c>
      <c r="AC258" s="57" t="n">
        <f aca="false">IF(OR($B258="",$E258="",$F258=""),0,MAX(0,MIN($F258,EOMONTH(DATE(cfg_FY,8,1),0))-MAX($E258,DATE(cfg_FY,8,1))+1)*(1-IF($M258="نعم",0,N($J258))))</f>
        <v>0</v>
      </c>
      <c r="AD258" s="57" t="n">
        <f aca="false">IF(OR($B258="",$E258="",$F258=""),0,MAX(0,MIN($F258,EOMONTH(DATE(cfg_FY,9,1),0))-MAX($E258,DATE(cfg_FY,9,1))+1)*(1-IF($M258="نعم",0,N($J258))))</f>
        <v>0</v>
      </c>
      <c r="AE258" s="57" t="n">
        <f aca="false">IF(OR($B258="",$E258="",$F258=""),0,MAX(0,MIN($F258,EOMONTH(DATE(cfg_FY,10,1),0))-MAX($E258,DATE(cfg_FY,10,1))+1)*(1-IF($M258="نعم",0,N($J258))))</f>
        <v>0</v>
      </c>
      <c r="AF258" s="57" t="n">
        <f aca="false">IF(OR($B258="",$E258="",$F258=""),0,MAX(0,MIN($F258,EOMONTH(DATE(cfg_FY,11,1),0))-MAX($E258,DATE(cfg_FY,11,1))+1)*(1-IF($M258="نعم",0,N($J258))))</f>
        <v>0</v>
      </c>
      <c r="AG258" s="57" t="n">
        <f aca="false">IF(OR($B258="",$E258="",$F258=""),0,MAX(0,MIN($F258,EOMONTH(DATE(cfg_FY,12,1),0))-MAX($E258,DATE(cfg_FY,12,1))+1)*(1-IF($M258="نعم",0,N($J258))))</f>
        <v>0</v>
      </c>
      <c r="AH258" s="57" t="n">
        <f aca="false">IF(OR(OR($B258="",$E258="",$F258=""),$L258&lt;&gt;"لا"),0,MAX(0,MIN($F258,EOMONTH(DATE(cfg_FY,1,1),0))-$E258+1))</f>
        <v>0</v>
      </c>
      <c r="AI258" s="57" t="n">
        <f aca="false">IF(OR(OR($B258="",$E258="",$F258=""),$L258&lt;&gt;"لا"),0,MAX(0,MIN($F258,EOMONTH(DATE(cfg_FY,2,1),0))-$E258+1))</f>
        <v>0</v>
      </c>
      <c r="AJ258" s="57" t="n">
        <f aca="false">IF(OR(OR($B258="",$E258="",$F258=""),$L258&lt;&gt;"لا"),0,MAX(0,MIN($F258,EOMONTH(DATE(cfg_FY,3,1),0))-$E258+1))</f>
        <v>0</v>
      </c>
      <c r="AK258" s="57" t="n">
        <f aca="false">IF(OR(OR($B258="",$E258="",$F258=""),$L258&lt;&gt;"لا"),0,MAX(0,MIN($F258,EOMONTH(DATE(cfg_FY,4,1),0))-$E258+1))</f>
        <v>0</v>
      </c>
      <c r="AL258" s="57" t="n">
        <f aca="false">IF(OR(OR($B258="",$E258="",$F258=""),$L258&lt;&gt;"لا"),0,MAX(0,MIN($F258,EOMONTH(DATE(cfg_FY,5,1),0))-$E258+1))</f>
        <v>0</v>
      </c>
      <c r="AM258" s="57" t="n">
        <f aca="false">IF(OR(OR($B258="",$E258="",$F258=""),$L258&lt;&gt;"لا"),0,MAX(0,MIN($F258,EOMONTH(DATE(cfg_FY,6,1),0))-$E258+1))</f>
        <v>0</v>
      </c>
      <c r="AN258" s="57" t="n">
        <f aca="false">IF(OR(OR($B258="",$E258="",$F258=""),$L258&lt;&gt;"لا"),0,MAX(0,MIN($F258,EOMONTH(DATE(cfg_FY,7,1),0))-$E258+1))</f>
        <v>0</v>
      </c>
      <c r="AO258" s="57" t="n">
        <f aca="false">IF(OR(OR($B258="",$E258="",$F258=""),$L258&lt;&gt;"لا"),0,MAX(0,MIN($F258,EOMONTH(DATE(cfg_FY,8,1),0))-$E258+1))</f>
        <v>0</v>
      </c>
      <c r="AP258" s="57" t="n">
        <f aca="false">IF(OR(OR($B258="",$E258="",$F258=""),$L258&lt;&gt;"لا"),0,MAX(0,MIN($F258,EOMONTH(DATE(cfg_FY,9,1),0))-$E258+1))</f>
        <v>0</v>
      </c>
      <c r="AQ258" s="57" t="n">
        <f aca="false">IF(OR(OR($B258="",$E258="",$F258=""),$L258&lt;&gt;"لا"),0,MAX(0,MIN($F258,EOMONTH(DATE(cfg_FY,10,1),0))-$E258+1))</f>
        <v>0</v>
      </c>
      <c r="AR258" s="57" t="n">
        <f aca="false">IF(OR(OR($B258="",$E258="",$F258=""),$L258&lt;&gt;"لا"),0,MAX(0,MIN($F258,EOMONTH(DATE(cfg_FY,11,1),0))-$E258+1))</f>
        <v>0</v>
      </c>
      <c r="AS258" s="57" t="n">
        <f aca="false">IF(OR(OR($B258="",$E258="",$F258=""),$L258&lt;&gt;"لا"),0,MAX(0,MIN($F258,EOMONTH(DATE(cfg_FY,12,1),0))-$E258+1))</f>
        <v>0</v>
      </c>
      <c r="AT258" s="57" t="n">
        <f aca="false">IF(OR(OR($B258="",$E258="",$F258=""),$K258&lt;&gt;"نعم",$M258="نعم"),0,MAX(0,MIN($F258,EOMONTH(DATE(cfg_FY,1,1),0))-MAX($E258,DATE(cfg_FY,1,1))+1))</f>
        <v>0</v>
      </c>
      <c r="AU258" s="57" t="n">
        <f aca="false">IF(OR(OR($B258="",$E258="",$F258=""),$K258&lt;&gt;"نعم",$M258="نعم"),0,MAX(0,MIN($F258,EOMONTH(DATE(cfg_FY,2,1),0))-MAX($E258,DATE(cfg_FY,2,1))+1))</f>
        <v>0</v>
      </c>
      <c r="AV258" s="57" t="n">
        <f aca="false">IF(OR(OR($B258="",$E258="",$F258=""),$K258&lt;&gt;"نعم",$M258="نعم"),0,MAX(0,MIN($F258,EOMONTH(DATE(cfg_FY,3,1),0))-MAX($E258,DATE(cfg_FY,3,1))+1))</f>
        <v>0</v>
      </c>
      <c r="AW258" s="57" t="n">
        <f aca="false">IF(OR(OR($B258="",$E258="",$F258=""),$K258&lt;&gt;"نعم",$M258="نعم"),0,MAX(0,MIN($F258,EOMONTH(DATE(cfg_FY,4,1),0))-MAX($E258,DATE(cfg_FY,4,1))+1))</f>
        <v>0</v>
      </c>
      <c r="AX258" s="57" t="n">
        <f aca="false">IF(OR(OR($B258="",$E258="",$F258=""),$K258&lt;&gt;"نعم",$M258="نعم"),0,MAX(0,MIN($F258,EOMONTH(DATE(cfg_FY,5,1),0))-MAX($E258,DATE(cfg_FY,5,1))+1))</f>
        <v>0</v>
      </c>
      <c r="AY258" s="57" t="n">
        <f aca="false">IF(OR(OR($B258="",$E258="",$F258=""),$K258&lt;&gt;"نعم",$M258="نعم"),0,MAX(0,MIN($F258,EOMONTH(DATE(cfg_FY,6,1),0))-MAX($E258,DATE(cfg_FY,6,1))+1))</f>
        <v>0</v>
      </c>
      <c r="AZ258" s="57" t="n">
        <f aca="false">IF(OR(OR($B258="",$E258="",$F258=""),$K258&lt;&gt;"نعم",$M258="نعم"),0,MAX(0,MIN($F258,EOMONTH(DATE(cfg_FY,7,1),0))-MAX($E258,DATE(cfg_FY,7,1))+1))</f>
        <v>0</v>
      </c>
      <c r="BA258" s="57" t="n">
        <f aca="false">IF(OR(OR($B258="",$E258="",$F258=""),$K258&lt;&gt;"نعم",$M258="نعم"),0,MAX(0,MIN($F258,EOMONTH(DATE(cfg_FY,8,1),0))-MAX($E258,DATE(cfg_FY,8,1))+1))</f>
        <v>0</v>
      </c>
      <c r="BB258" s="57" t="n">
        <f aca="false">IF(OR(OR($B258="",$E258="",$F258=""),$K258&lt;&gt;"نعم",$M258="نعم"),0,MAX(0,MIN($F258,EOMONTH(DATE(cfg_FY,9,1),0))-MAX($E258,DATE(cfg_FY,9,1))+1))</f>
        <v>0</v>
      </c>
      <c r="BC258" s="57" t="n">
        <f aca="false">IF(OR(OR($B258="",$E258="",$F258=""),$K258&lt;&gt;"نعم",$M258="نعم"),0,MAX(0,MIN($F258,EOMONTH(DATE(cfg_FY,10,1),0))-MAX($E258,DATE(cfg_FY,10,1))+1))</f>
        <v>0</v>
      </c>
      <c r="BD258" s="57" t="n">
        <f aca="false">IF(OR(OR($B258="",$E258="",$F258=""),$K258&lt;&gt;"نعم",$M258="نعم"),0,MAX(0,MIN($F258,EOMONTH(DATE(cfg_FY,11,1),0))-MAX($E258,DATE(cfg_FY,11,1))+1))</f>
        <v>0</v>
      </c>
      <c r="BE258" s="57" t="n">
        <f aca="false">IF(OR(OR($B258="",$E258="",$F258=""),$K258&lt;&gt;"نعم",$M258="نعم"),0,MAX(0,MIN($F258,EOMONTH(DATE(cfg_FY,12,1),0))-MAX($E258,DATE(cfg_FY,12,1))+1))</f>
        <v>0</v>
      </c>
    </row>
    <row r="259" customFormat="false" ht="15" hidden="false" customHeight="false" outlineLevel="0" collapsed="false">
      <c r="A259" s="100" t="str">
        <f aca="false">IF(B259="","",ROW()-5)</f>
        <v/>
      </c>
      <c r="B259" s="79"/>
      <c r="C259" s="102" t="str">
        <f aca="false">IF(B259="","",IFERROR(INDEX(الموظفون!$C$6:$C$105,MATCH(B259,الموظفون!$B$6:$B$105,0)),"✖ رقم غير موجود"))</f>
        <v/>
      </c>
      <c r="D259" s="79"/>
      <c r="E259" s="94"/>
      <c r="F259" s="94"/>
      <c r="G259" s="110" t="str">
        <f aca="false">IF(OR($B259="",$E259="",$F259=""),"",MAX(0,F259-E259+1))</f>
        <v/>
      </c>
      <c r="H259" s="111" t="str">
        <f aca="false">IF(D259="","",IFERROR(VLOOKUP(D259,cfg_LT,2,FALSE()),1))</f>
        <v/>
      </c>
      <c r="I259" s="82"/>
      <c r="J259" s="111" t="str">
        <f aca="false">IF(D259="","",IF(I259&lt;&gt;"",I259,H259))</f>
        <v/>
      </c>
      <c r="K259" s="102" t="str">
        <f aca="false">IF(D259="","",IFERROR(VLOOKUP($D259,cfg_LT,3,FALSE()),""))</f>
        <v/>
      </c>
      <c r="L259" s="102" t="str">
        <f aca="false">IF(D259="","",IFERROR(VLOOKUP($D259,cfg_LT,4,FALSE()),""))</f>
        <v/>
      </c>
      <c r="M259" s="102" t="str">
        <f aca="false">IF(D259="","",IFERROR(VLOOKUP($D259,cfg_LT,5,FALSE()),""))</f>
        <v/>
      </c>
      <c r="N259" s="101" t="n">
        <f aca="false">IF(OR(OR($B259="",$E259="",$F259=""),M259&lt;&gt;"نعم"),0,G259*J259*IFERROR(INDEX(الموظفون!$R$6:$R$105,MATCH(B259,الموظفون!$B$6:$B$105,0)),0)/cfg_DAYS_M)</f>
        <v>0</v>
      </c>
      <c r="O259" s="100" t="str">
        <f aca="false">IF(OR(OR($B259="",$E259="",$F259=""),M259&lt;&gt;"نعم"),"",IF(YEAR(E259)=cfg_FY,MONTH(E259),""))</f>
        <v/>
      </c>
      <c r="P259" s="102" t="str">
        <f aca="false">IF(B259="","",IF(OR(D259="",E259="",F259=""),"⚠ أكمل النوع والتواريخ",IF(F259&lt;E259,"✖ النهاية قبل البداية",IF(COUNTIFS($B$6:$B$505,B259,$E$6:$E$505,"&lt;="&amp;F259,$F$6:$F$505,"&gt;="&amp;E259)&gt;1,"⚠ تداخل مع سجل آخر",IF(E259&gt;cfg_VAL_DATE,"⏳ قادمة",IF(F259&lt;cfg_VAL_DATE,"✔ منتهية","✈ جارية في تاريخ التقرير"))))))</f>
        <v/>
      </c>
      <c r="Q259" s="79"/>
      <c r="R259" s="110" t="n">
        <f aca="false">IF(OR(OR($B259="",$E259="",$F259=""),L259&lt;&gt;"لا"),0,MAX(0,MIN(F259,cfg_Y_START-1)-E259+1))</f>
        <v>0</v>
      </c>
      <c r="S259" s="110" t="n">
        <f aca="false">IF(OR(OR($B259="",$E259="",$F259=""),L259&lt;&gt;"لا"),0,MAX(0,MIN(F259,cfg_VAL_DATE)-E259+1))</f>
        <v>0</v>
      </c>
      <c r="T259" s="110" t="n">
        <f aca="false">IF(OR(OR($B259="",$E259="",$F259=""),K259&lt;&gt;"نعم"),0,IF(M259="نعم",IF(AND(ISNUMBER(O259),N(O259)&lt;=cfg_VAL_M),G259,0),MAX(0,MIN(F259,cfg_VAL_DATE)-MAX(E259,cfg_Y_START)+1)))</f>
        <v>0</v>
      </c>
      <c r="V259" s="110" t="n">
        <f aca="false">IF(OR($B259="",$E259="",$F259=""),0,MAX(0,MIN($F259,EOMONTH(DATE(cfg_FY,1,1),0))-MAX($E259,DATE(cfg_FY,1,1))+1)*(1-IF($M259="نعم",0,N($J259))))</f>
        <v>0</v>
      </c>
      <c r="W259" s="110" t="n">
        <f aca="false">IF(OR($B259="",$E259="",$F259=""),0,MAX(0,MIN($F259,EOMONTH(DATE(cfg_FY,2,1),0))-MAX($E259,DATE(cfg_FY,2,1))+1)*(1-IF($M259="نعم",0,N($J259))))</f>
        <v>0</v>
      </c>
      <c r="X259" s="110" t="n">
        <f aca="false">IF(OR($B259="",$E259="",$F259=""),0,MAX(0,MIN($F259,EOMONTH(DATE(cfg_FY,3,1),0))-MAX($E259,DATE(cfg_FY,3,1))+1)*(1-IF($M259="نعم",0,N($J259))))</f>
        <v>0</v>
      </c>
      <c r="Y259" s="110" t="n">
        <f aca="false">IF(OR($B259="",$E259="",$F259=""),0,MAX(0,MIN($F259,EOMONTH(DATE(cfg_FY,4,1),0))-MAX($E259,DATE(cfg_FY,4,1))+1)*(1-IF($M259="نعم",0,N($J259))))</f>
        <v>0</v>
      </c>
      <c r="Z259" s="110" t="n">
        <f aca="false">IF(OR($B259="",$E259="",$F259=""),0,MAX(0,MIN($F259,EOMONTH(DATE(cfg_FY,5,1),0))-MAX($E259,DATE(cfg_FY,5,1))+1)*(1-IF($M259="نعم",0,N($J259))))</f>
        <v>0</v>
      </c>
      <c r="AA259" s="110" t="n">
        <f aca="false">IF(OR($B259="",$E259="",$F259=""),0,MAX(0,MIN($F259,EOMONTH(DATE(cfg_FY,6,1),0))-MAX($E259,DATE(cfg_FY,6,1))+1)*(1-IF($M259="نعم",0,N($J259))))</f>
        <v>0</v>
      </c>
      <c r="AB259" s="110" t="n">
        <f aca="false">IF(OR($B259="",$E259="",$F259=""),0,MAX(0,MIN($F259,EOMONTH(DATE(cfg_FY,7,1),0))-MAX($E259,DATE(cfg_FY,7,1))+1)*(1-IF($M259="نعم",0,N($J259))))</f>
        <v>0</v>
      </c>
      <c r="AC259" s="110" t="n">
        <f aca="false">IF(OR($B259="",$E259="",$F259=""),0,MAX(0,MIN($F259,EOMONTH(DATE(cfg_FY,8,1),0))-MAX($E259,DATE(cfg_FY,8,1))+1)*(1-IF($M259="نعم",0,N($J259))))</f>
        <v>0</v>
      </c>
      <c r="AD259" s="110" t="n">
        <f aca="false">IF(OR($B259="",$E259="",$F259=""),0,MAX(0,MIN($F259,EOMONTH(DATE(cfg_FY,9,1),0))-MAX($E259,DATE(cfg_FY,9,1))+1)*(1-IF($M259="نعم",0,N($J259))))</f>
        <v>0</v>
      </c>
      <c r="AE259" s="110" t="n">
        <f aca="false">IF(OR($B259="",$E259="",$F259=""),0,MAX(0,MIN($F259,EOMONTH(DATE(cfg_FY,10,1),0))-MAX($E259,DATE(cfg_FY,10,1))+1)*(1-IF($M259="نعم",0,N($J259))))</f>
        <v>0</v>
      </c>
      <c r="AF259" s="110" t="n">
        <f aca="false">IF(OR($B259="",$E259="",$F259=""),0,MAX(0,MIN($F259,EOMONTH(DATE(cfg_FY,11,1),0))-MAX($E259,DATE(cfg_FY,11,1))+1)*(1-IF($M259="نعم",0,N($J259))))</f>
        <v>0</v>
      </c>
      <c r="AG259" s="110" t="n">
        <f aca="false">IF(OR($B259="",$E259="",$F259=""),0,MAX(0,MIN($F259,EOMONTH(DATE(cfg_FY,12,1),0))-MAX($E259,DATE(cfg_FY,12,1))+1)*(1-IF($M259="نعم",0,N($J259))))</f>
        <v>0</v>
      </c>
      <c r="AH259" s="110" t="n">
        <f aca="false">IF(OR(OR($B259="",$E259="",$F259=""),$L259&lt;&gt;"لا"),0,MAX(0,MIN($F259,EOMONTH(DATE(cfg_FY,1,1),0))-$E259+1))</f>
        <v>0</v>
      </c>
      <c r="AI259" s="110" t="n">
        <f aca="false">IF(OR(OR($B259="",$E259="",$F259=""),$L259&lt;&gt;"لا"),0,MAX(0,MIN($F259,EOMONTH(DATE(cfg_FY,2,1),0))-$E259+1))</f>
        <v>0</v>
      </c>
      <c r="AJ259" s="110" t="n">
        <f aca="false">IF(OR(OR($B259="",$E259="",$F259=""),$L259&lt;&gt;"لا"),0,MAX(0,MIN($F259,EOMONTH(DATE(cfg_FY,3,1),0))-$E259+1))</f>
        <v>0</v>
      </c>
      <c r="AK259" s="110" t="n">
        <f aca="false">IF(OR(OR($B259="",$E259="",$F259=""),$L259&lt;&gt;"لا"),0,MAX(0,MIN($F259,EOMONTH(DATE(cfg_FY,4,1),0))-$E259+1))</f>
        <v>0</v>
      </c>
      <c r="AL259" s="110" t="n">
        <f aca="false">IF(OR(OR($B259="",$E259="",$F259=""),$L259&lt;&gt;"لا"),0,MAX(0,MIN($F259,EOMONTH(DATE(cfg_FY,5,1),0))-$E259+1))</f>
        <v>0</v>
      </c>
      <c r="AM259" s="110" t="n">
        <f aca="false">IF(OR(OR($B259="",$E259="",$F259=""),$L259&lt;&gt;"لا"),0,MAX(0,MIN($F259,EOMONTH(DATE(cfg_FY,6,1),0))-$E259+1))</f>
        <v>0</v>
      </c>
      <c r="AN259" s="110" t="n">
        <f aca="false">IF(OR(OR($B259="",$E259="",$F259=""),$L259&lt;&gt;"لا"),0,MAX(0,MIN($F259,EOMONTH(DATE(cfg_FY,7,1),0))-$E259+1))</f>
        <v>0</v>
      </c>
      <c r="AO259" s="110" t="n">
        <f aca="false">IF(OR(OR($B259="",$E259="",$F259=""),$L259&lt;&gt;"لا"),0,MAX(0,MIN($F259,EOMONTH(DATE(cfg_FY,8,1),0))-$E259+1))</f>
        <v>0</v>
      </c>
      <c r="AP259" s="110" t="n">
        <f aca="false">IF(OR(OR($B259="",$E259="",$F259=""),$L259&lt;&gt;"لا"),0,MAX(0,MIN($F259,EOMONTH(DATE(cfg_FY,9,1),0))-$E259+1))</f>
        <v>0</v>
      </c>
      <c r="AQ259" s="110" t="n">
        <f aca="false">IF(OR(OR($B259="",$E259="",$F259=""),$L259&lt;&gt;"لا"),0,MAX(0,MIN($F259,EOMONTH(DATE(cfg_FY,10,1),0))-$E259+1))</f>
        <v>0</v>
      </c>
      <c r="AR259" s="110" t="n">
        <f aca="false">IF(OR(OR($B259="",$E259="",$F259=""),$L259&lt;&gt;"لا"),0,MAX(0,MIN($F259,EOMONTH(DATE(cfg_FY,11,1),0))-$E259+1))</f>
        <v>0</v>
      </c>
      <c r="AS259" s="110" t="n">
        <f aca="false">IF(OR(OR($B259="",$E259="",$F259=""),$L259&lt;&gt;"لا"),0,MAX(0,MIN($F259,EOMONTH(DATE(cfg_FY,12,1),0))-$E259+1))</f>
        <v>0</v>
      </c>
      <c r="AT259" s="110" t="n">
        <f aca="false">IF(OR(OR($B259="",$E259="",$F259=""),$K259&lt;&gt;"نعم",$M259="نعم"),0,MAX(0,MIN($F259,EOMONTH(DATE(cfg_FY,1,1),0))-MAX($E259,DATE(cfg_FY,1,1))+1))</f>
        <v>0</v>
      </c>
      <c r="AU259" s="110" t="n">
        <f aca="false">IF(OR(OR($B259="",$E259="",$F259=""),$K259&lt;&gt;"نعم",$M259="نعم"),0,MAX(0,MIN($F259,EOMONTH(DATE(cfg_FY,2,1),0))-MAX($E259,DATE(cfg_FY,2,1))+1))</f>
        <v>0</v>
      </c>
      <c r="AV259" s="110" t="n">
        <f aca="false">IF(OR(OR($B259="",$E259="",$F259=""),$K259&lt;&gt;"نعم",$M259="نعم"),0,MAX(0,MIN($F259,EOMONTH(DATE(cfg_FY,3,1),0))-MAX($E259,DATE(cfg_FY,3,1))+1))</f>
        <v>0</v>
      </c>
      <c r="AW259" s="110" t="n">
        <f aca="false">IF(OR(OR($B259="",$E259="",$F259=""),$K259&lt;&gt;"نعم",$M259="نعم"),0,MAX(0,MIN($F259,EOMONTH(DATE(cfg_FY,4,1),0))-MAX($E259,DATE(cfg_FY,4,1))+1))</f>
        <v>0</v>
      </c>
      <c r="AX259" s="110" t="n">
        <f aca="false">IF(OR(OR($B259="",$E259="",$F259=""),$K259&lt;&gt;"نعم",$M259="نعم"),0,MAX(0,MIN($F259,EOMONTH(DATE(cfg_FY,5,1),0))-MAX($E259,DATE(cfg_FY,5,1))+1))</f>
        <v>0</v>
      </c>
      <c r="AY259" s="110" t="n">
        <f aca="false">IF(OR(OR($B259="",$E259="",$F259=""),$K259&lt;&gt;"نعم",$M259="نعم"),0,MAX(0,MIN($F259,EOMONTH(DATE(cfg_FY,6,1),0))-MAX($E259,DATE(cfg_FY,6,1))+1))</f>
        <v>0</v>
      </c>
      <c r="AZ259" s="110" t="n">
        <f aca="false">IF(OR(OR($B259="",$E259="",$F259=""),$K259&lt;&gt;"نعم",$M259="نعم"),0,MAX(0,MIN($F259,EOMONTH(DATE(cfg_FY,7,1),0))-MAX($E259,DATE(cfg_FY,7,1))+1))</f>
        <v>0</v>
      </c>
      <c r="BA259" s="110" t="n">
        <f aca="false">IF(OR(OR($B259="",$E259="",$F259=""),$K259&lt;&gt;"نعم",$M259="نعم"),0,MAX(0,MIN($F259,EOMONTH(DATE(cfg_FY,8,1),0))-MAX($E259,DATE(cfg_FY,8,1))+1))</f>
        <v>0</v>
      </c>
      <c r="BB259" s="110" t="n">
        <f aca="false">IF(OR(OR($B259="",$E259="",$F259=""),$K259&lt;&gt;"نعم",$M259="نعم"),0,MAX(0,MIN($F259,EOMONTH(DATE(cfg_FY,9,1),0))-MAX($E259,DATE(cfg_FY,9,1))+1))</f>
        <v>0</v>
      </c>
      <c r="BC259" s="110" t="n">
        <f aca="false">IF(OR(OR($B259="",$E259="",$F259=""),$K259&lt;&gt;"نعم",$M259="نعم"),0,MAX(0,MIN($F259,EOMONTH(DATE(cfg_FY,10,1),0))-MAX($E259,DATE(cfg_FY,10,1))+1))</f>
        <v>0</v>
      </c>
      <c r="BD259" s="110" t="n">
        <f aca="false">IF(OR(OR($B259="",$E259="",$F259=""),$K259&lt;&gt;"نعم",$M259="نعم"),0,MAX(0,MIN($F259,EOMONTH(DATE(cfg_FY,11,1),0))-MAX($E259,DATE(cfg_FY,11,1))+1))</f>
        <v>0</v>
      </c>
      <c r="BE259" s="110" t="n">
        <f aca="false">IF(OR(OR($B259="",$E259="",$F259=""),$K259&lt;&gt;"نعم",$M259="نعم"),0,MAX(0,MIN($F259,EOMONTH(DATE(cfg_FY,12,1),0))-MAX($E259,DATE(cfg_FY,12,1))+1))</f>
        <v>0</v>
      </c>
    </row>
    <row r="260" customFormat="false" ht="15" hidden="false" customHeight="false" outlineLevel="0" collapsed="false">
      <c r="A260" s="93" t="str">
        <f aca="false">IF(B260="","",ROW()-5)</f>
        <v/>
      </c>
      <c r="B260" s="79"/>
      <c r="C260" s="80" t="str">
        <f aca="false">IF(B260="","",IFERROR(INDEX(الموظفون!$C$6:$C$105,MATCH(B260,الموظفون!$B$6:$B$105,0)),"✖ رقم غير موجود"))</f>
        <v/>
      </c>
      <c r="D260" s="79"/>
      <c r="E260" s="94"/>
      <c r="F260" s="94"/>
      <c r="G260" s="57" t="str">
        <f aca="false">IF(OR($B260="",$E260="",$F260=""),"",MAX(0,F260-E260+1))</f>
        <v/>
      </c>
      <c r="H260" s="58" t="str">
        <f aca="false">IF(D260="","",IFERROR(VLOOKUP(D260,cfg_LT,2,FALSE()),1))</f>
        <v/>
      </c>
      <c r="I260" s="82"/>
      <c r="J260" s="58" t="str">
        <f aca="false">IF(D260="","",IF(I260&lt;&gt;"",I260,H260))</f>
        <v/>
      </c>
      <c r="K260" s="80" t="str">
        <f aca="false">IF(D260="","",IFERROR(VLOOKUP($D260,cfg_LT,3,FALSE()),""))</f>
        <v/>
      </c>
      <c r="L260" s="80" t="str">
        <f aca="false">IF(D260="","",IFERROR(VLOOKUP($D260,cfg_LT,4,FALSE()),""))</f>
        <v/>
      </c>
      <c r="M260" s="80" t="str">
        <f aca="false">IF(D260="","",IFERROR(VLOOKUP($D260,cfg_LT,5,FALSE()),""))</f>
        <v/>
      </c>
      <c r="N260" s="97" t="n">
        <f aca="false">IF(OR(OR($B260="",$E260="",$F260=""),M260&lt;&gt;"نعم"),0,G260*J260*IFERROR(INDEX(الموظفون!$R$6:$R$105,MATCH(B260,الموظفون!$B$6:$B$105,0)),0)/cfg_DAYS_M)</f>
        <v>0</v>
      </c>
      <c r="O260" s="93" t="str">
        <f aca="false">IF(OR(OR($B260="",$E260="",$F260=""),M260&lt;&gt;"نعم"),"",IF(YEAR(E260)=cfg_FY,MONTH(E260),""))</f>
        <v/>
      </c>
      <c r="P260" s="80" t="str">
        <f aca="false">IF(B260="","",IF(OR(D260="",E260="",F260=""),"⚠ أكمل النوع والتواريخ",IF(F260&lt;E260,"✖ النهاية قبل البداية",IF(COUNTIFS($B$6:$B$505,B260,$E$6:$E$505,"&lt;="&amp;F260,$F$6:$F$505,"&gt;="&amp;E260)&gt;1,"⚠ تداخل مع سجل آخر",IF(E260&gt;cfg_VAL_DATE,"⏳ قادمة",IF(F260&lt;cfg_VAL_DATE,"✔ منتهية","✈ جارية في تاريخ التقرير"))))))</f>
        <v/>
      </c>
      <c r="Q260" s="79"/>
      <c r="R260" s="57" t="n">
        <f aca="false">IF(OR(OR($B260="",$E260="",$F260=""),L260&lt;&gt;"لا"),0,MAX(0,MIN(F260,cfg_Y_START-1)-E260+1))</f>
        <v>0</v>
      </c>
      <c r="S260" s="57" t="n">
        <f aca="false">IF(OR(OR($B260="",$E260="",$F260=""),L260&lt;&gt;"لا"),0,MAX(0,MIN(F260,cfg_VAL_DATE)-E260+1))</f>
        <v>0</v>
      </c>
      <c r="T260" s="57" t="n">
        <f aca="false">IF(OR(OR($B260="",$E260="",$F260=""),K260&lt;&gt;"نعم"),0,IF(M260="نعم",IF(AND(ISNUMBER(O260),N(O260)&lt;=cfg_VAL_M),G260,0),MAX(0,MIN(F260,cfg_VAL_DATE)-MAX(E260,cfg_Y_START)+1)))</f>
        <v>0</v>
      </c>
      <c r="V260" s="57" t="n">
        <f aca="false">IF(OR($B260="",$E260="",$F260=""),0,MAX(0,MIN($F260,EOMONTH(DATE(cfg_FY,1,1),0))-MAX($E260,DATE(cfg_FY,1,1))+1)*(1-IF($M260="نعم",0,N($J260))))</f>
        <v>0</v>
      </c>
      <c r="W260" s="57" t="n">
        <f aca="false">IF(OR($B260="",$E260="",$F260=""),0,MAX(0,MIN($F260,EOMONTH(DATE(cfg_FY,2,1),0))-MAX($E260,DATE(cfg_FY,2,1))+1)*(1-IF($M260="نعم",0,N($J260))))</f>
        <v>0</v>
      </c>
      <c r="X260" s="57" t="n">
        <f aca="false">IF(OR($B260="",$E260="",$F260=""),0,MAX(0,MIN($F260,EOMONTH(DATE(cfg_FY,3,1),0))-MAX($E260,DATE(cfg_FY,3,1))+1)*(1-IF($M260="نعم",0,N($J260))))</f>
        <v>0</v>
      </c>
      <c r="Y260" s="57" t="n">
        <f aca="false">IF(OR($B260="",$E260="",$F260=""),0,MAX(0,MIN($F260,EOMONTH(DATE(cfg_FY,4,1),0))-MAX($E260,DATE(cfg_FY,4,1))+1)*(1-IF($M260="نعم",0,N($J260))))</f>
        <v>0</v>
      </c>
      <c r="Z260" s="57" t="n">
        <f aca="false">IF(OR($B260="",$E260="",$F260=""),0,MAX(0,MIN($F260,EOMONTH(DATE(cfg_FY,5,1),0))-MAX($E260,DATE(cfg_FY,5,1))+1)*(1-IF($M260="نعم",0,N($J260))))</f>
        <v>0</v>
      </c>
      <c r="AA260" s="57" t="n">
        <f aca="false">IF(OR($B260="",$E260="",$F260=""),0,MAX(0,MIN($F260,EOMONTH(DATE(cfg_FY,6,1),0))-MAX($E260,DATE(cfg_FY,6,1))+1)*(1-IF($M260="نعم",0,N($J260))))</f>
        <v>0</v>
      </c>
      <c r="AB260" s="57" t="n">
        <f aca="false">IF(OR($B260="",$E260="",$F260=""),0,MAX(0,MIN($F260,EOMONTH(DATE(cfg_FY,7,1),0))-MAX($E260,DATE(cfg_FY,7,1))+1)*(1-IF($M260="نعم",0,N($J260))))</f>
        <v>0</v>
      </c>
      <c r="AC260" s="57" t="n">
        <f aca="false">IF(OR($B260="",$E260="",$F260=""),0,MAX(0,MIN($F260,EOMONTH(DATE(cfg_FY,8,1),0))-MAX($E260,DATE(cfg_FY,8,1))+1)*(1-IF($M260="نعم",0,N($J260))))</f>
        <v>0</v>
      </c>
      <c r="AD260" s="57" t="n">
        <f aca="false">IF(OR($B260="",$E260="",$F260=""),0,MAX(0,MIN($F260,EOMONTH(DATE(cfg_FY,9,1),0))-MAX($E260,DATE(cfg_FY,9,1))+1)*(1-IF($M260="نعم",0,N($J260))))</f>
        <v>0</v>
      </c>
      <c r="AE260" s="57" t="n">
        <f aca="false">IF(OR($B260="",$E260="",$F260=""),0,MAX(0,MIN($F260,EOMONTH(DATE(cfg_FY,10,1),0))-MAX($E260,DATE(cfg_FY,10,1))+1)*(1-IF($M260="نعم",0,N($J260))))</f>
        <v>0</v>
      </c>
      <c r="AF260" s="57" t="n">
        <f aca="false">IF(OR($B260="",$E260="",$F260=""),0,MAX(0,MIN($F260,EOMONTH(DATE(cfg_FY,11,1),0))-MAX($E260,DATE(cfg_FY,11,1))+1)*(1-IF($M260="نعم",0,N($J260))))</f>
        <v>0</v>
      </c>
      <c r="AG260" s="57" t="n">
        <f aca="false">IF(OR($B260="",$E260="",$F260=""),0,MAX(0,MIN($F260,EOMONTH(DATE(cfg_FY,12,1),0))-MAX($E260,DATE(cfg_FY,12,1))+1)*(1-IF($M260="نعم",0,N($J260))))</f>
        <v>0</v>
      </c>
      <c r="AH260" s="57" t="n">
        <f aca="false">IF(OR(OR($B260="",$E260="",$F260=""),$L260&lt;&gt;"لا"),0,MAX(0,MIN($F260,EOMONTH(DATE(cfg_FY,1,1),0))-$E260+1))</f>
        <v>0</v>
      </c>
      <c r="AI260" s="57" t="n">
        <f aca="false">IF(OR(OR($B260="",$E260="",$F260=""),$L260&lt;&gt;"لا"),0,MAX(0,MIN($F260,EOMONTH(DATE(cfg_FY,2,1),0))-$E260+1))</f>
        <v>0</v>
      </c>
      <c r="AJ260" s="57" t="n">
        <f aca="false">IF(OR(OR($B260="",$E260="",$F260=""),$L260&lt;&gt;"لا"),0,MAX(0,MIN($F260,EOMONTH(DATE(cfg_FY,3,1),0))-$E260+1))</f>
        <v>0</v>
      </c>
      <c r="AK260" s="57" t="n">
        <f aca="false">IF(OR(OR($B260="",$E260="",$F260=""),$L260&lt;&gt;"لا"),0,MAX(0,MIN($F260,EOMONTH(DATE(cfg_FY,4,1),0))-$E260+1))</f>
        <v>0</v>
      </c>
      <c r="AL260" s="57" t="n">
        <f aca="false">IF(OR(OR($B260="",$E260="",$F260=""),$L260&lt;&gt;"لا"),0,MAX(0,MIN($F260,EOMONTH(DATE(cfg_FY,5,1),0))-$E260+1))</f>
        <v>0</v>
      </c>
      <c r="AM260" s="57" t="n">
        <f aca="false">IF(OR(OR($B260="",$E260="",$F260=""),$L260&lt;&gt;"لا"),0,MAX(0,MIN($F260,EOMONTH(DATE(cfg_FY,6,1),0))-$E260+1))</f>
        <v>0</v>
      </c>
      <c r="AN260" s="57" t="n">
        <f aca="false">IF(OR(OR($B260="",$E260="",$F260=""),$L260&lt;&gt;"لا"),0,MAX(0,MIN($F260,EOMONTH(DATE(cfg_FY,7,1),0))-$E260+1))</f>
        <v>0</v>
      </c>
      <c r="AO260" s="57" t="n">
        <f aca="false">IF(OR(OR($B260="",$E260="",$F260=""),$L260&lt;&gt;"لا"),0,MAX(0,MIN($F260,EOMONTH(DATE(cfg_FY,8,1),0))-$E260+1))</f>
        <v>0</v>
      </c>
      <c r="AP260" s="57" t="n">
        <f aca="false">IF(OR(OR($B260="",$E260="",$F260=""),$L260&lt;&gt;"لا"),0,MAX(0,MIN($F260,EOMONTH(DATE(cfg_FY,9,1),0))-$E260+1))</f>
        <v>0</v>
      </c>
      <c r="AQ260" s="57" t="n">
        <f aca="false">IF(OR(OR($B260="",$E260="",$F260=""),$L260&lt;&gt;"لا"),0,MAX(0,MIN($F260,EOMONTH(DATE(cfg_FY,10,1),0))-$E260+1))</f>
        <v>0</v>
      </c>
      <c r="AR260" s="57" t="n">
        <f aca="false">IF(OR(OR($B260="",$E260="",$F260=""),$L260&lt;&gt;"لا"),0,MAX(0,MIN($F260,EOMONTH(DATE(cfg_FY,11,1),0))-$E260+1))</f>
        <v>0</v>
      </c>
      <c r="AS260" s="57" t="n">
        <f aca="false">IF(OR(OR($B260="",$E260="",$F260=""),$L260&lt;&gt;"لا"),0,MAX(0,MIN($F260,EOMONTH(DATE(cfg_FY,12,1),0))-$E260+1))</f>
        <v>0</v>
      </c>
      <c r="AT260" s="57" t="n">
        <f aca="false">IF(OR(OR($B260="",$E260="",$F260=""),$K260&lt;&gt;"نعم",$M260="نعم"),0,MAX(0,MIN($F260,EOMONTH(DATE(cfg_FY,1,1),0))-MAX($E260,DATE(cfg_FY,1,1))+1))</f>
        <v>0</v>
      </c>
      <c r="AU260" s="57" t="n">
        <f aca="false">IF(OR(OR($B260="",$E260="",$F260=""),$K260&lt;&gt;"نعم",$M260="نعم"),0,MAX(0,MIN($F260,EOMONTH(DATE(cfg_FY,2,1),0))-MAX($E260,DATE(cfg_FY,2,1))+1))</f>
        <v>0</v>
      </c>
      <c r="AV260" s="57" t="n">
        <f aca="false">IF(OR(OR($B260="",$E260="",$F260=""),$K260&lt;&gt;"نعم",$M260="نعم"),0,MAX(0,MIN($F260,EOMONTH(DATE(cfg_FY,3,1),0))-MAX($E260,DATE(cfg_FY,3,1))+1))</f>
        <v>0</v>
      </c>
      <c r="AW260" s="57" t="n">
        <f aca="false">IF(OR(OR($B260="",$E260="",$F260=""),$K260&lt;&gt;"نعم",$M260="نعم"),0,MAX(0,MIN($F260,EOMONTH(DATE(cfg_FY,4,1),0))-MAX($E260,DATE(cfg_FY,4,1))+1))</f>
        <v>0</v>
      </c>
      <c r="AX260" s="57" t="n">
        <f aca="false">IF(OR(OR($B260="",$E260="",$F260=""),$K260&lt;&gt;"نعم",$M260="نعم"),0,MAX(0,MIN($F260,EOMONTH(DATE(cfg_FY,5,1),0))-MAX($E260,DATE(cfg_FY,5,1))+1))</f>
        <v>0</v>
      </c>
      <c r="AY260" s="57" t="n">
        <f aca="false">IF(OR(OR($B260="",$E260="",$F260=""),$K260&lt;&gt;"نعم",$M260="نعم"),0,MAX(0,MIN($F260,EOMONTH(DATE(cfg_FY,6,1),0))-MAX($E260,DATE(cfg_FY,6,1))+1))</f>
        <v>0</v>
      </c>
      <c r="AZ260" s="57" t="n">
        <f aca="false">IF(OR(OR($B260="",$E260="",$F260=""),$K260&lt;&gt;"نعم",$M260="نعم"),0,MAX(0,MIN($F260,EOMONTH(DATE(cfg_FY,7,1),0))-MAX($E260,DATE(cfg_FY,7,1))+1))</f>
        <v>0</v>
      </c>
      <c r="BA260" s="57" t="n">
        <f aca="false">IF(OR(OR($B260="",$E260="",$F260=""),$K260&lt;&gt;"نعم",$M260="نعم"),0,MAX(0,MIN($F260,EOMONTH(DATE(cfg_FY,8,1),0))-MAX($E260,DATE(cfg_FY,8,1))+1))</f>
        <v>0</v>
      </c>
      <c r="BB260" s="57" t="n">
        <f aca="false">IF(OR(OR($B260="",$E260="",$F260=""),$K260&lt;&gt;"نعم",$M260="نعم"),0,MAX(0,MIN($F260,EOMONTH(DATE(cfg_FY,9,1),0))-MAX($E260,DATE(cfg_FY,9,1))+1))</f>
        <v>0</v>
      </c>
      <c r="BC260" s="57" t="n">
        <f aca="false">IF(OR(OR($B260="",$E260="",$F260=""),$K260&lt;&gt;"نعم",$M260="نعم"),0,MAX(0,MIN($F260,EOMONTH(DATE(cfg_FY,10,1),0))-MAX($E260,DATE(cfg_FY,10,1))+1))</f>
        <v>0</v>
      </c>
      <c r="BD260" s="57" t="n">
        <f aca="false">IF(OR(OR($B260="",$E260="",$F260=""),$K260&lt;&gt;"نعم",$M260="نعم"),0,MAX(0,MIN($F260,EOMONTH(DATE(cfg_FY,11,1),0))-MAX($E260,DATE(cfg_FY,11,1))+1))</f>
        <v>0</v>
      </c>
      <c r="BE260" s="57" t="n">
        <f aca="false">IF(OR(OR($B260="",$E260="",$F260=""),$K260&lt;&gt;"نعم",$M260="نعم"),0,MAX(0,MIN($F260,EOMONTH(DATE(cfg_FY,12,1),0))-MAX($E260,DATE(cfg_FY,12,1))+1))</f>
        <v>0</v>
      </c>
    </row>
    <row r="261" customFormat="false" ht="15" hidden="false" customHeight="false" outlineLevel="0" collapsed="false">
      <c r="A261" s="100" t="str">
        <f aca="false">IF(B261="","",ROW()-5)</f>
        <v/>
      </c>
      <c r="B261" s="79"/>
      <c r="C261" s="102" t="str">
        <f aca="false">IF(B261="","",IFERROR(INDEX(الموظفون!$C$6:$C$105,MATCH(B261,الموظفون!$B$6:$B$105,0)),"✖ رقم غير موجود"))</f>
        <v/>
      </c>
      <c r="D261" s="79"/>
      <c r="E261" s="94"/>
      <c r="F261" s="94"/>
      <c r="G261" s="110" t="str">
        <f aca="false">IF(OR($B261="",$E261="",$F261=""),"",MAX(0,F261-E261+1))</f>
        <v/>
      </c>
      <c r="H261" s="111" t="str">
        <f aca="false">IF(D261="","",IFERROR(VLOOKUP(D261,cfg_LT,2,FALSE()),1))</f>
        <v/>
      </c>
      <c r="I261" s="82"/>
      <c r="J261" s="111" t="str">
        <f aca="false">IF(D261="","",IF(I261&lt;&gt;"",I261,H261))</f>
        <v/>
      </c>
      <c r="K261" s="102" t="str">
        <f aca="false">IF(D261="","",IFERROR(VLOOKUP($D261,cfg_LT,3,FALSE()),""))</f>
        <v/>
      </c>
      <c r="L261" s="102" t="str">
        <f aca="false">IF(D261="","",IFERROR(VLOOKUP($D261,cfg_LT,4,FALSE()),""))</f>
        <v/>
      </c>
      <c r="M261" s="102" t="str">
        <f aca="false">IF(D261="","",IFERROR(VLOOKUP($D261,cfg_LT,5,FALSE()),""))</f>
        <v/>
      </c>
      <c r="N261" s="101" t="n">
        <f aca="false">IF(OR(OR($B261="",$E261="",$F261=""),M261&lt;&gt;"نعم"),0,G261*J261*IFERROR(INDEX(الموظفون!$R$6:$R$105,MATCH(B261,الموظفون!$B$6:$B$105,0)),0)/cfg_DAYS_M)</f>
        <v>0</v>
      </c>
      <c r="O261" s="100" t="str">
        <f aca="false">IF(OR(OR($B261="",$E261="",$F261=""),M261&lt;&gt;"نعم"),"",IF(YEAR(E261)=cfg_FY,MONTH(E261),""))</f>
        <v/>
      </c>
      <c r="P261" s="102" t="str">
        <f aca="false">IF(B261="","",IF(OR(D261="",E261="",F261=""),"⚠ أكمل النوع والتواريخ",IF(F261&lt;E261,"✖ النهاية قبل البداية",IF(COUNTIFS($B$6:$B$505,B261,$E$6:$E$505,"&lt;="&amp;F261,$F$6:$F$505,"&gt;="&amp;E261)&gt;1,"⚠ تداخل مع سجل آخر",IF(E261&gt;cfg_VAL_DATE,"⏳ قادمة",IF(F261&lt;cfg_VAL_DATE,"✔ منتهية","✈ جارية في تاريخ التقرير"))))))</f>
        <v/>
      </c>
      <c r="Q261" s="79"/>
      <c r="R261" s="110" t="n">
        <f aca="false">IF(OR(OR($B261="",$E261="",$F261=""),L261&lt;&gt;"لا"),0,MAX(0,MIN(F261,cfg_Y_START-1)-E261+1))</f>
        <v>0</v>
      </c>
      <c r="S261" s="110" t="n">
        <f aca="false">IF(OR(OR($B261="",$E261="",$F261=""),L261&lt;&gt;"لا"),0,MAX(0,MIN(F261,cfg_VAL_DATE)-E261+1))</f>
        <v>0</v>
      </c>
      <c r="T261" s="110" t="n">
        <f aca="false">IF(OR(OR($B261="",$E261="",$F261=""),K261&lt;&gt;"نعم"),0,IF(M261="نعم",IF(AND(ISNUMBER(O261),N(O261)&lt;=cfg_VAL_M),G261,0),MAX(0,MIN(F261,cfg_VAL_DATE)-MAX(E261,cfg_Y_START)+1)))</f>
        <v>0</v>
      </c>
      <c r="V261" s="110" t="n">
        <f aca="false">IF(OR($B261="",$E261="",$F261=""),0,MAX(0,MIN($F261,EOMONTH(DATE(cfg_FY,1,1),0))-MAX($E261,DATE(cfg_FY,1,1))+1)*(1-IF($M261="نعم",0,N($J261))))</f>
        <v>0</v>
      </c>
      <c r="W261" s="110" t="n">
        <f aca="false">IF(OR($B261="",$E261="",$F261=""),0,MAX(0,MIN($F261,EOMONTH(DATE(cfg_FY,2,1),0))-MAX($E261,DATE(cfg_FY,2,1))+1)*(1-IF($M261="نعم",0,N($J261))))</f>
        <v>0</v>
      </c>
      <c r="X261" s="110" t="n">
        <f aca="false">IF(OR($B261="",$E261="",$F261=""),0,MAX(0,MIN($F261,EOMONTH(DATE(cfg_FY,3,1),0))-MAX($E261,DATE(cfg_FY,3,1))+1)*(1-IF($M261="نعم",0,N($J261))))</f>
        <v>0</v>
      </c>
      <c r="Y261" s="110" t="n">
        <f aca="false">IF(OR($B261="",$E261="",$F261=""),0,MAX(0,MIN($F261,EOMONTH(DATE(cfg_FY,4,1),0))-MAX($E261,DATE(cfg_FY,4,1))+1)*(1-IF($M261="نعم",0,N($J261))))</f>
        <v>0</v>
      </c>
      <c r="Z261" s="110" t="n">
        <f aca="false">IF(OR($B261="",$E261="",$F261=""),0,MAX(0,MIN($F261,EOMONTH(DATE(cfg_FY,5,1),0))-MAX($E261,DATE(cfg_FY,5,1))+1)*(1-IF($M261="نعم",0,N($J261))))</f>
        <v>0</v>
      </c>
      <c r="AA261" s="110" t="n">
        <f aca="false">IF(OR($B261="",$E261="",$F261=""),0,MAX(0,MIN($F261,EOMONTH(DATE(cfg_FY,6,1),0))-MAX($E261,DATE(cfg_FY,6,1))+1)*(1-IF($M261="نعم",0,N($J261))))</f>
        <v>0</v>
      </c>
      <c r="AB261" s="110" t="n">
        <f aca="false">IF(OR($B261="",$E261="",$F261=""),0,MAX(0,MIN($F261,EOMONTH(DATE(cfg_FY,7,1),0))-MAX($E261,DATE(cfg_FY,7,1))+1)*(1-IF($M261="نعم",0,N($J261))))</f>
        <v>0</v>
      </c>
      <c r="AC261" s="110" t="n">
        <f aca="false">IF(OR($B261="",$E261="",$F261=""),0,MAX(0,MIN($F261,EOMONTH(DATE(cfg_FY,8,1),0))-MAX($E261,DATE(cfg_FY,8,1))+1)*(1-IF($M261="نعم",0,N($J261))))</f>
        <v>0</v>
      </c>
      <c r="AD261" s="110" t="n">
        <f aca="false">IF(OR($B261="",$E261="",$F261=""),0,MAX(0,MIN($F261,EOMONTH(DATE(cfg_FY,9,1),0))-MAX($E261,DATE(cfg_FY,9,1))+1)*(1-IF($M261="نعم",0,N($J261))))</f>
        <v>0</v>
      </c>
      <c r="AE261" s="110" t="n">
        <f aca="false">IF(OR($B261="",$E261="",$F261=""),0,MAX(0,MIN($F261,EOMONTH(DATE(cfg_FY,10,1),0))-MAX($E261,DATE(cfg_FY,10,1))+1)*(1-IF($M261="نعم",0,N($J261))))</f>
        <v>0</v>
      </c>
      <c r="AF261" s="110" t="n">
        <f aca="false">IF(OR($B261="",$E261="",$F261=""),0,MAX(0,MIN($F261,EOMONTH(DATE(cfg_FY,11,1),0))-MAX($E261,DATE(cfg_FY,11,1))+1)*(1-IF($M261="نعم",0,N($J261))))</f>
        <v>0</v>
      </c>
      <c r="AG261" s="110" t="n">
        <f aca="false">IF(OR($B261="",$E261="",$F261=""),0,MAX(0,MIN($F261,EOMONTH(DATE(cfg_FY,12,1),0))-MAX($E261,DATE(cfg_FY,12,1))+1)*(1-IF($M261="نعم",0,N($J261))))</f>
        <v>0</v>
      </c>
      <c r="AH261" s="110" t="n">
        <f aca="false">IF(OR(OR($B261="",$E261="",$F261=""),$L261&lt;&gt;"لا"),0,MAX(0,MIN($F261,EOMONTH(DATE(cfg_FY,1,1),0))-$E261+1))</f>
        <v>0</v>
      </c>
      <c r="AI261" s="110" t="n">
        <f aca="false">IF(OR(OR($B261="",$E261="",$F261=""),$L261&lt;&gt;"لا"),0,MAX(0,MIN($F261,EOMONTH(DATE(cfg_FY,2,1),0))-$E261+1))</f>
        <v>0</v>
      </c>
      <c r="AJ261" s="110" t="n">
        <f aca="false">IF(OR(OR($B261="",$E261="",$F261=""),$L261&lt;&gt;"لا"),0,MAX(0,MIN($F261,EOMONTH(DATE(cfg_FY,3,1),0))-$E261+1))</f>
        <v>0</v>
      </c>
      <c r="AK261" s="110" t="n">
        <f aca="false">IF(OR(OR($B261="",$E261="",$F261=""),$L261&lt;&gt;"لا"),0,MAX(0,MIN($F261,EOMONTH(DATE(cfg_FY,4,1),0))-$E261+1))</f>
        <v>0</v>
      </c>
      <c r="AL261" s="110" t="n">
        <f aca="false">IF(OR(OR($B261="",$E261="",$F261=""),$L261&lt;&gt;"لا"),0,MAX(0,MIN($F261,EOMONTH(DATE(cfg_FY,5,1),0))-$E261+1))</f>
        <v>0</v>
      </c>
      <c r="AM261" s="110" t="n">
        <f aca="false">IF(OR(OR($B261="",$E261="",$F261=""),$L261&lt;&gt;"لا"),0,MAX(0,MIN($F261,EOMONTH(DATE(cfg_FY,6,1),0))-$E261+1))</f>
        <v>0</v>
      </c>
      <c r="AN261" s="110" t="n">
        <f aca="false">IF(OR(OR($B261="",$E261="",$F261=""),$L261&lt;&gt;"لا"),0,MAX(0,MIN($F261,EOMONTH(DATE(cfg_FY,7,1),0))-$E261+1))</f>
        <v>0</v>
      </c>
      <c r="AO261" s="110" t="n">
        <f aca="false">IF(OR(OR($B261="",$E261="",$F261=""),$L261&lt;&gt;"لا"),0,MAX(0,MIN($F261,EOMONTH(DATE(cfg_FY,8,1),0))-$E261+1))</f>
        <v>0</v>
      </c>
      <c r="AP261" s="110" t="n">
        <f aca="false">IF(OR(OR($B261="",$E261="",$F261=""),$L261&lt;&gt;"لا"),0,MAX(0,MIN($F261,EOMONTH(DATE(cfg_FY,9,1),0))-$E261+1))</f>
        <v>0</v>
      </c>
      <c r="AQ261" s="110" t="n">
        <f aca="false">IF(OR(OR($B261="",$E261="",$F261=""),$L261&lt;&gt;"لا"),0,MAX(0,MIN($F261,EOMONTH(DATE(cfg_FY,10,1),0))-$E261+1))</f>
        <v>0</v>
      </c>
      <c r="AR261" s="110" t="n">
        <f aca="false">IF(OR(OR($B261="",$E261="",$F261=""),$L261&lt;&gt;"لا"),0,MAX(0,MIN($F261,EOMONTH(DATE(cfg_FY,11,1),0))-$E261+1))</f>
        <v>0</v>
      </c>
      <c r="AS261" s="110" t="n">
        <f aca="false">IF(OR(OR($B261="",$E261="",$F261=""),$L261&lt;&gt;"لا"),0,MAX(0,MIN($F261,EOMONTH(DATE(cfg_FY,12,1),0))-$E261+1))</f>
        <v>0</v>
      </c>
      <c r="AT261" s="110" t="n">
        <f aca="false">IF(OR(OR($B261="",$E261="",$F261=""),$K261&lt;&gt;"نعم",$M261="نعم"),0,MAX(0,MIN($F261,EOMONTH(DATE(cfg_FY,1,1),0))-MAX($E261,DATE(cfg_FY,1,1))+1))</f>
        <v>0</v>
      </c>
      <c r="AU261" s="110" t="n">
        <f aca="false">IF(OR(OR($B261="",$E261="",$F261=""),$K261&lt;&gt;"نعم",$M261="نعم"),0,MAX(0,MIN($F261,EOMONTH(DATE(cfg_FY,2,1),0))-MAX($E261,DATE(cfg_FY,2,1))+1))</f>
        <v>0</v>
      </c>
      <c r="AV261" s="110" t="n">
        <f aca="false">IF(OR(OR($B261="",$E261="",$F261=""),$K261&lt;&gt;"نعم",$M261="نعم"),0,MAX(0,MIN($F261,EOMONTH(DATE(cfg_FY,3,1),0))-MAX($E261,DATE(cfg_FY,3,1))+1))</f>
        <v>0</v>
      </c>
      <c r="AW261" s="110" t="n">
        <f aca="false">IF(OR(OR($B261="",$E261="",$F261=""),$K261&lt;&gt;"نعم",$M261="نعم"),0,MAX(0,MIN($F261,EOMONTH(DATE(cfg_FY,4,1),0))-MAX($E261,DATE(cfg_FY,4,1))+1))</f>
        <v>0</v>
      </c>
      <c r="AX261" s="110" t="n">
        <f aca="false">IF(OR(OR($B261="",$E261="",$F261=""),$K261&lt;&gt;"نعم",$M261="نعم"),0,MAX(0,MIN($F261,EOMONTH(DATE(cfg_FY,5,1),0))-MAX($E261,DATE(cfg_FY,5,1))+1))</f>
        <v>0</v>
      </c>
      <c r="AY261" s="110" t="n">
        <f aca="false">IF(OR(OR($B261="",$E261="",$F261=""),$K261&lt;&gt;"نعم",$M261="نعم"),0,MAX(0,MIN($F261,EOMONTH(DATE(cfg_FY,6,1),0))-MAX($E261,DATE(cfg_FY,6,1))+1))</f>
        <v>0</v>
      </c>
      <c r="AZ261" s="110" t="n">
        <f aca="false">IF(OR(OR($B261="",$E261="",$F261=""),$K261&lt;&gt;"نعم",$M261="نعم"),0,MAX(0,MIN($F261,EOMONTH(DATE(cfg_FY,7,1),0))-MAX($E261,DATE(cfg_FY,7,1))+1))</f>
        <v>0</v>
      </c>
      <c r="BA261" s="110" t="n">
        <f aca="false">IF(OR(OR($B261="",$E261="",$F261=""),$K261&lt;&gt;"نعم",$M261="نعم"),0,MAX(0,MIN($F261,EOMONTH(DATE(cfg_FY,8,1),0))-MAX($E261,DATE(cfg_FY,8,1))+1))</f>
        <v>0</v>
      </c>
      <c r="BB261" s="110" t="n">
        <f aca="false">IF(OR(OR($B261="",$E261="",$F261=""),$K261&lt;&gt;"نعم",$M261="نعم"),0,MAX(0,MIN($F261,EOMONTH(DATE(cfg_FY,9,1),0))-MAX($E261,DATE(cfg_FY,9,1))+1))</f>
        <v>0</v>
      </c>
      <c r="BC261" s="110" t="n">
        <f aca="false">IF(OR(OR($B261="",$E261="",$F261=""),$K261&lt;&gt;"نعم",$M261="نعم"),0,MAX(0,MIN($F261,EOMONTH(DATE(cfg_FY,10,1),0))-MAX($E261,DATE(cfg_FY,10,1))+1))</f>
        <v>0</v>
      </c>
      <c r="BD261" s="110" t="n">
        <f aca="false">IF(OR(OR($B261="",$E261="",$F261=""),$K261&lt;&gt;"نعم",$M261="نعم"),0,MAX(0,MIN($F261,EOMONTH(DATE(cfg_FY,11,1),0))-MAX($E261,DATE(cfg_FY,11,1))+1))</f>
        <v>0</v>
      </c>
      <c r="BE261" s="110" t="n">
        <f aca="false">IF(OR(OR($B261="",$E261="",$F261=""),$K261&lt;&gt;"نعم",$M261="نعم"),0,MAX(0,MIN($F261,EOMONTH(DATE(cfg_FY,12,1),0))-MAX($E261,DATE(cfg_FY,12,1))+1))</f>
        <v>0</v>
      </c>
    </row>
    <row r="262" customFormat="false" ht="15" hidden="false" customHeight="false" outlineLevel="0" collapsed="false">
      <c r="A262" s="93" t="str">
        <f aca="false">IF(B262="","",ROW()-5)</f>
        <v/>
      </c>
      <c r="B262" s="79"/>
      <c r="C262" s="80" t="str">
        <f aca="false">IF(B262="","",IFERROR(INDEX(الموظفون!$C$6:$C$105,MATCH(B262,الموظفون!$B$6:$B$105,0)),"✖ رقم غير موجود"))</f>
        <v/>
      </c>
      <c r="D262" s="79"/>
      <c r="E262" s="94"/>
      <c r="F262" s="94"/>
      <c r="G262" s="57" t="str">
        <f aca="false">IF(OR($B262="",$E262="",$F262=""),"",MAX(0,F262-E262+1))</f>
        <v/>
      </c>
      <c r="H262" s="58" t="str">
        <f aca="false">IF(D262="","",IFERROR(VLOOKUP(D262,cfg_LT,2,FALSE()),1))</f>
        <v/>
      </c>
      <c r="I262" s="82"/>
      <c r="J262" s="58" t="str">
        <f aca="false">IF(D262="","",IF(I262&lt;&gt;"",I262,H262))</f>
        <v/>
      </c>
      <c r="K262" s="80" t="str">
        <f aca="false">IF(D262="","",IFERROR(VLOOKUP($D262,cfg_LT,3,FALSE()),""))</f>
        <v/>
      </c>
      <c r="L262" s="80" t="str">
        <f aca="false">IF(D262="","",IFERROR(VLOOKUP($D262,cfg_LT,4,FALSE()),""))</f>
        <v/>
      </c>
      <c r="M262" s="80" t="str">
        <f aca="false">IF(D262="","",IFERROR(VLOOKUP($D262,cfg_LT,5,FALSE()),""))</f>
        <v/>
      </c>
      <c r="N262" s="97" t="n">
        <f aca="false">IF(OR(OR($B262="",$E262="",$F262=""),M262&lt;&gt;"نعم"),0,G262*J262*IFERROR(INDEX(الموظفون!$R$6:$R$105,MATCH(B262,الموظفون!$B$6:$B$105,0)),0)/cfg_DAYS_M)</f>
        <v>0</v>
      </c>
      <c r="O262" s="93" t="str">
        <f aca="false">IF(OR(OR($B262="",$E262="",$F262=""),M262&lt;&gt;"نعم"),"",IF(YEAR(E262)=cfg_FY,MONTH(E262),""))</f>
        <v/>
      </c>
      <c r="P262" s="80" t="str">
        <f aca="false">IF(B262="","",IF(OR(D262="",E262="",F262=""),"⚠ أكمل النوع والتواريخ",IF(F262&lt;E262,"✖ النهاية قبل البداية",IF(COUNTIFS($B$6:$B$505,B262,$E$6:$E$505,"&lt;="&amp;F262,$F$6:$F$505,"&gt;="&amp;E262)&gt;1,"⚠ تداخل مع سجل آخر",IF(E262&gt;cfg_VAL_DATE,"⏳ قادمة",IF(F262&lt;cfg_VAL_DATE,"✔ منتهية","✈ جارية في تاريخ التقرير"))))))</f>
        <v/>
      </c>
      <c r="Q262" s="79"/>
      <c r="R262" s="57" t="n">
        <f aca="false">IF(OR(OR($B262="",$E262="",$F262=""),L262&lt;&gt;"لا"),0,MAX(0,MIN(F262,cfg_Y_START-1)-E262+1))</f>
        <v>0</v>
      </c>
      <c r="S262" s="57" t="n">
        <f aca="false">IF(OR(OR($B262="",$E262="",$F262=""),L262&lt;&gt;"لا"),0,MAX(0,MIN(F262,cfg_VAL_DATE)-E262+1))</f>
        <v>0</v>
      </c>
      <c r="T262" s="57" t="n">
        <f aca="false">IF(OR(OR($B262="",$E262="",$F262=""),K262&lt;&gt;"نعم"),0,IF(M262="نعم",IF(AND(ISNUMBER(O262),N(O262)&lt;=cfg_VAL_M),G262,0),MAX(0,MIN(F262,cfg_VAL_DATE)-MAX(E262,cfg_Y_START)+1)))</f>
        <v>0</v>
      </c>
      <c r="V262" s="57" t="n">
        <f aca="false">IF(OR($B262="",$E262="",$F262=""),0,MAX(0,MIN($F262,EOMONTH(DATE(cfg_FY,1,1),0))-MAX($E262,DATE(cfg_FY,1,1))+1)*(1-IF($M262="نعم",0,N($J262))))</f>
        <v>0</v>
      </c>
      <c r="W262" s="57" t="n">
        <f aca="false">IF(OR($B262="",$E262="",$F262=""),0,MAX(0,MIN($F262,EOMONTH(DATE(cfg_FY,2,1),0))-MAX($E262,DATE(cfg_FY,2,1))+1)*(1-IF($M262="نعم",0,N($J262))))</f>
        <v>0</v>
      </c>
      <c r="X262" s="57" t="n">
        <f aca="false">IF(OR($B262="",$E262="",$F262=""),0,MAX(0,MIN($F262,EOMONTH(DATE(cfg_FY,3,1),0))-MAX($E262,DATE(cfg_FY,3,1))+1)*(1-IF($M262="نعم",0,N($J262))))</f>
        <v>0</v>
      </c>
      <c r="Y262" s="57" t="n">
        <f aca="false">IF(OR($B262="",$E262="",$F262=""),0,MAX(0,MIN($F262,EOMONTH(DATE(cfg_FY,4,1),0))-MAX($E262,DATE(cfg_FY,4,1))+1)*(1-IF($M262="نعم",0,N($J262))))</f>
        <v>0</v>
      </c>
      <c r="Z262" s="57" t="n">
        <f aca="false">IF(OR($B262="",$E262="",$F262=""),0,MAX(0,MIN($F262,EOMONTH(DATE(cfg_FY,5,1),0))-MAX($E262,DATE(cfg_FY,5,1))+1)*(1-IF($M262="نعم",0,N($J262))))</f>
        <v>0</v>
      </c>
      <c r="AA262" s="57" t="n">
        <f aca="false">IF(OR($B262="",$E262="",$F262=""),0,MAX(0,MIN($F262,EOMONTH(DATE(cfg_FY,6,1),0))-MAX($E262,DATE(cfg_FY,6,1))+1)*(1-IF($M262="نعم",0,N($J262))))</f>
        <v>0</v>
      </c>
      <c r="AB262" s="57" t="n">
        <f aca="false">IF(OR($B262="",$E262="",$F262=""),0,MAX(0,MIN($F262,EOMONTH(DATE(cfg_FY,7,1),0))-MAX($E262,DATE(cfg_FY,7,1))+1)*(1-IF($M262="نعم",0,N($J262))))</f>
        <v>0</v>
      </c>
      <c r="AC262" s="57" t="n">
        <f aca="false">IF(OR($B262="",$E262="",$F262=""),0,MAX(0,MIN($F262,EOMONTH(DATE(cfg_FY,8,1),0))-MAX($E262,DATE(cfg_FY,8,1))+1)*(1-IF($M262="نعم",0,N($J262))))</f>
        <v>0</v>
      </c>
      <c r="AD262" s="57" t="n">
        <f aca="false">IF(OR($B262="",$E262="",$F262=""),0,MAX(0,MIN($F262,EOMONTH(DATE(cfg_FY,9,1),0))-MAX($E262,DATE(cfg_FY,9,1))+1)*(1-IF($M262="نعم",0,N($J262))))</f>
        <v>0</v>
      </c>
      <c r="AE262" s="57" t="n">
        <f aca="false">IF(OR($B262="",$E262="",$F262=""),0,MAX(0,MIN($F262,EOMONTH(DATE(cfg_FY,10,1),0))-MAX($E262,DATE(cfg_FY,10,1))+1)*(1-IF($M262="نعم",0,N($J262))))</f>
        <v>0</v>
      </c>
      <c r="AF262" s="57" t="n">
        <f aca="false">IF(OR($B262="",$E262="",$F262=""),0,MAX(0,MIN($F262,EOMONTH(DATE(cfg_FY,11,1),0))-MAX($E262,DATE(cfg_FY,11,1))+1)*(1-IF($M262="نعم",0,N($J262))))</f>
        <v>0</v>
      </c>
      <c r="AG262" s="57" t="n">
        <f aca="false">IF(OR($B262="",$E262="",$F262=""),0,MAX(0,MIN($F262,EOMONTH(DATE(cfg_FY,12,1),0))-MAX($E262,DATE(cfg_FY,12,1))+1)*(1-IF($M262="نعم",0,N($J262))))</f>
        <v>0</v>
      </c>
      <c r="AH262" s="57" t="n">
        <f aca="false">IF(OR(OR($B262="",$E262="",$F262=""),$L262&lt;&gt;"لا"),0,MAX(0,MIN($F262,EOMONTH(DATE(cfg_FY,1,1),0))-$E262+1))</f>
        <v>0</v>
      </c>
      <c r="AI262" s="57" t="n">
        <f aca="false">IF(OR(OR($B262="",$E262="",$F262=""),$L262&lt;&gt;"لا"),0,MAX(0,MIN($F262,EOMONTH(DATE(cfg_FY,2,1),0))-$E262+1))</f>
        <v>0</v>
      </c>
      <c r="AJ262" s="57" t="n">
        <f aca="false">IF(OR(OR($B262="",$E262="",$F262=""),$L262&lt;&gt;"لا"),0,MAX(0,MIN($F262,EOMONTH(DATE(cfg_FY,3,1),0))-$E262+1))</f>
        <v>0</v>
      </c>
      <c r="AK262" s="57" t="n">
        <f aca="false">IF(OR(OR($B262="",$E262="",$F262=""),$L262&lt;&gt;"لا"),0,MAX(0,MIN($F262,EOMONTH(DATE(cfg_FY,4,1),0))-$E262+1))</f>
        <v>0</v>
      </c>
      <c r="AL262" s="57" t="n">
        <f aca="false">IF(OR(OR($B262="",$E262="",$F262=""),$L262&lt;&gt;"لا"),0,MAX(0,MIN($F262,EOMONTH(DATE(cfg_FY,5,1),0))-$E262+1))</f>
        <v>0</v>
      </c>
      <c r="AM262" s="57" t="n">
        <f aca="false">IF(OR(OR($B262="",$E262="",$F262=""),$L262&lt;&gt;"لا"),0,MAX(0,MIN($F262,EOMONTH(DATE(cfg_FY,6,1),0))-$E262+1))</f>
        <v>0</v>
      </c>
      <c r="AN262" s="57" t="n">
        <f aca="false">IF(OR(OR($B262="",$E262="",$F262=""),$L262&lt;&gt;"لا"),0,MAX(0,MIN($F262,EOMONTH(DATE(cfg_FY,7,1),0))-$E262+1))</f>
        <v>0</v>
      </c>
      <c r="AO262" s="57" t="n">
        <f aca="false">IF(OR(OR($B262="",$E262="",$F262=""),$L262&lt;&gt;"لا"),0,MAX(0,MIN($F262,EOMONTH(DATE(cfg_FY,8,1),0))-$E262+1))</f>
        <v>0</v>
      </c>
      <c r="AP262" s="57" t="n">
        <f aca="false">IF(OR(OR($B262="",$E262="",$F262=""),$L262&lt;&gt;"لا"),0,MAX(0,MIN($F262,EOMONTH(DATE(cfg_FY,9,1),0))-$E262+1))</f>
        <v>0</v>
      </c>
      <c r="AQ262" s="57" t="n">
        <f aca="false">IF(OR(OR($B262="",$E262="",$F262=""),$L262&lt;&gt;"لا"),0,MAX(0,MIN($F262,EOMONTH(DATE(cfg_FY,10,1),0))-$E262+1))</f>
        <v>0</v>
      </c>
      <c r="AR262" s="57" t="n">
        <f aca="false">IF(OR(OR($B262="",$E262="",$F262=""),$L262&lt;&gt;"لا"),0,MAX(0,MIN($F262,EOMONTH(DATE(cfg_FY,11,1),0))-$E262+1))</f>
        <v>0</v>
      </c>
      <c r="AS262" s="57" t="n">
        <f aca="false">IF(OR(OR($B262="",$E262="",$F262=""),$L262&lt;&gt;"لا"),0,MAX(0,MIN($F262,EOMONTH(DATE(cfg_FY,12,1),0))-$E262+1))</f>
        <v>0</v>
      </c>
      <c r="AT262" s="57" t="n">
        <f aca="false">IF(OR(OR($B262="",$E262="",$F262=""),$K262&lt;&gt;"نعم",$M262="نعم"),0,MAX(0,MIN($F262,EOMONTH(DATE(cfg_FY,1,1),0))-MAX($E262,DATE(cfg_FY,1,1))+1))</f>
        <v>0</v>
      </c>
      <c r="AU262" s="57" t="n">
        <f aca="false">IF(OR(OR($B262="",$E262="",$F262=""),$K262&lt;&gt;"نعم",$M262="نعم"),0,MAX(0,MIN($F262,EOMONTH(DATE(cfg_FY,2,1),0))-MAX($E262,DATE(cfg_FY,2,1))+1))</f>
        <v>0</v>
      </c>
      <c r="AV262" s="57" t="n">
        <f aca="false">IF(OR(OR($B262="",$E262="",$F262=""),$K262&lt;&gt;"نعم",$M262="نعم"),0,MAX(0,MIN($F262,EOMONTH(DATE(cfg_FY,3,1),0))-MAX($E262,DATE(cfg_FY,3,1))+1))</f>
        <v>0</v>
      </c>
      <c r="AW262" s="57" t="n">
        <f aca="false">IF(OR(OR($B262="",$E262="",$F262=""),$K262&lt;&gt;"نعم",$M262="نعم"),0,MAX(0,MIN($F262,EOMONTH(DATE(cfg_FY,4,1),0))-MAX($E262,DATE(cfg_FY,4,1))+1))</f>
        <v>0</v>
      </c>
      <c r="AX262" s="57" t="n">
        <f aca="false">IF(OR(OR($B262="",$E262="",$F262=""),$K262&lt;&gt;"نعم",$M262="نعم"),0,MAX(0,MIN($F262,EOMONTH(DATE(cfg_FY,5,1),0))-MAX($E262,DATE(cfg_FY,5,1))+1))</f>
        <v>0</v>
      </c>
      <c r="AY262" s="57" t="n">
        <f aca="false">IF(OR(OR($B262="",$E262="",$F262=""),$K262&lt;&gt;"نعم",$M262="نعم"),0,MAX(0,MIN($F262,EOMONTH(DATE(cfg_FY,6,1),0))-MAX($E262,DATE(cfg_FY,6,1))+1))</f>
        <v>0</v>
      </c>
      <c r="AZ262" s="57" t="n">
        <f aca="false">IF(OR(OR($B262="",$E262="",$F262=""),$K262&lt;&gt;"نعم",$M262="نعم"),0,MAX(0,MIN($F262,EOMONTH(DATE(cfg_FY,7,1),0))-MAX($E262,DATE(cfg_FY,7,1))+1))</f>
        <v>0</v>
      </c>
      <c r="BA262" s="57" t="n">
        <f aca="false">IF(OR(OR($B262="",$E262="",$F262=""),$K262&lt;&gt;"نعم",$M262="نعم"),0,MAX(0,MIN($F262,EOMONTH(DATE(cfg_FY,8,1),0))-MAX($E262,DATE(cfg_FY,8,1))+1))</f>
        <v>0</v>
      </c>
      <c r="BB262" s="57" t="n">
        <f aca="false">IF(OR(OR($B262="",$E262="",$F262=""),$K262&lt;&gt;"نعم",$M262="نعم"),0,MAX(0,MIN($F262,EOMONTH(DATE(cfg_FY,9,1),0))-MAX($E262,DATE(cfg_FY,9,1))+1))</f>
        <v>0</v>
      </c>
      <c r="BC262" s="57" t="n">
        <f aca="false">IF(OR(OR($B262="",$E262="",$F262=""),$K262&lt;&gt;"نعم",$M262="نعم"),0,MAX(0,MIN($F262,EOMONTH(DATE(cfg_FY,10,1),0))-MAX($E262,DATE(cfg_FY,10,1))+1))</f>
        <v>0</v>
      </c>
      <c r="BD262" s="57" t="n">
        <f aca="false">IF(OR(OR($B262="",$E262="",$F262=""),$K262&lt;&gt;"نعم",$M262="نعم"),0,MAX(0,MIN($F262,EOMONTH(DATE(cfg_FY,11,1),0))-MAX($E262,DATE(cfg_FY,11,1))+1))</f>
        <v>0</v>
      </c>
      <c r="BE262" s="57" t="n">
        <f aca="false">IF(OR(OR($B262="",$E262="",$F262=""),$K262&lt;&gt;"نعم",$M262="نعم"),0,MAX(0,MIN($F262,EOMONTH(DATE(cfg_FY,12,1),0))-MAX($E262,DATE(cfg_FY,12,1))+1))</f>
        <v>0</v>
      </c>
    </row>
    <row r="263" customFormat="false" ht="15" hidden="false" customHeight="false" outlineLevel="0" collapsed="false">
      <c r="A263" s="100" t="str">
        <f aca="false">IF(B263="","",ROW()-5)</f>
        <v/>
      </c>
      <c r="B263" s="79"/>
      <c r="C263" s="102" t="str">
        <f aca="false">IF(B263="","",IFERROR(INDEX(الموظفون!$C$6:$C$105,MATCH(B263,الموظفون!$B$6:$B$105,0)),"✖ رقم غير موجود"))</f>
        <v/>
      </c>
      <c r="D263" s="79"/>
      <c r="E263" s="94"/>
      <c r="F263" s="94"/>
      <c r="G263" s="110" t="str">
        <f aca="false">IF(OR($B263="",$E263="",$F263=""),"",MAX(0,F263-E263+1))</f>
        <v/>
      </c>
      <c r="H263" s="111" t="str">
        <f aca="false">IF(D263="","",IFERROR(VLOOKUP(D263,cfg_LT,2,FALSE()),1))</f>
        <v/>
      </c>
      <c r="I263" s="82"/>
      <c r="J263" s="111" t="str">
        <f aca="false">IF(D263="","",IF(I263&lt;&gt;"",I263,H263))</f>
        <v/>
      </c>
      <c r="K263" s="102" t="str">
        <f aca="false">IF(D263="","",IFERROR(VLOOKUP($D263,cfg_LT,3,FALSE()),""))</f>
        <v/>
      </c>
      <c r="L263" s="102" t="str">
        <f aca="false">IF(D263="","",IFERROR(VLOOKUP($D263,cfg_LT,4,FALSE()),""))</f>
        <v/>
      </c>
      <c r="M263" s="102" t="str">
        <f aca="false">IF(D263="","",IFERROR(VLOOKUP($D263,cfg_LT,5,FALSE()),""))</f>
        <v/>
      </c>
      <c r="N263" s="101" t="n">
        <f aca="false">IF(OR(OR($B263="",$E263="",$F263=""),M263&lt;&gt;"نعم"),0,G263*J263*IFERROR(INDEX(الموظفون!$R$6:$R$105,MATCH(B263,الموظفون!$B$6:$B$105,0)),0)/cfg_DAYS_M)</f>
        <v>0</v>
      </c>
      <c r="O263" s="100" t="str">
        <f aca="false">IF(OR(OR($B263="",$E263="",$F263=""),M263&lt;&gt;"نعم"),"",IF(YEAR(E263)=cfg_FY,MONTH(E263),""))</f>
        <v/>
      </c>
      <c r="P263" s="102" t="str">
        <f aca="false">IF(B263="","",IF(OR(D263="",E263="",F263=""),"⚠ أكمل النوع والتواريخ",IF(F263&lt;E263,"✖ النهاية قبل البداية",IF(COUNTIFS($B$6:$B$505,B263,$E$6:$E$505,"&lt;="&amp;F263,$F$6:$F$505,"&gt;="&amp;E263)&gt;1,"⚠ تداخل مع سجل آخر",IF(E263&gt;cfg_VAL_DATE,"⏳ قادمة",IF(F263&lt;cfg_VAL_DATE,"✔ منتهية","✈ جارية في تاريخ التقرير"))))))</f>
        <v/>
      </c>
      <c r="Q263" s="79"/>
      <c r="R263" s="110" t="n">
        <f aca="false">IF(OR(OR($B263="",$E263="",$F263=""),L263&lt;&gt;"لا"),0,MAX(0,MIN(F263,cfg_Y_START-1)-E263+1))</f>
        <v>0</v>
      </c>
      <c r="S263" s="110" t="n">
        <f aca="false">IF(OR(OR($B263="",$E263="",$F263=""),L263&lt;&gt;"لا"),0,MAX(0,MIN(F263,cfg_VAL_DATE)-E263+1))</f>
        <v>0</v>
      </c>
      <c r="T263" s="110" t="n">
        <f aca="false">IF(OR(OR($B263="",$E263="",$F263=""),K263&lt;&gt;"نعم"),0,IF(M263="نعم",IF(AND(ISNUMBER(O263),N(O263)&lt;=cfg_VAL_M),G263,0),MAX(0,MIN(F263,cfg_VAL_DATE)-MAX(E263,cfg_Y_START)+1)))</f>
        <v>0</v>
      </c>
      <c r="V263" s="110" t="n">
        <f aca="false">IF(OR($B263="",$E263="",$F263=""),0,MAX(0,MIN($F263,EOMONTH(DATE(cfg_FY,1,1),0))-MAX($E263,DATE(cfg_FY,1,1))+1)*(1-IF($M263="نعم",0,N($J263))))</f>
        <v>0</v>
      </c>
      <c r="W263" s="110" t="n">
        <f aca="false">IF(OR($B263="",$E263="",$F263=""),0,MAX(0,MIN($F263,EOMONTH(DATE(cfg_FY,2,1),0))-MAX($E263,DATE(cfg_FY,2,1))+1)*(1-IF($M263="نعم",0,N($J263))))</f>
        <v>0</v>
      </c>
      <c r="X263" s="110" t="n">
        <f aca="false">IF(OR($B263="",$E263="",$F263=""),0,MAX(0,MIN($F263,EOMONTH(DATE(cfg_FY,3,1),0))-MAX($E263,DATE(cfg_FY,3,1))+1)*(1-IF($M263="نعم",0,N($J263))))</f>
        <v>0</v>
      </c>
      <c r="Y263" s="110" t="n">
        <f aca="false">IF(OR($B263="",$E263="",$F263=""),0,MAX(0,MIN($F263,EOMONTH(DATE(cfg_FY,4,1),0))-MAX($E263,DATE(cfg_FY,4,1))+1)*(1-IF($M263="نعم",0,N($J263))))</f>
        <v>0</v>
      </c>
      <c r="Z263" s="110" t="n">
        <f aca="false">IF(OR($B263="",$E263="",$F263=""),0,MAX(0,MIN($F263,EOMONTH(DATE(cfg_FY,5,1),0))-MAX($E263,DATE(cfg_FY,5,1))+1)*(1-IF($M263="نعم",0,N($J263))))</f>
        <v>0</v>
      </c>
      <c r="AA263" s="110" t="n">
        <f aca="false">IF(OR($B263="",$E263="",$F263=""),0,MAX(0,MIN($F263,EOMONTH(DATE(cfg_FY,6,1),0))-MAX($E263,DATE(cfg_FY,6,1))+1)*(1-IF($M263="نعم",0,N($J263))))</f>
        <v>0</v>
      </c>
      <c r="AB263" s="110" t="n">
        <f aca="false">IF(OR($B263="",$E263="",$F263=""),0,MAX(0,MIN($F263,EOMONTH(DATE(cfg_FY,7,1),0))-MAX($E263,DATE(cfg_FY,7,1))+1)*(1-IF($M263="نعم",0,N($J263))))</f>
        <v>0</v>
      </c>
      <c r="AC263" s="110" t="n">
        <f aca="false">IF(OR($B263="",$E263="",$F263=""),0,MAX(0,MIN($F263,EOMONTH(DATE(cfg_FY,8,1),0))-MAX($E263,DATE(cfg_FY,8,1))+1)*(1-IF($M263="نعم",0,N($J263))))</f>
        <v>0</v>
      </c>
      <c r="AD263" s="110" t="n">
        <f aca="false">IF(OR($B263="",$E263="",$F263=""),0,MAX(0,MIN($F263,EOMONTH(DATE(cfg_FY,9,1),0))-MAX($E263,DATE(cfg_FY,9,1))+1)*(1-IF($M263="نعم",0,N($J263))))</f>
        <v>0</v>
      </c>
      <c r="AE263" s="110" t="n">
        <f aca="false">IF(OR($B263="",$E263="",$F263=""),0,MAX(0,MIN($F263,EOMONTH(DATE(cfg_FY,10,1),0))-MAX($E263,DATE(cfg_FY,10,1))+1)*(1-IF($M263="نعم",0,N($J263))))</f>
        <v>0</v>
      </c>
      <c r="AF263" s="110" t="n">
        <f aca="false">IF(OR($B263="",$E263="",$F263=""),0,MAX(0,MIN($F263,EOMONTH(DATE(cfg_FY,11,1),0))-MAX($E263,DATE(cfg_FY,11,1))+1)*(1-IF($M263="نعم",0,N($J263))))</f>
        <v>0</v>
      </c>
      <c r="AG263" s="110" t="n">
        <f aca="false">IF(OR($B263="",$E263="",$F263=""),0,MAX(0,MIN($F263,EOMONTH(DATE(cfg_FY,12,1),0))-MAX($E263,DATE(cfg_FY,12,1))+1)*(1-IF($M263="نعم",0,N($J263))))</f>
        <v>0</v>
      </c>
      <c r="AH263" s="110" t="n">
        <f aca="false">IF(OR(OR($B263="",$E263="",$F263=""),$L263&lt;&gt;"لا"),0,MAX(0,MIN($F263,EOMONTH(DATE(cfg_FY,1,1),0))-$E263+1))</f>
        <v>0</v>
      </c>
      <c r="AI263" s="110" t="n">
        <f aca="false">IF(OR(OR($B263="",$E263="",$F263=""),$L263&lt;&gt;"لا"),0,MAX(0,MIN($F263,EOMONTH(DATE(cfg_FY,2,1),0))-$E263+1))</f>
        <v>0</v>
      </c>
      <c r="AJ263" s="110" t="n">
        <f aca="false">IF(OR(OR($B263="",$E263="",$F263=""),$L263&lt;&gt;"لا"),0,MAX(0,MIN($F263,EOMONTH(DATE(cfg_FY,3,1),0))-$E263+1))</f>
        <v>0</v>
      </c>
      <c r="AK263" s="110" t="n">
        <f aca="false">IF(OR(OR($B263="",$E263="",$F263=""),$L263&lt;&gt;"لا"),0,MAX(0,MIN($F263,EOMONTH(DATE(cfg_FY,4,1),0))-$E263+1))</f>
        <v>0</v>
      </c>
      <c r="AL263" s="110" t="n">
        <f aca="false">IF(OR(OR($B263="",$E263="",$F263=""),$L263&lt;&gt;"لا"),0,MAX(0,MIN($F263,EOMONTH(DATE(cfg_FY,5,1),0))-$E263+1))</f>
        <v>0</v>
      </c>
      <c r="AM263" s="110" t="n">
        <f aca="false">IF(OR(OR($B263="",$E263="",$F263=""),$L263&lt;&gt;"لا"),0,MAX(0,MIN($F263,EOMONTH(DATE(cfg_FY,6,1),0))-$E263+1))</f>
        <v>0</v>
      </c>
      <c r="AN263" s="110" t="n">
        <f aca="false">IF(OR(OR($B263="",$E263="",$F263=""),$L263&lt;&gt;"لا"),0,MAX(0,MIN($F263,EOMONTH(DATE(cfg_FY,7,1),0))-$E263+1))</f>
        <v>0</v>
      </c>
      <c r="AO263" s="110" t="n">
        <f aca="false">IF(OR(OR($B263="",$E263="",$F263=""),$L263&lt;&gt;"لا"),0,MAX(0,MIN($F263,EOMONTH(DATE(cfg_FY,8,1),0))-$E263+1))</f>
        <v>0</v>
      </c>
      <c r="AP263" s="110" t="n">
        <f aca="false">IF(OR(OR($B263="",$E263="",$F263=""),$L263&lt;&gt;"لا"),0,MAX(0,MIN($F263,EOMONTH(DATE(cfg_FY,9,1),0))-$E263+1))</f>
        <v>0</v>
      </c>
      <c r="AQ263" s="110" t="n">
        <f aca="false">IF(OR(OR($B263="",$E263="",$F263=""),$L263&lt;&gt;"لا"),0,MAX(0,MIN($F263,EOMONTH(DATE(cfg_FY,10,1),0))-$E263+1))</f>
        <v>0</v>
      </c>
      <c r="AR263" s="110" t="n">
        <f aca="false">IF(OR(OR($B263="",$E263="",$F263=""),$L263&lt;&gt;"لا"),0,MAX(0,MIN($F263,EOMONTH(DATE(cfg_FY,11,1),0))-$E263+1))</f>
        <v>0</v>
      </c>
      <c r="AS263" s="110" t="n">
        <f aca="false">IF(OR(OR($B263="",$E263="",$F263=""),$L263&lt;&gt;"لا"),0,MAX(0,MIN($F263,EOMONTH(DATE(cfg_FY,12,1),0))-$E263+1))</f>
        <v>0</v>
      </c>
      <c r="AT263" s="110" t="n">
        <f aca="false">IF(OR(OR($B263="",$E263="",$F263=""),$K263&lt;&gt;"نعم",$M263="نعم"),0,MAX(0,MIN($F263,EOMONTH(DATE(cfg_FY,1,1),0))-MAX($E263,DATE(cfg_FY,1,1))+1))</f>
        <v>0</v>
      </c>
      <c r="AU263" s="110" t="n">
        <f aca="false">IF(OR(OR($B263="",$E263="",$F263=""),$K263&lt;&gt;"نعم",$M263="نعم"),0,MAX(0,MIN($F263,EOMONTH(DATE(cfg_FY,2,1),0))-MAX($E263,DATE(cfg_FY,2,1))+1))</f>
        <v>0</v>
      </c>
      <c r="AV263" s="110" t="n">
        <f aca="false">IF(OR(OR($B263="",$E263="",$F263=""),$K263&lt;&gt;"نعم",$M263="نعم"),0,MAX(0,MIN($F263,EOMONTH(DATE(cfg_FY,3,1),0))-MAX($E263,DATE(cfg_FY,3,1))+1))</f>
        <v>0</v>
      </c>
      <c r="AW263" s="110" t="n">
        <f aca="false">IF(OR(OR($B263="",$E263="",$F263=""),$K263&lt;&gt;"نعم",$M263="نعم"),0,MAX(0,MIN($F263,EOMONTH(DATE(cfg_FY,4,1),0))-MAX($E263,DATE(cfg_FY,4,1))+1))</f>
        <v>0</v>
      </c>
      <c r="AX263" s="110" t="n">
        <f aca="false">IF(OR(OR($B263="",$E263="",$F263=""),$K263&lt;&gt;"نعم",$M263="نعم"),0,MAX(0,MIN($F263,EOMONTH(DATE(cfg_FY,5,1),0))-MAX($E263,DATE(cfg_FY,5,1))+1))</f>
        <v>0</v>
      </c>
      <c r="AY263" s="110" t="n">
        <f aca="false">IF(OR(OR($B263="",$E263="",$F263=""),$K263&lt;&gt;"نعم",$M263="نعم"),0,MAX(0,MIN($F263,EOMONTH(DATE(cfg_FY,6,1),0))-MAX($E263,DATE(cfg_FY,6,1))+1))</f>
        <v>0</v>
      </c>
      <c r="AZ263" s="110" t="n">
        <f aca="false">IF(OR(OR($B263="",$E263="",$F263=""),$K263&lt;&gt;"نعم",$M263="نعم"),0,MAX(0,MIN($F263,EOMONTH(DATE(cfg_FY,7,1),0))-MAX($E263,DATE(cfg_FY,7,1))+1))</f>
        <v>0</v>
      </c>
      <c r="BA263" s="110" t="n">
        <f aca="false">IF(OR(OR($B263="",$E263="",$F263=""),$K263&lt;&gt;"نعم",$M263="نعم"),0,MAX(0,MIN($F263,EOMONTH(DATE(cfg_FY,8,1),0))-MAX($E263,DATE(cfg_FY,8,1))+1))</f>
        <v>0</v>
      </c>
      <c r="BB263" s="110" t="n">
        <f aca="false">IF(OR(OR($B263="",$E263="",$F263=""),$K263&lt;&gt;"نعم",$M263="نعم"),0,MAX(0,MIN($F263,EOMONTH(DATE(cfg_FY,9,1),0))-MAX($E263,DATE(cfg_FY,9,1))+1))</f>
        <v>0</v>
      </c>
      <c r="BC263" s="110" t="n">
        <f aca="false">IF(OR(OR($B263="",$E263="",$F263=""),$K263&lt;&gt;"نعم",$M263="نعم"),0,MAX(0,MIN($F263,EOMONTH(DATE(cfg_FY,10,1),0))-MAX($E263,DATE(cfg_FY,10,1))+1))</f>
        <v>0</v>
      </c>
      <c r="BD263" s="110" t="n">
        <f aca="false">IF(OR(OR($B263="",$E263="",$F263=""),$K263&lt;&gt;"نعم",$M263="نعم"),0,MAX(0,MIN($F263,EOMONTH(DATE(cfg_FY,11,1),0))-MAX($E263,DATE(cfg_FY,11,1))+1))</f>
        <v>0</v>
      </c>
      <c r="BE263" s="110" t="n">
        <f aca="false">IF(OR(OR($B263="",$E263="",$F263=""),$K263&lt;&gt;"نعم",$M263="نعم"),0,MAX(0,MIN($F263,EOMONTH(DATE(cfg_FY,12,1),0))-MAX($E263,DATE(cfg_FY,12,1))+1))</f>
        <v>0</v>
      </c>
    </row>
    <row r="264" customFormat="false" ht="15" hidden="false" customHeight="false" outlineLevel="0" collapsed="false">
      <c r="A264" s="93" t="str">
        <f aca="false">IF(B264="","",ROW()-5)</f>
        <v/>
      </c>
      <c r="B264" s="79"/>
      <c r="C264" s="80" t="str">
        <f aca="false">IF(B264="","",IFERROR(INDEX(الموظفون!$C$6:$C$105,MATCH(B264,الموظفون!$B$6:$B$105,0)),"✖ رقم غير موجود"))</f>
        <v/>
      </c>
      <c r="D264" s="79"/>
      <c r="E264" s="94"/>
      <c r="F264" s="94"/>
      <c r="G264" s="57" t="str">
        <f aca="false">IF(OR($B264="",$E264="",$F264=""),"",MAX(0,F264-E264+1))</f>
        <v/>
      </c>
      <c r="H264" s="58" t="str">
        <f aca="false">IF(D264="","",IFERROR(VLOOKUP(D264,cfg_LT,2,FALSE()),1))</f>
        <v/>
      </c>
      <c r="I264" s="82"/>
      <c r="J264" s="58" t="str">
        <f aca="false">IF(D264="","",IF(I264&lt;&gt;"",I264,H264))</f>
        <v/>
      </c>
      <c r="K264" s="80" t="str">
        <f aca="false">IF(D264="","",IFERROR(VLOOKUP($D264,cfg_LT,3,FALSE()),""))</f>
        <v/>
      </c>
      <c r="L264" s="80" t="str">
        <f aca="false">IF(D264="","",IFERROR(VLOOKUP($D264,cfg_LT,4,FALSE()),""))</f>
        <v/>
      </c>
      <c r="M264" s="80" t="str">
        <f aca="false">IF(D264="","",IFERROR(VLOOKUP($D264,cfg_LT,5,FALSE()),""))</f>
        <v/>
      </c>
      <c r="N264" s="97" t="n">
        <f aca="false">IF(OR(OR($B264="",$E264="",$F264=""),M264&lt;&gt;"نعم"),0,G264*J264*IFERROR(INDEX(الموظفون!$R$6:$R$105,MATCH(B264,الموظفون!$B$6:$B$105,0)),0)/cfg_DAYS_M)</f>
        <v>0</v>
      </c>
      <c r="O264" s="93" t="str">
        <f aca="false">IF(OR(OR($B264="",$E264="",$F264=""),M264&lt;&gt;"نعم"),"",IF(YEAR(E264)=cfg_FY,MONTH(E264),""))</f>
        <v/>
      </c>
      <c r="P264" s="80" t="str">
        <f aca="false">IF(B264="","",IF(OR(D264="",E264="",F264=""),"⚠ أكمل النوع والتواريخ",IF(F264&lt;E264,"✖ النهاية قبل البداية",IF(COUNTIFS($B$6:$B$505,B264,$E$6:$E$505,"&lt;="&amp;F264,$F$6:$F$505,"&gt;="&amp;E264)&gt;1,"⚠ تداخل مع سجل آخر",IF(E264&gt;cfg_VAL_DATE,"⏳ قادمة",IF(F264&lt;cfg_VAL_DATE,"✔ منتهية","✈ جارية في تاريخ التقرير"))))))</f>
        <v/>
      </c>
      <c r="Q264" s="79"/>
      <c r="R264" s="57" t="n">
        <f aca="false">IF(OR(OR($B264="",$E264="",$F264=""),L264&lt;&gt;"لا"),0,MAX(0,MIN(F264,cfg_Y_START-1)-E264+1))</f>
        <v>0</v>
      </c>
      <c r="S264" s="57" t="n">
        <f aca="false">IF(OR(OR($B264="",$E264="",$F264=""),L264&lt;&gt;"لا"),0,MAX(0,MIN(F264,cfg_VAL_DATE)-E264+1))</f>
        <v>0</v>
      </c>
      <c r="T264" s="57" t="n">
        <f aca="false">IF(OR(OR($B264="",$E264="",$F264=""),K264&lt;&gt;"نعم"),0,IF(M264="نعم",IF(AND(ISNUMBER(O264),N(O264)&lt;=cfg_VAL_M),G264,0),MAX(0,MIN(F264,cfg_VAL_DATE)-MAX(E264,cfg_Y_START)+1)))</f>
        <v>0</v>
      </c>
      <c r="V264" s="57" t="n">
        <f aca="false">IF(OR($B264="",$E264="",$F264=""),0,MAX(0,MIN($F264,EOMONTH(DATE(cfg_FY,1,1),0))-MAX($E264,DATE(cfg_FY,1,1))+1)*(1-IF($M264="نعم",0,N($J264))))</f>
        <v>0</v>
      </c>
      <c r="W264" s="57" t="n">
        <f aca="false">IF(OR($B264="",$E264="",$F264=""),0,MAX(0,MIN($F264,EOMONTH(DATE(cfg_FY,2,1),0))-MAX($E264,DATE(cfg_FY,2,1))+1)*(1-IF($M264="نعم",0,N($J264))))</f>
        <v>0</v>
      </c>
      <c r="X264" s="57" t="n">
        <f aca="false">IF(OR($B264="",$E264="",$F264=""),0,MAX(0,MIN($F264,EOMONTH(DATE(cfg_FY,3,1),0))-MAX($E264,DATE(cfg_FY,3,1))+1)*(1-IF($M264="نعم",0,N($J264))))</f>
        <v>0</v>
      </c>
      <c r="Y264" s="57" t="n">
        <f aca="false">IF(OR($B264="",$E264="",$F264=""),0,MAX(0,MIN($F264,EOMONTH(DATE(cfg_FY,4,1),0))-MAX($E264,DATE(cfg_FY,4,1))+1)*(1-IF($M264="نعم",0,N($J264))))</f>
        <v>0</v>
      </c>
      <c r="Z264" s="57" t="n">
        <f aca="false">IF(OR($B264="",$E264="",$F264=""),0,MAX(0,MIN($F264,EOMONTH(DATE(cfg_FY,5,1),0))-MAX($E264,DATE(cfg_FY,5,1))+1)*(1-IF($M264="نعم",0,N($J264))))</f>
        <v>0</v>
      </c>
      <c r="AA264" s="57" t="n">
        <f aca="false">IF(OR($B264="",$E264="",$F264=""),0,MAX(0,MIN($F264,EOMONTH(DATE(cfg_FY,6,1),0))-MAX($E264,DATE(cfg_FY,6,1))+1)*(1-IF($M264="نعم",0,N($J264))))</f>
        <v>0</v>
      </c>
      <c r="AB264" s="57" t="n">
        <f aca="false">IF(OR($B264="",$E264="",$F264=""),0,MAX(0,MIN($F264,EOMONTH(DATE(cfg_FY,7,1),0))-MAX($E264,DATE(cfg_FY,7,1))+1)*(1-IF($M264="نعم",0,N($J264))))</f>
        <v>0</v>
      </c>
      <c r="AC264" s="57" t="n">
        <f aca="false">IF(OR($B264="",$E264="",$F264=""),0,MAX(0,MIN($F264,EOMONTH(DATE(cfg_FY,8,1),0))-MAX($E264,DATE(cfg_FY,8,1))+1)*(1-IF($M264="نعم",0,N($J264))))</f>
        <v>0</v>
      </c>
      <c r="AD264" s="57" t="n">
        <f aca="false">IF(OR($B264="",$E264="",$F264=""),0,MAX(0,MIN($F264,EOMONTH(DATE(cfg_FY,9,1),0))-MAX($E264,DATE(cfg_FY,9,1))+1)*(1-IF($M264="نعم",0,N($J264))))</f>
        <v>0</v>
      </c>
      <c r="AE264" s="57" t="n">
        <f aca="false">IF(OR($B264="",$E264="",$F264=""),0,MAX(0,MIN($F264,EOMONTH(DATE(cfg_FY,10,1),0))-MAX($E264,DATE(cfg_FY,10,1))+1)*(1-IF($M264="نعم",0,N($J264))))</f>
        <v>0</v>
      </c>
      <c r="AF264" s="57" t="n">
        <f aca="false">IF(OR($B264="",$E264="",$F264=""),0,MAX(0,MIN($F264,EOMONTH(DATE(cfg_FY,11,1),0))-MAX($E264,DATE(cfg_FY,11,1))+1)*(1-IF($M264="نعم",0,N($J264))))</f>
        <v>0</v>
      </c>
      <c r="AG264" s="57" t="n">
        <f aca="false">IF(OR($B264="",$E264="",$F264=""),0,MAX(0,MIN($F264,EOMONTH(DATE(cfg_FY,12,1),0))-MAX($E264,DATE(cfg_FY,12,1))+1)*(1-IF($M264="نعم",0,N($J264))))</f>
        <v>0</v>
      </c>
      <c r="AH264" s="57" t="n">
        <f aca="false">IF(OR(OR($B264="",$E264="",$F264=""),$L264&lt;&gt;"لا"),0,MAX(0,MIN($F264,EOMONTH(DATE(cfg_FY,1,1),0))-$E264+1))</f>
        <v>0</v>
      </c>
      <c r="AI264" s="57" t="n">
        <f aca="false">IF(OR(OR($B264="",$E264="",$F264=""),$L264&lt;&gt;"لا"),0,MAX(0,MIN($F264,EOMONTH(DATE(cfg_FY,2,1),0))-$E264+1))</f>
        <v>0</v>
      </c>
      <c r="AJ264" s="57" t="n">
        <f aca="false">IF(OR(OR($B264="",$E264="",$F264=""),$L264&lt;&gt;"لا"),0,MAX(0,MIN($F264,EOMONTH(DATE(cfg_FY,3,1),0))-$E264+1))</f>
        <v>0</v>
      </c>
      <c r="AK264" s="57" t="n">
        <f aca="false">IF(OR(OR($B264="",$E264="",$F264=""),$L264&lt;&gt;"لا"),0,MAX(0,MIN($F264,EOMONTH(DATE(cfg_FY,4,1),0))-$E264+1))</f>
        <v>0</v>
      </c>
      <c r="AL264" s="57" t="n">
        <f aca="false">IF(OR(OR($B264="",$E264="",$F264=""),$L264&lt;&gt;"لا"),0,MAX(0,MIN($F264,EOMONTH(DATE(cfg_FY,5,1),0))-$E264+1))</f>
        <v>0</v>
      </c>
      <c r="AM264" s="57" t="n">
        <f aca="false">IF(OR(OR($B264="",$E264="",$F264=""),$L264&lt;&gt;"لا"),0,MAX(0,MIN($F264,EOMONTH(DATE(cfg_FY,6,1),0))-$E264+1))</f>
        <v>0</v>
      </c>
      <c r="AN264" s="57" t="n">
        <f aca="false">IF(OR(OR($B264="",$E264="",$F264=""),$L264&lt;&gt;"لا"),0,MAX(0,MIN($F264,EOMONTH(DATE(cfg_FY,7,1),0))-$E264+1))</f>
        <v>0</v>
      </c>
      <c r="AO264" s="57" t="n">
        <f aca="false">IF(OR(OR($B264="",$E264="",$F264=""),$L264&lt;&gt;"لا"),0,MAX(0,MIN($F264,EOMONTH(DATE(cfg_FY,8,1),0))-$E264+1))</f>
        <v>0</v>
      </c>
      <c r="AP264" s="57" t="n">
        <f aca="false">IF(OR(OR($B264="",$E264="",$F264=""),$L264&lt;&gt;"لا"),0,MAX(0,MIN($F264,EOMONTH(DATE(cfg_FY,9,1),0))-$E264+1))</f>
        <v>0</v>
      </c>
      <c r="AQ264" s="57" t="n">
        <f aca="false">IF(OR(OR($B264="",$E264="",$F264=""),$L264&lt;&gt;"لا"),0,MAX(0,MIN($F264,EOMONTH(DATE(cfg_FY,10,1),0))-$E264+1))</f>
        <v>0</v>
      </c>
      <c r="AR264" s="57" t="n">
        <f aca="false">IF(OR(OR($B264="",$E264="",$F264=""),$L264&lt;&gt;"لا"),0,MAX(0,MIN($F264,EOMONTH(DATE(cfg_FY,11,1),0))-$E264+1))</f>
        <v>0</v>
      </c>
      <c r="AS264" s="57" t="n">
        <f aca="false">IF(OR(OR($B264="",$E264="",$F264=""),$L264&lt;&gt;"لا"),0,MAX(0,MIN($F264,EOMONTH(DATE(cfg_FY,12,1),0))-$E264+1))</f>
        <v>0</v>
      </c>
      <c r="AT264" s="57" t="n">
        <f aca="false">IF(OR(OR($B264="",$E264="",$F264=""),$K264&lt;&gt;"نعم",$M264="نعم"),0,MAX(0,MIN($F264,EOMONTH(DATE(cfg_FY,1,1),0))-MAX($E264,DATE(cfg_FY,1,1))+1))</f>
        <v>0</v>
      </c>
      <c r="AU264" s="57" t="n">
        <f aca="false">IF(OR(OR($B264="",$E264="",$F264=""),$K264&lt;&gt;"نعم",$M264="نعم"),0,MAX(0,MIN($F264,EOMONTH(DATE(cfg_FY,2,1),0))-MAX($E264,DATE(cfg_FY,2,1))+1))</f>
        <v>0</v>
      </c>
      <c r="AV264" s="57" t="n">
        <f aca="false">IF(OR(OR($B264="",$E264="",$F264=""),$K264&lt;&gt;"نعم",$M264="نعم"),0,MAX(0,MIN($F264,EOMONTH(DATE(cfg_FY,3,1),0))-MAX($E264,DATE(cfg_FY,3,1))+1))</f>
        <v>0</v>
      </c>
      <c r="AW264" s="57" t="n">
        <f aca="false">IF(OR(OR($B264="",$E264="",$F264=""),$K264&lt;&gt;"نعم",$M264="نعم"),0,MAX(0,MIN($F264,EOMONTH(DATE(cfg_FY,4,1),0))-MAX($E264,DATE(cfg_FY,4,1))+1))</f>
        <v>0</v>
      </c>
      <c r="AX264" s="57" t="n">
        <f aca="false">IF(OR(OR($B264="",$E264="",$F264=""),$K264&lt;&gt;"نعم",$M264="نعم"),0,MAX(0,MIN($F264,EOMONTH(DATE(cfg_FY,5,1),0))-MAX($E264,DATE(cfg_FY,5,1))+1))</f>
        <v>0</v>
      </c>
      <c r="AY264" s="57" t="n">
        <f aca="false">IF(OR(OR($B264="",$E264="",$F264=""),$K264&lt;&gt;"نعم",$M264="نعم"),0,MAX(0,MIN($F264,EOMONTH(DATE(cfg_FY,6,1),0))-MAX($E264,DATE(cfg_FY,6,1))+1))</f>
        <v>0</v>
      </c>
      <c r="AZ264" s="57" t="n">
        <f aca="false">IF(OR(OR($B264="",$E264="",$F264=""),$K264&lt;&gt;"نعم",$M264="نعم"),0,MAX(0,MIN($F264,EOMONTH(DATE(cfg_FY,7,1),0))-MAX($E264,DATE(cfg_FY,7,1))+1))</f>
        <v>0</v>
      </c>
      <c r="BA264" s="57" t="n">
        <f aca="false">IF(OR(OR($B264="",$E264="",$F264=""),$K264&lt;&gt;"نعم",$M264="نعم"),0,MAX(0,MIN($F264,EOMONTH(DATE(cfg_FY,8,1),0))-MAX($E264,DATE(cfg_FY,8,1))+1))</f>
        <v>0</v>
      </c>
      <c r="BB264" s="57" t="n">
        <f aca="false">IF(OR(OR($B264="",$E264="",$F264=""),$K264&lt;&gt;"نعم",$M264="نعم"),0,MAX(0,MIN($F264,EOMONTH(DATE(cfg_FY,9,1),0))-MAX($E264,DATE(cfg_FY,9,1))+1))</f>
        <v>0</v>
      </c>
      <c r="BC264" s="57" t="n">
        <f aca="false">IF(OR(OR($B264="",$E264="",$F264=""),$K264&lt;&gt;"نعم",$M264="نعم"),0,MAX(0,MIN($F264,EOMONTH(DATE(cfg_FY,10,1),0))-MAX($E264,DATE(cfg_FY,10,1))+1))</f>
        <v>0</v>
      </c>
      <c r="BD264" s="57" t="n">
        <f aca="false">IF(OR(OR($B264="",$E264="",$F264=""),$K264&lt;&gt;"نعم",$M264="نعم"),0,MAX(0,MIN($F264,EOMONTH(DATE(cfg_FY,11,1),0))-MAX($E264,DATE(cfg_FY,11,1))+1))</f>
        <v>0</v>
      </c>
      <c r="BE264" s="57" t="n">
        <f aca="false">IF(OR(OR($B264="",$E264="",$F264=""),$K264&lt;&gt;"نعم",$M264="نعم"),0,MAX(0,MIN($F264,EOMONTH(DATE(cfg_FY,12,1),0))-MAX($E264,DATE(cfg_FY,12,1))+1))</f>
        <v>0</v>
      </c>
    </row>
    <row r="265" customFormat="false" ht="15" hidden="false" customHeight="false" outlineLevel="0" collapsed="false">
      <c r="A265" s="100" t="str">
        <f aca="false">IF(B265="","",ROW()-5)</f>
        <v/>
      </c>
      <c r="B265" s="79"/>
      <c r="C265" s="102" t="str">
        <f aca="false">IF(B265="","",IFERROR(INDEX(الموظفون!$C$6:$C$105,MATCH(B265,الموظفون!$B$6:$B$105,0)),"✖ رقم غير موجود"))</f>
        <v/>
      </c>
      <c r="D265" s="79"/>
      <c r="E265" s="94"/>
      <c r="F265" s="94"/>
      <c r="G265" s="110" t="str">
        <f aca="false">IF(OR($B265="",$E265="",$F265=""),"",MAX(0,F265-E265+1))</f>
        <v/>
      </c>
      <c r="H265" s="111" t="str">
        <f aca="false">IF(D265="","",IFERROR(VLOOKUP(D265,cfg_LT,2,FALSE()),1))</f>
        <v/>
      </c>
      <c r="I265" s="82"/>
      <c r="J265" s="111" t="str">
        <f aca="false">IF(D265="","",IF(I265&lt;&gt;"",I265,H265))</f>
        <v/>
      </c>
      <c r="K265" s="102" t="str">
        <f aca="false">IF(D265="","",IFERROR(VLOOKUP($D265,cfg_LT,3,FALSE()),""))</f>
        <v/>
      </c>
      <c r="L265" s="102" t="str">
        <f aca="false">IF(D265="","",IFERROR(VLOOKUP($D265,cfg_LT,4,FALSE()),""))</f>
        <v/>
      </c>
      <c r="M265" s="102" t="str">
        <f aca="false">IF(D265="","",IFERROR(VLOOKUP($D265,cfg_LT,5,FALSE()),""))</f>
        <v/>
      </c>
      <c r="N265" s="101" t="n">
        <f aca="false">IF(OR(OR($B265="",$E265="",$F265=""),M265&lt;&gt;"نعم"),0,G265*J265*IFERROR(INDEX(الموظفون!$R$6:$R$105,MATCH(B265,الموظفون!$B$6:$B$105,0)),0)/cfg_DAYS_M)</f>
        <v>0</v>
      </c>
      <c r="O265" s="100" t="str">
        <f aca="false">IF(OR(OR($B265="",$E265="",$F265=""),M265&lt;&gt;"نعم"),"",IF(YEAR(E265)=cfg_FY,MONTH(E265),""))</f>
        <v/>
      </c>
      <c r="P265" s="102" t="str">
        <f aca="false">IF(B265="","",IF(OR(D265="",E265="",F265=""),"⚠ أكمل النوع والتواريخ",IF(F265&lt;E265,"✖ النهاية قبل البداية",IF(COUNTIFS($B$6:$B$505,B265,$E$6:$E$505,"&lt;="&amp;F265,$F$6:$F$505,"&gt;="&amp;E265)&gt;1,"⚠ تداخل مع سجل آخر",IF(E265&gt;cfg_VAL_DATE,"⏳ قادمة",IF(F265&lt;cfg_VAL_DATE,"✔ منتهية","✈ جارية في تاريخ التقرير"))))))</f>
        <v/>
      </c>
      <c r="Q265" s="79"/>
      <c r="R265" s="110" t="n">
        <f aca="false">IF(OR(OR($B265="",$E265="",$F265=""),L265&lt;&gt;"لا"),0,MAX(0,MIN(F265,cfg_Y_START-1)-E265+1))</f>
        <v>0</v>
      </c>
      <c r="S265" s="110" t="n">
        <f aca="false">IF(OR(OR($B265="",$E265="",$F265=""),L265&lt;&gt;"لا"),0,MAX(0,MIN(F265,cfg_VAL_DATE)-E265+1))</f>
        <v>0</v>
      </c>
      <c r="T265" s="110" t="n">
        <f aca="false">IF(OR(OR($B265="",$E265="",$F265=""),K265&lt;&gt;"نعم"),0,IF(M265="نعم",IF(AND(ISNUMBER(O265),N(O265)&lt;=cfg_VAL_M),G265,0),MAX(0,MIN(F265,cfg_VAL_DATE)-MAX(E265,cfg_Y_START)+1)))</f>
        <v>0</v>
      </c>
      <c r="V265" s="110" t="n">
        <f aca="false">IF(OR($B265="",$E265="",$F265=""),0,MAX(0,MIN($F265,EOMONTH(DATE(cfg_FY,1,1),0))-MAX($E265,DATE(cfg_FY,1,1))+1)*(1-IF($M265="نعم",0,N($J265))))</f>
        <v>0</v>
      </c>
      <c r="W265" s="110" t="n">
        <f aca="false">IF(OR($B265="",$E265="",$F265=""),0,MAX(0,MIN($F265,EOMONTH(DATE(cfg_FY,2,1),0))-MAX($E265,DATE(cfg_FY,2,1))+1)*(1-IF($M265="نعم",0,N($J265))))</f>
        <v>0</v>
      </c>
      <c r="X265" s="110" t="n">
        <f aca="false">IF(OR($B265="",$E265="",$F265=""),0,MAX(0,MIN($F265,EOMONTH(DATE(cfg_FY,3,1),0))-MAX($E265,DATE(cfg_FY,3,1))+1)*(1-IF($M265="نعم",0,N($J265))))</f>
        <v>0</v>
      </c>
      <c r="Y265" s="110" t="n">
        <f aca="false">IF(OR($B265="",$E265="",$F265=""),0,MAX(0,MIN($F265,EOMONTH(DATE(cfg_FY,4,1),0))-MAX($E265,DATE(cfg_FY,4,1))+1)*(1-IF($M265="نعم",0,N($J265))))</f>
        <v>0</v>
      </c>
      <c r="Z265" s="110" t="n">
        <f aca="false">IF(OR($B265="",$E265="",$F265=""),0,MAX(0,MIN($F265,EOMONTH(DATE(cfg_FY,5,1),0))-MAX($E265,DATE(cfg_FY,5,1))+1)*(1-IF($M265="نعم",0,N($J265))))</f>
        <v>0</v>
      </c>
      <c r="AA265" s="110" t="n">
        <f aca="false">IF(OR($B265="",$E265="",$F265=""),0,MAX(0,MIN($F265,EOMONTH(DATE(cfg_FY,6,1),0))-MAX($E265,DATE(cfg_FY,6,1))+1)*(1-IF($M265="نعم",0,N($J265))))</f>
        <v>0</v>
      </c>
      <c r="AB265" s="110" t="n">
        <f aca="false">IF(OR($B265="",$E265="",$F265=""),0,MAX(0,MIN($F265,EOMONTH(DATE(cfg_FY,7,1),0))-MAX($E265,DATE(cfg_FY,7,1))+1)*(1-IF($M265="نعم",0,N($J265))))</f>
        <v>0</v>
      </c>
      <c r="AC265" s="110" t="n">
        <f aca="false">IF(OR($B265="",$E265="",$F265=""),0,MAX(0,MIN($F265,EOMONTH(DATE(cfg_FY,8,1),0))-MAX($E265,DATE(cfg_FY,8,1))+1)*(1-IF($M265="نعم",0,N($J265))))</f>
        <v>0</v>
      </c>
      <c r="AD265" s="110" t="n">
        <f aca="false">IF(OR($B265="",$E265="",$F265=""),0,MAX(0,MIN($F265,EOMONTH(DATE(cfg_FY,9,1),0))-MAX($E265,DATE(cfg_FY,9,1))+1)*(1-IF($M265="نعم",0,N($J265))))</f>
        <v>0</v>
      </c>
      <c r="AE265" s="110" t="n">
        <f aca="false">IF(OR($B265="",$E265="",$F265=""),0,MAX(0,MIN($F265,EOMONTH(DATE(cfg_FY,10,1),0))-MAX($E265,DATE(cfg_FY,10,1))+1)*(1-IF($M265="نعم",0,N($J265))))</f>
        <v>0</v>
      </c>
      <c r="AF265" s="110" t="n">
        <f aca="false">IF(OR($B265="",$E265="",$F265=""),0,MAX(0,MIN($F265,EOMONTH(DATE(cfg_FY,11,1),0))-MAX($E265,DATE(cfg_FY,11,1))+1)*(1-IF($M265="نعم",0,N($J265))))</f>
        <v>0</v>
      </c>
      <c r="AG265" s="110" t="n">
        <f aca="false">IF(OR($B265="",$E265="",$F265=""),0,MAX(0,MIN($F265,EOMONTH(DATE(cfg_FY,12,1),0))-MAX($E265,DATE(cfg_FY,12,1))+1)*(1-IF($M265="نعم",0,N($J265))))</f>
        <v>0</v>
      </c>
      <c r="AH265" s="110" t="n">
        <f aca="false">IF(OR(OR($B265="",$E265="",$F265=""),$L265&lt;&gt;"لا"),0,MAX(0,MIN($F265,EOMONTH(DATE(cfg_FY,1,1),0))-$E265+1))</f>
        <v>0</v>
      </c>
      <c r="AI265" s="110" t="n">
        <f aca="false">IF(OR(OR($B265="",$E265="",$F265=""),$L265&lt;&gt;"لا"),0,MAX(0,MIN($F265,EOMONTH(DATE(cfg_FY,2,1),0))-$E265+1))</f>
        <v>0</v>
      </c>
      <c r="AJ265" s="110" t="n">
        <f aca="false">IF(OR(OR($B265="",$E265="",$F265=""),$L265&lt;&gt;"لا"),0,MAX(0,MIN($F265,EOMONTH(DATE(cfg_FY,3,1),0))-$E265+1))</f>
        <v>0</v>
      </c>
      <c r="AK265" s="110" t="n">
        <f aca="false">IF(OR(OR($B265="",$E265="",$F265=""),$L265&lt;&gt;"لا"),0,MAX(0,MIN($F265,EOMONTH(DATE(cfg_FY,4,1),0))-$E265+1))</f>
        <v>0</v>
      </c>
      <c r="AL265" s="110" t="n">
        <f aca="false">IF(OR(OR($B265="",$E265="",$F265=""),$L265&lt;&gt;"لا"),0,MAX(0,MIN($F265,EOMONTH(DATE(cfg_FY,5,1),0))-$E265+1))</f>
        <v>0</v>
      </c>
      <c r="AM265" s="110" t="n">
        <f aca="false">IF(OR(OR($B265="",$E265="",$F265=""),$L265&lt;&gt;"لا"),0,MAX(0,MIN($F265,EOMONTH(DATE(cfg_FY,6,1),0))-$E265+1))</f>
        <v>0</v>
      </c>
      <c r="AN265" s="110" t="n">
        <f aca="false">IF(OR(OR($B265="",$E265="",$F265=""),$L265&lt;&gt;"لا"),0,MAX(0,MIN($F265,EOMONTH(DATE(cfg_FY,7,1),0))-$E265+1))</f>
        <v>0</v>
      </c>
      <c r="AO265" s="110" t="n">
        <f aca="false">IF(OR(OR($B265="",$E265="",$F265=""),$L265&lt;&gt;"لا"),0,MAX(0,MIN($F265,EOMONTH(DATE(cfg_FY,8,1),0))-$E265+1))</f>
        <v>0</v>
      </c>
      <c r="AP265" s="110" t="n">
        <f aca="false">IF(OR(OR($B265="",$E265="",$F265=""),$L265&lt;&gt;"لا"),0,MAX(0,MIN($F265,EOMONTH(DATE(cfg_FY,9,1),0))-$E265+1))</f>
        <v>0</v>
      </c>
      <c r="AQ265" s="110" t="n">
        <f aca="false">IF(OR(OR($B265="",$E265="",$F265=""),$L265&lt;&gt;"لا"),0,MAX(0,MIN($F265,EOMONTH(DATE(cfg_FY,10,1),0))-$E265+1))</f>
        <v>0</v>
      </c>
      <c r="AR265" s="110" t="n">
        <f aca="false">IF(OR(OR($B265="",$E265="",$F265=""),$L265&lt;&gt;"لا"),0,MAX(0,MIN($F265,EOMONTH(DATE(cfg_FY,11,1),0))-$E265+1))</f>
        <v>0</v>
      </c>
      <c r="AS265" s="110" t="n">
        <f aca="false">IF(OR(OR($B265="",$E265="",$F265=""),$L265&lt;&gt;"لا"),0,MAX(0,MIN($F265,EOMONTH(DATE(cfg_FY,12,1),0))-$E265+1))</f>
        <v>0</v>
      </c>
      <c r="AT265" s="110" t="n">
        <f aca="false">IF(OR(OR($B265="",$E265="",$F265=""),$K265&lt;&gt;"نعم",$M265="نعم"),0,MAX(0,MIN($F265,EOMONTH(DATE(cfg_FY,1,1),0))-MAX($E265,DATE(cfg_FY,1,1))+1))</f>
        <v>0</v>
      </c>
      <c r="AU265" s="110" t="n">
        <f aca="false">IF(OR(OR($B265="",$E265="",$F265=""),$K265&lt;&gt;"نعم",$M265="نعم"),0,MAX(0,MIN($F265,EOMONTH(DATE(cfg_FY,2,1),0))-MAX($E265,DATE(cfg_FY,2,1))+1))</f>
        <v>0</v>
      </c>
      <c r="AV265" s="110" t="n">
        <f aca="false">IF(OR(OR($B265="",$E265="",$F265=""),$K265&lt;&gt;"نعم",$M265="نعم"),0,MAX(0,MIN($F265,EOMONTH(DATE(cfg_FY,3,1),0))-MAX($E265,DATE(cfg_FY,3,1))+1))</f>
        <v>0</v>
      </c>
      <c r="AW265" s="110" t="n">
        <f aca="false">IF(OR(OR($B265="",$E265="",$F265=""),$K265&lt;&gt;"نعم",$M265="نعم"),0,MAX(0,MIN($F265,EOMONTH(DATE(cfg_FY,4,1),0))-MAX($E265,DATE(cfg_FY,4,1))+1))</f>
        <v>0</v>
      </c>
      <c r="AX265" s="110" t="n">
        <f aca="false">IF(OR(OR($B265="",$E265="",$F265=""),$K265&lt;&gt;"نعم",$M265="نعم"),0,MAX(0,MIN($F265,EOMONTH(DATE(cfg_FY,5,1),0))-MAX($E265,DATE(cfg_FY,5,1))+1))</f>
        <v>0</v>
      </c>
      <c r="AY265" s="110" t="n">
        <f aca="false">IF(OR(OR($B265="",$E265="",$F265=""),$K265&lt;&gt;"نعم",$M265="نعم"),0,MAX(0,MIN($F265,EOMONTH(DATE(cfg_FY,6,1),0))-MAX($E265,DATE(cfg_FY,6,1))+1))</f>
        <v>0</v>
      </c>
      <c r="AZ265" s="110" t="n">
        <f aca="false">IF(OR(OR($B265="",$E265="",$F265=""),$K265&lt;&gt;"نعم",$M265="نعم"),0,MAX(0,MIN($F265,EOMONTH(DATE(cfg_FY,7,1),0))-MAX($E265,DATE(cfg_FY,7,1))+1))</f>
        <v>0</v>
      </c>
      <c r="BA265" s="110" t="n">
        <f aca="false">IF(OR(OR($B265="",$E265="",$F265=""),$K265&lt;&gt;"نعم",$M265="نعم"),0,MAX(0,MIN($F265,EOMONTH(DATE(cfg_FY,8,1),0))-MAX($E265,DATE(cfg_FY,8,1))+1))</f>
        <v>0</v>
      </c>
      <c r="BB265" s="110" t="n">
        <f aca="false">IF(OR(OR($B265="",$E265="",$F265=""),$K265&lt;&gt;"نعم",$M265="نعم"),0,MAX(0,MIN($F265,EOMONTH(DATE(cfg_FY,9,1),0))-MAX($E265,DATE(cfg_FY,9,1))+1))</f>
        <v>0</v>
      </c>
      <c r="BC265" s="110" t="n">
        <f aca="false">IF(OR(OR($B265="",$E265="",$F265=""),$K265&lt;&gt;"نعم",$M265="نعم"),0,MAX(0,MIN($F265,EOMONTH(DATE(cfg_FY,10,1),0))-MAX($E265,DATE(cfg_FY,10,1))+1))</f>
        <v>0</v>
      </c>
      <c r="BD265" s="110" t="n">
        <f aca="false">IF(OR(OR($B265="",$E265="",$F265=""),$K265&lt;&gt;"نعم",$M265="نعم"),0,MAX(0,MIN($F265,EOMONTH(DATE(cfg_FY,11,1),0))-MAX($E265,DATE(cfg_FY,11,1))+1))</f>
        <v>0</v>
      </c>
      <c r="BE265" s="110" t="n">
        <f aca="false">IF(OR(OR($B265="",$E265="",$F265=""),$K265&lt;&gt;"نعم",$M265="نعم"),0,MAX(0,MIN($F265,EOMONTH(DATE(cfg_FY,12,1),0))-MAX($E265,DATE(cfg_FY,12,1))+1))</f>
        <v>0</v>
      </c>
    </row>
    <row r="266" customFormat="false" ht="15" hidden="false" customHeight="false" outlineLevel="0" collapsed="false">
      <c r="A266" s="93" t="str">
        <f aca="false">IF(B266="","",ROW()-5)</f>
        <v/>
      </c>
      <c r="B266" s="79"/>
      <c r="C266" s="80" t="str">
        <f aca="false">IF(B266="","",IFERROR(INDEX(الموظفون!$C$6:$C$105,MATCH(B266,الموظفون!$B$6:$B$105,0)),"✖ رقم غير موجود"))</f>
        <v/>
      </c>
      <c r="D266" s="79"/>
      <c r="E266" s="94"/>
      <c r="F266" s="94"/>
      <c r="G266" s="57" t="str">
        <f aca="false">IF(OR($B266="",$E266="",$F266=""),"",MAX(0,F266-E266+1))</f>
        <v/>
      </c>
      <c r="H266" s="58" t="str">
        <f aca="false">IF(D266="","",IFERROR(VLOOKUP(D266,cfg_LT,2,FALSE()),1))</f>
        <v/>
      </c>
      <c r="I266" s="82"/>
      <c r="J266" s="58" t="str">
        <f aca="false">IF(D266="","",IF(I266&lt;&gt;"",I266,H266))</f>
        <v/>
      </c>
      <c r="K266" s="80" t="str">
        <f aca="false">IF(D266="","",IFERROR(VLOOKUP($D266,cfg_LT,3,FALSE()),""))</f>
        <v/>
      </c>
      <c r="L266" s="80" t="str">
        <f aca="false">IF(D266="","",IFERROR(VLOOKUP($D266,cfg_LT,4,FALSE()),""))</f>
        <v/>
      </c>
      <c r="M266" s="80" t="str">
        <f aca="false">IF(D266="","",IFERROR(VLOOKUP($D266,cfg_LT,5,FALSE()),""))</f>
        <v/>
      </c>
      <c r="N266" s="97" t="n">
        <f aca="false">IF(OR(OR($B266="",$E266="",$F266=""),M266&lt;&gt;"نعم"),0,G266*J266*IFERROR(INDEX(الموظفون!$R$6:$R$105,MATCH(B266,الموظفون!$B$6:$B$105,0)),0)/cfg_DAYS_M)</f>
        <v>0</v>
      </c>
      <c r="O266" s="93" t="str">
        <f aca="false">IF(OR(OR($B266="",$E266="",$F266=""),M266&lt;&gt;"نعم"),"",IF(YEAR(E266)=cfg_FY,MONTH(E266),""))</f>
        <v/>
      </c>
      <c r="P266" s="80" t="str">
        <f aca="false">IF(B266="","",IF(OR(D266="",E266="",F266=""),"⚠ أكمل النوع والتواريخ",IF(F266&lt;E266,"✖ النهاية قبل البداية",IF(COUNTIFS($B$6:$B$505,B266,$E$6:$E$505,"&lt;="&amp;F266,$F$6:$F$505,"&gt;="&amp;E266)&gt;1,"⚠ تداخل مع سجل آخر",IF(E266&gt;cfg_VAL_DATE,"⏳ قادمة",IF(F266&lt;cfg_VAL_DATE,"✔ منتهية","✈ جارية في تاريخ التقرير"))))))</f>
        <v/>
      </c>
      <c r="Q266" s="79"/>
      <c r="R266" s="57" t="n">
        <f aca="false">IF(OR(OR($B266="",$E266="",$F266=""),L266&lt;&gt;"لا"),0,MAX(0,MIN(F266,cfg_Y_START-1)-E266+1))</f>
        <v>0</v>
      </c>
      <c r="S266" s="57" t="n">
        <f aca="false">IF(OR(OR($B266="",$E266="",$F266=""),L266&lt;&gt;"لا"),0,MAX(0,MIN(F266,cfg_VAL_DATE)-E266+1))</f>
        <v>0</v>
      </c>
      <c r="T266" s="57" t="n">
        <f aca="false">IF(OR(OR($B266="",$E266="",$F266=""),K266&lt;&gt;"نعم"),0,IF(M266="نعم",IF(AND(ISNUMBER(O266),N(O266)&lt;=cfg_VAL_M),G266,0),MAX(0,MIN(F266,cfg_VAL_DATE)-MAX(E266,cfg_Y_START)+1)))</f>
        <v>0</v>
      </c>
      <c r="V266" s="57" t="n">
        <f aca="false">IF(OR($B266="",$E266="",$F266=""),0,MAX(0,MIN($F266,EOMONTH(DATE(cfg_FY,1,1),0))-MAX($E266,DATE(cfg_FY,1,1))+1)*(1-IF($M266="نعم",0,N($J266))))</f>
        <v>0</v>
      </c>
      <c r="W266" s="57" t="n">
        <f aca="false">IF(OR($B266="",$E266="",$F266=""),0,MAX(0,MIN($F266,EOMONTH(DATE(cfg_FY,2,1),0))-MAX($E266,DATE(cfg_FY,2,1))+1)*(1-IF($M266="نعم",0,N($J266))))</f>
        <v>0</v>
      </c>
      <c r="X266" s="57" t="n">
        <f aca="false">IF(OR($B266="",$E266="",$F266=""),0,MAX(0,MIN($F266,EOMONTH(DATE(cfg_FY,3,1),0))-MAX($E266,DATE(cfg_FY,3,1))+1)*(1-IF($M266="نعم",0,N($J266))))</f>
        <v>0</v>
      </c>
      <c r="Y266" s="57" t="n">
        <f aca="false">IF(OR($B266="",$E266="",$F266=""),0,MAX(0,MIN($F266,EOMONTH(DATE(cfg_FY,4,1),0))-MAX($E266,DATE(cfg_FY,4,1))+1)*(1-IF($M266="نعم",0,N($J266))))</f>
        <v>0</v>
      </c>
      <c r="Z266" s="57" t="n">
        <f aca="false">IF(OR($B266="",$E266="",$F266=""),0,MAX(0,MIN($F266,EOMONTH(DATE(cfg_FY,5,1),0))-MAX($E266,DATE(cfg_FY,5,1))+1)*(1-IF($M266="نعم",0,N($J266))))</f>
        <v>0</v>
      </c>
      <c r="AA266" s="57" t="n">
        <f aca="false">IF(OR($B266="",$E266="",$F266=""),0,MAX(0,MIN($F266,EOMONTH(DATE(cfg_FY,6,1),0))-MAX($E266,DATE(cfg_FY,6,1))+1)*(1-IF($M266="نعم",0,N($J266))))</f>
        <v>0</v>
      </c>
      <c r="AB266" s="57" t="n">
        <f aca="false">IF(OR($B266="",$E266="",$F266=""),0,MAX(0,MIN($F266,EOMONTH(DATE(cfg_FY,7,1),0))-MAX($E266,DATE(cfg_FY,7,1))+1)*(1-IF($M266="نعم",0,N($J266))))</f>
        <v>0</v>
      </c>
      <c r="AC266" s="57" t="n">
        <f aca="false">IF(OR($B266="",$E266="",$F266=""),0,MAX(0,MIN($F266,EOMONTH(DATE(cfg_FY,8,1),0))-MAX($E266,DATE(cfg_FY,8,1))+1)*(1-IF($M266="نعم",0,N($J266))))</f>
        <v>0</v>
      </c>
      <c r="AD266" s="57" t="n">
        <f aca="false">IF(OR($B266="",$E266="",$F266=""),0,MAX(0,MIN($F266,EOMONTH(DATE(cfg_FY,9,1),0))-MAX($E266,DATE(cfg_FY,9,1))+1)*(1-IF($M266="نعم",0,N($J266))))</f>
        <v>0</v>
      </c>
      <c r="AE266" s="57" t="n">
        <f aca="false">IF(OR($B266="",$E266="",$F266=""),0,MAX(0,MIN($F266,EOMONTH(DATE(cfg_FY,10,1),0))-MAX($E266,DATE(cfg_FY,10,1))+1)*(1-IF($M266="نعم",0,N($J266))))</f>
        <v>0</v>
      </c>
      <c r="AF266" s="57" t="n">
        <f aca="false">IF(OR($B266="",$E266="",$F266=""),0,MAX(0,MIN($F266,EOMONTH(DATE(cfg_FY,11,1),0))-MAX($E266,DATE(cfg_FY,11,1))+1)*(1-IF($M266="نعم",0,N($J266))))</f>
        <v>0</v>
      </c>
      <c r="AG266" s="57" t="n">
        <f aca="false">IF(OR($B266="",$E266="",$F266=""),0,MAX(0,MIN($F266,EOMONTH(DATE(cfg_FY,12,1),0))-MAX($E266,DATE(cfg_FY,12,1))+1)*(1-IF($M266="نعم",0,N($J266))))</f>
        <v>0</v>
      </c>
      <c r="AH266" s="57" t="n">
        <f aca="false">IF(OR(OR($B266="",$E266="",$F266=""),$L266&lt;&gt;"لا"),0,MAX(0,MIN($F266,EOMONTH(DATE(cfg_FY,1,1),0))-$E266+1))</f>
        <v>0</v>
      </c>
      <c r="AI266" s="57" t="n">
        <f aca="false">IF(OR(OR($B266="",$E266="",$F266=""),$L266&lt;&gt;"لا"),0,MAX(0,MIN($F266,EOMONTH(DATE(cfg_FY,2,1),0))-$E266+1))</f>
        <v>0</v>
      </c>
      <c r="AJ266" s="57" t="n">
        <f aca="false">IF(OR(OR($B266="",$E266="",$F266=""),$L266&lt;&gt;"لا"),0,MAX(0,MIN($F266,EOMONTH(DATE(cfg_FY,3,1),0))-$E266+1))</f>
        <v>0</v>
      </c>
      <c r="AK266" s="57" t="n">
        <f aca="false">IF(OR(OR($B266="",$E266="",$F266=""),$L266&lt;&gt;"لا"),0,MAX(0,MIN($F266,EOMONTH(DATE(cfg_FY,4,1),0))-$E266+1))</f>
        <v>0</v>
      </c>
      <c r="AL266" s="57" t="n">
        <f aca="false">IF(OR(OR($B266="",$E266="",$F266=""),$L266&lt;&gt;"لا"),0,MAX(0,MIN($F266,EOMONTH(DATE(cfg_FY,5,1),0))-$E266+1))</f>
        <v>0</v>
      </c>
      <c r="AM266" s="57" t="n">
        <f aca="false">IF(OR(OR($B266="",$E266="",$F266=""),$L266&lt;&gt;"لا"),0,MAX(0,MIN($F266,EOMONTH(DATE(cfg_FY,6,1),0))-$E266+1))</f>
        <v>0</v>
      </c>
      <c r="AN266" s="57" t="n">
        <f aca="false">IF(OR(OR($B266="",$E266="",$F266=""),$L266&lt;&gt;"لا"),0,MAX(0,MIN($F266,EOMONTH(DATE(cfg_FY,7,1),0))-$E266+1))</f>
        <v>0</v>
      </c>
      <c r="AO266" s="57" t="n">
        <f aca="false">IF(OR(OR($B266="",$E266="",$F266=""),$L266&lt;&gt;"لا"),0,MAX(0,MIN($F266,EOMONTH(DATE(cfg_FY,8,1),0))-$E266+1))</f>
        <v>0</v>
      </c>
      <c r="AP266" s="57" t="n">
        <f aca="false">IF(OR(OR($B266="",$E266="",$F266=""),$L266&lt;&gt;"لا"),0,MAX(0,MIN($F266,EOMONTH(DATE(cfg_FY,9,1),0))-$E266+1))</f>
        <v>0</v>
      </c>
      <c r="AQ266" s="57" t="n">
        <f aca="false">IF(OR(OR($B266="",$E266="",$F266=""),$L266&lt;&gt;"لا"),0,MAX(0,MIN($F266,EOMONTH(DATE(cfg_FY,10,1),0))-$E266+1))</f>
        <v>0</v>
      </c>
      <c r="AR266" s="57" t="n">
        <f aca="false">IF(OR(OR($B266="",$E266="",$F266=""),$L266&lt;&gt;"لا"),0,MAX(0,MIN($F266,EOMONTH(DATE(cfg_FY,11,1),0))-$E266+1))</f>
        <v>0</v>
      </c>
      <c r="AS266" s="57" t="n">
        <f aca="false">IF(OR(OR($B266="",$E266="",$F266=""),$L266&lt;&gt;"لا"),0,MAX(0,MIN($F266,EOMONTH(DATE(cfg_FY,12,1),0))-$E266+1))</f>
        <v>0</v>
      </c>
      <c r="AT266" s="57" t="n">
        <f aca="false">IF(OR(OR($B266="",$E266="",$F266=""),$K266&lt;&gt;"نعم",$M266="نعم"),0,MAX(0,MIN($F266,EOMONTH(DATE(cfg_FY,1,1),0))-MAX($E266,DATE(cfg_FY,1,1))+1))</f>
        <v>0</v>
      </c>
      <c r="AU266" s="57" t="n">
        <f aca="false">IF(OR(OR($B266="",$E266="",$F266=""),$K266&lt;&gt;"نعم",$M266="نعم"),0,MAX(0,MIN($F266,EOMONTH(DATE(cfg_FY,2,1),0))-MAX($E266,DATE(cfg_FY,2,1))+1))</f>
        <v>0</v>
      </c>
      <c r="AV266" s="57" t="n">
        <f aca="false">IF(OR(OR($B266="",$E266="",$F266=""),$K266&lt;&gt;"نعم",$M266="نعم"),0,MAX(0,MIN($F266,EOMONTH(DATE(cfg_FY,3,1),0))-MAX($E266,DATE(cfg_FY,3,1))+1))</f>
        <v>0</v>
      </c>
      <c r="AW266" s="57" t="n">
        <f aca="false">IF(OR(OR($B266="",$E266="",$F266=""),$K266&lt;&gt;"نعم",$M266="نعم"),0,MAX(0,MIN($F266,EOMONTH(DATE(cfg_FY,4,1),0))-MAX($E266,DATE(cfg_FY,4,1))+1))</f>
        <v>0</v>
      </c>
      <c r="AX266" s="57" t="n">
        <f aca="false">IF(OR(OR($B266="",$E266="",$F266=""),$K266&lt;&gt;"نعم",$M266="نعم"),0,MAX(0,MIN($F266,EOMONTH(DATE(cfg_FY,5,1),0))-MAX($E266,DATE(cfg_FY,5,1))+1))</f>
        <v>0</v>
      </c>
      <c r="AY266" s="57" t="n">
        <f aca="false">IF(OR(OR($B266="",$E266="",$F266=""),$K266&lt;&gt;"نعم",$M266="نعم"),0,MAX(0,MIN($F266,EOMONTH(DATE(cfg_FY,6,1),0))-MAX($E266,DATE(cfg_FY,6,1))+1))</f>
        <v>0</v>
      </c>
      <c r="AZ266" s="57" t="n">
        <f aca="false">IF(OR(OR($B266="",$E266="",$F266=""),$K266&lt;&gt;"نعم",$M266="نعم"),0,MAX(0,MIN($F266,EOMONTH(DATE(cfg_FY,7,1),0))-MAX($E266,DATE(cfg_FY,7,1))+1))</f>
        <v>0</v>
      </c>
      <c r="BA266" s="57" t="n">
        <f aca="false">IF(OR(OR($B266="",$E266="",$F266=""),$K266&lt;&gt;"نعم",$M266="نعم"),0,MAX(0,MIN($F266,EOMONTH(DATE(cfg_FY,8,1),0))-MAX($E266,DATE(cfg_FY,8,1))+1))</f>
        <v>0</v>
      </c>
      <c r="BB266" s="57" t="n">
        <f aca="false">IF(OR(OR($B266="",$E266="",$F266=""),$K266&lt;&gt;"نعم",$M266="نعم"),0,MAX(0,MIN($F266,EOMONTH(DATE(cfg_FY,9,1),0))-MAX($E266,DATE(cfg_FY,9,1))+1))</f>
        <v>0</v>
      </c>
      <c r="BC266" s="57" t="n">
        <f aca="false">IF(OR(OR($B266="",$E266="",$F266=""),$K266&lt;&gt;"نعم",$M266="نعم"),0,MAX(0,MIN($F266,EOMONTH(DATE(cfg_FY,10,1),0))-MAX($E266,DATE(cfg_FY,10,1))+1))</f>
        <v>0</v>
      </c>
      <c r="BD266" s="57" t="n">
        <f aca="false">IF(OR(OR($B266="",$E266="",$F266=""),$K266&lt;&gt;"نعم",$M266="نعم"),0,MAX(0,MIN($F266,EOMONTH(DATE(cfg_FY,11,1),0))-MAX($E266,DATE(cfg_FY,11,1))+1))</f>
        <v>0</v>
      </c>
      <c r="BE266" s="57" t="n">
        <f aca="false">IF(OR(OR($B266="",$E266="",$F266=""),$K266&lt;&gt;"نعم",$M266="نعم"),0,MAX(0,MIN($F266,EOMONTH(DATE(cfg_FY,12,1),0))-MAX($E266,DATE(cfg_FY,12,1))+1))</f>
        <v>0</v>
      </c>
    </row>
    <row r="267" customFormat="false" ht="15" hidden="false" customHeight="false" outlineLevel="0" collapsed="false">
      <c r="A267" s="100" t="str">
        <f aca="false">IF(B267="","",ROW()-5)</f>
        <v/>
      </c>
      <c r="B267" s="79"/>
      <c r="C267" s="102" t="str">
        <f aca="false">IF(B267="","",IFERROR(INDEX(الموظفون!$C$6:$C$105,MATCH(B267,الموظفون!$B$6:$B$105,0)),"✖ رقم غير موجود"))</f>
        <v/>
      </c>
      <c r="D267" s="79"/>
      <c r="E267" s="94"/>
      <c r="F267" s="94"/>
      <c r="G267" s="110" t="str">
        <f aca="false">IF(OR($B267="",$E267="",$F267=""),"",MAX(0,F267-E267+1))</f>
        <v/>
      </c>
      <c r="H267" s="111" t="str">
        <f aca="false">IF(D267="","",IFERROR(VLOOKUP(D267,cfg_LT,2,FALSE()),1))</f>
        <v/>
      </c>
      <c r="I267" s="82"/>
      <c r="J267" s="111" t="str">
        <f aca="false">IF(D267="","",IF(I267&lt;&gt;"",I267,H267))</f>
        <v/>
      </c>
      <c r="K267" s="102" t="str">
        <f aca="false">IF(D267="","",IFERROR(VLOOKUP($D267,cfg_LT,3,FALSE()),""))</f>
        <v/>
      </c>
      <c r="L267" s="102" t="str">
        <f aca="false">IF(D267="","",IFERROR(VLOOKUP($D267,cfg_LT,4,FALSE()),""))</f>
        <v/>
      </c>
      <c r="M267" s="102" t="str">
        <f aca="false">IF(D267="","",IFERROR(VLOOKUP($D267,cfg_LT,5,FALSE()),""))</f>
        <v/>
      </c>
      <c r="N267" s="101" t="n">
        <f aca="false">IF(OR(OR($B267="",$E267="",$F267=""),M267&lt;&gt;"نعم"),0,G267*J267*IFERROR(INDEX(الموظفون!$R$6:$R$105,MATCH(B267,الموظفون!$B$6:$B$105,0)),0)/cfg_DAYS_M)</f>
        <v>0</v>
      </c>
      <c r="O267" s="100" t="str">
        <f aca="false">IF(OR(OR($B267="",$E267="",$F267=""),M267&lt;&gt;"نعم"),"",IF(YEAR(E267)=cfg_FY,MONTH(E267),""))</f>
        <v/>
      </c>
      <c r="P267" s="102" t="str">
        <f aca="false">IF(B267="","",IF(OR(D267="",E267="",F267=""),"⚠ أكمل النوع والتواريخ",IF(F267&lt;E267,"✖ النهاية قبل البداية",IF(COUNTIFS($B$6:$B$505,B267,$E$6:$E$505,"&lt;="&amp;F267,$F$6:$F$505,"&gt;="&amp;E267)&gt;1,"⚠ تداخل مع سجل آخر",IF(E267&gt;cfg_VAL_DATE,"⏳ قادمة",IF(F267&lt;cfg_VAL_DATE,"✔ منتهية","✈ جارية في تاريخ التقرير"))))))</f>
        <v/>
      </c>
      <c r="Q267" s="79"/>
      <c r="R267" s="110" t="n">
        <f aca="false">IF(OR(OR($B267="",$E267="",$F267=""),L267&lt;&gt;"لا"),0,MAX(0,MIN(F267,cfg_Y_START-1)-E267+1))</f>
        <v>0</v>
      </c>
      <c r="S267" s="110" t="n">
        <f aca="false">IF(OR(OR($B267="",$E267="",$F267=""),L267&lt;&gt;"لا"),0,MAX(0,MIN(F267,cfg_VAL_DATE)-E267+1))</f>
        <v>0</v>
      </c>
      <c r="T267" s="110" t="n">
        <f aca="false">IF(OR(OR($B267="",$E267="",$F267=""),K267&lt;&gt;"نعم"),0,IF(M267="نعم",IF(AND(ISNUMBER(O267),N(O267)&lt;=cfg_VAL_M),G267,0),MAX(0,MIN(F267,cfg_VAL_DATE)-MAX(E267,cfg_Y_START)+1)))</f>
        <v>0</v>
      </c>
      <c r="V267" s="110" t="n">
        <f aca="false">IF(OR($B267="",$E267="",$F267=""),0,MAX(0,MIN($F267,EOMONTH(DATE(cfg_FY,1,1),0))-MAX($E267,DATE(cfg_FY,1,1))+1)*(1-IF($M267="نعم",0,N($J267))))</f>
        <v>0</v>
      </c>
      <c r="W267" s="110" t="n">
        <f aca="false">IF(OR($B267="",$E267="",$F267=""),0,MAX(0,MIN($F267,EOMONTH(DATE(cfg_FY,2,1),0))-MAX($E267,DATE(cfg_FY,2,1))+1)*(1-IF($M267="نعم",0,N($J267))))</f>
        <v>0</v>
      </c>
      <c r="X267" s="110" t="n">
        <f aca="false">IF(OR($B267="",$E267="",$F267=""),0,MAX(0,MIN($F267,EOMONTH(DATE(cfg_FY,3,1),0))-MAX($E267,DATE(cfg_FY,3,1))+1)*(1-IF($M267="نعم",0,N($J267))))</f>
        <v>0</v>
      </c>
      <c r="Y267" s="110" t="n">
        <f aca="false">IF(OR($B267="",$E267="",$F267=""),0,MAX(0,MIN($F267,EOMONTH(DATE(cfg_FY,4,1),0))-MAX($E267,DATE(cfg_FY,4,1))+1)*(1-IF($M267="نعم",0,N($J267))))</f>
        <v>0</v>
      </c>
      <c r="Z267" s="110" t="n">
        <f aca="false">IF(OR($B267="",$E267="",$F267=""),0,MAX(0,MIN($F267,EOMONTH(DATE(cfg_FY,5,1),0))-MAX($E267,DATE(cfg_FY,5,1))+1)*(1-IF($M267="نعم",0,N($J267))))</f>
        <v>0</v>
      </c>
      <c r="AA267" s="110" t="n">
        <f aca="false">IF(OR($B267="",$E267="",$F267=""),0,MAX(0,MIN($F267,EOMONTH(DATE(cfg_FY,6,1),0))-MAX($E267,DATE(cfg_FY,6,1))+1)*(1-IF($M267="نعم",0,N($J267))))</f>
        <v>0</v>
      </c>
      <c r="AB267" s="110" t="n">
        <f aca="false">IF(OR($B267="",$E267="",$F267=""),0,MAX(0,MIN($F267,EOMONTH(DATE(cfg_FY,7,1),0))-MAX($E267,DATE(cfg_FY,7,1))+1)*(1-IF($M267="نعم",0,N($J267))))</f>
        <v>0</v>
      </c>
      <c r="AC267" s="110" t="n">
        <f aca="false">IF(OR($B267="",$E267="",$F267=""),0,MAX(0,MIN($F267,EOMONTH(DATE(cfg_FY,8,1),0))-MAX($E267,DATE(cfg_FY,8,1))+1)*(1-IF($M267="نعم",0,N($J267))))</f>
        <v>0</v>
      </c>
      <c r="AD267" s="110" t="n">
        <f aca="false">IF(OR($B267="",$E267="",$F267=""),0,MAX(0,MIN($F267,EOMONTH(DATE(cfg_FY,9,1),0))-MAX($E267,DATE(cfg_FY,9,1))+1)*(1-IF($M267="نعم",0,N($J267))))</f>
        <v>0</v>
      </c>
      <c r="AE267" s="110" t="n">
        <f aca="false">IF(OR($B267="",$E267="",$F267=""),0,MAX(0,MIN($F267,EOMONTH(DATE(cfg_FY,10,1),0))-MAX($E267,DATE(cfg_FY,10,1))+1)*(1-IF($M267="نعم",0,N($J267))))</f>
        <v>0</v>
      </c>
      <c r="AF267" s="110" t="n">
        <f aca="false">IF(OR($B267="",$E267="",$F267=""),0,MAX(0,MIN($F267,EOMONTH(DATE(cfg_FY,11,1),0))-MAX($E267,DATE(cfg_FY,11,1))+1)*(1-IF($M267="نعم",0,N($J267))))</f>
        <v>0</v>
      </c>
      <c r="AG267" s="110" t="n">
        <f aca="false">IF(OR($B267="",$E267="",$F267=""),0,MAX(0,MIN($F267,EOMONTH(DATE(cfg_FY,12,1),0))-MAX($E267,DATE(cfg_FY,12,1))+1)*(1-IF($M267="نعم",0,N($J267))))</f>
        <v>0</v>
      </c>
      <c r="AH267" s="110" t="n">
        <f aca="false">IF(OR(OR($B267="",$E267="",$F267=""),$L267&lt;&gt;"لا"),0,MAX(0,MIN($F267,EOMONTH(DATE(cfg_FY,1,1),0))-$E267+1))</f>
        <v>0</v>
      </c>
      <c r="AI267" s="110" t="n">
        <f aca="false">IF(OR(OR($B267="",$E267="",$F267=""),$L267&lt;&gt;"لا"),0,MAX(0,MIN($F267,EOMONTH(DATE(cfg_FY,2,1),0))-$E267+1))</f>
        <v>0</v>
      </c>
      <c r="AJ267" s="110" t="n">
        <f aca="false">IF(OR(OR($B267="",$E267="",$F267=""),$L267&lt;&gt;"لا"),0,MAX(0,MIN($F267,EOMONTH(DATE(cfg_FY,3,1),0))-$E267+1))</f>
        <v>0</v>
      </c>
      <c r="AK267" s="110" t="n">
        <f aca="false">IF(OR(OR($B267="",$E267="",$F267=""),$L267&lt;&gt;"لا"),0,MAX(0,MIN($F267,EOMONTH(DATE(cfg_FY,4,1),0))-$E267+1))</f>
        <v>0</v>
      </c>
      <c r="AL267" s="110" t="n">
        <f aca="false">IF(OR(OR($B267="",$E267="",$F267=""),$L267&lt;&gt;"لا"),0,MAX(0,MIN($F267,EOMONTH(DATE(cfg_FY,5,1),0))-$E267+1))</f>
        <v>0</v>
      </c>
      <c r="AM267" s="110" t="n">
        <f aca="false">IF(OR(OR($B267="",$E267="",$F267=""),$L267&lt;&gt;"لا"),0,MAX(0,MIN($F267,EOMONTH(DATE(cfg_FY,6,1),0))-$E267+1))</f>
        <v>0</v>
      </c>
      <c r="AN267" s="110" t="n">
        <f aca="false">IF(OR(OR($B267="",$E267="",$F267=""),$L267&lt;&gt;"لا"),0,MAX(0,MIN($F267,EOMONTH(DATE(cfg_FY,7,1),0))-$E267+1))</f>
        <v>0</v>
      </c>
      <c r="AO267" s="110" t="n">
        <f aca="false">IF(OR(OR($B267="",$E267="",$F267=""),$L267&lt;&gt;"لا"),0,MAX(0,MIN($F267,EOMONTH(DATE(cfg_FY,8,1),0))-$E267+1))</f>
        <v>0</v>
      </c>
      <c r="AP267" s="110" t="n">
        <f aca="false">IF(OR(OR($B267="",$E267="",$F267=""),$L267&lt;&gt;"لا"),0,MAX(0,MIN($F267,EOMONTH(DATE(cfg_FY,9,1),0))-$E267+1))</f>
        <v>0</v>
      </c>
      <c r="AQ267" s="110" t="n">
        <f aca="false">IF(OR(OR($B267="",$E267="",$F267=""),$L267&lt;&gt;"لا"),0,MAX(0,MIN($F267,EOMONTH(DATE(cfg_FY,10,1),0))-$E267+1))</f>
        <v>0</v>
      </c>
      <c r="AR267" s="110" t="n">
        <f aca="false">IF(OR(OR($B267="",$E267="",$F267=""),$L267&lt;&gt;"لا"),0,MAX(0,MIN($F267,EOMONTH(DATE(cfg_FY,11,1),0))-$E267+1))</f>
        <v>0</v>
      </c>
      <c r="AS267" s="110" t="n">
        <f aca="false">IF(OR(OR($B267="",$E267="",$F267=""),$L267&lt;&gt;"لا"),0,MAX(0,MIN($F267,EOMONTH(DATE(cfg_FY,12,1),0))-$E267+1))</f>
        <v>0</v>
      </c>
      <c r="AT267" s="110" t="n">
        <f aca="false">IF(OR(OR($B267="",$E267="",$F267=""),$K267&lt;&gt;"نعم",$M267="نعم"),0,MAX(0,MIN($F267,EOMONTH(DATE(cfg_FY,1,1),0))-MAX($E267,DATE(cfg_FY,1,1))+1))</f>
        <v>0</v>
      </c>
      <c r="AU267" s="110" t="n">
        <f aca="false">IF(OR(OR($B267="",$E267="",$F267=""),$K267&lt;&gt;"نعم",$M267="نعم"),0,MAX(0,MIN($F267,EOMONTH(DATE(cfg_FY,2,1),0))-MAX($E267,DATE(cfg_FY,2,1))+1))</f>
        <v>0</v>
      </c>
      <c r="AV267" s="110" t="n">
        <f aca="false">IF(OR(OR($B267="",$E267="",$F267=""),$K267&lt;&gt;"نعم",$M267="نعم"),0,MAX(0,MIN($F267,EOMONTH(DATE(cfg_FY,3,1),0))-MAX($E267,DATE(cfg_FY,3,1))+1))</f>
        <v>0</v>
      </c>
      <c r="AW267" s="110" t="n">
        <f aca="false">IF(OR(OR($B267="",$E267="",$F267=""),$K267&lt;&gt;"نعم",$M267="نعم"),0,MAX(0,MIN($F267,EOMONTH(DATE(cfg_FY,4,1),0))-MAX($E267,DATE(cfg_FY,4,1))+1))</f>
        <v>0</v>
      </c>
      <c r="AX267" s="110" t="n">
        <f aca="false">IF(OR(OR($B267="",$E267="",$F267=""),$K267&lt;&gt;"نعم",$M267="نعم"),0,MAX(0,MIN($F267,EOMONTH(DATE(cfg_FY,5,1),0))-MAX($E267,DATE(cfg_FY,5,1))+1))</f>
        <v>0</v>
      </c>
      <c r="AY267" s="110" t="n">
        <f aca="false">IF(OR(OR($B267="",$E267="",$F267=""),$K267&lt;&gt;"نعم",$M267="نعم"),0,MAX(0,MIN($F267,EOMONTH(DATE(cfg_FY,6,1),0))-MAX($E267,DATE(cfg_FY,6,1))+1))</f>
        <v>0</v>
      </c>
      <c r="AZ267" s="110" t="n">
        <f aca="false">IF(OR(OR($B267="",$E267="",$F267=""),$K267&lt;&gt;"نعم",$M267="نعم"),0,MAX(0,MIN($F267,EOMONTH(DATE(cfg_FY,7,1),0))-MAX($E267,DATE(cfg_FY,7,1))+1))</f>
        <v>0</v>
      </c>
      <c r="BA267" s="110" t="n">
        <f aca="false">IF(OR(OR($B267="",$E267="",$F267=""),$K267&lt;&gt;"نعم",$M267="نعم"),0,MAX(0,MIN($F267,EOMONTH(DATE(cfg_FY,8,1),0))-MAX($E267,DATE(cfg_FY,8,1))+1))</f>
        <v>0</v>
      </c>
      <c r="BB267" s="110" t="n">
        <f aca="false">IF(OR(OR($B267="",$E267="",$F267=""),$K267&lt;&gt;"نعم",$M267="نعم"),0,MAX(0,MIN($F267,EOMONTH(DATE(cfg_FY,9,1),0))-MAX($E267,DATE(cfg_FY,9,1))+1))</f>
        <v>0</v>
      </c>
      <c r="BC267" s="110" t="n">
        <f aca="false">IF(OR(OR($B267="",$E267="",$F267=""),$K267&lt;&gt;"نعم",$M267="نعم"),0,MAX(0,MIN($F267,EOMONTH(DATE(cfg_FY,10,1),0))-MAX($E267,DATE(cfg_FY,10,1))+1))</f>
        <v>0</v>
      </c>
      <c r="BD267" s="110" t="n">
        <f aca="false">IF(OR(OR($B267="",$E267="",$F267=""),$K267&lt;&gt;"نعم",$M267="نعم"),0,MAX(0,MIN($F267,EOMONTH(DATE(cfg_FY,11,1),0))-MAX($E267,DATE(cfg_FY,11,1))+1))</f>
        <v>0</v>
      </c>
      <c r="BE267" s="110" t="n">
        <f aca="false">IF(OR(OR($B267="",$E267="",$F267=""),$K267&lt;&gt;"نعم",$M267="نعم"),0,MAX(0,MIN($F267,EOMONTH(DATE(cfg_FY,12,1),0))-MAX($E267,DATE(cfg_FY,12,1))+1))</f>
        <v>0</v>
      </c>
    </row>
    <row r="268" customFormat="false" ht="15" hidden="false" customHeight="false" outlineLevel="0" collapsed="false">
      <c r="A268" s="93" t="str">
        <f aca="false">IF(B268="","",ROW()-5)</f>
        <v/>
      </c>
      <c r="B268" s="79"/>
      <c r="C268" s="80" t="str">
        <f aca="false">IF(B268="","",IFERROR(INDEX(الموظفون!$C$6:$C$105,MATCH(B268,الموظفون!$B$6:$B$105,0)),"✖ رقم غير موجود"))</f>
        <v/>
      </c>
      <c r="D268" s="79"/>
      <c r="E268" s="94"/>
      <c r="F268" s="94"/>
      <c r="G268" s="57" t="str">
        <f aca="false">IF(OR($B268="",$E268="",$F268=""),"",MAX(0,F268-E268+1))</f>
        <v/>
      </c>
      <c r="H268" s="58" t="str">
        <f aca="false">IF(D268="","",IFERROR(VLOOKUP(D268,cfg_LT,2,FALSE()),1))</f>
        <v/>
      </c>
      <c r="I268" s="82"/>
      <c r="J268" s="58" t="str">
        <f aca="false">IF(D268="","",IF(I268&lt;&gt;"",I268,H268))</f>
        <v/>
      </c>
      <c r="K268" s="80" t="str">
        <f aca="false">IF(D268="","",IFERROR(VLOOKUP($D268,cfg_LT,3,FALSE()),""))</f>
        <v/>
      </c>
      <c r="L268" s="80" t="str">
        <f aca="false">IF(D268="","",IFERROR(VLOOKUP($D268,cfg_LT,4,FALSE()),""))</f>
        <v/>
      </c>
      <c r="M268" s="80" t="str">
        <f aca="false">IF(D268="","",IFERROR(VLOOKUP($D268,cfg_LT,5,FALSE()),""))</f>
        <v/>
      </c>
      <c r="N268" s="97" t="n">
        <f aca="false">IF(OR(OR($B268="",$E268="",$F268=""),M268&lt;&gt;"نعم"),0,G268*J268*IFERROR(INDEX(الموظفون!$R$6:$R$105,MATCH(B268,الموظفون!$B$6:$B$105,0)),0)/cfg_DAYS_M)</f>
        <v>0</v>
      </c>
      <c r="O268" s="93" t="str">
        <f aca="false">IF(OR(OR($B268="",$E268="",$F268=""),M268&lt;&gt;"نعم"),"",IF(YEAR(E268)=cfg_FY,MONTH(E268),""))</f>
        <v/>
      </c>
      <c r="P268" s="80" t="str">
        <f aca="false">IF(B268="","",IF(OR(D268="",E268="",F268=""),"⚠ أكمل النوع والتواريخ",IF(F268&lt;E268,"✖ النهاية قبل البداية",IF(COUNTIFS($B$6:$B$505,B268,$E$6:$E$505,"&lt;="&amp;F268,$F$6:$F$505,"&gt;="&amp;E268)&gt;1,"⚠ تداخل مع سجل آخر",IF(E268&gt;cfg_VAL_DATE,"⏳ قادمة",IF(F268&lt;cfg_VAL_DATE,"✔ منتهية","✈ جارية في تاريخ التقرير"))))))</f>
        <v/>
      </c>
      <c r="Q268" s="79"/>
      <c r="R268" s="57" t="n">
        <f aca="false">IF(OR(OR($B268="",$E268="",$F268=""),L268&lt;&gt;"لا"),0,MAX(0,MIN(F268,cfg_Y_START-1)-E268+1))</f>
        <v>0</v>
      </c>
      <c r="S268" s="57" t="n">
        <f aca="false">IF(OR(OR($B268="",$E268="",$F268=""),L268&lt;&gt;"لا"),0,MAX(0,MIN(F268,cfg_VAL_DATE)-E268+1))</f>
        <v>0</v>
      </c>
      <c r="T268" s="57" t="n">
        <f aca="false">IF(OR(OR($B268="",$E268="",$F268=""),K268&lt;&gt;"نعم"),0,IF(M268="نعم",IF(AND(ISNUMBER(O268),N(O268)&lt;=cfg_VAL_M),G268,0),MAX(0,MIN(F268,cfg_VAL_DATE)-MAX(E268,cfg_Y_START)+1)))</f>
        <v>0</v>
      </c>
      <c r="V268" s="57" t="n">
        <f aca="false">IF(OR($B268="",$E268="",$F268=""),0,MAX(0,MIN($F268,EOMONTH(DATE(cfg_FY,1,1),0))-MAX($E268,DATE(cfg_FY,1,1))+1)*(1-IF($M268="نعم",0,N($J268))))</f>
        <v>0</v>
      </c>
      <c r="W268" s="57" t="n">
        <f aca="false">IF(OR($B268="",$E268="",$F268=""),0,MAX(0,MIN($F268,EOMONTH(DATE(cfg_FY,2,1),0))-MAX($E268,DATE(cfg_FY,2,1))+1)*(1-IF($M268="نعم",0,N($J268))))</f>
        <v>0</v>
      </c>
      <c r="X268" s="57" t="n">
        <f aca="false">IF(OR($B268="",$E268="",$F268=""),0,MAX(0,MIN($F268,EOMONTH(DATE(cfg_FY,3,1),0))-MAX($E268,DATE(cfg_FY,3,1))+1)*(1-IF($M268="نعم",0,N($J268))))</f>
        <v>0</v>
      </c>
      <c r="Y268" s="57" t="n">
        <f aca="false">IF(OR($B268="",$E268="",$F268=""),0,MAX(0,MIN($F268,EOMONTH(DATE(cfg_FY,4,1),0))-MAX($E268,DATE(cfg_FY,4,1))+1)*(1-IF($M268="نعم",0,N($J268))))</f>
        <v>0</v>
      </c>
      <c r="Z268" s="57" t="n">
        <f aca="false">IF(OR($B268="",$E268="",$F268=""),0,MAX(0,MIN($F268,EOMONTH(DATE(cfg_FY,5,1),0))-MAX($E268,DATE(cfg_FY,5,1))+1)*(1-IF($M268="نعم",0,N($J268))))</f>
        <v>0</v>
      </c>
      <c r="AA268" s="57" t="n">
        <f aca="false">IF(OR($B268="",$E268="",$F268=""),0,MAX(0,MIN($F268,EOMONTH(DATE(cfg_FY,6,1),0))-MAX($E268,DATE(cfg_FY,6,1))+1)*(1-IF($M268="نعم",0,N($J268))))</f>
        <v>0</v>
      </c>
      <c r="AB268" s="57" t="n">
        <f aca="false">IF(OR($B268="",$E268="",$F268=""),0,MAX(0,MIN($F268,EOMONTH(DATE(cfg_FY,7,1),0))-MAX($E268,DATE(cfg_FY,7,1))+1)*(1-IF($M268="نعم",0,N($J268))))</f>
        <v>0</v>
      </c>
      <c r="AC268" s="57" t="n">
        <f aca="false">IF(OR($B268="",$E268="",$F268=""),0,MAX(0,MIN($F268,EOMONTH(DATE(cfg_FY,8,1),0))-MAX($E268,DATE(cfg_FY,8,1))+1)*(1-IF($M268="نعم",0,N($J268))))</f>
        <v>0</v>
      </c>
      <c r="AD268" s="57" t="n">
        <f aca="false">IF(OR($B268="",$E268="",$F268=""),0,MAX(0,MIN($F268,EOMONTH(DATE(cfg_FY,9,1),0))-MAX($E268,DATE(cfg_FY,9,1))+1)*(1-IF($M268="نعم",0,N($J268))))</f>
        <v>0</v>
      </c>
      <c r="AE268" s="57" t="n">
        <f aca="false">IF(OR($B268="",$E268="",$F268=""),0,MAX(0,MIN($F268,EOMONTH(DATE(cfg_FY,10,1),0))-MAX($E268,DATE(cfg_FY,10,1))+1)*(1-IF($M268="نعم",0,N($J268))))</f>
        <v>0</v>
      </c>
      <c r="AF268" s="57" t="n">
        <f aca="false">IF(OR($B268="",$E268="",$F268=""),0,MAX(0,MIN($F268,EOMONTH(DATE(cfg_FY,11,1),0))-MAX($E268,DATE(cfg_FY,11,1))+1)*(1-IF($M268="نعم",0,N($J268))))</f>
        <v>0</v>
      </c>
      <c r="AG268" s="57" t="n">
        <f aca="false">IF(OR($B268="",$E268="",$F268=""),0,MAX(0,MIN($F268,EOMONTH(DATE(cfg_FY,12,1),0))-MAX($E268,DATE(cfg_FY,12,1))+1)*(1-IF($M268="نعم",0,N($J268))))</f>
        <v>0</v>
      </c>
      <c r="AH268" s="57" t="n">
        <f aca="false">IF(OR(OR($B268="",$E268="",$F268=""),$L268&lt;&gt;"لا"),0,MAX(0,MIN($F268,EOMONTH(DATE(cfg_FY,1,1),0))-$E268+1))</f>
        <v>0</v>
      </c>
      <c r="AI268" s="57" t="n">
        <f aca="false">IF(OR(OR($B268="",$E268="",$F268=""),$L268&lt;&gt;"لا"),0,MAX(0,MIN($F268,EOMONTH(DATE(cfg_FY,2,1),0))-$E268+1))</f>
        <v>0</v>
      </c>
      <c r="AJ268" s="57" t="n">
        <f aca="false">IF(OR(OR($B268="",$E268="",$F268=""),$L268&lt;&gt;"لا"),0,MAX(0,MIN($F268,EOMONTH(DATE(cfg_FY,3,1),0))-$E268+1))</f>
        <v>0</v>
      </c>
      <c r="AK268" s="57" t="n">
        <f aca="false">IF(OR(OR($B268="",$E268="",$F268=""),$L268&lt;&gt;"لا"),0,MAX(0,MIN($F268,EOMONTH(DATE(cfg_FY,4,1),0))-$E268+1))</f>
        <v>0</v>
      </c>
      <c r="AL268" s="57" t="n">
        <f aca="false">IF(OR(OR($B268="",$E268="",$F268=""),$L268&lt;&gt;"لا"),0,MAX(0,MIN($F268,EOMONTH(DATE(cfg_FY,5,1),0))-$E268+1))</f>
        <v>0</v>
      </c>
      <c r="AM268" s="57" t="n">
        <f aca="false">IF(OR(OR($B268="",$E268="",$F268=""),$L268&lt;&gt;"لا"),0,MAX(0,MIN($F268,EOMONTH(DATE(cfg_FY,6,1),0))-$E268+1))</f>
        <v>0</v>
      </c>
      <c r="AN268" s="57" t="n">
        <f aca="false">IF(OR(OR($B268="",$E268="",$F268=""),$L268&lt;&gt;"لا"),0,MAX(0,MIN($F268,EOMONTH(DATE(cfg_FY,7,1),0))-$E268+1))</f>
        <v>0</v>
      </c>
      <c r="AO268" s="57" t="n">
        <f aca="false">IF(OR(OR($B268="",$E268="",$F268=""),$L268&lt;&gt;"لا"),0,MAX(0,MIN($F268,EOMONTH(DATE(cfg_FY,8,1),0))-$E268+1))</f>
        <v>0</v>
      </c>
      <c r="AP268" s="57" t="n">
        <f aca="false">IF(OR(OR($B268="",$E268="",$F268=""),$L268&lt;&gt;"لا"),0,MAX(0,MIN($F268,EOMONTH(DATE(cfg_FY,9,1),0))-$E268+1))</f>
        <v>0</v>
      </c>
      <c r="AQ268" s="57" t="n">
        <f aca="false">IF(OR(OR($B268="",$E268="",$F268=""),$L268&lt;&gt;"لا"),0,MAX(0,MIN($F268,EOMONTH(DATE(cfg_FY,10,1),0))-$E268+1))</f>
        <v>0</v>
      </c>
      <c r="AR268" s="57" t="n">
        <f aca="false">IF(OR(OR($B268="",$E268="",$F268=""),$L268&lt;&gt;"لا"),0,MAX(0,MIN($F268,EOMONTH(DATE(cfg_FY,11,1),0))-$E268+1))</f>
        <v>0</v>
      </c>
      <c r="AS268" s="57" t="n">
        <f aca="false">IF(OR(OR($B268="",$E268="",$F268=""),$L268&lt;&gt;"لا"),0,MAX(0,MIN($F268,EOMONTH(DATE(cfg_FY,12,1),0))-$E268+1))</f>
        <v>0</v>
      </c>
      <c r="AT268" s="57" t="n">
        <f aca="false">IF(OR(OR($B268="",$E268="",$F268=""),$K268&lt;&gt;"نعم",$M268="نعم"),0,MAX(0,MIN($F268,EOMONTH(DATE(cfg_FY,1,1),0))-MAX($E268,DATE(cfg_FY,1,1))+1))</f>
        <v>0</v>
      </c>
      <c r="AU268" s="57" t="n">
        <f aca="false">IF(OR(OR($B268="",$E268="",$F268=""),$K268&lt;&gt;"نعم",$M268="نعم"),0,MAX(0,MIN($F268,EOMONTH(DATE(cfg_FY,2,1),0))-MAX($E268,DATE(cfg_FY,2,1))+1))</f>
        <v>0</v>
      </c>
      <c r="AV268" s="57" t="n">
        <f aca="false">IF(OR(OR($B268="",$E268="",$F268=""),$K268&lt;&gt;"نعم",$M268="نعم"),0,MAX(0,MIN($F268,EOMONTH(DATE(cfg_FY,3,1),0))-MAX($E268,DATE(cfg_FY,3,1))+1))</f>
        <v>0</v>
      </c>
      <c r="AW268" s="57" t="n">
        <f aca="false">IF(OR(OR($B268="",$E268="",$F268=""),$K268&lt;&gt;"نعم",$M268="نعم"),0,MAX(0,MIN($F268,EOMONTH(DATE(cfg_FY,4,1),0))-MAX($E268,DATE(cfg_FY,4,1))+1))</f>
        <v>0</v>
      </c>
      <c r="AX268" s="57" t="n">
        <f aca="false">IF(OR(OR($B268="",$E268="",$F268=""),$K268&lt;&gt;"نعم",$M268="نعم"),0,MAX(0,MIN($F268,EOMONTH(DATE(cfg_FY,5,1),0))-MAX($E268,DATE(cfg_FY,5,1))+1))</f>
        <v>0</v>
      </c>
      <c r="AY268" s="57" t="n">
        <f aca="false">IF(OR(OR($B268="",$E268="",$F268=""),$K268&lt;&gt;"نعم",$M268="نعم"),0,MAX(0,MIN($F268,EOMONTH(DATE(cfg_FY,6,1),0))-MAX($E268,DATE(cfg_FY,6,1))+1))</f>
        <v>0</v>
      </c>
      <c r="AZ268" s="57" t="n">
        <f aca="false">IF(OR(OR($B268="",$E268="",$F268=""),$K268&lt;&gt;"نعم",$M268="نعم"),0,MAX(0,MIN($F268,EOMONTH(DATE(cfg_FY,7,1),0))-MAX($E268,DATE(cfg_FY,7,1))+1))</f>
        <v>0</v>
      </c>
      <c r="BA268" s="57" t="n">
        <f aca="false">IF(OR(OR($B268="",$E268="",$F268=""),$K268&lt;&gt;"نعم",$M268="نعم"),0,MAX(0,MIN($F268,EOMONTH(DATE(cfg_FY,8,1),0))-MAX($E268,DATE(cfg_FY,8,1))+1))</f>
        <v>0</v>
      </c>
      <c r="BB268" s="57" t="n">
        <f aca="false">IF(OR(OR($B268="",$E268="",$F268=""),$K268&lt;&gt;"نعم",$M268="نعم"),0,MAX(0,MIN($F268,EOMONTH(DATE(cfg_FY,9,1),0))-MAX($E268,DATE(cfg_FY,9,1))+1))</f>
        <v>0</v>
      </c>
      <c r="BC268" s="57" t="n">
        <f aca="false">IF(OR(OR($B268="",$E268="",$F268=""),$K268&lt;&gt;"نعم",$M268="نعم"),0,MAX(0,MIN($F268,EOMONTH(DATE(cfg_FY,10,1),0))-MAX($E268,DATE(cfg_FY,10,1))+1))</f>
        <v>0</v>
      </c>
      <c r="BD268" s="57" t="n">
        <f aca="false">IF(OR(OR($B268="",$E268="",$F268=""),$K268&lt;&gt;"نعم",$M268="نعم"),0,MAX(0,MIN($F268,EOMONTH(DATE(cfg_FY,11,1),0))-MAX($E268,DATE(cfg_FY,11,1))+1))</f>
        <v>0</v>
      </c>
      <c r="BE268" s="57" t="n">
        <f aca="false">IF(OR(OR($B268="",$E268="",$F268=""),$K268&lt;&gt;"نعم",$M268="نعم"),0,MAX(0,MIN($F268,EOMONTH(DATE(cfg_FY,12,1),0))-MAX($E268,DATE(cfg_FY,12,1))+1))</f>
        <v>0</v>
      </c>
    </row>
    <row r="269" customFormat="false" ht="15" hidden="false" customHeight="false" outlineLevel="0" collapsed="false">
      <c r="A269" s="100" t="str">
        <f aca="false">IF(B269="","",ROW()-5)</f>
        <v/>
      </c>
      <c r="B269" s="79"/>
      <c r="C269" s="102" t="str">
        <f aca="false">IF(B269="","",IFERROR(INDEX(الموظفون!$C$6:$C$105,MATCH(B269,الموظفون!$B$6:$B$105,0)),"✖ رقم غير موجود"))</f>
        <v/>
      </c>
      <c r="D269" s="79"/>
      <c r="E269" s="94"/>
      <c r="F269" s="94"/>
      <c r="G269" s="110" t="str">
        <f aca="false">IF(OR($B269="",$E269="",$F269=""),"",MAX(0,F269-E269+1))</f>
        <v/>
      </c>
      <c r="H269" s="111" t="str">
        <f aca="false">IF(D269="","",IFERROR(VLOOKUP(D269,cfg_LT,2,FALSE()),1))</f>
        <v/>
      </c>
      <c r="I269" s="82"/>
      <c r="J269" s="111" t="str">
        <f aca="false">IF(D269="","",IF(I269&lt;&gt;"",I269,H269))</f>
        <v/>
      </c>
      <c r="K269" s="102" t="str">
        <f aca="false">IF(D269="","",IFERROR(VLOOKUP($D269,cfg_LT,3,FALSE()),""))</f>
        <v/>
      </c>
      <c r="L269" s="102" t="str">
        <f aca="false">IF(D269="","",IFERROR(VLOOKUP($D269,cfg_LT,4,FALSE()),""))</f>
        <v/>
      </c>
      <c r="M269" s="102" t="str">
        <f aca="false">IF(D269="","",IFERROR(VLOOKUP($D269,cfg_LT,5,FALSE()),""))</f>
        <v/>
      </c>
      <c r="N269" s="101" t="n">
        <f aca="false">IF(OR(OR($B269="",$E269="",$F269=""),M269&lt;&gt;"نعم"),0,G269*J269*IFERROR(INDEX(الموظفون!$R$6:$R$105,MATCH(B269,الموظفون!$B$6:$B$105,0)),0)/cfg_DAYS_M)</f>
        <v>0</v>
      </c>
      <c r="O269" s="100" t="str">
        <f aca="false">IF(OR(OR($B269="",$E269="",$F269=""),M269&lt;&gt;"نعم"),"",IF(YEAR(E269)=cfg_FY,MONTH(E269),""))</f>
        <v/>
      </c>
      <c r="P269" s="102" t="str">
        <f aca="false">IF(B269="","",IF(OR(D269="",E269="",F269=""),"⚠ أكمل النوع والتواريخ",IF(F269&lt;E269,"✖ النهاية قبل البداية",IF(COUNTIFS($B$6:$B$505,B269,$E$6:$E$505,"&lt;="&amp;F269,$F$6:$F$505,"&gt;="&amp;E269)&gt;1,"⚠ تداخل مع سجل آخر",IF(E269&gt;cfg_VAL_DATE,"⏳ قادمة",IF(F269&lt;cfg_VAL_DATE,"✔ منتهية","✈ جارية في تاريخ التقرير"))))))</f>
        <v/>
      </c>
      <c r="Q269" s="79"/>
      <c r="R269" s="110" t="n">
        <f aca="false">IF(OR(OR($B269="",$E269="",$F269=""),L269&lt;&gt;"لا"),0,MAX(0,MIN(F269,cfg_Y_START-1)-E269+1))</f>
        <v>0</v>
      </c>
      <c r="S269" s="110" t="n">
        <f aca="false">IF(OR(OR($B269="",$E269="",$F269=""),L269&lt;&gt;"لا"),0,MAX(0,MIN(F269,cfg_VAL_DATE)-E269+1))</f>
        <v>0</v>
      </c>
      <c r="T269" s="110" t="n">
        <f aca="false">IF(OR(OR($B269="",$E269="",$F269=""),K269&lt;&gt;"نعم"),0,IF(M269="نعم",IF(AND(ISNUMBER(O269),N(O269)&lt;=cfg_VAL_M),G269,0),MAX(0,MIN(F269,cfg_VAL_DATE)-MAX(E269,cfg_Y_START)+1)))</f>
        <v>0</v>
      </c>
      <c r="V269" s="110" t="n">
        <f aca="false">IF(OR($B269="",$E269="",$F269=""),0,MAX(0,MIN($F269,EOMONTH(DATE(cfg_FY,1,1),0))-MAX($E269,DATE(cfg_FY,1,1))+1)*(1-IF($M269="نعم",0,N($J269))))</f>
        <v>0</v>
      </c>
      <c r="W269" s="110" t="n">
        <f aca="false">IF(OR($B269="",$E269="",$F269=""),0,MAX(0,MIN($F269,EOMONTH(DATE(cfg_FY,2,1),0))-MAX($E269,DATE(cfg_FY,2,1))+1)*(1-IF($M269="نعم",0,N($J269))))</f>
        <v>0</v>
      </c>
      <c r="X269" s="110" t="n">
        <f aca="false">IF(OR($B269="",$E269="",$F269=""),0,MAX(0,MIN($F269,EOMONTH(DATE(cfg_FY,3,1),0))-MAX($E269,DATE(cfg_FY,3,1))+1)*(1-IF($M269="نعم",0,N($J269))))</f>
        <v>0</v>
      </c>
      <c r="Y269" s="110" t="n">
        <f aca="false">IF(OR($B269="",$E269="",$F269=""),0,MAX(0,MIN($F269,EOMONTH(DATE(cfg_FY,4,1),0))-MAX($E269,DATE(cfg_FY,4,1))+1)*(1-IF($M269="نعم",0,N($J269))))</f>
        <v>0</v>
      </c>
      <c r="Z269" s="110" t="n">
        <f aca="false">IF(OR($B269="",$E269="",$F269=""),0,MAX(0,MIN($F269,EOMONTH(DATE(cfg_FY,5,1),0))-MAX($E269,DATE(cfg_FY,5,1))+1)*(1-IF($M269="نعم",0,N($J269))))</f>
        <v>0</v>
      </c>
      <c r="AA269" s="110" t="n">
        <f aca="false">IF(OR($B269="",$E269="",$F269=""),0,MAX(0,MIN($F269,EOMONTH(DATE(cfg_FY,6,1),0))-MAX($E269,DATE(cfg_FY,6,1))+1)*(1-IF($M269="نعم",0,N($J269))))</f>
        <v>0</v>
      </c>
      <c r="AB269" s="110" t="n">
        <f aca="false">IF(OR($B269="",$E269="",$F269=""),0,MAX(0,MIN($F269,EOMONTH(DATE(cfg_FY,7,1),0))-MAX($E269,DATE(cfg_FY,7,1))+1)*(1-IF($M269="نعم",0,N($J269))))</f>
        <v>0</v>
      </c>
      <c r="AC269" s="110" t="n">
        <f aca="false">IF(OR($B269="",$E269="",$F269=""),0,MAX(0,MIN($F269,EOMONTH(DATE(cfg_FY,8,1),0))-MAX($E269,DATE(cfg_FY,8,1))+1)*(1-IF($M269="نعم",0,N($J269))))</f>
        <v>0</v>
      </c>
      <c r="AD269" s="110" t="n">
        <f aca="false">IF(OR($B269="",$E269="",$F269=""),0,MAX(0,MIN($F269,EOMONTH(DATE(cfg_FY,9,1),0))-MAX($E269,DATE(cfg_FY,9,1))+1)*(1-IF($M269="نعم",0,N($J269))))</f>
        <v>0</v>
      </c>
      <c r="AE269" s="110" t="n">
        <f aca="false">IF(OR($B269="",$E269="",$F269=""),0,MAX(0,MIN($F269,EOMONTH(DATE(cfg_FY,10,1),0))-MAX($E269,DATE(cfg_FY,10,1))+1)*(1-IF($M269="نعم",0,N($J269))))</f>
        <v>0</v>
      </c>
      <c r="AF269" s="110" t="n">
        <f aca="false">IF(OR($B269="",$E269="",$F269=""),0,MAX(0,MIN($F269,EOMONTH(DATE(cfg_FY,11,1),0))-MAX($E269,DATE(cfg_FY,11,1))+1)*(1-IF($M269="نعم",0,N($J269))))</f>
        <v>0</v>
      </c>
      <c r="AG269" s="110" t="n">
        <f aca="false">IF(OR($B269="",$E269="",$F269=""),0,MAX(0,MIN($F269,EOMONTH(DATE(cfg_FY,12,1),0))-MAX($E269,DATE(cfg_FY,12,1))+1)*(1-IF($M269="نعم",0,N($J269))))</f>
        <v>0</v>
      </c>
      <c r="AH269" s="110" t="n">
        <f aca="false">IF(OR(OR($B269="",$E269="",$F269=""),$L269&lt;&gt;"لا"),0,MAX(0,MIN($F269,EOMONTH(DATE(cfg_FY,1,1),0))-$E269+1))</f>
        <v>0</v>
      </c>
      <c r="AI269" s="110" t="n">
        <f aca="false">IF(OR(OR($B269="",$E269="",$F269=""),$L269&lt;&gt;"لا"),0,MAX(0,MIN($F269,EOMONTH(DATE(cfg_FY,2,1),0))-$E269+1))</f>
        <v>0</v>
      </c>
      <c r="AJ269" s="110" t="n">
        <f aca="false">IF(OR(OR($B269="",$E269="",$F269=""),$L269&lt;&gt;"لا"),0,MAX(0,MIN($F269,EOMONTH(DATE(cfg_FY,3,1),0))-$E269+1))</f>
        <v>0</v>
      </c>
      <c r="AK269" s="110" t="n">
        <f aca="false">IF(OR(OR($B269="",$E269="",$F269=""),$L269&lt;&gt;"لا"),0,MAX(0,MIN($F269,EOMONTH(DATE(cfg_FY,4,1),0))-$E269+1))</f>
        <v>0</v>
      </c>
      <c r="AL269" s="110" t="n">
        <f aca="false">IF(OR(OR($B269="",$E269="",$F269=""),$L269&lt;&gt;"لا"),0,MAX(0,MIN($F269,EOMONTH(DATE(cfg_FY,5,1),0))-$E269+1))</f>
        <v>0</v>
      </c>
      <c r="AM269" s="110" t="n">
        <f aca="false">IF(OR(OR($B269="",$E269="",$F269=""),$L269&lt;&gt;"لا"),0,MAX(0,MIN($F269,EOMONTH(DATE(cfg_FY,6,1),0))-$E269+1))</f>
        <v>0</v>
      </c>
      <c r="AN269" s="110" t="n">
        <f aca="false">IF(OR(OR($B269="",$E269="",$F269=""),$L269&lt;&gt;"لا"),0,MAX(0,MIN($F269,EOMONTH(DATE(cfg_FY,7,1),0))-$E269+1))</f>
        <v>0</v>
      </c>
      <c r="AO269" s="110" t="n">
        <f aca="false">IF(OR(OR($B269="",$E269="",$F269=""),$L269&lt;&gt;"لا"),0,MAX(0,MIN($F269,EOMONTH(DATE(cfg_FY,8,1),0))-$E269+1))</f>
        <v>0</v>
      </c>
      <c r="AP269" s="110" t="n">
        <f aca="false">IF(OR(OR($B269="",$E269="",$F269=""),$L269&lt;&gt;"لا"),0,MAX(0,MIN($F269,EOMONTH(DATE(cfg_FY,9,1),0))-$E269+1))</f>
        <v>0</v>
      </c>
      <c r="AQ269" s="110" t="n">
        <f aca="false">IF(OR(OR($B269="",$E269="",$F269=""),$L269&lt;&gt;"لا"),0,MAX(0,MIN($F269,EOMONTH(DATE(cfg_FY,10,1),0))-$E269+1))</f>
        <v>0</v>
      </c>
      <c r="AR269" s="110" t="n">
        <f aca="false">IF(OR(OR($B269="",$E269="",$F269=""),$L269&lt;&gt;"لا"),0,MAX(0,MIN($F269,EOMONTH(DATE(cfg_FY,11,1),0))-$E269+1))</f>
        <v>0</v>
      </c>
      <c r="AS269" s="110" t="n">
        <f aca="false">IF(OR(OR($B269="",$E269="",$F269=""),$L269&lt;&gt;"لا"),0,MAX(0,MIN($F269,EOMONTH(DATE(cfg_FY,12,1),0))-$E269+1))</f>
        <v>0</v>
      </c>
      <c r="AT269" s="110" t="n">
        <f aca="false">IF(OR(OR($B269="",$E269="",$F269=""),$K269&lt;&gt;"نعم",$M269="نعم"),0,MAX(0,MIN($F269,EOMONTH(DATE(cfg_FY,1,1),0))-MAX($E269,DATE(cfg_FY,1,1))+1))</f>
        <v>0</v>
      </c>
      <c r="AU269" s="110" t="n">
        <f aca="false">IF(OR(OR($B269="",$E269="",$F269=""),$K269&lt;&gt;"نعم",$M269="نعم"),0,MAX(0,MIN($F269,EOMONTH(DATE(cfg_FY,2,1),0))-MAX($E269,DATE(cfg_FY,2,1))+1))</f>
        <v>0</v>
      </c>
      <c r="AV269" s="110" t="n">
        <f aca="false">IF(OR(OR($B269="",$E269="",$F269=""),$K269&lt;&gt;"نعم",$M269="نعم"),0,MAX(0,MIN($F269,EOMONTH(DATE(cfg_FY,3,1),0))-MAX($E269,DATE(cfg_FY,3,1))+1))</f>
        <v>0</v>
      </c>
      <c r="AW269" s="110" t="n">
        <f aca="false">IF(OR(OR($B269="",$E269="",$F269=""),$K269&lt;&gt;"نعم",$M269="نعم"),0,MAX(0,MIN($F269,EOMONTH(DATE(cfg_FY,4,1),0))-MAX($E269,DATE(cfg_FY,4,1))+1))</f>
        <v>0</v>
      </c>
      <c r="AX269" s="110" t="n">
        <f aca="false">IF(OR(OR($B269="",$E269="",$F269=""),$K269&lt;&gt;"نعم",$M269="نعم"),0,MAX(0,MIN($F269,EOMONTH(DATE(cfg_FY,5,1),0))-MAX($E269,DATE(cfg_FY,5,1))+1))</f>
        <v>0</v>
      </c>
      <c r="AY269" s="110" t="n">
        <f aca="false">IF(OR(OR($B269="",$E269="",$F269=""),$K269&lt;&gt;"نعم",$M269="نعم"),0,MAX(0,MIN($F269,EOMONTH(DATE(cfg_FY,6,1),0))-MAX($E269,DATE(cfg_FY,6,1))+1))</f>
        <v>0</v>
      </c>
      <c r="AZ269" s="110" t="n">
        <f aca="false">IF(OR(OR($B269="",$E269="",$F269=""),$K269&lt;&gt;"نعم",$M269="نعم"),0,MAX(0,MIN($F269,EOMONTH(DATE(cfg_FY,7,1),0))-MAX($E269,DATE(cfg_FY,7,1))+1))</f>
        <v>0</v>
      </c>
      <c r="BA269" s="110" t="n">
        <f aca="false">IF(OR(OR($B269="",$E269="",$F269=""),$K269&lt;&gt;"نعم",$M269="نعم"),0,MAX(0,MIN($F269,EOMONTH(DATE(cfg_FY,8,1),0))-MAX($E269,DATE(cfg_FY,8,1))+1))</f>
        <v>0</v>
      </c>
      <c r="BB269" s="110" t="n">
        <f aca="false">IF(OR(OR($B269="",$E269="",$F269=""),$K269&lt;&gt;"نعم",$M269="نعم"),0,MAX(0,MIN($F269,EOMONTH(DATE(cfg_FY,9,1),0))-MAX($E269,DATE(cfg_FY,9,1))+1))</f>
        <v>0</v>
      </c>
      <c r="BC269" s="110" t="n">
        <f aca="false">IF(OR(OR($B269="",$E269="",$F269=""),$K269&lt;&gt;"نعم",$M269="نعم"),0,MAX(0,MIN($F269,EOMONTH(DATE(cfg_FY,10,1),0))-MAX($E269,DATE(cfg_FY,10,1))+1))</f>
        <v>0</v>
      </c>
      <c r="BD269" s="110" t="n">
        <f aca="false">IF(OR(OR($B269="",$E269="",$F269=""),$K269&lt;&gt;"نعم",$M269="نعم"),0,MAX(0,MIN($F269,EOMONTH(DATE(cfg_FY,11,1),0))-MAX($E269,DATE(cfg_FY,11,1))+1))</f>
        <v>0</v>
      </c>
      <c r="BE269" s="110" t="n">
        <f aca="false">IF(OR(OR($B269="",$E269="",$F269=""),$K269&lt;&gt;"نعم",$M269="نعم"),0,MAX(0,MIN($F269,EOMONTH(DATE(cfg_FY,12,1),0))-MAX($E269,DATE(cfg_FY,12,1))+1))</f>
        <v>0</v>
      </c>
    </row>
    <row r="270" customFormat="false" ht="15" hidden="false" customHeight="false" outlineLevel="0" collapsed="false">
      <c r="A270" s="93" t="str">
        <f aca="false">IF(B270="","",ROW()-5)</f>
        <v/>
      </c>
      <c r="B270" s="79"/>
      <c r="C270" s="80" t="str">
        <f aca="false">IF(B270="","",IFERROR(INDEX(الموظفون!$C$6:$C$105,MATCH(B270,الموظفون!$B$6:$B$105,0)),"✖ رقم غير موجود"))</f>
        <v/>
      </c>
      <c r="D270" s="79"/>
      <c r="E270" s="94"/>
      <c r="F270" s="94"/>
      <c r="G270" s="57" t="str">
        <f aca="false">IF(OR($B270="",$E270="",$F270=""),"",MAX(0,F270-E270+1))</f>
        <v/>
      </c>
      <c r="H270" s="58" t="str">
        <f aca="false">IF(D270="","",IFERROR(VLOOKUP(D270,cfg_LT,2,FALSE()),1))</f>
        <v/>
      </c>
      <c r="I270" s="82"/>
      <c r="J270" s="58" t="str">
        <f aca="false">IF(D270="","",IF(I270&lt;&gt;"",I270,H270))</f>
        <v/>
      </c>
      <c r="K270" s="80" t="str">
        <f aca="false">IF(D270="","",IFERROR(VLOOKUP($D270,cfg_LT,3,FALSE()),""))</f>
        <v/>
      </c>
      <c r="L270" s="80" t="str">
        <f aca="false">IF(D270="","",IFERROR(VLOOKUP($D270,cfg_LT,4,FALSE()),""))</f>
        <v/>
      </c>
      <c r="M270" s="80" t="str">
        <f aca="false">IF(D270="","",IFERROR(VLOOKUP($D270,cfg_LT,5,FALSE()),""))</f>
        <v/>
      </c>
      <c r="N270" s="97" t="n">
        <f aca="false">IF(OR(OR($B270="",$E270="",$F270=""),M270&lt;&gt;"نعم"),0,G270*J270*IFERROR(INDEX(الموظفون!$R$6:$R$105,MATCH(B270,الموظفون!$B$6:$B$105,0)),0)/cfg_DAYS_M)</f>
        <v>0</v>
      </c>
      <c r="O270" s="93" t="str">
        <f aca="false">IF(OR(OR($B270="",$E270="",$F270=""),M270&lt;&gt;"نعم"),"",IF(YEAR(E270)=cfg_FY,MONTH(E270),""))</f>
        <v/>
      </c>
      <c r="P270" s="80" t="str">
        <f aca="false">IF(B270="","",IF(OR(D270="",E270="",F270=""),"⚠ أكمل النوع والتواريخ",IF(F270&lt;E270,"✖ النهاية قبل البداية",IF(COUNTIFS($B$6:$B$505,B270,$E$6:$E$505,"&lt;="&amp;F270,$F$6:$F$505,"&gt;="&amp;E270)&gt;1,"⚠ تداخل مع سجل آخر",IF(E270&gt;cfg_VAL_DATE,"⏳ قادمة",IF(F270&lt;cfg_VAL_DATE,"✔ منتهية","✈ جارية في تاريخ التقرير"))))))</f>
        <v/>
      </c>
      <c r="Q270" s="79"/>
      <c r="R270" s="57" t="n">
        <f aca="false">IF(OR(OR($B270="",$E270="",$F270=""),L270&lt;&gt;"لا"),0,MAX(0,MIN(F270,cfg_Y_START-1)-E270+1))</f>
        <v>0</v>
      </c>
      <c r="S270" s="57" t="n">
        <f aca="false">IF(OR(OR($B270="",$E270="",$F270=""),L270&lt;&gt;"لا"),0,MAX(0,MIN(F270,cfg_VAL_DATE)-E270+1))</f>
        <v>0</v>
      </c>
      <c r="T270" s="57" t="n">
        <f aca="false">IF(OR(OR($B270="",$E270="",$F270=""),K270&lt;&gt;"نعم"),0,IF(M270="نعم",IF(AND(ISNUMBER(O270),N(O270)&lt;=cfg_VAL_M),G270,0),MAX(0,MIN(F270,cfg_VAL_DATE)-MAX(E270,cfg_Y_START)+1)))</f>
        <v>0</v>
      </c>
      <c r="V270" s="57" t="n">
        <f aca="false">IF(OR($B270="",$E270="",$F270=""),0,MAX(0,MIN($F270,EOMONTH(DATE(cfg_FY,1,1),0))-MAX($E270,DATE(cfg_FY,1,1))+1)*(1-IF($M270="نعم",0,N($J270))))</f>
        <v>0</v>
      </c>
      <c r="W270" s="57" t="n">
        <f aca="false">IF(OR($B270="",$E270="",$F270=""),0,MAX(0,MIN($F270,EOMONTH(DATE(cfg_FY,2,1),0))-MAX($E270,DATE(cfg_FY,2,1))+1)*(1-IF($M270="نعم",0,N($J270))))</f>
        <v>0</v>
      </c>
      <c r="X270" s="57" t="n">
        <f aca="false">IF(OR($B270="",$E270="",$F270=""),0,MAX(0,MIN($F270,EOMONTH(DATE(cfg_FY,3,1),0))-MAX($E270,DATE(cfg_FY,3,1))+1)*(1-IF($M270="نعم",0,N($J270))))</f>
        <v>0</v>
      </c>
      <c r="Y270" s="57" t="n">
        <f aca="false">IF(OR($B270="",$E270="",$F270=""),0,MAX(0,MIN($F270,EOMONTH(DATE(cfg_FY,4,1),0))-MAX($E270,DATE(cfg_FY,4,1))+1)*(1-IF($M270="نعم",0,N($J270))))</f>
        <v>0</v>
      </c>
      <c r="Z270" s="57" t="n">
        <f aca="false">IF(OR($B270="",$E270="",$F270=""),0,MAX(0,MIN($F270,EOMONTH(DATE(cfg_FY,5,1),0))-MAX($E270,DATE(cfg_FY,5,1))+1)*(1-IF($M270="نعم",0,N($J270))))</f>
        <v>0</v>
      </c>
      <c r="AA270" s="57" t="n">
        <f aca="false">IF(OR($B270="",$E270="",$F270=""),0,MAX(0,MIN($F270,EOMONTH(DATE(cfg_FY,6,1),0))-MAX($E270,DATE(cfg_FY,6,1))+1)*(1-IF($M270="نعم",0,N($J270))))</f>
        <v>0</v>
      </c>
      <c r="AB270" s="57" t="n">
        <f aca="false">IF(OR($B270="",$E270="",$F270=""),0,MAX(0,MIN($F270,EOMONTH(DATE(cfg_FY,7,1),0))-MAX($E270,DATE(cfg_FY,7,1))+1)*(1-IF($M270="نعم",0,N($J270))))</f>
        <v>0</v>
      </c>
      <c r="AC270" s="57" t="n">
        <f aca="false">IF(OR($B270="",$E270="",$F270=""),0,MAX(0,MIN($F270,EOMONTH(DATE(cfg_FY,8,1),0))-MAX($E270,DATE(cfg_FY,8,1))+1)*(1-IF($M270="نعم",0,N($J270))))</f>
        <v>0</v>
      </c>
      <c r="AD270" s="57" t="n">
        <f aca="false">IF(OR($B270="",$E270="",$F270=""),0,MAX(0,MIN($F270,EOMONTH(DATE(cfg_FY,9,1),0))-MAX($E270,DATE(cfg_FY,9,1))+1)*(1-IF($M270="نعم",0,N($J270))))</f>
        <v>0</v>
      </c>
      <c r="AE270" s="57" t="n">
        <f aca="false">IF(OR($B270="",$E270="",$F270=""),0,MAX(0,MIN($F270,EOMONTH(DATE(cfg_FY,10,1),0))-MAX($E270,DATE(cfg_FY,10,1))+1)*(1-IF($M270="نعم",0,N($J270))))</f>
        <v>0</v>
      </c>
      <c r="AF270" s="57" t="n">
        <f aca="false">IF(OR($B270="",$E270="",$F270=""),0,MAX(0,MIN($F270,EOMONTH(DATE(cfg_FY,11,1),0))-MAX($E270,DATE(cfg_FY,11,1))+1)*(1-IF($M270="نعم",0,N($J270))))</f>
        <v>0</v>
      </c>
      <c r="AG270" s="57" t="n">
        <f aca="false">IF(OR($B270="",$E270="",$F270=""),0,MAX(0,MIN($F270,EOMONTH(DATE(cfg_FY,12,1),0))-MAX($E270,DATE(cfg_FY,12,1))+1)*(1-IF($M270="نعم",0,N($J270))))</f>
        <v>0</v>
      </c>
      <c r="AH270" s="57" t="n">
        <f aca="false">IF(OR(OR($B270="",$E270="",$F270=""),$L270&lt;&gt;"لا"),0,MAX(0,MIN($F270,EOMONTH(DATE(cfg_FY,1,1),0))-$E270+1))</f>
        <v>0</v>
      </c>
      <c r="AI270" s="57" t="n">
        <f aca="false">IF(OR(OR($B270="",$E270="",$F270=""),$L270&lt;&gt;"لا"),0,MAX(0,MIN($F270,EOMONTH(DATE(cfg_FY,2,1),0))-$E270+1))</f>
        <v>0</v>
      </c>
      <c r="AJ270" s="57" t="n">
        <f aca="false">IF(OR(OR($B270="",$E270="",$F270=""),$L270&lt;&gt;"لا"),0,MAX(0,MIN($F270,EOMONTH(DATE(cfg_FY,3,1),0))-$E270+1))</f>
        <v>0</v>
      </c>
      <c r="AK270" s="57" t="n">
        <f aca="false">IF(OR(OR($B270="",$E270="",$F270=""),$L270&lt;&gt;"لا"),0,MAX(0,MIN($F270,EOMONTH(DATE(cfg_FY,4,1),0))-$E270+1))</f>
        <v>0</v>
      </c>
      <c r="AL270" s="57" t="n">
        <f aca="false">IF(OR(OR($B270="",$E270="",$F270=""),$L270&lt;&gt;"لا"),0,MAX(0,MIN($F270,EOMONTH(DATE(cfg_FY,5,1),0))-$E270+1))</f>
        <v>0</v>
      </c>
      <c r="AM270" s="57" t="n">
        <f aca="false">IF(OR(OR($B270="",$E270="",$F270=""),$L270&lt;&gt;"لا"),0,MAX(0,MIN($F270,EOMONTH(DATE(cfg_FY,6,1),0))-$E270+1))</f>
        <v>0</v>
      </c>
      <c r="AN270" s="57" t="n">
        <f aca="false">IF(OR(OR($B270="",$E270="",$F270=""),$L270&lt;&gt;"لا"),0,MAX(0,MIN($F270,EOMONTH(DATE(cfg_FY,7,1),0))-$E270+1))</f>
        <v>0</v>
      </c>
      <c r="AO270" s="57" t="n">
        <f aca="false">IF(OR(OR($B270="",$E270="",$F270=""),$L270&lt;&gt;"لا"),0,MAX(0,MIN($F270,EOMONTH(DATE(cfg_FY,8,1),0))-$E270+1))</f>
        <v>0</v>
      </c>
      <c r="AP270" s="57" t="n">
        <f aca="false">IF(OR(OR($B270="",$E270="",$F270=""),$L270&lt;&gt;"لا"),0,MAX(0,MIN($F270,EOMONTH(DATE(cfg_FY,9,1),0))-$E270+1))</f>
        <v>0</v>
      </c>
      <c r="AQ270" s="57" t="n">
        <f aca="false">IF(OR(OR($B270="",$E270="",$F270=""),$L270&lt;&gt;"لا"),0,MAX(0,MIN($F270,EOMONTH(DATE(cfg_FY,10,1),0))-$E270+1))</f>
        <v>0</v>
      </c>
      <c r="AR270" s="57" t="n">
        <f aca="false">IF(OR(OR($B270="",$E270="",$F270=""),$L270&lt;&gt;"لا"),0,MAX(0,MIN($F270,EOMONTH(DATE(cfg_FY,11,1),0))-$E270+1))</f>
        <v>0</v>
      </c>
      <c r="AS270" s="57" t="n">
        <f aca="false">IF(OR(OR($B270="",$E270="",$F270=""),$L270&lt;&gt;"لا"),0,MAX(0,MIN($F270,EOMONTH(DATE(cfg_FY,12,1),0))-$E270+1))</f>
        <v>0</v>
      </c>
      <c r="AT270" s="57" t="n">
        <f aca="false">IF(OR(OR($B270="",$E270="",$F270=""),$K270&lt;&gt;"نعم",$M270="نعم"),0,MAX(0,MIN($F270,EOMONTH(DATE(cfg_FY,1,1),0))-MAX($E270,DATE(cfg_FY,1,1))+1))</f>
        <v>0</v>
      </c>
      <c r="AU270" s="57" t="n">
        <f aca="false">IF(OR(OR($B270="",$E270="",$F270=""),$K270&lt;&gt;"نعم",$M270="نعم"),0,MAX(0,MIN($F270,EOMONTH(DATE(cfg_FY,2,1),0))-MAX($E270,DATE(cfg_FY,2,1))+1))</f>
        <v>0</v>
      </c>
      <c r="AV270" s="57" t="n">
        <f aca="false">IF(OR(OR($B270="",$E270="",$F270=""),$K270&lt;&gt;"نعم",$M270="نعم"),0,MAX(0,MIN($F270,EOMONTH(DATE(cfg_FY,3,1),0))-MAX($E270,DATE(cfg_FY,3,1))+1))</f>
        <v>0</v>
      </c>
      <c r="AW270" s="57" t="n">
        <f aca="false">IF(OR(OR($B270="",$E270="",$F270=""),$K270&lt;&gt;"نعم",$M270="نعم"),0,MAX(0,MIN($F270,EOMONTH(DATE(cfg_FY,4,1),0))-MAX($E270,DATE(cfg_FY,4,1))+1))</f>
        <v>0</v>
      </c>
      <c r="AX270" s="57" t="n">
        <f aca="false">IF(OR(OR($B270="",$E270="",$F270=""),$K270&lt;&gt;"نعم",$M270="نعم"),0,MAX(0,MIN($F270,EOMONTH(DATE(cfg_FY,5,1),0))-MAX($E270,DATE(cfg_FY,5,1))+1))</f>
        <v>0</v>
      </c>
      <c r="AY270" s="57" t="n">
        <f aca="false">IF(OR(OR($B270="",$E270="",$F270=""),$K270&lt;&gt;"نعم",$M270="نعم"),0,MAX(0,MIN($F270,EOMONTH(DATE(cfg_FY,6,1),0))-MAX($E270,DATE(cfg_FY,6,1))+1))</f>
        <v>0</v>
      </c>
      <c r="AZ270" s="57" t="n">
        <f aca="false">IF(OR(OR($B270="",$E270="",$F270=""),$K270&lt;&gt;"نعم",$M270="نعم"),0,MAX(0,MIN($F270,EOMONTH(DATE(cfg_FY,7,1),0))-MAX($E270,DATE(cfg_FY,7,1))+1))</f>
        <v>0</v>
      </c>
      <c r="BA270" s="57" t="n">
        <f aca="false">IF(OR(OR($B270="",$E270="",$F270=""),$K270&lt;&gt;"نعم",$M270="نعم"),0,MAX(0,MIN($F270,EOMONTH(DATE(cfg_FY,8,1),0))-MAX($E270,DATE(cfg_FY,8,1))+1))</f>
        <v>0</v>
      </c>
      <c r="BB270" s="57" t="n">
        <f aca="false">IF(OR(OR($B270="",$E270="",$F270=""),$K270&lt;&gt;"نعم",$M270="نعم"),0,MAX(0,MIN($F270,EOMONTH(DATE(cfg_FY,9,1),0))-MAX($E270,DATE(cfg_FY,9,1))+1))</f>
        <v>0</v>
      </c>
      <c r="BC270" s="57" t="n">
        <f aca="false">IF(OR(OR($B270="",$E270="",$F270=""),$K270&lt;&gt;"نعم",$M270="نعم"),0,MAX(0,MIN($F270,EOMONTH(DATE(cfg_FY,10,1),0))-MAX($E270,DATE(cfg_FY,10,1))+1))</f>
        <v>0</v>
      </c>
      <c r="BD270" s="57" t="n">
        <f aca="false">IF(OR(OR($B270="",$E270="",$F270=""),$K270&lt;&gt;"نعم",$M270="نعم"),0,MAX(0,MIN($F270,EOMONTH(DATE(cfg_FY,11,1),0))-MAX($E270,DATE(cfg_FY,11,1))+1))</f>
        <v>0</v>
      </c>
      <c r="BE270" s="57" t="n">
        <f aca="false">IF(OR(OR($B270="",$E270="",$F270=""),$K270&lt;&gt;"نعم",$M270="نعم"),0,MAX(0,MIN($F270,EOMONTH(DATE(cfg_FY,12,1),0))-MAX($E270,DATE(cfg_FY,12,1))+1))</f>
        <v>0</v>
      </c>
    </row>
    <row r="271" customFormat="false" ht="15" hidden="false" customHeight="false" outlineLevel="0" collapsed="false">
      <c r="A271" s="100" t="str">
        <f aca="false">IF(B271="","",ROW()-5)</f>
        <v/>
      </c>
      <c r="B271" s="79"/>
      <c r="C271" s="102" t="str">
        <f aca="false">IF(B271="","",IFERROR(INDEX(الموظفون!$C$6:$C$105,MATCH(B271,الموظفون!$B$6:$B$105,0)),"✖ رقم غير موجود"))</f>
        <v/>
      </c>
      <c r="D271" s="79"/>
      <c r="E271" s="94"/>
      <c r="F271" s="94"/>
      <c r="G271" s="110" t="str">
        <f aca="false">IF(OR($B271="",$E271="",$F271=""),"",MAX(0,F271-E271+1))</f>
        <v/>
      </c>
      <c r="H271" s="111" t="str">
        <f aca="false">IF(D271="","",IFERROR(VLOOKUP(D271,cfg_LT,2,FALSE()),1))</f>
        <v/>
      </c>
      <c r="I271" s="82"/>
      <c r="J271" s="111" t="str">
        <f aca="false">IF(D271="","",IF(I271&lt;&gt;"",I271,H271))</f>
        <v/>
      </c>
      <c r="K271" s="102" t="str">
        <f aca="false">IF(D271="","",IFERROR(VLOOKUP($D271,cfg_LT,3,FALSE()),""))</f>
        <v/>
      </c>
      <c r="L271" s="102" t="str">
        <f aca="false">IF(D271="","",IFERROR(VLOOKUP($D271,cfg_LT,4,FALSE()),""))</f>
        <v/>
      </c>
      <c r="M271" s="102" t="str">
        <f aca="false">IF(D271="","",IFERROR(VLOOKUP($D271,cfg_LT,5,FALSE()),""))</f>
        <v/>
      </c>
      <c r="N271" s="101" t="n">
        <f aca="false">IF(OR(OR($B271="",$E271="",$F271=""),M271&lt;&gt;"نعم"),0,G271*J271*IFERROR(INDEX(الموظفون!$R$6:$R$105,MATCH(B271,الموظفون!$B$6:$B$105,0)),0)/cfg_DAYS_M)</f>
        <v>0</v>
      </c>
      <c r="O271" s="100" t="str">
        <f aca="false">IF(OR(OR($B271="",$E271="",$F271=""),M271&lt;&gt;"نعم"),"",IF(YEAR(E271)=cfg_FY,MONTH(E271),""))</f>
        <v/>
      </c>
      <c r="P271" s="102" t="str">
        <f aca="false">IF(B271="","",IF(OR(D271="",E271="",F271=""),"⚠ أكمل النوع والتواريخ",IF(F271&lt;E271,"✖ النهاية قبل البداية",IF(COUNTIFS($B$6:$B$505,B271,$E$6:$E$505,"&lt;="&amp;F271,$F$6:$F$505,"&gt;="&amp;E271)&gt;1,"⚠ تداخل مع سجل آخر",IF(E271&gt;cfg_VAL_DATE,"⏳ قادمة",IF(F271&lt;cfg_VAL_DATE,"✔ منتهية","✈ جارية في تاريخ التقرير"))))))</f>
        <v/>
      </c>
      <c r="Q271" s="79"/>
      <c r="R271" s="110" t="n">
        <f aca="false">IF(OR(OR($B271="",$E271="",$F271=""),L271&lt;&gt;"لا"),0,MAX(0,MIN(F271,cfg_Y_START-1)-E271+1))</f>
        <v>0</v>
      </c>
      <c r="S271" s="110" t="n">
        <f aca="false">IF(OR(OR($B271="",$E271="",$F271=""),L271&lt;&gt;"لا"),0,MAX(0,MIN(F271,cfg_VAL_DATE)-E271+1))</f>
        <v>0</v>
      </c>
      <c r="T271" s="110" t="n">
        <f aca="false">IF(OR(OR($B271="",$E271="",$F271=""),K271&lt;&gt;"نعم"),0,IF(M271="نعم",IF(AND(ISNUMBER(O271),N(O271)&lt;=cfg_VAL_M),G271,0),MAX(0,MIN(F271,cfg_VAL_DATE)-MAX(E271,cfg_Y_START)+1)))</f>
        <v>0</v>
      </c>
      <c r="V271" s="110" t="n">
        <f aca="false">IF(OR($B271="",$E271="",$F271=""),0,MAX(0,MIN($F271,EOMONTH(DATE(cfg_FY,1,1),0))-MAX($E271,DATE(cfg_FY,1,1))+1)*(1-IF($M271="نعم",0,N($J271))))</f>
        <v>0</v>
      </c>
      <c r="W271" s="110" t="n">
        <f aca="false">IF(OR($B271="",$E271="",$F271=""),0,MAX(0,MIN($F271,EOMONTH(DATE(cfg_FY,2,1),0))-MAX($E271,DATE(cfg_FY,2,1))+1)*(1-IF($M271="نعم",0,N($J271))))</f>
        <v>0</v>
      </c>
      <c r="X271" s="110" t="n">
        <f aca="false">IF(OR($B271="",$E271="",$F271=""),0,MAX(0,MIN($F271,EOMONTH(DATE(cfg_FY,3,1),0))-MAX($E271,DATE(cfg_FY,3,1))+1)*(1-IF($M271="نعم",0,N($J271))))</f>
        <v>0</v>
      </c>
      <c r="Y271" s="110" t="n">
        <f aca="false">IF(OR($B271="",$E271="",$F271=""),0,MAX(0,MIN($F271,EOMONTH(DATE(cfg_FY,4,1),0))-MAX($E271,DATE(cfg_FY,4,1))+1)*(1-IF($M271="نعم",0,N($J271))))</f>
        <v>0</v>
      </c>
      <c r="Z271" s="110" t="n">
        <f aca="false">IF(OR($B271="",$E271="",$F271=""),0,MAX(0,MIN($F271,EOMONTH(DATE(cfg_FY,5,1),0))-MAX($E271,DATE(cfg_FY,5,1))+1)*(1-IF($M271="نعم",0,N($J271))))</f>
        <v>0</v>
      </c>
      <c r="AA271" s="110" t="n">
        <f aca="false">IF(OR($B271="",$E271="",$F271=""),0,MAX(0,MIN($F271,EOMONTH(DATE(cfg_FY,6,1),0))-MAX($E271,DATE(cfg_FY,6,1))+1)*(1-IF($M271="نعم",0,N($J271))))</f>
        <v>0</v>
      </c>
      <c r="AB271" s="110" t="n">
        <f aca="false">IF(OR($B271="",$E271="",$F271=""),0,MAX(0,MIN($F271,EOMONTH(DATE(cfg_FY,7,1),0))-MAX($E271,DATE(cfg_FY,7,1))+1)*(1-IF($M271="نعم",0,N($J271))))</f>
        <v>0</v>
      </c>
      <c r="AC271" s="110" t="n">
        <f aca="false">IF(OR($B271="",$E271="",$F271=""),0,MAX(0,MIN($F271,EOMONTH(DATE(cfg_FY,8,1),0))-MAX($E271,DATE(cfg_FY,8,1))+1)*(1-IF($M271="نعم",0,N($J271))))</f>
        <v>0</v>
      </c>
      <c r="AD271" s="110" t="n">
        <f aca="false">IF(OR($B271="",$E271="",$F271=""),0,MAX(0,MIN($F271,EOMONTH(DATE(cfg_FY,9,1),0))-MAX($E271,DATE(cfg_FY,9,1))+1)*(1-IF($M271="نعم",0,N($J271))))</f>
        <v>0</v>
      </c>
      <c r="AE271" s="110" t="n">
        <f aca="false">IF(OR($B271="",$E271="",$F271=""),0,MAX(0,MIN($F271,EOMONTH(DATE(cfg_FY,10,1),0))-MAX($E271,DATE(cfg_FY,10,1))+1)*(1-IF($M271="نعم",0,N($J271))))</f>
        <v>0</v>
      </c>
      <c r="AF271" s="110" t="n">
        <f aca="false">IF(OR($B271="",$E271="",$F271=""),0,MAX(0,MIN($F271,EOMONTH(DATE(cfg_FY,11,1),0))-MAX($E271,DATE(cfg_FY,11,1))+1)*(1-IF($M271="نعم",0,N($J271))))</f>
        <v>0</v>
      </c>
      <c r="AG271" s="110" t="n">
        <f aca="false">IF(OR($B271="",$E271="",$F271=""),0,MAX(0,MIN($F271,EOMONTH(DATE(cfg_FY,12,1),0))-MAX($E271,DATE(cfg_FY,12,1))+1)*(1-IF($M271="نعم",0,N($J271))))</f>
        <v>0</v>
      </c>
      <c r="AH271" s="110" t="n">
        <f aca="false">IF(OR(OR($B271="",$E271="",$F271=""),$L271&lt;&gt;"لا"),0,MAX(0,MIN($F271,EOMONTH(DATE(cfg_FY,1,1),0))-$E271+1))</f>
        <v>0</v>
      </c>
      <c r="AI271" s="110" t="n">
        <f aca="false">IF(OR(OR($B271="",$E271="",$F271=""),$L271&lt;&gt;"لا"),0,MAX(0,MIN($F271,EOMONTH(DATE(cfg_FY,2,1),0))-$E271+1))</f>
        <v>0</v>
      </c>
      <c r="AJ271" s="110" t="n">
        <f aca="false">IF(OR(OR($B271="",$E271="",$F271=""),$L271&lt;&gt;"لا"),0,MAX(0,MIN($F271,EOMONTH(DATE(cfg_FY,3,1),0))-$E271+1))</f>
        <v>0</v>
      </c>
      <c r="AK271" s="110" t="n">
        <f aca="false">IF(OR(OR($B271="",$E271="",$F271=""),$L271&lt;&gt;"لا"),0,MAX(0,MIN($F271,EOMONTH(DATE(cfg_FY,4,1),0))-$E271+1))</f>
        <v>0</v>
      </c>
      <c r="AL271" s="110" t="n">
        <f aca="false">IF(OR(OR($B271="",$E271="",$F271=""),$L271&lt;&gt;"لا"),0,MAX(0,MIN($F271,EOMONTH(DATE(cfg_FY,5,1),0))-$E271+1))</f>
        <v>0</v>
      </c>
      <c r="AM271" s="110" t="n">
        <f aca="false">IF(OR(OR($B271="",$E271="",$F271=""),$L271&lt;&gt;"لا"),0,MAX(0,MIN($F271,EOMONTH(DATE(cfg_FY,6,1),0))-$E271+1))</f>
        <v>0</v>
      </c>
      <c r="AN271" s="110" t="n">
        <f aca="false">IF(OR(OR($B271="",$E271="",$F271=""),$L271&lt;&gt;"لا"),0,MAX(0,MIN($F271,EOMONTH(DATE(cfg_FY,7,1),0))-$E271+1))</f>
        <v>0</v>
      </c>
      <c r="AO271" s="110" t="n">
        <f aca="false">IF(OR(OR($B271="",$E271="",$F271=""),$L271&lt;&gt;"لا"),0,MAX(0,MIN($F271,EOMONTH(DATE(cfg_FY,8,1),0))-$E271+1))</f>
        <v>0</v>
      </c>
      <c r="AP271" s="110" t="n">
        <f aca="false">IF(OR(OR($B271="",$E271="",$F271=""),$L271&lt;&gt;"لا"),0,MAX(0,MIN($F271,EOMONTH(DATE(cfg_FY,9,1),0))-$E271+1))</f>
        <v>0</v>
      </c>
      <c r="AQ271" s="110" t="n">
        <f aca="false">IF(OR(OR($B271="",$E271="",$F271=""),$L271&lt;&gt;"لا"),0,MAX(0,MIN($F271,EOMONTH(DATE(cfg_FY,10,1),0))-$E271+1))</f>
        <v>0</v>
      </c>
      <c r="AR271" s="110" t="n">
        <f aca="false">IF(OR(OR($B271="",$E271="",$F271=""),$L271&lt;&gt;"لا"),0,MAX(0,MIN($F271,EOMONTH(DATE(cfg_FY,11,1),0))-$E271+1))</f>
        <v>0</v>
      </c>
      <c r="AS271" s="110" t="n">
        <f aca="false">IF(OR(OR($B271="",$E271="",$F271=""),$L271&lt;&gt;"لا"),0,MAX(0,MIN($F271,EOMONTH(DATE(cfg_FY,12,1),0))-$E271+1))</f>
        <v>0</v>
      </c>
      <c r="AT271" s="110" t="n">
        <f aca="false">IF(OR(OR($B271="",$E271="",$F271=""),$K271&lt;&gt;"نعم",$M271="نعم"),0,MAX(0,MIN($F271,EOMONTH(DATE(cfg_FY,1,1),0))-MAX($E271,DATE(cfg_FY,1,1))+1))</f>
        <v>0</v>
      </c>
      <c r="AU271" s="110" t="n">
        <f aca="false">IF(OR(OR($B271="",$E271="",$F271=""),$K271&lt;&gt;"نعم",$M271="نعم"),0,MAX(0,MIN($F271,EOMONTH(DATE(cfg_FY,2,1),0))-MAX($E271,DATE(cfg_FY,2,1))+1))</f>
        <v>0</v>
      </c>
      <c r="AV271" s="110" t="n">
        <f aca="false">IF(OR(OR($B271="",$E271="",$F271=""),$K271&lt;&gt;"نعم",$M271="نعم"),0,MAX(0,MIN($F271,EOMONTH(DATE(cfg_FY,3,1),0))-MAX($E271,DATE(cfg_FY,3,1))+1))</f>
        <v>0</v>
      </c>
      <c r="AW271" s="110" t="n">
        <f aca="false">IF(OR(OR($B271="",$E271="",$F271=""),$K271&lt;&gt;"نعم",$M271="نعم"),0,MAX(0,MIN($F271,EOMONTH(DATE(cfg_FY,4,1),0))-MAX($E271,DATE(cfg_FY,4,1))+1))</f>
        <v>0</v>
      </c>
      <c r="AX271" s="110" t="n">
        <f aca="false">IF(OR(OR($B271="",$E271="",$F271=""),$K271&lt;&gt;"نعم",$M271="نعم"),0,MAX(0,MIN($F271,EOMONTH(DATE(cfg_FY,5,1),0))-MAX($E271,DATE(cfg_FY,5,1))+1))</f>
        <v>0</v>
      </c>
      <c r="AY271" s="110" t="n">
        <f aca="false">IF(OR(OR($B271="",$E271="",$F271=""),$K271&lt;&gt;"نعم",$M271="نعم"),0,MAX(0,MIN($F271,EOMONTH(DATE(cfg_FY,6,1),0))-MAX($E271,DATE(cfg_FY,6,1))+1))</f>
        <v>0</v>
      </c>
      <c r="AZ271" s="110" t="n">
        <f aca="false">IF(OR(OR($B271="",$E271="",$F271=""),$K271&lt;&gt;"نعم",$M271="نعم"),0,MAX(0,MIN($F271,EOMONTH(DATE(cfg_FY,7,1),0))-MAX($E271,DATE(cfg_FY,7,1))+1))</f>
        <v>0</v>
      </c>
      <c r="BA271" s="110" t="n">
        <f aca="false">IF(OR(OR($B271="",$E271="",$F271=""),$K271&lt;&gt;"نعم",$M271="نعم"),0,MAX(0,MIN($F271,EOMONTH(DATE(cfg_FY,8,1),0))-MAX($E271,DATE(cfg_FY,8,1))+1))</f>
        <v>0</v>
      </c>
      <c r="BB271" s="110" t="n">
        <f aca="false">IF(OR(OR($B271="",$E271="",$F271=""),$K271&lt;&gt;"نعم",$M271="نعم"),0,MAX(0,MIN($F271,EOMONTH(DATE(cfg_FY,9,1),0))-MAX($E271,DATE(cfg_FY,9,1))+1))</f>
        <v>0</v>
      </c>
      <c r="BC271" s="110" t="n">
        <f aca="false">IF(OR(OR($B271="",$E271="",$F271=""),$K271&lt;&gt;"نعم",$M271="نعم"),0,MAX(0,MIN($F271,EOMONTH(DATE(cfg_FY,10,1),0))-MAX($E271,DATE(cfg_FY,10,1))+1))</f>
        <v>0</v>
      </c>
      <c r="BD271" s="110" t="n">
        <f aca="false">IF(OR(OR($B271="",$E271="",$F271=""),$K271&lt;&gt;"نعم",$M271="نعم"),0,MAX(0,MIN($F271,EOMONTH(DATE(cfg_FY,11,1),0))-MAX($E271,DATE(cfg_FY,11,1))+1))</f>
        <v>0</v>
      </c>
      <c r="BE271" s="110" t="n">
        <f aca="false">IF(OR(OR($B271="",$E271="",$F271=""),$K271&lt;&gt;"نعم",$M271="نعم"),0,MAX(0,MIN($F271,EOMONTH(DATE(cfg_FY,12,1),0))-MAX($E271,DATE(cfg_FY,12,1))+1))</f>
        <v>0</v>
      </c>
    </row>
    <row r="272" customFormat="false" ht="15" hidden="false" customHeight="false" outlineLevel="0" collapsed="false">
      <c r="A272" s="93" t="str">
        <f aca="false">IF(B272="","",ROW()-5)</f>
        <v/>
      </c>
      <c r="B272" s="79"/>
      <c r="C272" s="80" t="str">
        <f aca="false">IF(B272="","",IFERROR(INDEX(الموظفون!$C$6:$C$105,MATCH(B272,الموظفون!$B$6:$B$105,0)),"✖ رقم غير موجود"))</f>
        <v/>
      </c>
      <c r="D272" s="79"/>
      <c r="E272" s="94"/>
      <c r="F272" s="94"/>
      <c r="G272" s="57" t="str">
        <f aca="false">IF(OR($B272="",$E272="",$F272=""),"",MAX(0,F272-E272+1))</f>
        <v/>
      </c>
      <c r="H272" s="58" t="str">
        <f aca="false">IF(D272="","",IFERROR(VLOOKUP(D272,cfg_LT,2,FALSE()),1))</f>
        <v/>
      </c>
      <c r="I272" s="82"/>
      <c r="J272" s="58" t="str">
        <f aca="false">IF(D272="","",IF(I272&lt;&gt;"",I272,H272))</f>
        <v/>
      </c>
      <c r="K272" s="80" t="str">
        <f aca="false">IF(D272="","",IFERROR(VLOOKUP($D272,cfg_LT,3,FALSE()),""))</f>
        <v/>
      </c>
      <c r="L272" s="80" t="str">
        <f aca="false">IF(D272="","",IFERROR(VLOOKUP($D272,cfg_LT,4,FALSE()),""))</f>
        <v/>
      </c>
      <c r="M272" s="80" t="str">
        <f aca="false">IF(D272="","",IFERROR(VLOOKUP($D272,cfg_LT,5,FALSE()),""))</f>
        <v/>
      </c>
      <c r="N272" s="97" t="n">
        <f aca="false">IF(OR(OR($B272="",$E272="",$F272=""),M272&lt;&gt;"نعم"),0,G272*J272*IFERROR(INDEX(الموظفون!$R$6:$R$105,MATCH(B272,الموظفون!$B$6:$B$105,0)),0)/cfg_DAYS_M)</f>
        <v>0</v>
      </c>
      <c r="O272" s="93" t="str">
        <f aca="false">IF(OR(OR($B272="",$E272="",$F272=""),M272&lt;&gt;"نعم"),"",IF(YEAR(E272)=cfg_FY,MONTH(E272),""))</f>
        <v/>
      </c>
      <c r="P272" s="80" t="str">
        <f aca="false">IF(B272="","",IF(OR(D272="",E272="",F272=""),"⚠ أكمل النوع والتواريخ",IF(F272&lt;E272,"✖ النهاية قبل البداية",IF(COUNTIFS($B$6:$B$505,B272,$E$6:$E$505,"&lt;="&amp;F272,$F$6:$F$505,"&gt;="&amp;E272)&gt;1,"⚠ تداخل مع سجل آخر",IF(E272&gt;cfg_VAL_DATE,"⏳ قادمة",IF(F272&lt;cfg_VAL_DATE,"✔ منتهية","✈ جارية في تاريخ التقرير"))))))</f>
        <v/>
      </c>
      <c r="Q272" s="79"/>
      <c r="R272" s="57" t="n">
        <f aca="false">IF(OR(OR($B272="",$E272="",$F272=""),L272&lt;&gt;"لا"),0,MAX(0,MIN(F272,cfg_Y_START-1)-E272+1))</f>
        <v>0</v>
      </c>
      <c r="S272" s="57" t="n">
        <f aca="false">IF(OR(OR($B272="",$E272="",$F272=""),L272&lt;&gt;"لا"),0,MAX(0,MIN(F272,cfg_VAL_DATE)-E272+1))</f>
        <v>0</v>
      </c>
      <c r="T272" s="57" t="n">
        <f aca="false">IF(OR(OR($B272="",$E272="",$F272=""),K272&lt;&gt;"نعم"),0,IF(M272="نعم",IF(AND(ISNUMBER(O272),N(O272)&lt;=cfg_VAL_M),G272,0),MAX(0,MIN(F272,cfg_VAL_DATE)-MAX(E272,cfg_Y_START)+1)))</f>
        <v>0</v>
      </c>
      <c r="V272" s="57" t="n">
        <f aca="false">IF(OR($B272="",$E272="",$F272=""),0,MAX(0,MIN($F272,EOMONTH(DATE(cfg_FY,1,1),0))-MAX($E272,DATE(cfg_FY,1,1))+1)*(1-IF($M272="نعم",0,N($J272))))</f>
        <v>0</v>
      </c>
      <c r="W272" s="57" t="n">
        <f aca="false">IF(OR($B272="",$E272="",$F272=""),0,MAX(0,MIN($F272,EOMONTH(DATE(cfg_FY,2,1),0))-MAX($E272,DATE(cfg_FY,2,1))+1)*(1-IF($M272="نعم",0,N($J272))))</f>
        <v>0</v>
      </c>
      <c r="X272" s="57" t="n">
        <f aca="false">IF(OR($B272="",$E272="",$F272=""),0,MAX(0,MIN($F272,EOMONTH(DATE(cfg_FY,3,1),0))-MAX($E272,DATE(cfg_FY,3,1))+1)*(1-IF($M272="نعم",0,N($J272))))</f>
        <v>0</v>
      </c>
      <c r="Y272" s="57" t="n">
        <f aca="false">IF(OR($B272="",$E272="",$F272=""),0,MAX(0,MIN($F272,EOMONTH(DATE(cfg_FY,4,1),0))-MAX($E272,DATE(cfg_FY,4,1))+1)*(1-IF($M272="نعم",0,N($J272))))</f>
        <v>0</v>
      </c>
      <c r="Z272" s="57" t="n">
        <f aca="false">IF(OR($B272="",$E272="",$F272=""),0,MAX(0,MIN($F272,EOMONTH(DATE(cfg_FY,5,1),0))-MAX($E272,DATE(cfg_FY,5,1))+1)*(1-IF($M272="نعم",0,N($J272))))</f>
        <v>0</v>
      </c>
      <c r="AA272" s="57" t="n">
        <f aca="false">IF(OR($B272="",$E272="",$F272=""),0,MAX(0,MIN($F272,EOMONTH(DATE(cfg_FY,6,1),0))-MAX($E272,DATE(cfg_FY,6,1))+1)*(1-IF($M272="نعم",0,N($J272))))</f>
        <v>0</v>
      </c>
      <c r="AB272" s="57" t="n">
        <f aca="false">IF(OR($B272="",$E272="",$F272=""),0,MAX(0,MIN($F272,EOMONTH(DATE(cfg_FY,7,1),0))-MAX($E272,DATE(cfg_FY,7,1))+1)*(1-IF($M272="نعم",0,N($J272))))</f>
        <v>0</v>
      </c>
      <c r="AC272" s="57" t="n">
        <f aca="false">IF(OR($B272="",$E272="",$F272=""),0,MAX(0,MIN($F272,EOMONTH(DATE(cfg_FY,8,1),0))-MAX($E272,DATE(cfg_FY,8,1))+1)*(1-IF($M272="نعم",0,N($J272))))</f>
        <v>0</v>
      </c>
      <c r="AD272" s="57" t="n">
        <f aca="false">IF(OR($B272="",$E272="",$F272=""),0,MAX(0,MIN($F272,EOMONTH(DATE(cfg_FY,9,1),0))-MAX($E272,DATE(cfg_FY,9,1))+1)*(1-IF($M272="نعم",0,N($J272))))</f>
        <v>0</v>
      </c>
      <c r="AE272" s="57" t="n">
        <f aca="false">IF(OR($B272="",$E272="",$F272=""),0,MAX(0,MIN($F272,EOMONTH(DATE(cfg_FY,10,1),0))-MAX($E272,DATE(cfg_FY,10,1))+1)*(1-IF($M272="نعم",0,N($J272))))</f>
        <v>0</v>
      </c>
      <c r="AF272" s="57" t="n">
        <f aca="false">IF(OR($B272="",$E272="",$F272=""),0,MAX(0,MIN($F272,EOMONTH(DATE(cfg_FY,11,1),0))-MAX($E272,DATE(cfg_FY,11,1))+1)*(1-IF($M272="نعم",0,N($J272))))</f>
        <v>0</v>
      </c>
      <c r="AG272" s="57" t="n">
        <f aca="false">IF(OR($B272="",$E272="",$F272=""),0,MAX(0,MIN($F272,EOMONTH(DATE(cfg_FY,12,1),0))-MAX($E272,DATE(cfg_FY,12,1))+1)*(1-IF($M272="نعم",0,N($J272))))</f>
        <v>0</v>
      </c>
      <c r="AH272" s="57" t="n">
        <f aca="false">IF(OR(OR($B272="",$E272="",$F272=""),$L272&lt;&gt;"لا"),0,MAX(0,MIN($F272,EOMONTH(DATE(cfg_FY,1,1),0))-$E272+1))</f>
        <v>0</v>
      </c>
      <c r="AI272" s="57" t="n">
        <f aca="false">IF(OR(OR($B272="",$E272="",$F272=""),$L272&lt;&gt;"لا"),0,MAX(0,MIN($F272,EOMONTH(DATE(cfg_FY,2,1),0))-$E272+1))</f>
        <v>0</v>
      </c>
      <c r="AJ272" s="57" t="n">
        <f aca="false">IF(OR(OR($B272="",$E272="",$F272=""),$L272&lt;&gt;"لا"),0,MAX(0,MIN($F272,EOMONTH(DATE(cfg_FY,3,1),0))-$E272+1))</f>
        <v>0</v>
      </c>
      <c r="AK272" s="57" t="n">
        <f aca="false">IF(OR(OR($B272="",$E272="",$F272=""),$L272&lt;&gt;"لا"),0,MAX(0,MIN($F272,EOMONTH(DATE(cfg_FY,4,1),0))-$E272+1))</f>
        <v>0</v>
      </c>
      <c r="AL272" s="57" t="n">
        <f aca="false">IF(OR(OR($B272="",$E272="",$F272=""),$L272&lt;&gt;"لا"),0,MAX(0,MIN($F272,EOMONTH(DATE(cfg_FY,5,1),0))-$E272+1))</f>
        <v>0</v>
      </c>
      <c r="AM272" s="57" t="n">
        <f aca="false">IF(OR(OR($B272="",$E272="",$F272=""),$L272&lt;&gt;"لا"),0,MAX(0,MIN($F272,EOMONTH(DATE(cfg_FY,6,1),0))-$E272+1))</f>
        <v>0</v>
      </c>
      <c r="AN272" s="57" t="n">
        <f aca="false">IF(OR(OR($B272="",$E272="",$F272=""),$L272&lt;&gt;"لا"),0,MAX(0,MIN($F272,EOMONTH(DATE(cfg_FY,7,1),0))-$E272+1))</f>
        <v>0</v>
      </c>
      <c r="AO272" s="57" t="n">
        <f aca="false">IF(OR(OR($B272="",$E272="",$F272=""),$L272&lt;&gt;"لا"),0,MAX(0,MIN($F272,EOMONTH(DATE(cfg_FY,8,1),0))-$E272+1))</f>
        <v>0</v>
      </c>
      <c r="AP272" s="57" t="n">
        <f aca="false">IF(OR(OR($B272="",$E272="",$F272=""),$L272&lt;&gt;"لا"),0,MAX(0,MIN($F272,EOMONTH(DATE(cfg_FY,9,1),0))-$E272+1))</f>
        <v>0</v>
      </c>
      <c r="AQ272" s="57" t="n">
        <f aca="false">IF(OR(OR($B272="",$E272="",$F272=""),$L272&lt;&gt;"لا"),0,MAX(0,MIN($F272,EOMONTH(DATE(cfg_FY,10,1),0))-$E272+1))</f>
        <v>0</v>
      </c>
      <c r="AR272" s="57" t="n">
        <f aca="false">IF(OR(OR($B272="",$E272="",$F272=""),$L272&lt;&gt;"لا"),0,MAX(0,MIN($F272,EOMONTH(DATE(cfg_FY,11,1),0))-$E272+1))</f>
        <v>0</v>
      </c>
      <c r="AS272" s="57" t="n">
        <f aca="false">IF(OR(OR($B272="",$E272="",$F272=""),$L272&lt;&gt;"لا"),0,MAX(0,MIN($F272,EOMONTH(DATE(cfg_FY,12,1),0))-$E272+1))</f>
        <v>0</v>
      </c>
      <c r="AT272" s="57" t="n">
        <f aca="false">IF(OR(OR($B272="",$E272="",$F272=""),$K272&lt;&gt;"نعم",$M272="نعم"),0,MAX(0,MIN($F272,EOMONTH(DATE(cfg_FY,1,1),0))-MAX($E272,DATE(cfg_FY,1,1))+1))</f>
        <v>0</v>
      </c>
      <c r="AU272" s="57" t="n">
        <f aca="false">IF(OR(OR($B272="",$E272="",$F272=""),$K272&lt;&gt;"نعم",$M272="نعم"),0,MAX(0,MIN($F272,EOMONTH(DATE(cfg_FY,2,1),0))-MAX($E272,DATE(cfg_FY,2,1))+1))</f>
        <v>0</v>
      </c>
      <c r="AV272" s="57" t="n">
        <f aca="false">IF(OR(OR($B272="",$E272="",$F272=""),$K272&lt;&gt;"نعم",$M272="نعم"),0,MAX(0,MIN($F272,EOMONTH(DATE(cfg_FY,3,1),0))-MAX($E272,DATE(cfg_FY,3,1))+1))</f>
        <v>0</v>
      </c>
      <c r="AW272" s="57" t="n">
        <f aca="false">IF(OR(OR($B272="",$E272="",$F272=""),$K272&lt;&gt;"نعم",$M272="نعم"),0,MAX(0,MIN($F272,EOMONTH(DATE(cfg_FY,4,1),0))-MAX($E272,DATE(cfg_FY,4,1))+1))</f>
        <v>0</v>
      </c>
      <c r="AX272" s="57" t="n">
        <f aca="false">IF(OR(OR($B272="",$E272="",$F272=""),$K272&lt;&gt;"نعم",$M272="نعم"),0,MAX(0,MIN($F272,EOMONTH(DATE(cfg_FY,5,1),0))-MAX($E272,DATE(cfg_FY,5,1))+1))</f>
        <v>0</v>
      </c>
      <c r="AY272" s="57" t="n">
        <f aca="false">IF(OR(OR($B272="",$E272="",$F272=""),$K272&lt;&gt;"نعم",$M272="نعم"),0,MAX(0,MIN($F272,EOMONTH(DATE(cfg_FY,6,1),0))-MAX($E272,DATE(cfg_FY,6,1))+1))</f>
        <v>0</v>
      </c>
      <c r="AZ272" s="57" t="n">
        <f aca="false">IF(OR(OR($B272="",$E272="",$F272=""),$K272&lt;&gt;"نعم",$M272="نعم"),0,MAX(0,MIN($F272,EOMONTH(DATE(cfg_FY,7,1),0))-MAX($E272,DATE(cfg_FY,7,1))+1))</f>
        <v>0</v>
      </c>
      <c r="BA272" s="57" t="n">
        <f aca="false">IF(OR(OR($B272="",$E272="",$F272=""),$K272&lt;&gt;"نعم",$M272="نعم"),0,MAX(0,MIN($F272,EOMONTH(DATE(cfg_FY,8,1),0))-MAX($E272,DATE(cfg_FY,8,1))+1))</f>
        <v>0</v>
      </c>
      <c r="BB272" s="57" t="n">
        <f aca="false">IF(OR(OR($B272="",$E272="",$F272=""),$K272&lt;&gt;"نعم",$M272="نعم"),0,MAX(0,MIN($F272,EOMONTH(DATE(cfg_FY,9,1),0))-MAX($E272,DATE(cfg_FY,9,1))+1))</f>
        <v>0</v>
      </c>
      <c r="BC272" s="57" t="n">
        <f aca="false">IF(OR(OR($B272="",$E272="",$F272=""),$K272&lt;&gt;"نعم",$M272="نعم"),0,MAX(0,MIN($F272,EOMONTH(DATE(cfg_FY,10,1),0))-MAX($E272,DATE(cfg_FY,10,1))+1))</f>
        <v>0</v>
      </c>
      <c r="BD272" s="57" t="n">
        <f aca="false">IF(OR(OR($B272="",$E272="",$F272=""),$K272&lt;&gt;"نعم",$M272="نعم"),0,MAX(0,MIN($F272,EOMONTH(DATE(cfg_FY,11,1),0))-MAX($E272,DATE(cfg_FY,11,1))+1))</f>
        <v>0</v>
      </c>
      <c r="BE272" s="57" t="n">
        <f aca="false">IF(OR(OR($B272="",$E272="",$F272=""),$K272&lt;&gt;"نعم",$M272="نعم"),0,MAX(0,MIN($F272,EOMONTH(DATE(cfg_FY,12,1),0))-MAX($E272,DATE(cfg_FY,12,1))+1))</f>
        <v>0</v>
      </c>
    </row>
    <row r="273" customFormat="false" ht="15" hidden="false" customHeight="false" outlineLevel="0" collapsed="false">
      <c r="A273" s="100" t="str">
        <f aca="false">IF(B273="","",ROW()-5)</f>
        <v/>
      </c>
      <c r="B273" s="79"/>
      <c r="C273" s="102" t="str">
        <f aca="false">IF(B273="","",IFERROR(INDEX(الموظفون!$C$6:$C$105,MATCH(B273,الموظفون!$B$6:$B$105,0)),"✖ رقم غير موجود"))</f>
        <v/>
      </c>
      <c r="D273" s="79"/>
      <c r="E273" s="94"/>
      <c r="F273" s="94"/>
      <c r="G273" s="110" t="str">
        <f aca="false">IF(OR($B273="",$E273="",$F273=""),"",MAX(0,F273-E273+1))</f>
        <v/>
      </c>
      <c r="H273" s="111" t="str">
        <f aca="false">IF(D273="","",IFERROR(VLOOKUP(D273,cfg_LT,2,FALSE()),1))</f>
        <v/>
      </c>
      <c r="I273" s="82"/>
      <c r="J273" s="111" t="str">
        <f aca="false">IF(D273="","",IF(I273&lt;&gt;"",I273,H273))</f>
        <v/>
      </c>
      <c r="K273" s="102" t="str">
        <f aca="false">IF(D273="","",IFERROR(VLOOKUP($D273,cfg_LT,3,FALSE()),""))</f>
        <v/>
      </c>
      <c r="L273" s="102" t="str">
        <f aca="false">IF(D273="","",IFERROR(VLOOKUP($D273,cfg_LT,4,FALSE()),""))</f>
        <v/>
      </c>
      <c r="M273" s="102" t="str">
        <f aca="false">IF(D273="","",IFERROR(VLOOKUP($D273,cfg_LT,5,FALSE()),""))</f>
        <v/>
      </c>
      <c r="N273" s="101" t="n">
        <f aca="false">IF(OR(OR($B273="",$E273="",$F273=""),M273&lt;&gt;"نعم"),0,G273*J273*IFERROR(INDEX(الموظفون!$R$6:$R$105,MATCH(B273,الموظفون!$B$6:$B$105,0)),0)/cfg_DAYS_M)</f>
        <v>0</v>
      </c>
      <c r="O273" s="100" t="str">
        <f aca="false">IF(OR(OR($B273="",$E273="",$F273=""),M273&lt;&gt;"نعم"),"",IF(YEAR(E273)=cfg_FY,MONTH(E273),""))</f>
        <v/>
      </c>
      <c r="P273" s="102" t="str">
        <f aca="false">IF(B273="","",IF(OR(D273="",E273="",F273=""),"⚠ أكمل النوع والتواريخ",IF(F273&lt;E273,"✖ النهاية قبل البداية",IF(COUNTIFS($B$6:$B$505,B273,$E$6:$E$505,"&lt;="&amp;F273,$F$6:$F$505,"&gt;="&amp;E273)&gt;1,"⚠ تداخل مع سجل آخر",IF(E273&gt;cfg_VAL_DATE,"⏳ قادمة",IF(F273&lt;cfg_VAL_DATE,"✔ منتهية","✈ جارية في تاريخ التقرير"))))))</f>
        <v/>
      </c>
      <c r="Q273" s="79"/>
      <c r="R273" s="110" t="n">
        <f aca="false">IF(OR(OR($B273="",$E273="",$F273=""),L273&lt;&gt;"لا"),0,MAX(0,MIN(F273,cfg_Y_START-1)-E273+1))</f>
        <v>0</v>
      </c>
      <c r="S273" s="110" t="n">
        <f aca="false">IF(OR(OR($B273="",$E273="",$F273=""),L273&lt;&gt;"لا"),0,MAX(0,MIN(F273,cfg_VAL_DATE)-E273+1))</f>
        <v>0</v>
      </c>
      <c r="T273" s="110" t="n">
        <f aca="false">IF(OR(OR($B273="",$E273="",$F273=""),K273&lt;&gt;"نعم"),0,IF(M273="نعم",IF(AND(ISNUMBER(O273),N(O273)&lt;=cfg_VAL_M),G273,0),MAX(0,MIN(F273,cfg_VAL_DATE)-MAX(E273,cfg_Y_START)+1)))</f>
        <v>0</v>
      </c>
      <c r="V273" s="110" t="n">
        <f aca="false">IF(OR($B273="",$E273="",$F273=""),0,MAX(0,MIN($F273,EOMONTH(DATE(cfg_FY,1,1),0))-MAX($E273,DATE(cfg_FY,1,1))+1)*(1-IF($M273="نعم",0,N($J273))))</f>
        <v>0</v>
      </c>
      <c r="W273" s="110" t="n">
        <f aca="false">IF(OR($B273="",$E273="",$F273=""),0,MAX(0,MIN($F273,EOMONTH(DATE(cfg_FY,2,1),0))-MAX($E273,DATE(cfg_FY,2,1))+1)*(1-IF($M273="نعم",0,N($J273))))</f>
        <v>0</v>
      </c>
      <c r="X273" s="110" t="n">
        <f aca="false">IF(OR($B273="",$E273="",$F273=""),0,MAX(0,MIN($F273,EOMONTH(DATE(cfg_FY,3,1),0))-MAX($E273,DATE(cfg_FY,3,1))+1)*(1-IF($M273="نعم",0,N($J273))))</f>
        <v>0</v>
      </c>
      <c r="Y273" s="110" t="n">
        <f aca="false">IF(OR($B273="",$E273="",$F273=""),0,MAX(0,MIN($F273,EOMONTH(DATE(cfg_FY,4,1),0))-MAX($E273,DATE(cfg_FY,4,1))+1)*(1-IF($M273="نعم",0,N($J273))))</f>
        <v>0</v>
      </c>
      <c r="Z273" s="110" t="n">
        <f aca="false">IF(OR($B273="",$E273="",$F273=""),0,MAX(0,MIN($F273,EOMONTH(DATE(cfg_FY,5,1),0))-MAX($E273,DATE(cfg_FY,5,1))+1)*(1-IF($M273="نعم",0,N($J273))))</f>
        <v>0</v>
      </c>
      <c r="AA273" s="110" t="n">
        <f aca="false">IF(OR($B273="",$E273="",$F273=""),0,MAX(0,MIN($F273,EOMONTH(DATE(cfg_FY,6,1),0))-MAX($E273,DATE(cfg_FY,6,1))+1)*(1-IF($M273="نعم",0,N($J273))))</f>
        <v>0</v>
      </c>
      <c r="AB273" s="110" t="n">
        <f aca="false">IF(OR($B273="",$E273="",$F273=""),0,MAX(0,MIN($F273,EOMONTH(DATE(cfg_FY,7,1),0))-MAX($E273,DATE(cfg_FY,7,1))+1)*(1-IF($M273="نعم",0,N($J273))))</f>
        <v>0</v>
      </c>
      <c r="AC273" s="110" t="n">
        <f aca="false">IF(OR($B273="",$E273="",$F273=""),0,MAX(0,MIN($F273,EOMONTH(DATE(cfg_FY,8,1),0))-MAX($E273,DATE(cfg_FY,8,1))+1)*(1-IF($M273="نعم",0,N($J273))))</f>
        <v>0</v>
      </c>
      <c r="AD273" s="110" t="n">
        <f aca="false">IF(OR($B273="",$E273="",$F273=""),0,MAX(0,MIN($F273,EOMONTH(DATE(cfg_FY,9,1),0))-MAX($E273,DATE(cfg_FY,9,1))+1)*(1-IF($M273="نعم",0,N($J273))))</f>
        <v>0</v>
      </c>
      <c r="AE273" s="110" t="n">
        <f aca="false">IF(OR($B273="",$E273="",$F273=""),0,MAX(0,MIN($F273,EOMONTH(DATE(cfg_FY,10,1),0))-MAX($E273,DATE(cfg_FY,10,1))+1)*(1-IF($M273="نعم",0,N($J273))))</f>
        <v>0</v>
      </c>
      <c r="AF273" s="110" t="n">
        <f aca="false">IF(OR($B273="",$E273="",$F273=""),0,MAX(0,MIN($F273,EOMONTH(DATE(cfg_FY,11,1),0))-MAX($E273,DATE(cfg_FY,11,1))+1)*(1-IF($M273="نعم",0,N($J273))))</f>
        <v>0</v>
      </c>
      <c r="AG273" s="110" t="n">
        <f aca="false">IF(OR($B273="",$E273="",$F273=""),0,MAX(0,MIN($F273,EOMONTH(DATE(cfg_FY,12,1),0))-MAX($E273,DATE(cfg_FY,12,1))+1)*(1-IF($M273="نعم",0,N($J273))))</f>
        <v>0</v>
      </c>
      <c r="AH273" s="110" t="n">
        <f aca="false">IF(OR(OR($B273="",$E273="",$F273=""),$L273&lt;&gt;"لا"),0,MAX(0,MIN($F273,EOMONTH(DATE(cfg_FY,1,1),0))-$E273+1))</f>
        <v>0</v>
      </c>
      <c r="AI273" s="110" t="n">
        <f aca="false">IF(OR(OR($B273="",$E273="",$F273=""),$L273&lt;&gt;"لا"),0,MAX(0,MIN($F273,EOMONTH(DATE(cfg_FY,2,1),0))-$E273+1))</f>
        <v>0</v>
      </c>
      <c r="AJ273" s="110" t="n">
        <f aca="false">IF(OR(OR($B273="",$E273="",$F273=""),$L273&lt;&gt;"لا"),0,MAX(0,MIN($F273,EOMONTH(DATE(cfg_FY,3,1),0))-$E273+1))</f>
        <v>0</v>
      </c>
      <c r="AK273" s="110" t="n">
        <f aca="false">IF(OR(OR($B273="",$E273="",$F273=""),$L273&lt;&gt;"لا"),0,MAX(0,MIN($F273,EOMONTH(DATE(cfg_FY,4,1),0))-$E273+1))</f>
        <v>0</v>
      </c>
      <c r="AL273" s="110" t="n">
        <f aca="false">IF(OR(OR($B273="",$E273="",$F273=""),$L273&lt;&gt;"لا"),0,MAX(0,MIN($F273,EOMONTH(DATE(cfg_FY,5,1),0))-$E273+1))</f>
        <v>0</v>
      </c>
      <c r="AM273" s="110" t="n">
        <f aca="false">IF(OR(OR($B273="",$E273="",$F273=""),$L273&lt;&gt;"لا"),0,MAX(0,MIN($F273,EOMONTH(DATE(cfg_FY,6,1),0))-$E273+1))</f>
        <v>0</v>
      </c>
      <c r="AN273" s="110" t="n">
        <f aca="false">IF(OR(OR($B273="",$E273="",$F273=""),$L273&lt;&gt;"لا"),0,MAX(0,MIN($F273,EOMONTH(DATE(cfg_FY,7,1),0))-$E273+1))</f>
        <v>0</v>
      </c>
      <c r="AO273" s="110" t="n">
        <f aca="false">IF(OR(OR($B273="",$E273="",$F273=""),$L273&lt;&gt;"لا"),0,MAX(0,MIN($F273,EOMONTH(DATE(cfg_FY,8,1),0))-$E273+1))</f>
        <v>0</v>
      </c>
      <c r="AP273" s="110" t="n">
        <f aca="false">IF(OR(OR($B273="",$E273="",$F273=""),$L273&lt;&gt;"لا"),0,MAX(0,MIN($F273,EOMONTH(DATE(cfg_FY,9,1),0))-$E273+1))</f>
        <v>0</v>
      </c>
      <c r="AQ273" s="110" t="n">
        <f aca="false">IF(OR(OR($B273="",$E273="",$F273=""),$L273&lt;&gt;"لا"),0,MAX(0,MIN($F273,EOMONTH(DATE(cfg_FY,10,1),0))-$E273+1))</f>
        <v>0</v>
      </c>
      <c r="AR273" s="110" t="n">
        <f aca="false">IF(OR(OR($B273="",$E273="",$F273=""),$L273&lt;&gt;"لا"),0,MAX(0,MIN($F273,EOMONTH(DATE(cfg_FY,11,1),0))-$E273+1))</f>
        <v>0</v>
      </c>
      <c r="AS273" s="110" t="n">
        <f aca="false">IF(OR(OR($B273="",$E273="",$F273=""),$L273&lt;&gt;"لا"),0,MAX(0,MIN($F273,EOMONTH(DATE(cfg_FY,12,1),0))-$E273+1))</f>
        <v>0</v>
      </c>
      <c r="AT273" s="110" t="n">
        <f aca="false">IF(OR(OR($B273="",$E273="",$F273=""),$K273&lt;&gt;"نعم",$M273="نعم"),0,MAX(0,MIN($F273,EOMONTH(DATE(cfg_FY,1,1),0))-MAX($E273,DATE(cfg_FY,1,1))+1))</f>
        <v>0</v>
      </c>
      <c r="AU273" s="110" t="n">
        <f aca="false">IF(OR(OR($B273="",$E273="",$F273=""),$K273&lt;&gt;"نعم",$M273="نعم"),0,MAX(0,MIN($F273,EOMONTH(DATE(cfg_FY,2,1),0))-MAX($E273,DATE(cfg_FY,2,1))+1))</f>
        <v>0</v>
      </c>
      <c r="AV273" s="110" t="n">
        <f aca="false">IF(OR(OR($B273="",$E273="",$F273=""),$K273&lt;&gt;"نعم",$M273="نعم"),0,MAX(0,MIN($F273,EOMONTH(DATE(cfg_FY,3,1),0))-MAX($E273,DATE(cfg_FY,3,1))+1))</f>
        <v>0</v>
      </c>
      <c r="AW273" s="110" t="n">
        <f aca="false">IF(OR(OR($B273="",$E273="",$F273=""),$K273&lt;&gt;"نعم",$M273="نعم"),0,MAX(0,MIN($F273,EOMONTH(DATE(cfg_FY,4,1),0))-MAX($E273,DATE(cfg_FY,4,1))+1))</f>
        <v>0</v>
      </c>
      <c r="AX273" s="110" t="n">
        <f aca="false">IF(OR(OR($B273="",$E273="",$F273=""),$K273&lt;&gt;"نعم",$M273="نعم"),0,MAX(0,MIN($F273,EOMONTH(DATE(cfg_FY,5,1),0))-MAX($E273,DATE(cfg_FY,5,1))+1))</f>
        <v>0</v>
      </c>
      <c r="AY273" s="110" t="n">
        <f aca="false">IF(OR(OR($B273="",$E273="",$F273=""),$K273&lt;&gt;"نعم",$M273="نعم"),0,MAX(0,MIN($F273,EOMONTH(DATE(cfg_FY,6,1),0))-MAX($E273,DATE(cfg_FY,6,1))+1))</f>
        <v>0</v>
      </c>
      <c r="AZ273" s="110" t="n">
        <f aca="false">IF(OR(OR($B273="",$E273="",$F273=""),$K273&lt;&gt;"نعم",$M273="نعم"),0,MAX(0,MIN($F273,EOMONTH(DATE(cfg_FY,7,1),0))-MAX($E273,DATE(cfg_FY,7,1))+1))</f>
        <v>0</v>
      </c>
      <c r="BA273" s="110" t="n">
        <f aca="false">IF(OR(OR($B273="",$E273="",$F273=""),$K273&lt;&gt;"نعم",$M273="نعم"),0,MAX(0,MIN($F273,EOMONTH(DATE(cfg_FY,8,1),0))-MAX($E273,DATE(cfg_FY,8,1))+1))</f>
        <v>0</v>
      </c>
      <c r="BB273" s="110" t="n">
        <f aca="false">IF(OR(OR($B273="",$E273="",$F273=""),$K273&lt;&gt;"نعم",$M273="نعم"),0,MAX(0,MIN($F273,EOMONTH(DATE(cfg_FY,9,1),0))-MAX($E273,DATE(cfg_FY,9,1))+1))</f>
        <v>0</v>
      </c>
      <c r="BC273" s="110" t="n">
        <f aca="false">IF(OR(OR($B273="",$E273="",$F273=""),$K273&lt;&gt;"نعم",$M273="نعم"),0,MAX(0,MIN($F273,EOMONTH(DATE(cfg_FY,10,1),0))-MAX($E273,DATE(cfg_FY,10,1))+1))</f>
        <v>0</v>
      </c>
      <c r="BD273" s="110" t="n">
        <f aca="false">IF(OR(OR($B273="",$E273="",$F273=""),$K273&lt;&gt;"نعم",$M273="نعم"),0,MAX(0,MIN($F273,EOMONTH(DATE(cfg_FY,11,1),0))-MAX($E273,DATE(cfg_FY,11,1))+1))</f>
        <v>0</v>
      </c>
      <c r="BE273" s="110" t="n">
        <f aca="false">IF(OR(OR($B273="",$E273="",$F273=""),$K273&lt;&gt;"نعم",$M273="نعم"),0,MAX(0,MIN($F273,EOMONTH(DATE(cfg_FY,12,1),0))-MAX($E273,DATE(cfg_FY,12,1))+1))</f>
        <v>0</v>
      </c>
    </row>
    <row r="274" customFormat="false" ht="15" hidden="false" customHeight="false" outlineLevel="0" collapsed="false">
      <c r="A274" s="93" t="str">
        <f aca="false">IF(B274="","",ROW()-5)</f>
        <v/>
      </c>
      <c r="B274" s="79"/>
      <c r="C274" s="80" t="str">
        <f aca="false">IF(B274="","",IFERROR(INDEX(الموظفون!$C$6:$C$105,MATCH(B274,الموظفون!$B$6:$B$105,0)),"✖ رقم غير موجود"))</f>
        <v/>
      </c>
      <c r="D274" s="79"/>
      <c r="E274" s="94"/>
      <c r="F274" s="94"/>
      <c r="G274" s="57" t="str">
        <f aca="false">IF(OR($B274="",$E274="",$F274=""),"",MAX(0,F274-E274+1))</f>
        <v/>
      </c>
      <c r="H274" s="58" t="str">
        <f aca="false">IF(D274="","",IFERROR(VLOOKUP(D274,cfg_LT,2,FALSE()),1))</f>
        <v/>
      </c>
      <c r="I274" s="82"/>
      <c r="J274" s="58" t="str">
        <f aca="false">IF(D274="","",IF(I274&lt;&gt;"",I274,H274))</f>
        <v/>
      </c>
      <c r="K274" s="80" t="str">
        <f aca="false">IF(D274="","",IFERROR(VLOOKUP($D274,cfg_LT,3,FALSE()),""))</f>
        <v/>
      </c>
      <c r="L274" s="80" t="str">
        <f aca="false">IF(D274="","",IFERROR(VLOOKUP($D274,cfg_LT,4,FALSE()),""))</f>
        <v/>
      </c>
      <c r="M274" s="80" t="str">
        <f aca="false">IF(D274="","",IFERROR(VLOOKUP($D274,cfg_LT,5,FALSE()),""))</f>
        <v/>
      </c>
      <c r="N274" s="97" t="n">
        <f aca="false">IF(OR(OR($B274="",$E274="",$F274=""),M274&lt;&gt;"نعم"),0,G274*J274*IFERROR(INDEX(الموظفون!$R$6:$R$105,MATCH(B274,الموظفون!$B$6:$B$105,0)),0)/cfg_DAYS_M)</f>
        <v>0</v>
      </c>
      <c r="O274" s="93" t="str">
        <f aca="false">IF(OR(OR($B274="",$E274="",$F274=""),M274&lt;&gt;"نعم"),"",IF(YEAR(E274)=cfg_FY,MONTH(E274),""))</f>
        <v/>
      </c>
      <c r="P274" s="80" t="str">
        <f aca="false">IF(B274="","",IF(OR(D274="",E274="",F274=""),"⚠ أكمل النوع والتواريخ",IF(F274&lt;E274,"✖ النهاية قبل البداية",IF(COUNTIFS($B$6:$B$505,B274,$E$6:$E$505,"&lt;="&amp;F274,$F$6:$F$505,"&gt;="&amp;E274)&gt;1,"⚠ تداخل مع سجل آخر",IF(E274&gt;cfg_VAL_DATE,"⏳ قادمة",IF(F274&lt;cfg_VAL_DATE,"✔ منتهية","✈ جارية في تاريخ التقرير"))))))</f>
        <v/>
      </c>
      <c r="Q274" s="79"/>
      <c r="R274" s="57" t="n">
        <f aca="false">IF(OR(OR($B274="",$E274="",$F274=""),L274&lt;&gt;"لا"),0,MAX(0,MIN(F274,cfg_Y_START-1)-E274+1))</f>
        <v>0</v>
      </c>
      <c r="S274" s="57" t="n">
        <f aca="false">IF(OR(OR($B274="",$E274="",$F274=""),L274&lt;&gt;"لا"),0,MAX(0,MIN(F274,cfg_VAL_DATE)-E274+1))</f>
        <v>0</v>
      </c>
      <c r="T274" s="57" t="n">
        <f aca="false">IF(OR(OR($B274="",$E274="",$F274=""),K274&lt;&gt;"نعم"),0,IF(M274="نعم",IF(AND(ISNUMBER(O274),N(O274)&lt;=cfg_VAL_M),G274,0),MAX(0,MIN(F274,cfg_VAL_DATE)-MAX(E274,cfg_Y_START)+1)))</f>
        <v>0</v>
      </c>
      <c r="V274" s="57" t="n">
        <f aca="false">IF(OR($B274="",$E274="",$F274=""),0,MAX(0,MIN($F274,EOMONTH(DATE(cfg_FY,1,1),0))-MAX($E274,DATE(cfg_FY,1,1))+1)*(1-IF($M274="نعم",0,N($J274))))</f>
        <v>0</v>
      </c>
      <c r="W274" s="57" t="n">
        <f aca="false">IF(OR($B274="",$E274="",$F274=""),0,MAX(0,MIN($F274,EOMONTH(DATE(cfg_FY,2,1),0))-MAX($E274,DATE(cfg_FY,2,1))+1)*(1-IF($M274="نعم",0,N($J274))))</f>
        <v>0</v>
      </c>
      <c r="X274" s="57" t="n">
        <f aca="false">IF(OR($B274="",$E274="",$F274=""),0,MAX(0,MIN($F274,EOMONTH(DATE(cfg_FY,3,1),0))-MAX($E274,DATE(cfg_FY,3,1))+1)*(1-IF($M274="نعم",0,N($J274))))</f>
        <v>0</v>
      </c>
      <c r="Y274" s="57" t="n">
        <f aca="false">IF(OR($B274="",$E274="",$F274=""),0,MAX(0,MIN($F274,EOMONTH(DATE(cfg_FY,4,1),0))-MAX($E274,DATE(cfg_FY,4,1))+1)*(1-IF($M274="نعم",0,N($J274))))</f>
        <v>0</v>
      </c>
      <c r="Z274" s="57" t="n">
        <f aca="false">IF(OR($B274="",$E274="",$F274=""),0,MAX(0,MIN($F274,EOMONTH(DATE(cfg_FY,5,1),0))-MAX($E274,DATE(cfg_FY,5,1))+1)*(1-IF($M274="نعم",0,N($J274))))</f>
        <v>0</v>
      </c>
      <c r="AA274" s="57" t="n">
        <f aca="false">IF(OR($B274="",$E274="",$F274=""),0,MAX(0,MIN($F274,EOMONTH(DATE(cfg_FY,6,1),0))-MAX($E274,DATE(cfg_FY,6,1))+1)*(1-IF($M274="نعم",0,N($J274))))</f>
        <v>0</v>
      </c>
      <c r="AB274" s="57" t="n">
        <f aca="false">IF(OR($B274="",$E274="",$F274=""),0,MAX(0,MIN($F274,EOMONTH(DATE(cfg_FY,7,1),0))-MAX($E274,DATE(cfg_FY,7,1))+1)*(1-IF($M274="نعم",0,N($J274))))</f>
        <v>0</v>
      </c>
      <c r="AC274" s="57" t="n">
        <f aca="false">IF(OR($B274="",$E274="",$F274=""),0,MAX(0,MIN($F274,EOMONTH(DATE(cfg_FY,8,1),0))-MAX($E274,DATE(cfg_FY,8,1))+1)*(1-IF($M274="نعم",0,N($J274))))</f>
        <v>0</v>
      </c>
      <c r="AD274" s="57" t="n">
        <f aca="false">IF(OR($B274="",$E274="",$F274=""),0,MAX(0,MIN($F274,EOMONTH(DATE(cfg_FY,9,1),0))-MAX($E274,DATE(cfg_FY,9,1))+1)*(1-IF($M274="نعم",0,N($J274))))</f>
        <v>0</v>
      </c>
      <c r="AE274" s="57" t="n">
        <f aca="false">IF(OR($B274="",$E274="",$F274=""),0,MAX(0,MIN($F274,EOMONTH(DATE(cfg_FY,10,1),0))-MAX($E274,DATE(cfg_FY,10,1))+1)*(1-IF($M274="نعم",0,N($J274))))</f>
        <v>0</v>
      </c>
      <c r="AF274" s="57" t="n">
        <f aca="false">IF(OR($B274="",$E274="",$F274=""),0,MAX(0,MIN($F274,EOMONTH(DATE(cfg_FY,11,1),0))-MAX($E274,DATE(cfg_FY,11,1))+1)*(1-IF($M274="نعم",0,N($J274))))</f>
        <v>0</v>
      </c>
      <c r="AG274" s="57" t="n">
        <f aca="false">IF(OR($B274="",$E274="",$F274=""),0,MAX(0,MIN($F274,EOMONTH(DATE(cfg_FY,12,1),0))-MAX($E274,DATE(cfg_FY,12,1))+1)*(1-IF($M274="نعم",0,N($J274))))</f>
        <v>0</v>
      </c>
      <c r="AH274" s="57" t="n">
        <f aca="false">IF(OR(OR($B274="",$E274="",$F274=""),$L274&lt;&gt;"لا"),0,MAX(0,MIN($F274,EOMONTH(DATE(cfg_FY,1,1),0))-$E274+1))</f>
        <v>0</v>
      </c>
      <c r="AI274" s="57" t="n">
        <f aca="false">IF(OR(OR($B274="",$E274="",$F274=""),$L274&lt;&gt;"لا"),0,MAX(0,MIN($F274,EOMONTH(DATE(cfg_FY,2,1),0))-$E274+1))</f>
        <v>0</v>
      </c>
      <c r="AJ274" s="57" t="n">
        <f aca="false">IF(OR(OR($B274="",$E274="",$F274=""),$L274&lt;&gt;"لا"),0,MAX(0,MIN($F274,EOMONTH(DATE(cfg_FY,3,1),0))-$E274+1))</f>
        <v>0</v>
      </c>
      <c r="AK274" s="57" t="n">
        <f aca="false">IF(OR(OR($B274="",$E274="",$F274=""),$L274&lt;&gt;"لا"),0,MAX(0,MIN($F274,EOMONTH(DATE(cfg_FY,4,1),0))-$E274+1))</f>
        <v>0</v>
      </c>
      <c r="AL274" s="57" t="n">
        <f aca="false">IF(OR(OR($B274="",$E274="",$F274=""),$L274&lt;&gt;"لا"),0,MAX(0,MIN($F274,EOMONTH(DATE(cfg_FY,5,1),0))-$E274+1))</f>
        <v>0</v>
      </c>
      <c r="AM274" s="57" t="n">
        <f aca="false">IF(OR(OR($B274="",$E274="",$F274=""),$L274&lt;&gt;"لا"),0,MAX(0,MIN($F274,EOMONTH(DATE(cfg_FY,6,1),0))-$E274+1))</f>
        <v>0</v>
      </c>
      <c r="AN274" s="57" t="n">
        <f aca="false">IF(OR(OR($B274="",$E274="",$F274=""),$L274&lt;&gt;"لا"),0,MAX(0,MIN($F274,EOMONTH(DATE(cfg_FY,7,1),0))-$E274+1))</f>
        <v>0</v>
      </c>
      <c r="AO274" s="57" t="n">
        <f aca="false">IF(OR(OR($B274="",$E274="",$F274=""),$L274&lt;&gt;"لا"),0,MAX(0,MIN($F274,EOMONTH(DATE(cfg_FY,8,1),0))-$E274+1))</f>
        <v>0</v>
      </c>
      <c r="AP274" s="57" t="n">
        <f aca="false">IF(OR(OR($B274="",$E274="",$F274=""),$L274&lt;&gt;"لا"),0,MAX(0,MIN($F274,EOMONTH(DATE(cfg_FY,9,1),0))-$E274+1))</f>
        <v>0</v>
      </c>
      <c r="AQ274" s="57" t="n">
        <f aca="false">IF(OR(OR($B274="",$E274="",$F274=""),$L274&lt;&gt;"لا"),0,MAX(0,MIN($F274,EOMONTH(DATE(cfg_FY,10,1),0))-$E274+1))</f>
        <v>0</v>
      </c>
      <c r="AR274" s="57" t="n">
        <f aca="false">IF(OR(OR($B274="",$E274="",$F274=""),$L274&lt;&gt;"لا"),0,MAX(0,MIN($F274,EOMONTH(DATE(cfg_FY,11,1),0))-$E274+1))</f>
        <v>0</v>
      </c>
      <c r="AS274" s="57" t="n">
        <f aca="false">IF(OR(OR($B274="",$E274="",$F274=""),$L274&lt;&gt;"لا"),0,MAX(0,MIN($F274,EOMONTH(DATE(cfg_FY,12,1),0))-$E274+1))</f>
        <v>0</v>
      </c>
      <c r="AT274" s="57" t="n">
        <f aca="false">IF(OR(OR($B274="",$E274="",$F274=""),$K274&lt;&gt;"نعم",$M274="نعم"),0,MAX(0,MIN($F274,EOMONTH(DATE(cfg_FY,1,1),0))-MAX($E274,DATE(cfg_FY,1,1))+1))</f>
        <v>0</v>
      </c>
      <c r="AU274" s="57" t="n">
        <f aca="false">IF(OR(OR($B274="",$E274="",$F274=""),$K274&lt;&gt;"نعم",$M274="نعم"),0,MAX(0,MIN($F274,EOMONTH(DATE(cfg_FY,2,1),0))-MAX($E274,DATE(cfg_FY,2,1))+1))</f>
        <v>0</v>
      </c>
      <c r="AV274" s="57" t="n">
        <f aca="false">IF(OR(OR($B274="",$E274="",$F274=""),$K274&lt;&gt;"نعم",$M274="نعم"),0,MAX(0,MIN($F274,EOMONTH(DATE(cfg_FY,3,1),0))-MAX($E274,DATE(cfg_FY,3,1))+1))</f>
        <v>0</v>
      </c>
      <c r="AW274" s="57" t="n">
        <f aca="false">IF(OR(OR($B274="",$E274="",$F274=""),$K274&lt;&gt;"نعم",$M274="نعم"),0,MAX(0,MIN($F274,EOMONTH(DATE(cfg_FY,4,1),0))-MAX($E274,DATE(cfg_FY,4,1))+1))</f>
        <v>0</v>
      </c>
      <c r="AX274" s="57" t="n">
        <f aca="false">IF(OR(OR($B274="",$E274="",$F274=""),$K274&lt;&gt;"نعم",$M274="نعم"),0,MAX(0,MIN($F274,EOMONTH(DATE(cfg_FY,5,1),0))-MAX($E274,DATE(cfg_FY,5,1))+1))</f>
        <v>0</v>
      </c>
      <c r="AY274" s="57" t="n">
        <f aca="false">IF(OR(OR($B274="",$E274="",$F274=""),$K274&lt;&gt;"نعم",$M274="نعم"),0,MAX(0,MIN($F274,EOMONTH(DATE(cfg_FY,6,1),0))-MAX($E274,DATE(cfg_FY,6,1))+1))</f>
        <v>0</v>
      </c>
      <c r="AZ274" s="57" t="n">
        <f aca="false">IF(OR(OR($B274="",$E274="",$F274=""),$K274&lt;&gt;"نعم",$M274="نعم"),0,MAX(0,MIN($F274,EOMONTH(DATE(cfg_FY,7,1),0))-MAX($E274,DATE(cfg_FY,7,1))+1))</f>
        <v>0</v>
      </c>
      <c r="BA274" s="57" t="n">
        <f aca="false">IF(OR(OR($B274="",$E274="",$F274=""),$K274&lt;&gt;"نعم",$M274="نعم"),0,MAX(0,MIN($F274,EOMONTH(DATE(cfg_FY,8,1),0))-MAX($E274,DATE(cfg_FY,8,1))+1))</f>
        <v>0</v>
      </c>
      <c r="BB274" s="57" t="n">
        <f aca="false">IF(OR(OR($B274="",$E274="",$F274=""),$K274&lt;&gt;"نعم",$M274="نعم"),0,MAX(0,MIN($F274,EOMONTH(DATE(cfg_FY,9,1),0))-MAX($E274,DATE(cfg_FY,9,1))+1))</f>
        <v>0</v>
      </c>
      <c r="BC274" s="57" t="n">
        <f aca="false">IF(OR(OR($B274="",$E274="",$F274=""),$K274&lt;&gt;"نعم",$M274="نعم"),0,MAX(0,MIN($F274,EOMONTH(DATE(cfg_FY,10,1),0))-MAX($E274,DATE(cfg_FY,10,1))+1))</f>
        <v>0</v>
      </c>
      <c r="BD274" s="57" t="n">
        <f aca="false">IF(OR(OR($B274="",$E274="",$F274=""),$K274&lt;&gt;"نعم",$M274="نعم"),0,MAX(0,MIN($F274,EOMONTH(DATE(cfg_FY,11,1),0))-MAX($E274,DATE(cfg_FY,11,1))+1))</f>
        <v>0</v>
      </c>
      <c r="BE274" s="57" t="n">
        <f aca="false">IF(OR(OR($B274="",$E274="",$F274=""),$K274&lt;&gt;"نعم",$M274="نعم"),0,MAX(0,MIN($F274,EOMONTH(DATE(cfg_FY,12,1),0))-MAX($E274,DATE(cfg_FY,12,1))+1))</f>
        <v>0</v>
      </c>
    </row>
    <row r="275" customFormat="false" ht="15" hidden="false" customHeight="false" outlineLevel="0" collapsed="false">
      <c r="A275" s="100" t="str">
        <f aca="false">IF(B275="","",ROW()-5)</f>
        <v/>
      </c>
      <c r="B275" s="79"/>
      <c r="C275" s="102" t="str">
        <f aca="false">IF(B275="","",IFERROR(INDEX(الموظفون!$C$6:$C$105,MATCH(B275,الموظفون!$B$6:$B$105,0)),"✖ رقم غير موجود"))</f>
        <v/>
      </c>
      <c r="D275" s="79"/>
      <c r="E275" s="94"/>
      <c r="F275" s="94"/>
      <c r="G275" s="110" t="str">
        <f aca="false">IF(OR($B275="",$E275="",$F275=""),"",MAX(0,F275-E275+1))</f>
        <v/>
      </c>
      <c r="H275" s="111" t="str">
        <f aca="false">IF(D275="","",IFERROR(VLOOKUP(D275,cfg_LT,2,FALSE()),1))</f>
        <v/>
      </c>
      <c r="I275" s="82"/>
      <c r="J275" s="111" t="str">
        <f aca="false">IF(D275="","",IF(I275&lt;&gt;"",I275,H275))</f>
        <v/>
      </c>
      <c r="K275" s="102" t="str">
        <f aca="false">IF(D275="","",IFERROR(VLOOKUP($D275,cfg_LT,3,FALSE()),""))</f>
        <v/>
      </c>
      <c r="L275" s="102" t="str">
        <f aca="false">IF(D275="","",IFERROR(VLOOKUP($D275,cfg_LT,4,FALSE()),""))</f>
        <v/>
      </c>
      <c r="M275" s="102" t="str">
        <f aca="false">IF(D275="","",IFERROR(VLOOKUP($D275,cfg_LT,5,FALSE()),""))</f>
        <v/>
      </c>
      <c r="N275" s="101" t="n">
        <f aca="false">IF(OR(OR($B275="",$E275="",$F275=""),M275&lt;&gt;"نعم"),0,G275*J275*IFERROR(INDEX(الموظفون!$R$6:$R$105,MATCH(B275,الموظفون!$B$6:$B$105,0)),0)/cfg_DAYS_M)</f>
        <v>0</v>
      </c>
      <c r="O275" s="100" t="str">
        <f aca="false">IF(OR(OR($B275="",$E275="",$F275=""),M275&lt;&gt;"نعم"),"",IF(YEAR(E275)=cfg_FY,MONTH(E275),""))</f>
        <v/>
      </c>
      <c r="P275" s="102" t="str">
        <f aca="false">IF(B275="","",IF(OR(D275="",E275="",F275=""),"⚠ أكمل النوع والتواريخ",IF(F275&lt;E275,"✖ النهاية قبل البداية",IF(COUNTIFS($B$6:$B$505,B275,$E$6:$E$505,"&lt;="&amp;F275,$F$6:$F$505,"&gt;="&amp;E275)&gt;1,"⚠ تداخل مع سجل آخر",IF(E275&gt;cfg_VAL_DATE,"⏳ قادمة",IF(F275&lt;cfg_VAL_DATE,"✔ منتهية","✈ جارية في تاريخ التقرير"))))))</f>
        <v/>
      </c>
      <c r="Q275" s="79"/>
      <c r="R275" s="110" t="n">
        <f aca="false">IF(OR(OR($B275="",$E275="",$F275=""),L275&lt;&gt;"لا"),0,MAX(0,MIN(F275,cfg_Y_START-1)-E275+1))</f>
        <v>0</v>
      </c>
      <c r="S275" s="110" t="n">
        <f aca="false">IF(OR(OR($B275="",$E275="",$F275=""),L275&lt;&gt;"لا"),0,MAX(0,MIN(F275,cfg_VAL_DATE)-E275+1))</f>
        <v>0</v>
      </c>
      <c r="T275" s="110" t="n">
        <f aca="false">IF(OR(OR($B275="",$E275="",$F275=""),K275&lt;&gt;"نعم"),0,IF(M275="نعم",IF(AND(ISNUMBER(O275),N(O275)&lt;=cfg_VAL_M),G275,0),MAX(0,MIN(F275,cfg_VAL_DATE)-MAX(E275,cfg_Y_START)+1)))</f>
        <v>0</v>
      </c>
      <c r="V275" s="110" t="n">
        <f aca="false">IF(OR($B275="",$E275="",$F275=""),0,MAX(0,MIN($F275,EOMONTH(DATE(cfg_FY,1,1),0))-MAX($E275,DATE(cfg_FY,1,1))+1)*(1-IF($M275="نعم",0,N($J275))))</f>
        <v>0</v>
      </c>
      <c r="W275" s="110" t="n">
        <f aca="false">IF(OR($B275="",$E275="",$F275=""),0,MAX(0,MIN($F275,EOMONTH(DATE(cfg_FY,2,1),0))-MAX($E275,DATE(cfg_FY,2,1))+1)*(1-IF($M275="نعم",0,N($J275))))</f>
        <v>0</v>
      </c>
      <c r="X275" s="110" t="n">
        <f aca="false">IF(OR($B275="",$E275="",$F275=""),0,MAX(0,MIN($F275,EOMONTH(DATE(cfg_FY,3,1),0))-MAX($E275,DATE(cfg_FY,3,1))+1)*(1-IF($M275="نعم",0,N($J275))))</f>
        <v>0</v>
      </c>
      <c r="Y275" s="110" t="n">
        <f aca="false">IF(OR($B275="",$E275="",$F275=""),0,MAX(0,MIN($F275,EOMONTH(DATE(cfg_FY,4,1),0))-MAX($E275,DATE(cfg_FY,4,1))+1)*(1-IF($M275="نعم",0,N($J275))))</f>
        <v>0</v>
      </c>
      <c r="Z275" s="110" t="n">
        <f aca="false">IF(OR($B275="",$E275="",$F275=""),0,MAX(0,MIN($F275,EOMONTH(DATE(cfg_FY,5,1),0))-MAX($E275,DATE(cfg_FY,5,1))+1)*(1-IF($M275="نعم",0,N($J275))))</f>
        <v>0</v>
      </c>
      <c r="AA275" s="110" t="n">
        <f aca="false">IF(OR($B275="",$E275="",$F275=""),0,MAX(0,MIN($F275,EOMONTH(DATE(cfg_FY,6,1),0))-MAX($E275,DATE(cfg_FY,6,1))+1)*(1-IF($M275="نعم",0,N($J275))))</f>
        <v>0</v>
      </c>
      <c r="AB275" s="110" t="n">
        <f aca="false">IF(OR($B275="",$E275="",$F275=""),0,MAX(0,MIN($F275,EOMONTH(DATE(cfg_FY,7,1),0))-MAX($E275,DATE(cfg_FY,7,1))+1)*(1-IF($M275="نعم",0,N($J275))))</f>
        <v>0</v>
      </c>
      <c r="AC275" s="110" t="n">
        <f aca="false">IF(OR($B275="",$E275="",$F275=""),0,MAX(0,MIN($F275,EOMONTH(DATE(cfg_FY,8,1),0))-MAX($E275,DATE(cfg_FY,8,1))+1)*(1-IF($M275="نعم",0,N($J275))))</f>
        <v>0</v>
      </c>
      <c r="AD275" s="110" t="n">
        <f aca="false">IF(OR($B275="",$E275="",$F275=""),0,MAX(0,MIN($F275,EOMONTH(DATE(cfg_FY,9,1),0))-MAX($E275,DATE(cfg_FY,9,1))+1)*(1-IF($M275="نعم",0,N($J275))))</f>
        <v>0</v>
      </c>
      <c r="AE275" s="110" t="n">
        <f aca="false">IF(OR($B275="",$E275="",$F275=""),0,MAX(0,MIN($F275,EOMONTH(DATE(cfg_FY,10,1),0))-MAX($E275,DATE(cfg_FY,10,1))+1)*(1-IF($M275="نعم",0,N($J275))))</f>
        <v>0</v>
      </c>
      <c r="AF275" s="110" t="n">
        <f aca="false">IF(OR($B275="",$E275="",$F275=""),0,MAX(0,MIN($F275,EOMONTH(DATE(cfg_FY,11,1),0))-MAX($E275,DATE(cfg_FY,11,1))+1)*(1-IF($M275="نعم",0,N($J275))))</f>
        <v>0</v>
      </c>
      <c r="AG275" s="110" t="n">
        <f aca="false">IF(OR($B275="",$E275="",$F275=""),0,MAX(0,MIN($F275,EOMONTH(DATE(cfg_FY,12,1),0))-MAX($E275,DATE(cfg_FY,12,1))+1)*(1-IF($M275="نعم",0,N($J275))))</f>
        <v>0</v>
      </c>
      <c r="AH275" s="110" t="n">
        <f aca="false">IF(OR(OR($B275="",$E275="",$F275=""),$L275&lt;&gt;"لا"),0,MAX(0,MIN($F275,EOMONTH(DATE(cfg_FY,1,1),0))-$E275+1))</f>
        <v>0</v>
      </c>
      <c r="AI275" s="110" t="n">
        <f aca="false">IF(OR(OR($B275="",$E275="",$F275=""),$L275&lt;&gt;"لا"),0,MAX(0,MIN($F275,EOMONTH(DATE(cfg_FY,2,1),0))-$E275+1))</f>
        <v>0</v>
      </c>
      <c r="AJ275" s="110" t="n">
        <f aca="false">IF(OR(OR($B275="",$E275="",$F275=""),$L275&lt;&gt;"لا"),0,MAX(0,MIN($F275,EOMONTH(DATE(cfg_FY,3,1),0))-$E275+1))</f>
        <v>0</v>
      </c>
      <c r="AK275" s="110" t="n">
        <f aca="false">IF(OR(OR($B275="",$E275="",$F275=""),$L275&lt;&gt;"لا"),0,MAX(0,MIN($F275,EOMONTH(DATE(cfg_FY,4,1),0))-$E275+1))</f>
        <v>0</v>
      </c>
      <c r="AL275" s="110" t="n">
        <f aca="false">IF(OR(OR($B275="",$E275="",$F275=""),$L275&lt;&gt;"لا"),0,MAX(0,MIN($F275,EOMONTH(DATE(cfg_FY,5,1),0))-$E275+1))</f>
        <v>0</v>
      </c>
      <c r="AM275" s="110" t="n">
        <f aca="false">IF(OR(OR($B275="",$E275="",$F275=""),$L275&lt;&gt;"لا"),0,MAX(0,MIN($F275,EOMONTH(DATE(cfg_FY,6,1),0))-$E275+1))</f>
        <v>0</v>
      </c>
      <c r="AN275" s="110" t="n">
        <f aca="false">IF(OR(OR($B275="",$E275="",$F275=""),$L275&lt;&gt;"لا"),0,MAX(0,MIN($F275,EOMONTH(DATE(cfg_FY,7,1),0))-$E275+1))</f>
        <v>0</v>
      </c>
      <c r="AO275" s="110" t="n">
        <f aca="false">IF(OR(OR($B275="",$E275="",$F275=""),$L275&lt;&gt;"لا"),0,MAX(0,MIN($F275,EOMONTH(DATE(cfg_FY,8,1),0))-$E275+1))</f>
        <v>0</v>
      </c>
      <c r="AP275" s="110" t="n">
        <f aca="false">IF(OR(OR($B275="",$E275="",$F275=""),$L275&lt;&gt;"لا"),0,MAX(0,MIN($F275,EOMONTH(DATE(cfg_FY,9,1),0))-$E275+1))</f>
        <v>0</v>
      </c>
      <c r="AQ275" s="110" t="n">
        <f aca="false">IF(OR(OR($B275="",$E275="",$F275=""),$L275&lt;&gt;"لا"),0,MAX(0,MIN($F275,EOMONTH(DATE(cfg_FY,10,1),0))-$E275+1))</f>
        <v>0</v>
      </c>
      <c r="AR275" s="110" t="n">
        <f aca="false">IF(OR(OR($B275="",$E275="",$F275=""),$L275&lt;&gt;"لا"),0,MAX(0,MIN($F275,EOMONTH(DATE(cfg_FY,11,1),0))-$E275+1))</f>
        <v>0</v>
      </c>
      <c r="AS275" s="110" t="n">
        <f aca="false">IF(OR(OR($B275="",$E275="",$F275=""),$L275&lt;&gt;"لا"),0,MAX(0,MIN($F275,EOMONTH(DATE(cfg_FY,12,1),0))-$E275+1))</f>
        <v>0</v>
      </c>
      <c r="AT275" s="110" t="n">
        <f aca="false">IF(OR(OR($B275="",$E275="",$F275=""),$K275&lt;&gt;"نعم",$M275="نعم"),0,MAX(0,MIN($F275,EOMONTH(DATE(cfg_FY,1,1),0))-MAX($E275,DATE(cfg_FY,1,1))+1))</f>
        <v>0</v>
      </c>
      <c r="AU275" s="110" t="n">
        <f aca="false">IF(OR(OR($B275="",$E275="",$F275=""),$K275&lt;&gt;"نعم",$M275="نعم"),0,MAX(0,MIN($F275,EOMONTH(DATE(cfg_FY,2,1),0))-MAX($E275,DATE(cfg_FY,2,1))+1))</f>
        <v>0</v>
      </c>
      <c r="AV275" s="110" t="n">
        <f aca="false">IF(OR(OR($B275="",$E275="",$F275=""),$K275&lt;&gt;"نعم",$M275="نعم"),0,MAX(0,MIN($F275,EOMONTH(DATE(cfg_FY,3,1),0))-MAX($E275,DATE(cfg_FY,3,1))+1))</f>
        <v>0</v>
      </c>
      <c r="AW275" s="110" t="n">
        <f aca="false">IF(OR(OR($B275="",$E275="",$F275=""),$K275&lt;&gt;"نعم",$M275="نعم"),0,MAX(0,MIN($F275,EOMONTH(DATE(cfg_FY,4,1),0))-MAX($E275,DATE(cfg_FY,4,1))+1))</f>
        <v>0</v>
      </c>
      <c r="AX275" s="110" t="n">
        <f aca="false">IF(OR(OR($B275="",$E275="",$F275=""),$K275&lt;&gt;"نعم",$M275="نعم"),0,MAX(0,MIN($F275,EOMONTH(DATE(cfg_FY,5,1),0))-MAX($E275,DATE(cfg_FY,5,1))+1))</f>
        <v>0</v>
      </c>
      <c r="AY275" s="110" t="n">
        <f aca="false">IF(OR(OR($B275="",$E275="",$F275=""),$K275&lt;&gt;"نعم",$M275="نعم"),0,MAX(0,MIN($F275,EOMONTH(DATE(cfg_FY,6,1),0))-MAX($E275,DATE(cfg_FY,6,1))+1))</f>
        <v>0</v>
      </c>
      <c r="AZ275" s="110" t="n">
        <f aca="false">IF(OR(OR($B275="",$E275="",$F275=""),$K275&lt;&gt;"نعم",$M275="نعم"),0,MAX(0,MIN($F275,EOMONTH(DATE(cfg_FY,7,1),0))-MAX($E275,DATE(cfg_FY,7,1))+1))</f>
        <v>0</v>
      </c>
      <c r="BA275" s="110" t="n">
        <f aca="false">IF(OR(OR($B275="",$E275="",$F275=""),$K275&lt;&gt;"نعم",$M275="نعم"),0,MAX(0,MIN($F275,EOMONTH(DATE(cfg_FY,8,1),0))-MAX($E275,DATE(cfg_FY,8,1))+1))</f>
        <v>0</v>
      </c>
      <c r="BB275" s="110" t="n">
        <f aca="false">IF(OR(OR($B275="",$E275="",$F275=""),$K275&lt;&gt;"نعم",$M275="نعم"),0,MAX(0,MIN($F275,EOMONTH(DATE(cfg_FY,9,1),0))-MAX($E275,DATE(cfg_FY,9,1))+1))</f>
        <v>0</v>
      </c>
      <c r="BC275" s="110" t="n">
        <f aca="false">IF(OR(OR($B275="",$E275="",$F275=""),$K275&lt;&gt;"نعم",$M275="نعم"),0,MAX(0,MIN($F275,EOMONTH(DATE(cfg_FY,10,1),0))-MAX($E275,DATE(cfg_FY,10,1))+1))</f>
        <v>0</v>
      </c>
      <c r="BD275" s="110" t="n">
        <f aca="false">IF(OR(OR($B275="",$E275="",$F275=""),$K275&lt;&gt;"نعم",$M275="نعم"),0,MAX(0,MIN($F275,EOMONTH(DATE(cfg_FY,11,1),0))-MAX($E275,DATE(cfg_FY,11,1))+1))</f>
        <v>0</v>
      </c>
      <c r="BE275" s="110" t="n">
        <f aca="false">IF(OR(OR($B275="",$E275="",$F275=""),$K275&lt;&gt;"نعم",$M275="نعم"),0,MAX(0,MIN($F275,EOMONTH(DATE(cfg_FY,12,1),0))-MAX($E275,DATE(cfg_FY,12,1))+1))</f>
        <v>0</v>
      </c>
    </row>
    <row r="276" customFormat="false" ht="15" hidden="false" customHeight="false" outlineLevel="0" collapsed="false">
      <c r="A276" s="93" t="str">
        <f aca="false">IF(B276="","",ROW()-5)</f>
        <v/>
      </c>
      <c r="B276" s="79"/>
      <c r="C276" s="80" t="str">
        <f aca="false">IF(B276="","",IFERROR(INDEX(الموظفون!$C$6:$C$105,MATCH(B276,الموظفون!$B$6:$B$105,0)),"✖ رقم غير موجود"))</f>
        <v/>
      </c>
      <c r="D276" s="79"/>
      <c r="E276" s="94"/>
      <c r="F276" s="94"/>
      <c r="G276" s="57" t="str">
        <f aca="false">IF(OR($B276="",$E276="",$F276=""),"",MAX(0,F276-E276+1))</f>
        <v/>
      </c>
      <c r="H276" s="58" t="str">
        <f aca="false">IF(D276="","",IFERROR(VLOOKUP(D276,cfg_LT,2,FALSE()),1))</f>
        <v/>
      </c>
      <c r="I276" s="82"/>
      <c r="J276" s="58" t="str">
        <f aca="false">IF(D276="","",IF(I276&lt;&gt;"",I276,H276))</f>
        <v/>
      </c>
      <c r="K276" s="80" t="str">
        <f aca="false">IF(D276="","",IFERROR(VLOOKUP($D276,cfg_LT,3,FALSE()),""))</f>
        <v/>
      </c>
      <c r="L276" s="80" t="str">
        <f aca="false">IF(D276="","",IFERROR(VLOOKUP($D276,cfg_LT,4,FALSE()),""))</f>
        <v/>
      </c>
      <c r="M276" s="80" t="str">
        <f aca="false">IF(D276="","",IFERROR(VLOOKUP($D276,cfg_LT,5,FALSE()),""))</f>
        <v/>
      </c>
      <c r="N276" s="97" t="n">
        <f aca="false">IF(OR(OR($B276="",$E276="",$F276=""),M276&lt;&gt;"نعم"),0,G276*J276*IFERROR(INDEX(الموظفون!$R$6:$R$105,MATCH(B276,الموظفون!$B$6:$B$105,0)),0)/cfg_DAYS_M)</f>
        <v>0</v>
      </c>
      <c r="O276" s="93" t="str">
        <f aca="false">IF(OR(OR($B276="",$E276="",$F276=""),M276&lt;&gt;"نعم"),"",IF(YEAR(E276)=cfg_FY,MONTH(E276),""))</f>
        <v/>
      </c>
      <c r="P276" s="80" t="str">
        <f aca="false">IF(B276="","",IF(OR(D276="",E276="",F276=""),"⚠ أكمل النوع والتواريخ",IF(F276&lt;E276,"✖ النهاية قبل البداية",IF(COUNTIFS($B$6:$B$505,B276,$E$6:$E$505,"&lt;="&amp;F276,$F$6:$F$505,"&gt;="&amp;E276)&gt;1,"⚠ تداخل مع سجل آخر",IF(E276&gt;cfg_VAL_DATE,"⏳ قادمة",IF(F276&lt;cfg_VAL_DATE,"✔ منتهية","✈ جارية في تاريخ التقرير"))))))</f>
        <v/>
      </c>
      <c r="Q276" s="79"/>
      <c r="R276" s="57" t="n">
        <f aca="false">IF(OR(OR($B276="",$E276="",$F276=""),L276&lt;&gt;"لا"),0,MAX(0,MIN(F276,cfg_Y_START-1)-E276+1))</f>
        <v>0</v>
      </c>
      <c r="S276" s="57" t="n">
        <f aca="false">IF(OR(OR($B276="",$E276="",$F276=""),L276&lt;&gt;"لا"),0,MAX(0,MIN(F276,cfg_VAL_DATE)-E276+1))</f>
        <v>0</v>
      </c>
      <c r="T276" s="57" t="n">
        <f aca="false">IF(OR(OR($B276="",$E276="",$F276=""),K276&lt;&gt;"نعم"),0,IF(M276="نعم",IF(AND(ISNUMBER(O276),N(O276)&lt;=cfg_VAL_M),G276,0),MAX(0,MIN(F276,cfg_VAL_DATE)-MAX(E276,cfg_Y_START)+1)))</f>
        <v>0</v>
      </c>
      <c r="V276" s="57" t="n">
        <f aca="false">IF(OR($B276="",$E276="",$F276=""),0,MAX(0,MIN($F276,EOMONTH(DATE(cfg_FY,1,1),0))-MAX($E276,DATE(cfg_FY,1,1))+1)*(1-IF($M276="نعم",0,N($J276))))</f>
        <v>0</v>
      </c>
      <c r="W276" s="57" t="n">
        <f aca="false">IF(OR($B276="",$E276="",$F276=""),0,MAX(0,MIN($F276,EOMONTH(DATE(cfg_FY,2,1),0))-MAX($E276,DATE(cfg_FY,2,1))+1)*(1-IF($M276="نعم",0,N($J276))))</f>
        <v>0</v>
      </c>
      <c r="X276" s="57" t="n">
        <f aca="false">IF(OR($B276="",$E276="",$F276=""),0,MAX(0,MIN($F276,EOMONTH(DATE(cfg_FY,3,1),0))-MAX($E276,DATE(cfg_FY,3,1))+1)*(1-IF($M276="نعم",0,N($J276))))</f>
        <v>0</v>
      </c>
      <c r="Y276" s="57" t="n">
        <f aca="false">IF(OR($B276="",$E276="",$F276=""),0,MAX(0,MIN($F276,EOMONTH(DATE(cfg_FY,4,1),0))-MAX($E276,DATE(cfg_FY,4,1))+1)*(1-IF($M276="نعم",0,N($J276))))</f>
        <v>0</v>
      </c>
      <c r="Z276" s="57" t="n">
        <f aca="false">IF(OR($B276="",$E276="",$F276=""),0,MAX(0,MIN($F276,EOMONTH(DATE(cfg_FY,5,1),0))-MAX($E276,DATE(cfg_FY,5,1))+1)*(1-IF($M276="نعم",0,N($J276))))</f>
        <v>0</v>
      </c>
      <c r="AA276" s="57" t="n">
        <f aca="false">IF(OR($B276="",$E276="",$F276=""),0,MAX(0,MIN($F276,EOMONTH(DATE(cfg_FY,6,1),0))-MAX($E276,DATE(cfg_FY,6,1))+1)*(1-IF($M276="نعم",0,N($J276))))</f>
        <v>0</v>
      </c>
      <c r="AB276" s="57" t="n">
        <f aca="false">IF(OR($B276="",$E276="",$F276=""),0,MAX(0,MIN($F276,EOMONTH(DATE(cfg_FY,7,1),0))-MAX($E276,DATE(cfg_FY,7,1))+1)*(1-IF($M276="نعم",0,N($J276))))</f>
        <v>0</v>
      </c>
      <c r="AC276" s="57" t="n">
        <f aca="false">IF(OR($B276="",$E276="",$F276=""),0,MAX(0,MIN($F276,EOMONTH(DATE(cfg_FY,8,1),0))-MAX($E276,DATE(cfg_FY,8,1))+1)*(1-IF($M276="نعم",0,N($J276))))</f>
        <v>0</v>
      </c>
      <c r="AD276" s="57" t="n">
        <f aca="false">IF(OR($B276="",$E276="",$F276=""),0,MAX(0,MIN($F276,EOMONTH(DATE(cfg_FY,9,1),0))-MAX($E276,DATE(cfg_FY,9,1))+1)*(1-IF($M276="نعم",0,N($J276))))</f>
        <v>0</v>
      </c>
      <c r="AE276" s="57" t="n">
        <f aca="false">IF(OR($B276="",$E276="",$F276=""),0,MAX(0,MIN($F276,EOMONTH(DATE(cfg_FY,10,1),0))-MAX($E276,DATE(cfg_FY,10,1))+1)*(1-IF($M276="نعم",0,N($J276))))</f>
        <v>0</v>
      </c>
      <c r="AF276" s="57" t="n">
        <f aca="false">IF(OR($B276="",$E276="",$F276=""),0,MAX(0,MIN($F276,EOMONTH(DATE(cfg_FY,11,1),0))-MAX($E276,DATE(cfg_FY,11,1))+1)*(1-IF($M276="نعم",0,N($J276))))</f>
        <v>0</v>
      </c>
      <c r="AG276" s="57" t="n">
        <f aca="false">IF(OR($B276="",$E276="",$F276=""),0,MAX(0,MIN($F276,EOMONTH(DATE(cfg_FY,12,1),0))-MAX($E276,DATE(cfg_FY,12,1))+1)*(1-IF($M276="نعم",0,N($J276))))</f>
        <v>0</v>
      </c>
      <c r="AH276" s="57" t="n">
        <f aca="false">IF(OR(OR($B276="",$E276="",$F276=""),$L276&lt;&gt;"لا"),0,MAX(0,MIN($F276,EOMONTH(DATE(cfg_FY,1,1),0))-$E276+1))</f>
        <v>0</v>
      </c>
      <c r="AI276" s="57" t="n">
        <f aca="false">IF(OR(OR($B276="",$E276="",$F276=""),$L276&lt;&gt;"لا"),0,MAX(0,MIN($F276,EOMONTH(DATE(cfg_FY,2,1),0))-$E276+1))</f>
        <v>0</v>
      </c>
      <c r="AJ276" s="57" t="n">
        <f aca="false">IF(OR(OR($B276="",$E276="",$F276=""),$L276&lt;&gt;"لا"),0,MAX(0,MIN($F276,EOMONTH(DATE(cfg_FY,3,1),0))-$E276+1))</f>
        <v>0</v>
      </c>
      <c r="AK276" s="57" t="n">
        <f aca="false">IF(OR(OR($B276="",$E276="",$F276=""),$L276&lt;&gt;"لا"),0,MAX(0,MIN($F276,EOMONTH(DATE(cfg_FY,4,1),0))-$E276+1))</f>
        <v>0</v>
      </c>
      <c r="AL276" s="57" t="n">
        <f aca="false">IF(OR(OR($B276="",$E276="",$F276=""),$L276&lt;&gt;"لا"),0,MAX(0,MIN($F276,EOMONTH(DATE(cfg_FY,5,1),0))-$E276+1))</f>
        <v>0</v>
      </c>
      <c r="AM276" s="57" t="n">
        <f aca="false">IF(OR(OR($B276="",$E276="",$F276=""),$L276&lt;&gt;"لا"),0,MAX(0,MIN($F276,EOMONTH(DATE(cfg_FY,6,1),0))-$E276+1))</f>
        <v>0</v>
      </c>
      <c r="AN276" s="57" t="n">
        <f aca="false">IF(OR(OR($B276="",$E276="",$F276=""),$L276&lt;&gt;"لا"),0,MAX(0,MIN($F276,EOMONTH(DATE(cfg_FY,7,1),0))-$E276+1))</f>
        <v>0</v>
      </c>
      <c r="AO276" s="57" t="n">
        <f aca="false">IF(OR(OR($B276="",$E276="",$F276=""),$L276&lt;&gt;"لا"),0,MAX(0,MIN($F276,EOMONTH(DATE(cfg_FY,8,1),0))-$E276+1))</f>
        <v>0</v>
      </c>
      <c r="AP276" s="57" t="n">
        <f aca="false">IF(OR(OR($B276="",$E276="",$F276=""),$L276&lt;&gt;"لا"),0,MAX(0,MIN($F276,EOMONTH(DATE(cfg_FY,9,1),0))-$E276+1))</f>
        <v>0</v>
      </c>
      <c r="AQ276" s="57" t="n">
        <f aca="false">IF(OR(OR($B276="",$E276="",$F276=""),$L276&lt;&gt;"لا"),0,MAX(0,MIN($F276,EOMONTH(DATE(cfg_FY,10,1),0))-$E276+1))</f>
        <v>0</v>
      </c>
      <c r="AR276" s="57" t="n">
        <f aca="false">IF(OR(OR($B276="",$E276="",$F276=""),$L276&lt;&gt;"لا"),0,MAX(0,MIN($F276,EOMONTH(DATE(cfg_FY,11,1),0))-$E276+1))</f>
        <v>0</v>
      </c>
      <c r="AS276" s="57" t="n">
        <f aca="false">IF(OR(OR($B276="",$E276="",$F276=""),$L276&lt;&gt;"لا"),0,MAX(0,MIN($F276,EOMONTH(DATE(cfg_FY,12,1),0))-$E276+1))</f>
        <v>0</v>
      </c>
      <c r="AT276" s="57" t="n">
        <f aca="false">IF(OR(OR($B276="",$E276="",$F276=""),$K276&lt;&gt;"نعم",$M276="نعم"),0,MAX(0,MIN($F276,EOMONTH(DATE(cfg_FY,1,1),0))-MAX($E276,DATE(cfg_FY,1,1))+1))</f>
        <v>0</v>
      </c>
      <c r="AU276" s="57" t="n">
        <f aca="false">IF(OR(OR($B276="",$E276="",$F276=""),$K276&lt;&gt;"نعم",$M276="نعم"),0,MAX(0,MIN($F276,EOMONTH(DATE(cfg_FY,2,1),0))-MAX($E276,DATE(cfg_FY,2,1))+1))</f>
        <v>0</v>
      </c>
      <c r="AV276" s="57" t="n">
        <f aca="false">IF(OR(OR($B276="",$E276="",$F276=""),$K276&lt;&gt;"نعم",$M276="نعم"),0,MAX(0,MIN($F276,EOMONTH(DATE(cfg_FY,3,1),0))-MAX($E276,DATE(cfg_FY,3,1))+1))</f>
        <v>0</v>
      </c>
      <c r="AW276" s="57" t="n">
        <f aca="false">IF(OR(OR($B276="",$E276="",$F276=""),$K276&lt;&gt;"نعم",$M276="نعم"),0,MAX(0,MIN($F276,EOMONTH(DATE(cfg_FY,4,1),0))-MAX($E276,DATE(cfg_FY,4,1))+1))</f>
        <v>0</v>
      </c>
      <c r="AX276" s="57" t="n">
        <f aca="false">IF(OR(OR($B276="",$E276="",$F276=""),$K276&lt;&gt;"نعم",$M276="نعم"),0,MAX(0,MIN($F276,EOMONTH(DATE(cfg_FY,5,1),0))-MAX($E276,DATE(cfg_FY,5,1))+1))</f>
        <v>0</v>
      </c>
      <c r="AY276" s="57" t="n">
        <f aca="false">IF(OR(OR($B276="",$E276="",$F276=""),$K276&lt;&gt;"نعم",$M276="نعم"),0,MAX(0,MIN($F276,EOMONTH(DATE(cfg_FY,6,1),0))-MAX($E276,DATE(cfg_FY,6,1))+1))</f>
        <v>0</v>
      </c>
      <c r="AZ276" s="57" t="n">
        <f aca="false">IF(OR(OR($B276="",$E276="",$F276=""),$K276&lt;&gt;"نعم",$M276="نعم"),0,MAX(0,MIN($F276,EOMONTH(DATE(cfg_FY,7,1),0))-MAX($E276,DATE(cfg_FY,7,1))+1))</f>
        <v>0</v>
      </c>
      <c r="BA276" s="57" t="n">
        <f aca="false">IF(OR(OR($B276="",$E276="",$F276=""),$K276&lt;&gt;"نعم",$M276="نعم"),0,MAX(0,MIN($F276,EOMONTH(DATE(cfg_FY,8,1),0))-MAX($E276,DATE(cfg_FY,8,1))+1))</f>
        <v>0</v>
      </c>
      <c r="BB276" s="57" t="n">
        <f aca="false">IF(OR(OR($B276="",$E276="",$F276=""),$K276&lt;&gt;"نعم",$M276="نعم"),0,MAX(0,MIN($F276,EOMONTH(DATE(cfg_FY,9,1),0))-MAX($E276,DATE(cfg_FY,9,1))+1))</f>
        <v>0</v>
      </c>
      <c r="BC276" s="57" t="n">
        <f aca="false">IF(OR(OR($B276="",$E276="",$F276=""),$K276&lt;&gt;"نعم",$M276="نعم"),0,MAX(0,MIN($F276,EOMONTH(DATE(cfg_FY,10,1),0))-MAX($E276,DATE(cfg_FY,10,1))+1))</f>
        <v>0</v>
      </c>
      <c r="BD276" s="57" t="n">
        <f aca="false">IF(OR(OR($B276="",$E276="",$F276=""),$K276&lt;&gt;"نعم",$M276="نعم"),0,MAX(0,MIN($F276,EOMONTH(DATE(cfg_FY,11,1),0))-MAX($E276,DATE(cfg_FY,11,1))+1))</f>
        <v>0</v>
      </c>
      <c r="BE276" s="57" t="n">
        <f aca="false">IF(OR(OR($B276="",$E276="",$F276=""),$K276&lt;&gt;"نعم",$M276="نعم"),0,MAX(0,MIN($F276,EOMONTH(DATE(cfg_FY,12,1),0))-MAX($E276,DATE(cfg_FY,12,1))+1))</f>
        <v>0</v>
      </c>
    </row>
    <row r="277" customFormat="false" ht="15" hidden="false" customHeight="false" outlineLevel="0" collapsed="false">
      <c r="A277" s="100" t="str">
        <f aca="false">IF(B277="","",ROW()-5)</f>
        <v/>
      </c>
      <c r="B277" s="79"/>
      <c r="C277" s="102" t="str">
        <f aca="false">IF(B277="","",IFERROR(INDEX(الموظفون!$C$6:$C$105,MATCH(B277,الموظفون!$B$6:$B$105,0)),"✖ رقم غير موجود"))</f>
        <v/>
      </c>
      <c r="D277" s="79"/>
      <c r="E277" s="94"/>
      <c r="F277" s="94"/>
      <c r="G277" s="110" t="str">
        <f aca="false">IF(OR($B277="",$E277="",$F277=""),"",MAX(0,F277-E277+1))</f>
        <v/>
      </c>
      <c r="H277" s="111" t="str">
        <f aca="false">IF(D277="","",IFERROR(VLOOKUP(D277,cfg_LT,2,FALSE()),1))</f>
        <v/>
      </c>
      <c r="I277" s="82"/>
      <c r="J277" s="111" t="str">
        <f aca="false">IF(D277="","",IF(I277&lt;&gt;"",I277,H277))</f>
        <v/>
      </c>
      <c r="K277" s="102" t="str">
        <f aca="false">IF(D277="","",IFERROR(VLOOKUP($D277,cfg_LT,3,FALSE()),""))</f>
        <v/>
      </c>
      <c r="L277" s="102" t="str">
        <f aca="false">IF(D277="","",IFERROR(VLOOKUP($D277,cfg_LT,4,FALSE()),""))</f>
        <v/>
      </c>
      <c r="M277" s="102" t="str">
        <f aca="false">IF(D277="","",IFERROR(VLOOKUP($D277,cfg_LT,5,FALSE()),""))</f>
        <v/>
      </c>
      <c r="N277" s="101" t="n">
        <f aca="false">IF(OR(OR($B277="",$E277="",$F277=""),M277&lt;&gt;"نعم"),0,G277*J277*IFERROR(INDEX(الموظفون!$R$6:$R$105,MATCH(B277,الموظفون!$B$6:$B$105,0)),0)/cfg_DAYS_M)</f>
        <v>0</v>
      </c>
      <c r="O277" s="100" t="str">
        <f aca="false">IF(OR(OR($B277="",$E277="",$F277=""),M277&lt;&gt;"نعم"),"",IF(YEAR(E277)=cfg_FY,MONTH(E277),""))</f>
        <v/>
      </c>
      <c r="P277" s="102" t="str">
        <f aca="false">IF(B277="","",IF(OR(D277="",E277="",F277=""),"⚠ أكمل النوع والتواريخ",IF(F277&lt;E277,"✖ النهاية قبل البداية",IF(COUNTIFS($B$6:$B$505,B277,$E$6:$E$505,"&lt;="&amp;F277,$F$6:$F$505,"&gt;="&amp;E277)&gt;1,"⚠ تداخل مع سجل آخر",IF(E277&gt;cfg_VAL_DATE,"⏳ قادمة",IF(F277&lt;cfg_VAL_DATE,"✔ منتهية","✈ جارية في تاريخ التقرير"))))))</f>
        <v/>
      </c>
      <c r="Q277" s="79"/>
      <c r="R277" s="110" t="n">
        <f aca="false">IF(OR(OR($B277="",$E277="",$F277=""),L277&lt;&gt;"لا"),0,MAX(0,MIN(F277,cfg_Y_START-1)-E277+1))</f>
        <v>0</v>
      </c>
      <c r="S277" s="110" t="n">
        <f aca="false">IF(OR(OR($B277="",$E277="",$F277=""),L277&lt;&gt;"لا"),0,MAX(0,MIN(F277,cfg_VAL_DATE)-E277+1))</f>
        <v>0</v>
      </c>
      <c r="T277" s="110" t="n">
        <f aca="false">IF(OR(OR($B277="",$E277="",$F277=""),K277&lt;&gt;"نعم"),0,IF(M277="نعم",IF(AND(ISNUMBER(O277),N(O277)&lt;=cfg_VAL_M),G277,0),MAX(0,MIN(F277,cfg_VAL_DATE)-MAX(E277,cfg_Y_START)+1)))</f>
        <v>0</v>
      </c>
      <c r="V277" s="110" t="n">
        <f aca="false">IF(OR($B277="",$E277="",$F277=""),0,MAX(0,MIN($F277,EOMONTH(DATE(cfg_FY,1,1),0))-MAX($E277,DATE(cfg_FY,1,1))+1)*(1-IF($M277="نعم",0,N($J277))))</f>
        <v>0</v>
      </c>
      <c r="W277" s="110" t="n">
        <f aca="false">IF(OR($B277="",$E277="",$F277=""),0,MAX(0,MIN($F277,EOMONTH(DATE(cfg_FY,2,1),0))-MAX($E277,DATE(cfg_FY,2,1))+1)*(1-IF($M277="نعم",0,N($J277))))</f>
        <v>0</v>
      </c>
      <c r="X277" s="110" t="n">
        <f aca="false">IF(OR($B277="",$E277="",$F277=""),0,MAX(0,MIN($F277,EOMONTH(DATE(cfg_FY,3,1),0))-MAX($E277,DATE(cfg_FY,3,1))+1)*(1-IF($M277="نعم",0,N($J277))))</f>
        <v>0</v>
      </c>
      <c r="Y277" s="110" t="n">
        <f aca="false">IF(OR($B277="",$E277="",$F277=""),0,MAX(0,MIN($F277,EOMONTH(DATE(cfg_FY,4,1),0))-MAX($E277,DATE(cfg_FY,4,1))+1)*(1-IF($M277="نعم",0,N($J277))))</f>
        <v>0</v>
      </c>
      <c r="Z277" s="110" t="n">
        <f aca="false">IF(OR($B277="",$E277="",$F277=""),0,MAX(0,MIN($F277,EOMONTH(DATE(cfg_FY,5,1),0))-MAX($E277,DATE(cfg_FY,5,1))+1)*(1-IF($M277="نعم",0,N($J277))))</f>
        <v>0</v>
      </c>
      <c r="AA277" s="110" t="n">
        <f aca="false">IF(OR($B277="",$E277="",$F277=""),0,MAX(0,MIN($F277,EOMONTH(DATE(cfg_FY,6,1),0))-MAX($E277,DATE(cfg_FY,6,1))+1)*(1-IF($M277="نعم",0,N($J277))))</f>
        <v>0</v>
      </c>
      <c r="AB277" s="110" t="n">
        <f aca="false">IF(OR($B277="",$E277="",$F277=""),0,MAX(0,MIN($F277,EOMONTH(DATE(cfg_FY,7,1),0))-MAX($E277,DATE(cfg_FY,7,1))+1)*(1-IF($M277="نعم",0,N($J277))))</f>
        <v>0</v>
      </c>
      <c r="AC277" s="110" t="n">
        <f aca="false">IF(OR($B277="",$E277="",$F277=""),0,MAX(0,MIN($F277,EOMONTH(DATE(cfg_FY,8,1),0))-MAX($E277,DATE(cfg_FY,8,1))+1)*(1-IF($M277="نعم",0,N($J277))))</f>
        <v>0</v>
      </c>
      <c r="AD277" s="110" t="n">
        <f aca="false">IF(OR($B277="",$E277="",$F277=""),0,MAX(0,MIN($F277,EOMONTH(DATE(cfg_FY,9,1),0))-MAX($E277,DATE(cfg_FY,9,1))+1)*(1-IF($M277="نعم",0,N($J277))))</f>
        <v>0</v>
      </c>
      <c r="AE277" s="110" t="n">
        <f aca="false">IF(OR($B277="",$E277="",$F277=""),0,MAX(0,MIN($F277,EOMONTH(DATE(cfg_FY,10,1),0))-MAX($E277,DATE(cfg_FY,10,1))+1)*(1-IF($M277="نعم",0,N($J277))))</f>
        <v>0</v>
      </c>
      <c r="AF277" s="110" t="n">
        <f aca="false">IF(OR($B277="",$E277="",$F277=""),0,MAX(0,MIN($F277,EOMONTH(DATE(cfg_FY,11,1),0))-MAX($E277,DATE(cfg_FY,11,1))+1)*(1-IF($M277="نعم",0,N($J277))))</f>
        <v>0</v>
      </c>
      <c r="AG277" s="110" t="n">
        <f aca="false">IF(OR($B277="",$E277="",$F277=""),0,MAX(0,MIN($F277,EOMONTH(DATE(cfg_FY,12,1),0))-MAX($E277,DATE(cfg_FY,12,1))+1)*(1-IF($M277="نعم",0,N($J277))))</f>
        <v>0</v>
      </c>
      <c r="AH277" s="110" t="n">
        <f aca="false">IF(OR(OR($B277="",$E277="",$F277=""),$L277&lt;&gt;"لا"),0,MAX(0,MIN($F277,EOMONTH(DATE(cfg_FY,1,1),0))-$E277+1))</f>
        <v>0</v>
      </c>
      <c r="AI277" s="110" t="n">
        <f aca="false">IF(OR(OR($B277="",$E277="",$F277=""),$L277&lt;&gt;"لا"),0,MAX(0,MIN($F277,EOMONTH(DATE(cfg_FY,2,1),0))-$E277+1))</f>
        <v>0</v>
      </c>
      <c r="AJ277" s="110" t="n">
        <f aca="false">IF(OR(OR($B277="",$E277="",$F277=""),$L277&lt;&gt;"لا"),0,MAX(0,MIN($F277,EOMONTH(DATE(cfg_FY,3,1),0))-$E277+1))</f>
        <v>0</v>
      </c>
      <c r="AK277" s="110" t="n">
        <f aca="false">IF(OR(OR($B277="",$E277="",$F277=""),$L277&lt;&gt;"لا"),0,MAX(0,MIN($F277,EOMONTH(DATE(cfg_FY,4,1),0))-$E277+1))</f>
        <v>0</v>
      </c>
      <c r="AL277" s="110" t="n">
        <f aca="false">IF(OR(OR($B277="",$E277="",$F277=""),$L277&lt;&gt;"لا"),0,MAX(0,MIN($F277,EOMONTH(DATE(cfg_FY,5,1),0))-$E277+1))</f>
        <v>0</v>
      </c>
      <c r="AM277" s="110" t="n">
        <f aca="false">IF(OR(OR($B277="",$E277="",$F277=""),$L277&lt;&gt;"لا"),0,MAX(0,MIN($F277,EOMONTH(DATE(cfg_FY,6,1),0))-$E277+1))</f>
        <v>0</v>
      </c>
      <c r="AN277" s="110" t="n">
        <f aca="false">IF(OR(OR($B277="",$E277="",$F277=""),$L277&lt;&gt;"لا"),0,MAX(0,MIN($F277,EOMONTH(DATE(cfg_FY,7,1),0))-$E277+1))</f>
        <v>0</v>
      </c>
      <c r="AO277" s="110" t="n">
        <f aca="false">IF(OR(OR($B277="",$E277="",$F277=""),$L277&lt;&gt;"لا"),0,MAX(0,MIN($F277,EOMONTH(DATE(cfg_FY,8,1),0))-$E277+1))</f>
        <v>0</v>
      </c>
      <c r="AP277" s="110" t="n">
        <f aca="false">IF(OR(OR($B277="",$E277="",$F277=""),$L277&lt;&gt;"لا"),0,MAX(0,MIN($F277,EOMONTH(DATE(cfg_FY,9,1),0))-$E277+1))</f>
        <v>0</v>
      </c>
      <c r="AQ277" s="110" t="n">
        <f aca="false">IF(OR(OR($B277="",$E277="",$F277=""),$L277&lt;&gt;"لا"),0,MAX(0,MIN($F277,EOMONTH(DATE(cfg_FY,10,1),0))-$E277+1))</f>
        <v>0</v>
      </c>
      <c r="AR277" s="110" t="n">
        <f aca="false">IF(OR(OR($B277="",$E277="",$F277=""),$L277&lt;&gt;"لا"),0,MAX(0,MIN($F277,EOMONTH(DATE(cfg_FY,11,1),0))-$E277+1))</f>
        <v>0</v>
      </c>
      <c r="AS277" s="110" t="n">
        <f aca="false">IF(OR(OR($B277="",$E277="",$F277=""),$L277&lt;&gt;"لا"),0,MAX(0,MIN($F277,EOMONTH(DATE(cfg_FY,12,1),0))-$E277+1))</f>
        <v>0</v>
      </c>
      <c r="AT277" s="110" t="n">
        <f aca="false">IF(OR(OR($B277="",$E277="",$F277=""),$K277&lt;&gt;"نعم",$M277="نعم"),0,MAX(0,MIN($F277,EOMONTH(DATE(cfg_FY,1,1),0))-MAX($E277,DATE(cfg_FY,1,1))+1))</f>
        <v>0</v>
      </c>
      <c r="AU277" s="110" t="n">
        <f aca="false">IF(OR(OR($B277="",$E277="",$F277=""),$K277&lt;&gt;"نعم",$M277="نعم"),0,MAX(0,MIN($F277,EOMONTH(DATE(cfg_FY,2,1),0))-MAX($E277,DATE(cfg_FY,2,1))+1))</f>
        <v>0</v>
      </c>
      <c r="AV277" s="110" t="n">
        <f aca="false">IF(OR(OR($B277="",$E277="",$F277=""),$K277&lt;&gt;"نعم",$M277="نعم"),0,MAX(0,MIN($F277,EOMONTH(DATE(cfg_FY,3,1),0))-MAX($E277,DATE(cfg_FY,3,1))+1))</f>
        <v>0</v>
      </c>
      <c r="AW277" s="110" t="n">
        <f aca="false">IF(OR(OR($B277="",$E277="",$F277=""),$K277&lt;&gt;"نعم",$M277="نعم"),0,MAX(0,MIN($F277,EOMONTH(DATE(cfg_FY,4,1),0))-MAX($E277,DATE(cfg_FY,4,1))+1))</f>
        <v>0</v>
      </c>
      <c r="AX277" s="110" t="n">
        <f aca="false">IF(OR(OR($B277="",$E277="",$F277=""),$K277&lt;&gt;"نعم",$M277="نعم"),0,MAX(0,MIN($F277,EOMONTH(DATE(cfg_FY,5,1),0))-MAX($E277,DATE(cfg_FY,5,1))+1))</f>
        <v>0</v>
      </c>
      <c r="AY277" s="110" t="n">
        <f aca="false">IF(OR(OR($B277="",$E277="",$F277=""),$K277&lt;&gt;"نعم",$M277="نعم"),0,MAX(0,MIN($F277,EOMONTH(DATE(cfg_FY,6,1),0))-MAX($E277,DATE(cfg_FY,6,1))+1))</f>
        <v>0</v>
      </c>
      <c r="AZ277" s="110" t="n">
        <f aca="false">IF(OR(OR($B277="",$E277="",$F277=""),$K277&lt;&gt;"نعم",$M277="نعم"),0,MAX(0,MIN($F277,EOMONTH(DATE(cfg_FY,7,1),0))-MAX($E277,DATE(cfg_FY,7,1))+1))</f>
        <v>0</v>
      </c>
      <c r="BA277" s="110" t="n">
        <f aca="false">IF(OR(OR($B277="",$E277="",$F277=""),$K277&lt;&gt;"نعم",$M277="نعم"),0,MAX(0,MIN($F277,EOMONTH(DATE(cfg_FY,8,1),0))-MAX($E277,DATE(cfg_FY,8,1))+1))</f>
        <v>0</v>
      </c>
      <c r="BB277" s="110" t="n">
        <f aca="false">IF(OR(OR($B277="",$E277="",$F277=""),$K277&lt;&gt;"نعم",$M277="نعم"),0,MAX(0,MIN($F277,EOMONTH(DATE(cfg_FY,9,1),0))-MAX($E277,DATE(cfg_FY,9,1))+1))</f>
        <v>0</v>
      </c>
      <c r="BC277" s="110" t="n">
        <f aca="false">IF(OR(OR($B277="",$E277="",$F277=""),$K277&lt;&gt;"نعم",$M277="نعم"),0,MAX(0,MIN($F277,EOMONTH(DATE(cfg_FY,10,1),0))-MAX($E277,DATE(cfg_FY,10,1))+1))</f>
        <v>0</v>
      </c>
      <c r="BD277" s="110" t="n">
        <f aca="false">IF(OR(OR($B277="",$E277="",$F277=""),$K277&lt;&gt;"نعم",$M277="نعم"),0,MAX(0,MIN($F277,EOMONTH(DATE(cfg_FY,11,1),0))-MAX($E277,DATE(cfg_FY,11,1))+1))</f>
        <v>0</v>
      </c>
      <c r="BE277" s="110" t="n">
        <f aca="false">IF(OR(OR($B277="",$E277="",$F277=""),$K277&lt;&gt;"نعم",$M277="نعم"),0,MAX(0,MIN($F277,EOMONTH(DATE(cfg_FY,12,1),0))-MAX($E277,DATE(cfg_FY,12,1))+1))</f>
        <v>0</v>
      </c>
    </row>
    <row r="278" customFormat="false" ht="15" hidden="false" customHeight="false" outlineLevel="0" collapsed="false">
      <c r="A278" s="93" t="str">
        <f aca="false">IF(B278="","",ROW()-5)</f>
        <v/>
      </c>
      <c r="B278" s="79"/>
      <c r="C278" s="80" t="str">
        <f aca="false">IF(B278="","",IFERROR(INDEX(الموظفون!$C$6:$C$105,MATCH(B278,الموظفون!$B$6:$B$105,0)),"✖ رقم غير موجود"))</f>
        <v/>
      </c>
      <c r="D278" s="79"/>
      <c r="E278" s="94"/>
      <c r="F278" s="94"/>
      <c r="G278" s="57" t="str">
        <f aca="false">IF(OR($B278="",$E278="",$F278=""),"",MAX(0,F278-E278+1))</f>
        <v/>
      </c>
      <c r="H278" s="58" t="str">
        <f aca="false">IF(D278="","",IFERROR(VLOOKUP(D278,cfg_LT,2,FALSE()),1))</f>
        <v/>
      </c>
      <c r="I278" s="82"/>
      <c r="J278" s="58" t="str">
        <f aca="false">IF(D278="","",IF(I278&lt;&gt;"",I278,H278))</f>
        <v/>
      </c>
      <c r="K278" s="80" t="str">
        <f aca="false">IF(D278="","",IFERROR(VLOOKUP($D278,cfg_LT,3,FALSE()),""))</f>
        <v/>
      </c>
      <c r="L278" s="80" t="str">
        <f aca="false">IF(D278="","",IFERROR(VLOOKUP($D278,cfg_LT,4,FALSE()),""))</f>
        <v/>
      </c>
      <c r="M278" s="80" t="str">
        <f aca="false">IF(D278="","",IFERROR(VLOOKUP($D278,cfg_LT,5,FALSE()),""))</f>
        <v/>
      </c>
      <c r="N278" s="97" t="n">
        <f aca="false">IF(OR(OR($B278="",$E278="",$F278=""),M278&lt;&gt;"نعم"),0,G278*J278*IFERROR(INDEX(الموظفون!$R$6:$R$105,MATCH(B278,الموظفون!$B$6:$B$105,0)),0)/cfg_DAYS_M)</f>
        <v>0</v>
      </c>
      <c r="O278" s="93" t="str">
        <f aca="false">IF(OR(OR($B278="",$E278="",$F278=""),M278&lt;&gt;"نعم"),"",IF(YEAR(E278)=cfg_FY,MONTH(E278),""))</f>
        <v/>
      </c>
      <c r="P278" s="80" t="str">
        <f aca="false">IF(B278="","",IF(OR(D278="",E278="",F278=""),"⚠ أكمل النوع والتواريخ",IF(F278&lt;E278,"✖ النهاية قبل البداية",IF(COUNTIFS($B$6:$B$505,B278,$E$6:$E$505,"&lt;="&amp;F278,$F$6:$F$505,"&gt;="&amp;E278)&gt;1,"⚠ تداخل مع سجل آخر",IF(E278&gt;cfg_VAL_DATE,"⏳ قادمة",IF(F278&lt;cfg_VAL_DATE,"✔ منتهية","✈ جارية في تاريخ التقرير"))))))</f>
        <v/>
      </c>
      <c r="Q278" s="79"/>
      <c r="R278" s="57" t="n">
        <f aca="false">IF(OR(OR($B278="",$E278="",$F278=""),L278&lt;&gt;"لا"),0,MAX(0,MIN(F278,cfg_Y_START-1)-E278+1))</f>
        <v>0</v>
      </c>
      <c r="S278" s="57" t="n">
        <f aca="false">IF(OR(OR($B278="",$E278="",$F278=""),L278&lt;&gt;"لا"),0,MAX(0,MIN(F278,cfg_VAL_DATE)-E278+1))</f>
        <v>0</v>
      </c>
      <c r="T278" s="57" t="n">
        <f aca="false">IF(OR(OR($B278="",$E278="",$F278=""),K278&lt;&gt;"نعم"),0,IF(M278="نعم",IF(AND(ISNUMBER(O278),N(O278)&lt;=cfg_VAL_M),G278,0),MAX(0,MIN(F278,cfg_VAL_DATE)-MAX(E278,cfg_Y_START)+1)))</f>
        <v>0</v>
      </c>
      <c r="V278" s="57" t="n">
        <f aca="false">IF(OR($B278="",$E278="",$F278=""),0,MAX(0,MIN($F278,EOMONTH(DATE(cfg_FY,1,1),0))-MAX($E278,DATE(cfg_FY,1,1))+1)*(1-IF($M278="نعم",0,N($J278))))</f>
        <v>0</v>
      </c>
      <c r="W278" s="57" t="n">
        <f aca="false">IF(OR($B278="",$E278="",$F278=""),0,MAX(0,MIN($F278,EOMONTH(DATE(cfg_FY,2,1),0))-MAX($E278,DATE(cfg_FY,2,1))+1)*(1-IF($M278="نعم",0,N($J278))))</f>
        <v>0</v>
      </c>
      <c r="X278" s="57" t="n">
        <f aca="false">IF(OR($B278="",$E278="",$F278=""),0,MAX(0,MIN($F278,EOMONTH(DATE(cfg_FY,3,1),0))-MAX($E278,DATE(cfg_FY,3,1))+1)*(1-IF($M278="نعم",0,N($J278))))</f>
        <v>0</v>
      </c>
      <c r="Y278" s="57" t="n">
        <f aca="false">IF(OR($B278="",$E278="",$F278=""),0,MAX(0,MIN($F278,EOMONTH(DATE(cfg_FY,4,1),0))-MAX($E278,DATE(cfg_FY,4,1))+1)*(1-IF($M278="نعم",0,N($J278))))</f>
        <v>0</v>
      </c>
      <c r="Z278" s="57" t="n">
        <f aca="false">IF(OR($B278="",$E278="",$F278=""),0,MAX(0,MIN($F278,EOMONTH(DATE(cfg_FY,5,1),0))-MAX($E278,DATE(cfg_FY,5,1))+1)*(1-IF($M278="نعم",0,N($J278))))</f>
        <v>0</v>
      </c>
      <c r="AA278" s="57" t="n">
        <f aca="false">IF(OR($B278="",$E278="",$F278=""),0,MAX(0,MIN($F278,EOMONTH(DATE(cfg_FY,6,1),0))-MAX($E278,DATE(cfg_FY,6,1))+1)*(1-IF($M278="نعم",0,N($J278))))</f>
        <v>0</v>
      </c>
      <c r="AB278" s="57" t="n">
        <f aca="false">IF(OR($B278="",$E278="",$F278=""),0,MAX(0,MIN($F278,EOMONTH(DATE(cfg_FY,7,1),0))-MAX($E278,DATE(cfg_FY,7,1))+1)*(1-IF($M278="نعم",0,N($J278))))</f>
        <v>0</v>
      </c>
      <c r="AC278" s="57" t="n">
        <f aca="false">IF(OR($B278="",$E278="",$F278=""),0,MAX(0,MIN($F278,EOMONTH(DATE(cfg_FY,8,1),0))-MAX($E278,DATE(cfg_FY,8,1))+1)*(1-IF($M278="نعم",0,N($J278))))</f>
        <v>0</v>
      </c>
      <c r="AD278" s="57" t="n">
        <f aca="false">IF(OR($B278="",$E278="",$F278=""),0,MAX(0,MIN($F278,EOMONTH(DATE(cfg_FY,9,1),0))-MAX($E278,DATE(cfg_FY,9,1))+1)*(1-IF($M278="نعم",0,N($J278))))</f>
        <v>0</v>
      </c>
      <c r="AE278" s="57" t="n">
        <f aca="false">IF(OR($B278="",$E278="",$F278=""),0,MAX(0,MIN($F278,EOMONTH(DATE(cfg_FY,10,1),0))-MAX($E278,DATE(cfg_FY,10,1))+1)*(1-IF($M278="نعم",0,N($J278))))</f>
        <v>0</v>
      </c>
      <c r="AF278" s="57" t="n">
        <f aca="false">IF(OR($B278="",$E278="",$F278=""),0,MAX(0,MIN($F278,EOMONTH(DATE(cfg_FY,11,1),0))-MAX($E278,DATE(cfg_FY,11,1))+1)*(1-IF($M278="نعم",0,N($J278))))</f>
        <v>0</v>
      </c>
      <c r="AG278" s="57" t="n">
        <f aca="false">IF(OR($B278="",$E278="",$F278=""),0,MAX(0,MIN($F278,EOMONTH(DATE(cfg_FY,12,1),0))-MAX($E278,DATE(cfg_FY,12,1))+1)*(1-IF($M278="نعم",0,N($J278))))</f>
        <v>0</v>
      </c>
      <c r="AH278" s="57" t="n">
        <f aca="false">IF(OR(OR($B278="",$E278="",$F278=""),$L278&lt;&gt;"لا"),0,MAX(0,MIN($F278,EOMONTH(DATE(cfg_FY,1,1),0))-$E278+1))</f>
        <v>0</v>
      </c>
      <c r="AI278" s="57" t="n">
        <f aca="false">IF(OR(OR($B278="",$E278="",$F278=""),$L278&lt;&gt;"لا"),0,MAX(0,MIN($F278,EOMONTH(DATE(cfg_FY,2,1),0))-$E278+1))</f>
        <v>0</v>
      </c>
      <c r="AJ278" s="57" t="n">
        <f aca="false">IF(OR(OR($B278="",$E278="",$F278=""),$L278&lt;&gt;"لا"),0,MAX(0,MIN($F278,EOMONTH(DATE(cfg_FY,3,1),0))-$E278+1))</f>
        <v>0</v>
      </c>
      <c r="AK278" s="57" t="n">
        <f aca="false">IF(OR(OR($B278="",$E278="",$F278=""),$L278&lt;&gt;"لا"),0,MAX(0,MIN($F278,EOMONTH(DATE(cfg_FY,4,1),0))-$E278+1))</f>
        <v>0</v>
      </c>
      <c r="AL278" s="57" t="n">
        <f aca="false">IF(OR(OR($B278="",$E278="",$F278=""),$L278&lt;&gt;"لا"),0,MAX(0,MIN($F278,EOMONTH(DATE(cfg_FY,5,1),0))-$E278+1))</f>
        <v>0</v>
      </c>
      <c r="AM278" s="57" t="n">
        <f aca="false">IF(OR(OR($B278="",$E278="",$F278=""),$L278&lt;&gt;"لا"),0,MAX(0,MIN($F278,EOMONTH(DATE(cfg_FY,6,1),0))-$E278+1))</f>
        <v>0</v>
      </c>
      <c r="AN278" s="57" t="n">
        <f aca="false">IF(OR(OR($B278="",$E278="",$F278=""),$L278&lt;&gt;"لا"),0,MAX(0,MIN($F278,EOMONTH(DATE(cfg_FY,7,1),0))-$E278+1))</f>
        <v>0</v>
      </c>
      <c r="AO278" s="57" t="n">
        <f aca="false">IF(OR(OR($B278="",$E278="",$F278=""),$L278&lt;&gt;"لا"),0,MAX(0,MIN($F278,EOMONTH(DATE(cfg_FY,8,1),0))-$E278+1))</f>
        <v>0</v>
      </c>
      <c r="AP278" s="57" t="n">
        <f aca="false">IF(OR(OR($B278="",$E278="",$F278=""),$L278&lt;&gt;"لا"),0,MAX(0,MIN($F278,EOMONTH(DATE(cfg_FY,9,1),0))-$E278+1))</f>
        <v>0</v>
      </c>
      <c r="AQ278" s="57" t="n">
        <f aca="false">IF(OR(OR($B278="",$E278="",$F278=""),$L278&lt;&gt;"لا"),0,MAX(0,MIN($F278,EOMONTH(DATE(cfg_FY,10,1),0))-$E278+1))</f>
        <v>0</v>
      </c>
      <c r="AR278" s="57" t="n">
        <f aca="false">IF(OR(OR($B278="",$E278="",$F278=""),$L278&lt;&gt;"لا"),0,MAX(0,MIN($F278,EOMONTH(DATE(cfg_FY,11,1),0))-$E278+1))</f>
        <v>0</v>
      </c>
      <c r="AS278" s="57" t="n">
        <f aca="false">IF(OR(OR($B278="",$E278="",$F278=""),$L278&lt;&gt;"لا"),0,MAX(0,MIN($F278,EOMONTH(DATE(cfg_FY,12,1),0))-$E278+1))</f>
        <v>0</v>
      </c>
      <c r="AT278" s="57" t="n">
        <f aca="false">IF(OR(OR($B278="",$E278="",$F278=""),$K278&lt;&gt;"نعم",$M278="نعم"),0,MAX(0,MIN($F278,EOMONTH(DATE(cfg_FY,1,1),0))-MAX($E278,DATE(cfg_FY,1,1))+1))</f>
        <v>0</v>
      </c>
      <c r="AU278" s="57" t="n">
        <f aca="false">IF(OR(OR($B278="",$E278="",$F278=""),$K278&lt;&gt;"نعم",$M278="نعم"),0,MAX(0,MIN($F278,EOMONTH(DATE(cfg_FY,2,1),0))-MAX($E278,DATE(cfg_FY,2,1))+1))</f>
        <v>0</v>
      </c>
      <c r="AV278" s="57" t="n">
        <f aca="false">IF(OR(OR($B278="",$E278="",$F278=""),$K278&lt;&gt;"نعم",$M278="نعم"),0,MAX(0,MIN($F278,EOMONTH(DATE(cfg_FY,3,1),0))-MAX($E278,DATE(cfg_FY,3,1))+1))</f>
        <v>0</v>
      </c>
      <c r="AW278" s="57" t="n">
        <f aca="false">IF(OR(OR($B278="",$E278="",$F278=""),$K278&lt;&gt;"نعم",$M278="نعم"),0,MAX(0,MIN($F278,EOMONTH(DATE(cfg_FY,4,1),0))-MAX($E278,DATE(cfg_FY,4,1))+1))</f>
        <v>0</v>
      </c>
      <c r="AX278" s="57" t="n">
        <f aca="false">IF(OR(OR($B278="",$E278="",$F278=""),$K278&lt;&gt;"نعم",$M278="نعم"),0,MAX(0,MIN($F278,EOMONTH(DATE(cfg_FY,5,1),0))-MAX($E278,DATE(cfg_FY,5,1))+1))</f>
        <v>0</v>
      </c>
      <c r="AY278" s="57" t="n">
        <f aca="false">IF(OR(OR($B278="",$E278="",$F278=""),$K278&lt;&gt;"نعم",$M278="نعم"),0,MAX(0,MIN($F278,EOMONTH(DATE(cfg_FY,6,1),0))-MAX($E278,DATE(cfg_FY,6,1))+1))</f>
        <v>0</v>
      </c>
      <c r="AZ278" s="57" t="n">
        <f aca="false">IF(OR(OR($B278="",$E278="",$F278=""),$K278&lt;&gt;"نعم",$M278="نعم"),0,MAX(0,MIN($F278,EOMONTH(DATE(cfg_FY,7,1),0))-MAX($E278,DATE(cfg_FY,7,1))+1))</f>
        <v>0</v>
      </c>
      <c r="BA278" s="57" t="n">
        <f aca="false">IF(OR(OR($B278="",$E278="",$F278=""),$K278&lt;&gt;"نعم",$M278="نعم"),0,MAX(0,MIN($F278,EOMONTH(DATE(cfg_FY,8,1),0))-MAX($E278,DATE(cfg_FY,8,1))+1))</f>
        <v>0</v>
      </c>
      <c r="BB278" s="57" t="n">
        <f aca="false">IF(OR(OR($B278="",$E278="",$F278=""),$K278&lt;&gt;"نعم",$M278="نعم"),0,MAX(0,MIN($F278,EOMONTH(DATE(cfg_FY,9,1),0))-MAX($E278,DATE(cfg_FY,9,1))+1))</f>
        <v>0</v>
      </c>
      <c r="BC278" s="57" t="n">
        <f aca="false">IF(OR(OR($B278="",$E278="",$F278=""),$K278&lt;&gt;"نعم",$M278="نعم"),0,MAX(0,MIN($F278,EOMONTH(DATE(cfg_FY,10,1),0))-MAX($E278,DATE(cfg_FY,10,1))+1))</f>
        <v>0</v>
      </c>
      <c r="BD278" s="57" t="n">
        <f aca="false">IF(OR(OR($B278="",$E278="",$F278=""),$K278&lt;&gt;"نعم",$M278="نعم"),0,MAX(0,MIN($F278,EOMONTH(DATE(cfg_FY,11,1),0))-MAX($E278,DATE(cfg_FY,11,1))+1))</f>
        <v>0</v>
      </c>
      <c r="BE278" s="57" t="n">
        <f aca="false">IF(OR(OR($B278="",$E278="",$F278=""),$K278&lt;&gt;"نعم",$M278="نعم"),0,MAX(0,MIN($F278,EOMONTH(DATE(cfg_FY,12,1),0))-MAX($E278,DATE(cfg_FY,12,1))+1))</f>
        <v>0</v>
      </c>
    </row>
    <row r="279" customFormat="false" ht="15" hidden="false" customHeight="false" outlineLevel="0" collapsed="false">
      <c r="A279" s="100" t="str">
        <f aca="false">IF(B279="","",ROW()-5)</f>
        <v/>
      </c>
      <c r="B279" s="79"/>
      <c r="C279" s="102" t="str">
        <f aca="false">IF(B279="","",IFERROR(INDEX(الموظفون!$C$6:$C$105,MATCH(B279,الموظفون!$B$6:$B$105,0)),"✖ رقم غير موجود"))</f>
        <v/>
      </c>
      <c r="D279" s="79"/>
      <c r="E279" s="94"/>
      <c r="F279" s="94"/>
      <c r="G279" s="110" t="str">
        <f aca="false">IF(OR($B279="",$E279="",$F279=""),"",MAX(0,F279-E279+1))</f>
        <v/>
      </c>
      <c r="H279" s="111" t="str">
        <f aca="false">IF(D279="","",IFERROR(VLOOKUP(D279,cfg_LT,2,FALSE()),1))</f>
        <v/>
      </c>
      <c r="I279" s="82"/>
      <c r="J279" s="111" t="str">
        <f aca="false">IF(D279="","",IF(I279&lt;&gt;"",I279,H279))</f>
        <v/>
      </c>
      <c r="K279" s="102" t="str">
        <f aca="false">IF(D279="","",IFERROR(VLOOKUP($D279,cfg_LT,3,FALSE()),""))</f>
        <v/>
      </c>
      <c r="L279" s="102" t="str">
        <f aca="false">IF(D279="","",IFERROR(VLOOKUP($D279,cfg_LT,4,FALSE()),""))</f>
        <v/>
      </c>
      <c r="M279" s="102" t="str">
        <f aca="false">IF(D279="","",IFERROR(VLOOKUP($D279,cfg_LT,5,FALSE()),""))</f>
        <v/>
      </c>
      <c r="N279" s="101" t="n">
        <f aca="false">IF(OR(OR($B279="",$E279="",$F279=""),M279&lt;&gt;"نعم"),0,G279*J279*IFERROR(INDEX(الموظفون!$R$6:$R$105,MATCH(B279,الموظفون!$B$6:$B$105,0)),0)/cfg_DAYS_M)</f>
        <v>0</v>
      </c>
      <c r="O279" s="100" t="str">
        <f aca="false">IF(OR(OR($B279="",$E279="",$F279=""),M279&lt;&gt;"نعم"),"",IF(YEAR(E279)=cfg_FY,MONTH(E279),""))</f>
        <v/>
      </c>
      <c r="P279" s="102" t="str">
        <f aca="false">IF(B279="","",IF(OR(D279="",E279="",F279=""),"⚠ أكمل النوع والتواريخ",IF(F279&lt;E279,"✖ النهاية قبل البداية",IF(COUNTIFS($B$6:$B$505,B279,$E$6:$E$505,"&lt;="&amp;F279,$F$6:$F$505,"&gt;="&amp;E279)&gt;1,"⚠ تداخل مع سجل آخر",IF(E279&gt;cfg_VAL_DATE,"⏳ قادمة",IF(F279&lt;cfg_VAL_DATE,"✔ منتهية","✈ جارية في تاريخ التقرير"))))))</f>
        <v/>
      </c>
      <c r="Q279" s="79"/>
      <c r="R279" s="110" t="n">
        <f aca="false">IF(OR(OR($B279="",$E279="",$F279=""),L279&lt;&gt;"لا"),0,MAX(0,MIN(F279,cfg_Y_START-1)-E279+1))</f>
        <v>0</v>
      </c>
      <c r="S279" s="110" t="n">
        <f aca="false">IF(OR(OR($B279="",$E279="",$F279=""),L279&lt;&gt;"لا"),0,MAX(0,MIN(F279,cfg_VAL_DATE)-E279+1))</f>
        <v>0</v>
      </c>
      <c r="T279" s="110" t="n">
        <f aca="false">IF(OR(OR($B279="",$E279="",$F279=""),K279&lt;&gt;"نعم"),0,IF(M279="نعم",IF(AND(ISNUMBER(O279),N(O279)&lt;=cfg_VAL_M),G279,0),MAX(0,MIN(F279,cfg_VAL_DATE)-MAX(E279,cfg_Y_START)+1)))</f>
        <v>0</v>
      </c>
      <c r="V279" s="110" t="n">
        <f aca="false">IF(OR($B279="",$E279="",$F279=""),0,MAX(0,MIN($F279,EOMONTH(DATE(cfg_FY,1,1),0))-MAX($E279,DATE(cfg_FY,1,1))+1)*(1-IF($M279="نعم",0,N($J279))))</f>
        <v>0</v>
      </c>
      <c r="W279" s="110" t="n">
        <f aca="false">IF(OR($B279="",$E279="",$F279=""),0,MAX(0,MIN($F279,EOMONTH(DATE(cfg_FY,2,1),0))-MAX($E279,DATE(cfg_FY,2,1))+1)*(1-IF($M279="نعم",0,N($J279))))</f>
        <v>0</v>
      </c>
      <c r="X279" s="110" t="n">
        <f aca="false">IF(OR($B279="",$E279="",$F279=""),0,MAX(0,MIN($F279,EOMONTH(DATE(cfg_FY,3,1),0))-MAX($E279,DATE(cfg_FY,3,1))+1)*(1-IF($M279="نعم",0,N($J279))))</f>
        <v>0</v>
      </c>
      <c r="Y279" s="110" t="n">
        <f aca="false">IF(OR($B279="",$E279="",$F279=""),0,MAX(0,MIN($F279,EOMONTH(DATE(cfg_FY,4,1),0))-MAX($E279,DATE(cfg_FY,4,1))+1)*(1-IF($M279="نعم",0,N($J279))))</f>
        <v>0</v>
      </c>
      <c r="Z279" s="110" t="n">
        <f aca="false">IF(OR($B279="",$E279="",$F279=""),0,MAX(0,MIN($F279,EOMONTH(DATE(cfg_FY,5,1),0))-MAX($E279,DATE(cfg_FY,5,1))+1)*(1-IF($M279="نعم",0,N($J279))))</f>
        <v>0</v>
      </c>
      <c r="AA279" s="110" t="n">
        <f aca="false">IF(OR($B279="",$E279="",$F279=""),0,MAX(0,MIN($F279,EOMONTH(DATE(cfg_FY,6,1),0))-MAX($E279,DATE(cfg_FY,6,1))+1)*(1-IF($M279="نعم",0,N($J279))))</f>
        <v>0</v>
      </c>
      <c r="AB279" s="110" t="n">
        <f aca="false">IF(OR($B279="",$E279="",$F279=""),0,MAX(0,MIN($F279,EOMONTH(DATE(cfg_FY,7,1),0))-MAX($E279,DATE(cfg_FY,7,1))+1)*(1-IF($M279="نعم",0,N($J279))))</f>
        <v>0</v>
      </c>
      <c r="AC279" s="110" t="n">
        <f aca="false">IF(OR($B279="",$E279="",$F279=""),0,MAX(0,MIN($F279,EOMONTH(DATE(cfg_FY,8,1),0))-MAX($E279,DATE(cfg_FY,8,1))+1)*(1-IF($M279="نعم",0,N($J279))))</f>
        <v>0</v>
      </c>
      <c r="AD279" s="110" t="n">
        <f aca="false">IF(OR($B279="",$E279="",$F279=""),0,MAX(0,MIN($F279,EOMONTH(DATE(cfg_FY,9,1),0))-MAX($E279,DATE(cfg_FY,9,1))+1)*(1-IF($M279="نعم",0,N($J279))))</f>
        <v>0</v>
      </c>
      <c r="AE279" s="110" t="n">
        <f aca="false">IF(OR($B279="",$E279="",$F279=""),0,MAX(0,MIN($F279,EOMONTH(DATE(cfg_FY,10,1),0))-MAX($E279,DATE(cfg_FY,10,1))+1)*(1-IF($M279="نعم",0,N($J279))))</f>
        <v>0</v>
      </c>
      <c r="AF279" s="110" t="n">
        <f aca="false">IF(OR($B279="",$E279="",$F279=""),0,MAX(0,MIN($F279,EOMONTH(DATE(cfg_FY,11,1),0))-MAX($E279,DATE(cfg_FY,11,1))+1)*(1-IF($M279="نعم",0,N($J279))))</f>
        <v>0</v>
      </c>
      <c r="AG279" s="110" t="n">
        <f aca="false">IF(OR($B279="",$E279="",$F279=""),0,MAX(0,MIN($F279,EOMONTH(DATE(cfg_FY,12,1),0))-MAX($E279,DATE(cfg_FY,12,1))+1)*(1-IF($M279="نعم",0,N($J279))))</f>
        <v>0</v>
      </c>
      <c r="AH279" s="110" t="n">
        <f aca="false">IF(OR(OR($B279="",$E279="",$F279=""),$L279&lt;&gt;"لا"),0,MAX(0,MIN($F279,EOMONTH(DATE(cfg_FY,1,1),0))-$E279+1))</f>
        <v>0</v>
      </c>
      <c r="AI279" s="110" t="n">
        <f aca="false">IF(OR(OR($B279="",$E279="",$F279=""),$L279&lt;&gt;"لا"),0,MAX(0,MIN($F279,EOMONTH(DATE(cfg_FY,2,1),0))-$E279+1))</f>
        <v>0</v>
      </c>
      <c r="AJ279" s="110" t="n">
        <f aca="false">IF(OR(OR($B279="",$E279="",$F279=""),$L279&lt;&gt;"لا"),0,MAX(0,MIN($F279,EOMONTH(DATE(cfg_FY,3,1),0))-$E279+1))</f>
        <v>0</v>
      </c>
      <c r="AK279" s="110" t="n">
        <f aca="false">IF(OR(OR($B279="",$E279="",$F279=""),$L279&lt;&gt;"لا"),0,MAX(0,MIN($F279,EOMONTH(DATE(cfg_FY,4,1),0))-$E279+1))</f>
        <v>0</v>
      </c>
      <c r="AL279" s="110" t="n">
        <f aca="false">IF(OR(OR($B279="",$E279="",$F279=""),$L279&lt;&gt;"لا"),0,MAX(0,MIN($F279,EOMONTH(DATE(cfg_FY,5,1),0))-$E279+1))</f>
        <v>0</v>
      </c>
      <c r="AM279" s="110" t="n">
        <f aca="false">IF(OR(OR($B279="",$E279="",$F279=""),$L279&lt;&gt;"لا"),0,MAX(0,MIN($F279,EOMONTH(DATE(cfg_FY,6,1),0))-$E279+1))</f>
        <v>0</v>
      </c>
      <c r="AN279" s="110" t="n">
        <f aca="false">IF(OR(OR($B279="",$E279="",$F279=""),$L279&lt;&gt;"لا"),0,MAX(0,MIN($F279,EOMONTH(DATE(cfg_FY,7,1),0))-$E279+1))</f>
        <v>0</v>
      </c>
      <c r="AO279" s="110" t="n">
        <f aca="false">IF(OR(OR($B279="",$E279="",$F279=""),$L279&lt;&gt;"لا"),0,MAX(0,MIN($F279,EOMONTH(DATE(cfg_FY,8,1),0))-$E279+1))</f>
        <v>0</v>
      </c>
      <c r="AP279" s="110" t="n">
        <f aca="false">IF(OR(OR($B279="",$E279="",$F279=""),$L279&lt;&gt;"لا"),0,MAX(0,MIN($F279,EOMONTH(DATE(cfg_FY,9,1),0))-$E279+1))</f>
        <v>0</v>
      </c>
      <c r="AQ279" s="110" t="n">
        <f aca="false">IF(OR(OR($B279="",$E279="",$F279=""),$L279&lt;&gt;"لا"),0,MAX(0,MIN($F279,EOMONTH(DATE(cfg_FY,10,1),0))-$E279+1))</f>
        <v>0</v>
      </c>
      <c r="AR279" s="110" t="n">
        <f aca="false">IF(OR(OR($B279="",$E279="",$F279=""),$L279&lt;&gt;"لا"),0,MAX(0,MIN($F279,EOMONTH(DATE(cfg_FY,11,1),0))-$E279+1))</f>
        <v>0</v>
      </c>
      <c r="AS279" s="110" t="n">
        <f aca="false">IF(OR(OR($B279="",$E279="",$F279=""),$L279&lt;&gt;"لا"),0,MAX(0,MIN($F279,EOMONTH(DATE(cfg_FY,12,1),0))-$E279+1))</f>
        <v>0</v>
      </c>
      <c r="AT279" s="110" t="n">
        <f aca="false">IF(OR(OR($B279="",$E279="",$F279=""),$K279&lt;&gt;"نعم",$M279="نعم"),0,MAX(0,MIN($F279,EOMONTH(DATE(cfg_FY,1,1),0))-MAX($E279,DATE(cfg_FY,1,1))+1))</f>
        <v>0</v>
      </c>
      <c r="AU279" s="110" t="n">
        <f aca="false">IF(OR(OR($B279="",$E279="",$F279=""),$K279&lt;&gt;"نعم",$M279="نعم"),0,MAX(0,MIN($F279,EOMONTH(DATE(cfg_FY,2,1),0))-MAX($E279,DATE(cfg_FY,2,1))+1))</f>
        <v>0</v>
      </c>
      <c r="AV279" s="110" t="n">
        <f aca="false">IF(OR(OR($B279="",$E279="",$F279=""),$K279&lt;&gt;"نعم",$M279="نعم"),0,MAX(0,MIN($F279,EOMONTH(DATE(cfg_FY,3,1),0))-MAX($E279,DATE(cfg_FY,3,1))+1))</f>
        <v>0</v>
      </c>
      <c r="AW279" s="110" t="n">
        <f aca="false">IF(OR(OR($B279="",$E279="",$F279=""),$K279&lt;&gt;"نعم",$M279="نعم"),0,MAX(0,MIN($F279,EOMONTH(DATE(cfg_FY,4,1),0))-MAX($E279,DATE(cfg_FY,4,1))+1))</f>
        <v>0</v>
      </c>
      <c r="AX279" s="110" t="n">
        <f aca="false">IF(OR(OR($B279="",$E279="",$F279=""),$K279&lt;&gt;"نعم",$M279="نعم"),0,MAX(0,MIN($F279,EOMONTH(DATE(cfg_FY,5,1),0))-MAX($E279,DATE(cfg_FY,5,1))+1))</f>
        <v>0</v>
      </c>
      <c r="AY279" s="110" t="n">
        <f aca="false">IF(OR(OR($B279="",$E279="",$F279=""),$K279&lt;&gt;"نعم",$M279="نعم"),0,MAX(0,MIN($F279,EOMONTH(DATE(cfg_FY,6,1),0))-MAX($E279,DATE(cfg_FY,6,1))+1))</f>
        <v>0</v>
      </c>
      <c r="AZ279" s="110" t="n">
        <f aca="false">IF(OR(OR($B279="",$E279="",$F279=""),$K279&lt;&gt;"نعم",$M279="نعم"),0,MAX(0,MIN($F279,EOMONTH(DATE(cfg_FY,7,1),0))-MAX($E279,DATE(cfg_FY,7,1))+1))</f>
        <v>0</v>
      </c>
      <c r="BA279" s="110" t="n">
        <f aca="false">IF(OR(OR($B279="",$E279="",$F279=""),$K279&lt;&gt;"نعم",$M279="نعم"),0,MAX(0,MIN($F279,EOMONTH(DATE(cfg_FY,8,1),0))-MAX($E279,DATE(cfg_FY,8,1))+1))</f>
        <v>0</v>
      </c>
      <c r="BB279" s="110" t="n">
        <f aca="false">IF(OR(OR($B279="",$E279="",$F279=""),$K279&lt;&gt;"نعم",$M279="نعم"),0,MAX(0,MIN($F279,EOMONTH(DATE(cfg_FY,9,1),0))-MAX($E279,DATE(cfg_FY,9,1))+1))</f>
        <v>0</v>
      </c>
      <c r="BC279" s="110" t="n">
        <f aca="false">IF(OR(OR($B279="",$E279="",$F279=""),$K279&lt;&gt;"نعم",$M279="نعم"),0,MAX(0,MIN($F279,EOMONTH(DATE(cfg_FY,10,1),0))-MAX($E279,DATE(cfg_FY,10,1))+1))</f>
        <v>0</v>
      </c>
      <c r="BD279" s="110" t="n">
        <f aca="false">IF(OR(OR($B279="",$E279="",$F279=""),$K279&lt;&gt;"نعم",$M279="نعم"),0,MAX(0,MIN($F279,EOMONTH(DATE(cfg_FY,11,1),0))-MAX($E279,DATE(cfg_FY,11,1))+1))</f>
        <v>0</v>
      </c>
      <c r="BE279" s="110" t="n">
        <f aca="false">IF(OR(OR($B279="",$E279="",$F279=""),$K279&lt;&gt;"نعم",$M279="نعم"),0,MAX(0,MIN($F279,EOMONTH(DATE(cfg_FY,12,1),0))-MAX($E279,DATE(cfg_FY,12,1))+1))</f>
        <v>0</v>
      </c>
    </row>
    <row r="280" customFormat="false" ht="15" hidden="false" customHeight="false" outlineLevel="0" collapsed="false">
      <c r="A280" s="93" t="str">
        <f aca="false">IF(B280="","",ROW()-5)</f>
        <v/>
      </c>
      <c r="B280" s="79"/>
      <c r="C280" s="80" t="str">
        <f aca="false">IF(B280="","",IFERROR(INDEX(الموظفون!$C$6:$C$105,MATCH(B280,الموظفون!$B$6:$B$105,0)),"✖ رقم غير موجود"))</f>
        <v/>
      </c>
      <c r="D280" s="79"/>
      <c r="E280" s="94"/>
      <c r="F280" s="94"/>
      <c r="G280" s="57" t="str">
        <f aca="false">IF(OR($B280="",$E280="",$F280=""),"",MAX(0,F280-E280+1))</f>
        <v/>
      </c>
      <c r="H280" s="58" t="str">
        <f aca="false">IF(D280="","",IFERROR(VLOOKUP(D280,cfg_LT,2,FALSE()),1))</f>
        <v/>
      </c>
      <c r="I280" s="82"/>
      <c r="J280" s="58" t="str">
        <f aca="false">IF(D280="","",IF(I280&lt;&gt;"",I280,H280))</f>
        <v/>
      </c>
      <c r="K280" s="80" t="str">
        <f aca="false">IF(D280="","",IFERROR(VLOOKUP($D280,cfg_LT,3,FALSE()),""))</f>
        <v/>
      </c>
      <c r="L280" s="80" t="str">
        <f aca="false">IF(D280="","",IFERROR(VLOOKUP($D280,cfg_LT,4,FALSE()),""))</f>
        <v/>
      </c>
      <c r="M280" s="80" t="str">
        <f aca="false">IF(D280="","",IFERROR(VLOOKUP($D280,cfg_LT,5,FALSE()),""))</f>
        <v/>
      </c>
      <c r="N280" s="97" t="n">
        <f aca="false">IF(OR(OR($B280="",$E280="",$F280=""),M280&lt;&gt;"نعم"),0,G280*J280*IFERROR(INDEX(الموظفون!$R$6:$R$105,MATCH(B280,الموظفون!$B$6:$B$105,0)),0)/cfg_DAYS_M)</f>
        <v>0</v>
      </c>
      <c r="O280" s="93" t="str">
        <f aca="false">IF(OR(OR($B280="",$E280="",$F280=""),M280&lt;&gt;"نعم"),"",IF(YEAR(E280)=cfg_FY,MONTH(E280),""))</f>
        <v/>
      </c>
      <c r="P280" s="80" t="str">
        <f aca="false">IF(B280="","",IF(OR(D280="",E280="",F280=""),"⚠ أكمل النوع والتواريخ",IF(F280&lt;E280,"✖ النهاية قبل البداية",IF(COUNTIFS($B$6:$B$505,B280,$E$6:$E$505,"&lt;="&amp;F280,$F$6:$F$505,"&gt;="&amp;E280)&gt;1,"⚠ تداخل مع سجل آخر",IF(E280&gt;cfg_VAL_DATE,"⏳ قادمة",IF(F280&lt;cfg_VAL_DATE,"✔ منتهية","✈ جارية في تاريخ التقرير"))))))</f>
        <v/>
      </c>
      <c r="Q280" s="79"/>
      <c r="R280" s="57" t="n">
        <f aca="false">IF(OR(OR($B280="",$E280="",$F280=""),L280&lt;&gt;"لا"),0,MAX(0,MIN(F280,cfg_Y_START-1)-E280+1))</f>
        <v>0</v>
      </c>
      <c r="S280" s="57" t="n">
        <f aca="false">IF(OR(OR($B280="",$E280="",$F280=""),L280&lt;&gt;"لا"),0,MAX(0,MIN(F280,cfg_VAL_DATE)-E280+1))</f>
        <v>0</v>
      </c>
      <c r="T280" s="57" t="n">
        <f aca="false">IF(OR(OR($B280="",$E280="",$F280=""),K280&lt;&gt;"نعم"),0,IF(M280="نعم",IF(AND(ISNUMBER(O280),N(O280)&lt;=cfg_VAL_M),G280,0),MAX(0,MIN(F280,cfg_VAL_DATE)-MAX(E280,cfg_Y_START)+1)))</f>
        <v>0</v>
      </c>
      <c r="V280" s="57" t="n">
        <f aca="false">IF(OR($B280="",$E280="",$F280=""),0,MAX(0,MIN($F280,EOMONTH(DATE(cfg_FY,1,1),0))-MAX($E280,DATE(cfg_FY,1,1))+1)*(1-IF($M280="نعم",0,N($J280))))</f>
        <v>0</v>
      </c>
      <c r="W280" s="57" t="n">
        <f aca="false">IF(OR($B280="",$E280="",$F280=""),0,MAX(0,MIN($F280,EOMONTH(DATE(cfg_FY,2,1),0))-MAX($E280,DATE(cfg_FY,2,1))+1)*(1-IF($M280="نعم",0,N($J280))))</f>
        <v>0</v>
      </c>
      <c r="X280" s="57" t="n">
        <f aca="false">IF(OR($B280="",$E280="",$F280=""),0,MAX(0,MIN($F280,EOMONTH(DATE(cfg_FY,3,1),0))-MAX($E280,DATE(cfg_FY,3,1))+1)*(1-IF($M280="نعم",0,N($J280))))</f>
        <v>0</v>
      </c>
      <c r="Y280" s="57" t="n">
        <f aca="false">IF(OR($B280="",$E280="",$F280=""),0,MAX(0,MIN($F280,EOMONTH(DATE(cfg_FY,4,1),0))-MAX($E280,DATE(cfg_FY,4,1))+1)*(1-IF($M280="نعم",0,N($J280))))</f>
        <v>0</v>
      </c>
      <c r="Z280" s="57" t="n">
        <f aca="false">IF(OR($B280="",$E280="",$F280=""),0,MAX(0,MIN($F280,EOMONTH(DATE(cfg_FY,5,1),0))-MAX($E280,DATE(cfg_FY,5,1))+1)*(1-IF($M280="نعم",0,N($J280))))</f>
        <v>0</v>
      </c>
      <c r="AA280" s="57" t="n">
        <f aca="false">IF(OR($B280="",$E280="",$F280=""),0,MAX(0,MIN($F280,EOMONTH(DATE(cfg_FY,6,1),0))-MAX($E280,DATE(cfg_FY,6,1))+1)*(1-IF($M280="نعم",0,N($J280))))</f>
        <v>0</v>
      </c>
      <c r="AB280" s="57" t="n">
        <f aca="false">IF(OR($B280="",$E280="",$F280=""),0,MAX(0,MIN($F280,EOMONTH(DATE(cfg_FY,7,1),0))-MAX($E280,DATE(cfg_FY,7,1))+1)*(1-IF($M280="نعم",0,N($J280))))</f>
        <v>0</v>
      </c>
      <c r="AC280" s="57" t="n">
        <f aca="false">IF(OR($B280="",$E280="",$F280=""),0,MAX(0,MIN($F280,EOMONTH(DATE(cfg_FY,8,1),0))-MAX($E280,DATE(cfg_FY,8,1))+1)*(1-IF($M280="نعم",0,N($J280))))</f>
        <v>0</v>
      </c>
      <c r="AD280" s="57" t="n">
        <f aca="false">IF(OR($B280="",$E280="",$F280=""),0,MAX(0,MIN($F280,EOMONTH(DATE(cfg_FY,9,1),0))-MAX($E280,DATE(cfg_FY,9,1))+1)*(1-IF($M280="نعم",0,N($J280))))</f>
        <v>0</v>
      </c>
      <c r="AE280" s="57" t="n">
        <f aca="false">IF(OR($B280="",$E280="",$F280=""),0,MAX(0,MIN($F280,EOMONTH(DATE(cfg_FY,10,1),0))-MAX($E280,DATE(cfg_FY,10,1))+1)*(1-IF($M280="نعم",0,N($J280))))</f>
        <v>0</v>
      </c>
      <c r="AF280" s="57" t="n">
        <f aca="false">IF(OR($B280="",$E280="",$F280=""),0,MAX(0,MIN($F280,EOMONTH(DATE(cfg_FY,11,1),0))-MAX($E280,DATE(cfg_FY,11,1))+1)*(1-IF($M280="نعم",0,N($J280))))</f>
        <v>0</v>
      </c>
      <c r="AG280" s="57" t="n">
        <f aca="false">IF(OR($B280="",$E280="",$F280=""),0,MAX(0,MIN($F280,EOMONTH(DATE(cfg_FY,12,1),0))-MAX($E280,DATE(cfg_FY,12,1))+1)*(1-IF($M280="نعم",0,N($J280))))</f>
        <v>0</v>
      </c>
      <c r="AH280" s="57" t="n">
        <f aca="false">IF(OR(OR($B280="",$E280="",$F280=""),$L280&lt;&gt;"لا"),0,MAX(0,MIN($F280,EOMONTH(DATE(cfg_FY,1,1),0))-$E280+1))</f>
        <v>0</v>
      </c>
      <c r="AI280" s="57" t="n">
        <f aca="false">IF(OR(OR($B280="",$E280="",$F280=""),$L280&lt;&gt;"لا"),0,MAX(0,MIN($F280,EOMONTH(DATE(cfg_FY,2,1),0))-$E280+1))</f>
        <v>0</v>
      </c>
      <c r="AJ280" s="57" t="n">
        <f aca="false">IF(OR(OR($B280="",$E280="",$F280=""),$L280&lt;&gt;"لا"),0,MAX(0,MIN($F280,EOMONTH(DATE(cfg_FY,3,1),0))-$E280+1))</f>
        <v>0</v>
      </c>
      <c r="AK280" s="57" t="n">
        <f aca="false">IF(OR(OR($B280="",$E280="",$F280=""),$L280&lt;&gt;"لا"),0,MAX(0,MIN($F280,EOMONTH(DATE(cfg_FY,4,1),0))-$E280+1))</f>
        <v>0</v>
      </c>
      <c r="AL280" s="57" t="n">
        <f aca="false">IF(OR(OR($B280="",$E280="",$F280=""),$L280&lt;&gt;"لا"),0,MAX(0,MIN($F280,EOMONTH(DATE(cfg_FY,5,1),0))-$E280+1))</f>
        <v>0</v>
      </c>
      <c r="AM280" s="57" t="n">
        <f aca="false">IF(OR(OR($B280="",$E280="",$F280=""),$L280&lt;&gt;"لا"),0,MAX(0,MIN($F280,EOMONTH(DATE(cfg_FY,6,1),0))-$E280+1))</f>
        <v>0</v>
      </c>
      <c r="AN280" s="57" t="n">
        <f aca="false">IF(OR(OR($B280="",$E280="",$F280=""),$L280&lt;&gt;"لا"),0,MAX(0,MIN($F280,EOMONTH(DATE(cfg_FY,7,1),0))-$E280+1))</f>
        <v>0</v>
      </c>
      <c r="AO280" s="57" t="n">
        <f aca="false">IF(OR(OR($B280="",$E280="",$F280=""),$L280&lt;&gt;"لا"),0,MAX(0,MIN($F280,EOMONTH(DATE(cfg_FY,8,1),0))-$E280+1))</f>
        <v>0</v>
      </c>
      <c r="AP280" s="57" t="n">
        <f aca="false">IF(OR(OR($B280="",$E280="",$F280=""),$L280&lt;&gt;"لا"),0,MAX(0,MIN($F280,EOMONTH(DATE(cfg_FY,9,1),0))-$E280+1))</f>
        <v>0</v>
      </c>
      <c r="AQ280" s="57" t="n">
        <f aca="false">IF(OR(OR($B280="",$E280="",$F280=""),$L280&lt;&gt;"لا"),0,MAX(0,MIN($F280,EOMONTH(DATE(cfg_FY,10,1),0))-$E280+1))</f>
        <v>0</v>
      </c>
      <c r="AR280" s="57" t="n">
        <f aca="false">IF(OR(OR($B280="",$E280="",$F280=""),$L280&lt;&gt;"لا"),0,MAX(0,MIN($F280,EOMONTH(DATE(cfg_FY,11,1),0))-$E280+1))</f>
        <v>0</v>
      </c>
      <c r="AS280" s="57" t="n">
        <f aca="false">IF(OR(OR($B280="",$E280="",$F280=""),$L280&lt;&gt;"لا"),0,MAX(0,MIN($F280,EOMONTH(DATE(cfg_FY,12,1),0))-$E280+1))</f>
        <v>0</v>
      </c>
      <c r="AT280" s="57" t="n">
        <f aca="false">IF(OR(OR($B280="",$E280="",$F280=""),$K280&lt;&gt;"نعم",$M280="نعم"),0,MAX(0,MIN($F280,EOMONTH(DATE(cfg_FY,1,1),0))-MAX($E280,DATE(cfg_FY,1,1))+1))</f>
        <v>0</v>
      </c>
      <c r="AU280" s="57" t="n">
        <f aca="false">IF(OR(OR($B280="",$E280="",$F280=""),$K280&lt;&gt;"نعم",$M280="نعم"),0,MAX(0,MIN($F280,EOMONTH(DATE(cfg_FY,2,1),0))-MAX($E280,DATE(cfg_FY,2,1))+1))</f>
        <v>0</v>
      </c>
      <c r="AV280" s="57" t="n">
        <f aca="false">IF(OR(OR($B280="",$E280="",$F280=""),$K280&lt;&gt;"نعم",$M280="نعم"),0,MAX(0,MIN($F280,EOMONTH(DATE(cfg_FY,3,1),0))-MAX($E280,DATE(cfg_FY,3,1))+1))</f>
        <v>0</v>
      </c>
      <c r="AW280" s="57" t="n">
        <f aca="false">IF(OR(OR($B280="",$E280="",$F280=""),$K280&lt;&gt;"نعم",$M280="نعم"),0,MAX(0,MIN($F280,EOMONTH(DATE(cfg_FY,4,1),0))-MAX($E280,DATE(cfg_FY,4,1))+1))</f>
        <v>0</v>
      </c>
      <c r="AX280" s="57" t="n">
        <f aca="false">IF(OR(OR($B280="",$E280="",$F280=""),$K280&lt;&gt;"نعم",$M280="نعم"),0,MAX(0,MIN($F280,EOMONTH(DATE(cfg_FY,5,1),0))-MAX($E280,DATE(cfg_FY,5,1))+1))</f>
        <v>0</v>
      </c>
      <c r="AY280" s="57" t="n">
        <f aca="false">IF(OR(OR($B280="",$E280="",$F280=""),$K280&lt;&gt;"نعم",$M280="نعم"),0,MAX(0,MIN($F280,EOMONTH(DATE(cfg_FY,6,1),0))-MAX($E280,DATE(cfg_FY,6,1))+1))</f>
        <v>0</v>
      </c>
      <c r="AZ280" s="57" t="n">
        <f aca="false">IF(OR(OR($B280="",$E280="",$F280=""),$K280&lt;&gt;"نعم",$M280="نعم"),0,MAX(0,MIN($F280,EOMONTH(DATE(cfg_FY,7,1),0))-MAX($E280,DATE(cfg_FY,7,1))+1))</f>
        <v>0</v>
      </c>
      <c r="BA280" s="57" t="n">
        <f aca="false">IF(OR(OR($B280="",$E280="",$F280=""),$K280&lt;&gt;"نعم",$M280="نعم"),0,MAX(0,MIN($F280,EOMONTH(DATE(cfg_FY,8,1),0))-MAX($E280,DATE(cfg_FY,8,1))+1))</f>
        <v>0</v>
      </c>
      <c r="BB280" s="57" t="n">
        <f aca="false">IF(OR(OR($B280="",$E280="",$F280=""),$K280&lt;&gt;"نعم",$M280="نعم"),0,MAX(0,MIN($F280,EOMONTH(DATE(cfg_FY,9,1),0))-MAX($E280,DATE(cfg_FY,9,1))+1))</f>
        <v>0</v>
      </c>
      <c r="BC280" s="57" t="n">
        <f aca="false">IF(OR(OR($B280="",$E280="",$F280=""),$K280&lt;&gt;"نعم",$M280="نعم"),0,MAX(0,MIN($F280,EOMONTH(DATE(cfg_FY,10,1),0))-MAX($E280,DATE(cfg_FY,10,1))+1))</f>
        <v>0</v>
      </c>
      <c r="BD280" s="57" t="n">
        <f aca="false">IF(OR(OR($B280="",$E280="",$F280=""),$K280&lt;&gt;"نعم",$M280="نعم"),0,MAX(0,MIN($F280,EOMONTH(DATE(cfg_FY,11,1),0))-MAX($E280,DATE(cfg_FY,11,1))+1))</f>
        <v>0</v>
      </c>
      <c r="BE280" s="57" t="n">
        <f aca="false">IF(OR(OR($B280="",$E280="",$F280=""),$K280&lt;&gt;"نعم",$M280="نعم"),0,MAX(0,MIN($F280,EOMONTH(DATE(cfg_FY,12,1),0))-MAX($E280,DATE(cfg_FY,12,1))+1))</f>
        <v>0</v>
      </c>
    </row>
    <row r="281" customFormat="false" ht="15" hidden="false" customHeight="false" outlineLevel="0" collapsed="false">
      <c r="A281" s="100" t="str">
        <f aca="false">IF(B281="","",ROW()-5)</f>
        <v/>
      </c>
      <c r="B281" s="79"/>
      <c r="C281" s="102" t="str">
        <f aca="false">IF(B281="","",IFERROR(INDEX(الموظفون!$C$6:$C$105,MATCH(B281,الموظفون!$B$6:$B$105,0)),"✖ رقم غير موجود"))</f>
        <v/>
      </c>
      <c r="D281" s="79"/>
      <c r="E281" s="94"/>
      <c r="F281" s="94"/>
      <c r="G281" s="110" t="str">
        <f aca="false">IF(OR($B281="",$E281="",$F281=""),"",MAX(0,F281-E281+1))</f>
        <v/>
      </c>
      <c r="H281" s="111" t="str">
        <f aca="false">IF(D281="","",IFERROR(VLOOKUP(D281,cfg_LT,2,FALSE()),1))</f>
        <v/>
      </c>
      <c r="I281" s="82"/>
      <c r="J281" s="111" t="str">
        <f aca="false">IF(D281="","",IF(I281&lt;&gt;"",I281,H281))</f>
        <v/>
      </c>
      <c r="K281" s="102" t="str">
        <f aca="false">IF(D281="","",IFERROR(VLOOKUP($D281,cfg_LT,3,FALSE()),""))</f>
        <v/>
      </c>
      <c r="L281" s="102" t="str">
        <f aca="false">IF(D281="","",IFERROR(VLOOKUP($D281,cfg_LT,4,FALSE()),""))</f>
        <v/>
      </c>
      <c r="M281" s="102" t="str">
        <f aca="false">IF(D281="","",IFERROR(VLOOKUP($D281,cfg_LT,5,FALSE()),""))</f>
        <v/>
      </c>
      <c r="N281" s="101" t="n">
        <f aca="false">IF(OR(OR($B281="",$E281="",$F281=""),M281&lt;&gt;"نعم"),0,G281*J281*IFERROR(INDEX(الموظفون!$R$6:$R$105,MATCH(B281,الموظفون!$B$6:$B$105,0)),0)/cfg_DAYS_M)</f>
        <v>0</v>
      </c>
      <c r="O281" s="100" t="str">
        <f aca="false">IF(OR(OR($B281="",$E281="",$F281=""),M281&lt;&gt;"نعم"),"",IF(YEAR(E281)=cfg_FY,MONTH(E281),""))</f>
        <v/>
      </c>
      <c r="P281" s="102" t="str">
        <f aca="false">IF(B281="","",IF(OR(D281="",E281="",F281=""),"⚠ أكمل النوع والتواريخ",IF(F281&lt;E281,"✖ النهاية قبل البداية",IF(COUNTIFS($B$6:$B$505,B281,$E$6:$E$505,"&lt;="&amp;F281,$F$6:$F$505,"&gt;="&amp;E281)&gt;1,"⚠ تداخل مع سجل آخر",IF(E281&gt;cfg_VAL_DATE,"⏳ قادمة",IF(F281&lt;cfg_VAL_DATE,"✔ منتهية","✈ جارية في تاريخ التقرير"))))))</f>
        <v/>
      </c>
      <c r="Q281" s="79"/>
      <c r="R281" s="110" t="n">
        <f aca="false">IF(OR(OR($B281="",$E281="",$F281=""),L281&lt;&gt;"لا"),0,MAX(0,MIN(F281,cfg_Y_START-1)-E281+1))</f>
        <v>0</v>
      </c>
      <c r="S281" s="110" t="n">
        <f aca="false">IF(OR(OR($B281="",$E281="",$F281=""),L281&lt;&gt;"لا"),0,MAX(0,MIN(F281,cfg_VAL_DATE)-E281+1))</f>
        <v>0</v>
      </c>
      <c r="T281" s="110" t="n">
        <f aca="false">IF(OR(OR($B281="",$E281="",$F281=""),K281&lt;&gt;"نعم"),0,IF(M281="نعم",IF(AND(ISNUMBER(O281),N(O281)&lt;=cfg_VAL_M),G281,0),MAX(0,MIN(F281,cfg_VAL_DATE)-MAX(E281,cfg_Y_START)+1)))</f>
        <v>0</v>
      </c>
      <c r="V281" s="110" t="n">
        <f aca="false">IF(OR($B281="",$E281="",$F281=""),0,MAX(0,MIN($F281,EOMONTH(DATE(cfg_FY,1,1),0))-MAX($E281,DATE(cfg_FY,1,1))+1)*(1-IF($M281="نعم",0,N($J281))))</f>
        <v>0</v>
      </c>
      <c r="W281" s="110" t="n">
        <f aca="false">IF(OR($B281="",$E281="",$F281=""),0,MAX(0,MIN($F281,EOMONTH(DATE(cfg_FY,2,1),0))-MAX($E281,DATE(cfg_FY,2,1))+1)*(1-IF($M281="نعم",0,N($J281))))</f>
        <v>0</v>
      </c>
      <c r="X281" s="110" t="n">
        <f aca="false">IF(OR($B281="",$E281="",$F281=""),0,MAX(0,MIN($F281,EOMONTH(DATE(cfg_FY,3,1),0))-MAX($E281,DATE(cfg_FY,3,1))+1)*(1-IF($M281="نعم",0,N($J281))))</f>
        <v>0</v>
      </c>
      <c r="Y281" s="110" t="n">
        <f aca="false">IF(OR($B281="",$E281="",$F281=""),0,MAX(0,MIN($F281,EOMONTH(DATE(cfg_FY,4,1),0))-MAX($E281,DATE(cfg_FY,4,1))+1)*(1-IF($M281="نعم",0,N($J281))))</f>
        <v>0</v>
      </c>
      <c r="Z281" s="110" t="n">
        <f aca="false">IF(OR($B281="",$E281="",$F281=""),0,MAX(0,MIN($F281,EOMONTH(DATE(cfg_FY,5,1),0))-MAX($E281,DATE(cfg_FY,5,1))+1)*(1-IF($M281="نعم",0,N($J281))))</f>
        <v>0</v>
      </c>
      <c r="AA281" s="110" t="n">
        <f aca="false">IF(OR($B281="",$E281="",$F281=""),0,MAX(0,MIN($F281,EOMONTH(DATE(cfg_FY,6,1),0))-MAX($E281,DATE(cfg_FY,6,1))+1)*(1-IF($M281="نعم",0,N($J281))))</f>
        <v>0</v>
      </c>
      <c r="AB281" s="110" t="n">
        <f aca="false">IF(OR($B281="",$E281="",$F281=""),0,MAX(0,MIN($F281,EOMONTH(DATE(cfg_FY,7,1),0))-MAX($E281,DATE(cfg_FY,7,1))+1)*(1-IF($M281="نعم",0,N($J281))))</f>
        <v>0</v>
      </c>
      <c r="AC281" s="110" t="n">
        <f aca="false">IF(OR($B281="",$E281="",$F281=""),0,MAX(0,MIN($F281,EOMONTH(DATE(cfg_FY,8,1),0))-MAX($E281,DATE(cfg_FY,8,1))+1)*(1-IF($M281="نعم",0,N($J281))))</f>
        <v>0</v>
      </c>
      <c r="AD281" s="110" t="n">
        <f aca="false">IF(OR($B281="",$E281="",$F281=""),0,MAX(0,MIN($F281,EOMONTH(DATE(cfg_FY,9,1),0))-MAX($E281,DATE(cfg_FY,9,1))+1)*(1-IF($M281="نعم",0,N($J281))))</f>
        <v>0</v>
      </c>
      <c r="AE281" s="110" t="n">
        <f aca="false">IF(OR($B281="",$E281="",$F281=""),0,MAX(0,MIN($F281,EOMONTH(DATE(cfg_FY,10,1),0))-MAX($E281,DATE(cfg_FY,10,1))+1)*(1-IF($M281="نعم",0,N($J281))))</f>
        <v>0</v>
      </c>
      <c r="AF281" s="110" t="n">
        <f aca="false">IF(OR($B281="",$E281="",$F281=""),0,MAX(0,MIN($F281,EOMONTH(DATE(cfg_FY,11,1),0))-MAX($E281,DATE(cfg_FY,11,1))+1)*(1-IF($M281="نعم",0,N($J281))))</f>
        <v>0</v>
      </c>
      <c r="AG281" s="110" t="n">
        <f aca="false">IF(OR($B281="",$E281="",$F281=""),0,MAX(0,MIN($F281,EOMONTH(DATE(cfg_FY,12,1),0))-MAX($E281,DATE(cfg_FY,12,1))+1)*(1-IF($M281="نعم",0,N($J281))))</f>
        <v>0</v>
      </c>
      <c r="AH281" s="110" t="n">
        <f aca="false">IF(OR(OR($B281="",$E281="",$F281=""),$L281&lt;&gt;"لا"),0,MAX(0,MIN($F281,EOMONTH(DATE(cfg_FY,1,1),0))-$E281+1))</f>
        <v>0</v>
      </c>
      <c r="AI281" s="110" t="n">
        <f aca="false">IF(OR(OR($B281="",$E281="",$F281=""),$L281&lt;&gt;"لا"),0,MAX(0,MIN($F281,EOMONTH(DATE(cfg_FY,2,1),0))-$E281+1))</f>
        <v>0</v>
      </c>
      <c r="AJ281" s="110" t="n">
        <f aca="false">IF(OR(OR($B281="",$E281="",$F281=""),$L281&lt;&gt;"لا"),0,MAX(0,MIN($F281,EOMONTH(DATE(cfg_FY,3,1),0))-$E281+1))</f>
        <v>0</v>
      </c>
      <c r="AK281" s="110" t="n">
        <f aca="false">IF(OR(OR($B281="",$E281="",$F281=""),$L281&lt;&gt;"لا"),0,MAX(0,MIN($F281,EOMONTH(DATE(cfg_FY,4,1),0))-$E281+1))</f>
        <v>0</v>
      </c>
      <c r="AL281" s="110" t="n">
        <f aca="false">IF(OR(OR($B281="",$E281="",$F281=""),$L281&lt;&gt;"لا"),0,MAX(0,MIN($F281,EOMONTH(DATE(cfg_FY,5,1),0))-$E281+1))</f>
        <v>0</v>
      </c>
      <c r="AM281" s="110" t="n">
        <f aca="false">IF(OR(OR($B281="",$E281="",$F281=""),$L281&lt;&gt;"لا"),0,MAX(0,MIN($F281,EOMONTH(DATE(cfg_FY,6,1),0))-$E281+1))</f>
        <v>0</v>
      </c>
      <c r="AN281" s="110" t="n">
        <f aca="false">IF(OR(OR($B281="",$E281="",$F281=""),$L281&lt;&gt;"لا"),0,MAX(0,MIN($F281,EOMONTH(DATE(cfg_FY,7,1),0))-$E281+1))</f>
        <v>0</v>
      </c>
      <c r="AO281" s="110" t="n">
        <f aca="false">IF(OR(OR($B281="",$E281="",$F281=""),$L281&lt;&gt;"لا"),0,MAX(0,MIN($F281,EOMONTH(DATE(cfg_FY,8,1),0))-$E281+1))</f>
        <v>0</v>
      </c>
      <c r="AP281" s="110" t="n">
        <f aca="false">IF(OR(OR($B281="",$E281="",$F281=""),$L281&lt;&gt;"لا"),0,MAX(0,MIN($F281,EOMONTH(DATE(cfg_FY,9,1),0))-$E281+1))</f>
        <v>0</v>
      </c>
      <c r="AQ281" s="110" t="n">
        <f aca="false">IF(OR(OR($B281="",$E281="",$F281=""),$L281&lt;&gt;"لا"),0,MAX(0,MIN($F281,EOMONTH(DATE(cfg_FY,10,1),0))-$E281+1))</f>
        <v>0</v>
      </c>
      <c r="AR281" s="110" t="n">
        <f aca="false">IF(OR(OR($B281="",$E281="",$F281=""),$L281&lt;&gt;"لا"),0,MAX(0,MIN($F281,EOMONTH(DATE(cfg_FY,11,1),0))-$E281+1))</f>
        <v>0</v>
      </c>
      <c r="AS281" s="110" t="n">
        <f aca="false">IF(OR(OR($B281="",$E281="",$F281=""),$L281&lt;&gt;"لا"),0,MAX(0,MIN($F281,EOMONTH(DATE(cfg_FY,12,1),0))-$E281+1))</f>
        <v>0</v>
      </c>
      <c r="AT281" s="110" t="n">
        <f aca="false">IF(OR(OR($B281="",$E281="",$F281=""),$K281&lt;&gt;"نعم",$M281="نعم"),0,MAX(0,MIN($F281,EOMONTH(DATE(cfg_FY,1,1),0))-MAX($E281,DATE(cfg_FY,1,1))+1))</f>
        <v>0</v>
      </c>
      <c r="AU281" s="110" t="n">
        <f aca="false">IF(OR(OR($B281="",$E281="",$F281=""),$K281&lt;&gt;"نعم",$M281="نعم"),0,MAX(0,MIN($F281,EOMONTH(DATE(cfg_FY,2,1),0))-MAX($E281,DATE(cfg_FY,2,1))+1))</f>
        <v>0</v>
      </c>
      <c r="AV281" s="110" t="n">
        <f aca="false">IF(OR(OR($B281="",$E281="",$F281=""),$K281&lt;&gt;"نعم",$M281="نعم"),0,MAX(0,MIN($F281,EOMONTH(DATE(cfg_FY,3,1),0))-MAX($E281,DATE(cfg_FY,3,1))+1))</f>
        <v>0</v>
      </c>
      <c r="AW281" s="110" t="n">
        <f aca="false">IF(OR(OR($B281="",$E281="",$F281=""),$K281&lt;&gt;"نعم",$M281="نعم"),0,MAX(0,MIN($F281,EOMONTH(DATE(cfg_FY,4,1),0))-MAX($E281,DATE(cfg_FY,4,1))+1))</f>
        <v>0</v>
      </c>
      <c r="AX281" s="110" t="n">
        <f aca="false">IF(OR(OR($B281="",$E281="",$F281=""),$K281&lt;&gt;"نعم",$M281="نعم"),0,MAX(0,MIN($F281,EOMONTH(DATE(cfg_FY,5,1),0))-MAX($E281,DATE(cfg_FY,5,1))+1))</f>
        <v>0</v>
      </c>
      <c r="AY281" s="110" t="n">
        <f aca="false">IF(OR(OR($B281="",$E281="",$F281=""),$K281&lt;&gt;"نعم",$M281="نعم"),0,MAX(0,MIN($F281,EOMONTH(DATE(cfg_FY,6,1),0))-MAX($E281,DATE(cfg_FY,6,1))+1))</f>
        <v>0</v>
      </c>
      <c r="AZ281" s="110" t="n">
        <f aca="false">IF(OR(OR($B281="",$E281="",$F281=""),$K281&lt;&gt;"نعم",$M281="نعم"),0,MAX(0,MIN($F281,EOMONTH(DATE(cfg_FY,7,1),0))-MAX($E281,DATE(cfg_FY,7,1))+1))</f>
        <v>0</v>
      </c>
      <c r="BA281" s="110" t="n">
        <f aca="false">IF(OR(OR($B281="",$E281="",$F281=""),$K281&lt;&gt;"نعم",$M281="نعم"),0,MAX(0,MIN($F281,EOMONTH(DATE(cfg_FY,8,1),0))-MAX($E281,DATE(cfg_FY,8,1))+1))</f>
        <v>0</v>
      </c>
      <c r="BB281" s="110" t="n">
        <f aca="false">IF(OR(OR($B281="",$E281="",$F281=""),$K281&lt;&gt;"نعم",$M281="نعم"),0,MAX(0,MIN($F281,EOMONTH(DATE(cfg_FY,9,1),0))-MAX($E281,DATE(cfg_FY,9,1))+1))</f>
        <v>0</v>
      </c>
      <c r="BC281" s="110" t="n">
        <f aca="false">IF(OR(OR($B281="",$E281="",$F281=""),$K281&lt;&gt;"نعم",$M281="نعم"),0,MAX(0,MIN($F281,EOMONTH(DATE(cfg_FY,10,1),0))-MAX($E281,DATE(cfg_FY,10,1))+1))</f>
        <v>0</v>
      </c>
      <c r="BD281" s="110" t="n">
        <f aca="false">IF(OR(OR($B281="",$E281="",$F281=""),$K281&lt;&gt;"نعم",$M281="نعم"),0,MAX(0,MIN($F281,EOMONTH(DATE(cfg_FY,11,1),0))-MAX($E281,DATE(cfg_FY,11,1))+1))</f>
        <v>0</v>
      </c>
      <c r="BE281" s="110" t="n">
        <f aca="false">IF(OR(OR($B281="",$E281="",$F281=""),$K281&lt;&gt;"نعم",$M281="نعم"),0,MAX(0,MIN($F281,EOMONTH(DATE(cfg_FY,12,1),0))-MAX($E281,DATE(cfg_FY,12,1))+1))</f>
        <v>0</v>
      </c>
    </row>
    <row r="282" customFormat="false" ht="15" hidden="false" customHeight="false" outlineLevel="0" collapsed="false">
      <c r="A282" s="93" t="str">
        <f aca="false">IF(B282="","",ROW()-5)</f>
        <v/>
      </c>
      <c r="B282" s="79"/>
      <c r="C282" s="80" t="str">
        <f aca="false">IF(B282="","",IFERROR(INDEX(الموظفون!$C$6:$C$105,MATCH(B282,الموظفون!$B$6:$B$105,0)),"✖ رقم غير موجود"))</f>
        <v/>
      </c>
      <c r="D282" s="79"/>
      <c r="E282" s="94"/>
      <c r="F282" s="94"/>
      <c r="G282" s="57" t="str">
        <f aca="false">IF(OR($B282="",$E282="",$F282=""),"",MAX(0,F282-E282+1))</f>
        <v/>
      </c>
      <c r="H282" s="58" t="str">
        <f aca="false">IF(D282="","",IFERROR(VLOOKUP(D282,cfg_LT,2,FALSE()),1))</f>
        <v/>
      </c>
      <c r="I282" s="82"/>
      <c r="J282" s="58" t="str">
        <f aca="false">IF(D282="","",IF(I282&lt;&gt;"",I282,H282))</f>
        <v/>
      </c>
      <c r="K282" s="80" t="str">
        <f aca="false">IF(D282="","",IFERROR(VLOOKUP($D282,cfg_LT,3,FALSE()),""))</f>
        <v/>
      </c>
      <c r="L282" s="80" t="str">
        <f aca="false">IF(D282="","",IFERROR(VLOOKUP($D282,cfg_LT,4,FALSE()),""))</f>
        <v/>
      </c>
      <c r="M282" s="80" t="str">
        <f aca="false">IF(D282="","",IFERROR(VLOOKUP($D282,cfg_LT,5,FALSE()),""))</f>
        <v/>
      </c>
      <c r="N282" s="97" t="n">
        <f aca="false">IF(OR(OR($B282="",$E282="",$F282=""),M282&lt;&gt;"نعم"),0,G282*J282*IFERROR(INDEX(الموظفون!$R$6:$R$105,MATCH(B282,الموظفون!$B$6:$B$105,0)),0)/cfg_DAYS_M)</f>
        <v>0</v>
      </c>
      <c r="O282" s="93" t="str">
        <f aca="false">IF(OR(OR($B282="",$E282="",$F282=""),M282&lt;&gt;"نعم"),"",IF(YEAR(E282)=cfg_FY,MONTH(E282),""))</f>
        <v/>
      </c>
      <c r="P282" s="80" t="str">
        <f aca="false">IF(B282="","",IF(OR(D282="",E282="",F282=""),"⚠ أكمل النوع والتواريخ",IF(F282&lt;E282,"✖ النهاية قبل البداية",IF(COUNTIFS($B$6:$B$505,B282,$E$6:$E$505,"&lt;="&amp;F282,$F$6:$F$505,"&gt;="&amp;E282)&gt;1,"⚠ تداخل مع سجل آخر",IF(E282&gt;cfg_VAL_DATE,"⏳ قادمة",IF(F282&lt;cfg_VAL_DATE,"✔ منتهية","✈ جارية في تاريخ التقرير"))))))</f>
        <v/>
      </c>
      <c r="Q282" s="79"/>
      <c r="R282" s="57" t="n">
        <f aca="false">IF(OR(OR($B282="",$E282="",$F282=""),L282&lt;&gt;"لا"),0,MAX(0,MIN(F282,cfg_Y_START-1)-E282+1))</f>
        <v>0</v>
      </c>
      <c r="S282" s="57" t="n">
        <f aca="false">IF(OR(OR($B282="",$E282="",$F282=""),L282&lt;&gt;"لا"),0,MAX(0,MIN(F282,cfg_VAL_DATE)-E282+1))</f>
        <v>0</v>
      </c>
      <c r="T282" s="57" t="n">
        <f aca="false">IF(OR(OR($B282="",$E282="",$F282=""),K282&lt;&gt;"نعم"),0,IF(M282="نعم",IF(AND(ISNUMBER(O282),N(O282)&lt;=cfg_VAL_M),G282,0),MAX(0,MIN(F282,cfg_VAL_DATE)-MAX(E282,cfg_Y_START)+1)))</f>
        <v>0</v>
      </c>
      <c r="V282" s="57" t="n">
        <f aca="false">IF(OR($B282="",$E282="",$F282=""),0,MAX(0,MIN($F282,EOMONTH(DATE(cfg_FY,1,1),0))-MAX($E282,DATE(cfg_FY,1,1))+1)*(1-IF($M282="نعم",0,N($J282))))</f>
        <v>0</v>
      </c>
      <c r="W282" s="57" t="n">
        <f aca="false">IF(OR($B282="",$E282="",$F282=""),0,MAX(0,MIN($F282,EOMONTH(DATE(cfg_FY,2,1),0))-MAX($E282,DATE(cfg_FY,2,1))+1)*(1-IF($M282="نعم",0,N($J282))))</f>
        <v>0</v>
      </c>
      <c r="X282" s="57" t="n">
        <f aca="false">IF(OR($B282="",$E282="",$F282=""),0,MAX(0,MIN($F282,EOMONTH(DATE(cfg_FY,3,1),0))-MAX($E282,DATE(cfg_FY,3,1))+1)*(1-IF($M282="نعم",0,N($J282))))</f>
        <v>0</v>
      </c>
      <c r="Y282" s="57" t="n">
        <f aca="false">IF(OR($B282="",$E282="",$F282=""),0,MAX(0,MIN($F282,EOMONTH(DATE(cfg_FY,4,1),0))-MAX($E282,DATE(cfg_FY,4,1))+1)*(1-IF($M282="نعم",0,N($J282))))</f>
        <v>0</v>
      </c>
      <c r="Z282" s="57" t="n">
        <f aca="false">IF(OR($B282="",$E282="",$F282=""),0,MAX(0,MIN($F282,EOMONTH(DATE(cfg_FY,5,1),0))-MAX($E282,DATE(cfg_FY,5,1))+1)*(1-IF($M282="نعم",0,N($J282))))</f>
        <v>0</v>
      </c>
      <c r="AA282" s="57" t="n">
        <f aca="false">IF(OR($B282="",$E282="",$F282=""),0,MAX(0,MIN($F282,EOMONTH(DATE(cfg_FY,6,1),0))-MAX($E282,DATE(cfg_FY,6,1))+1)*(1-IF($M282="نعم",0,N($J282))))</f>
        <v>0</v>
      </c>
      <c r="AB282" s="57" t="n">
        <f aca="false">IF(OR($B282="",$E282="",$F282=""),0,MAX(0,MIN($F282,EOMONTH(DATE(cfg_FY,7,1),0))-MAX($E282,DATE(cfg_FY,7,1))+1)*(1-IF($M282="نعم",0,N($J282))))</f>
        <v>0</v>
      </c>
      <c r="AC282" s="57" t="n">
        <f aca="false">IF(OR($B282="",$E282="",$F282=""),0,MAX(0,MIN($F282,EOMONTH(DATE(cfg_FY,8,1),0))-MAX($E282,DATE(cfg_FY,8,1))+1)*(1-IF($M282="نعم",0,N($J282))))</f>
        <v>0</v>
      </c>
      <c r="AD282" s="57" t="n">
        <f aca="false">IF(OR($B282="",$E282="",$F282=""),0,MAX(0,MIN($F282,EOMONTH(DATE(cfg_FY,9,1),0))-MAX($E282,DATE(cfg_FY,9,1))+1)*(1-IF($M282="نعم",0,N($J282))))</f>
        <v>0</v>
      </c>
      <c r="AE282" s="57" t="n">
        <f aca="false">IF(OR($B282="",$E282="",$F282=""),0,MAX(0,MIN($F282,EOMONTH(DATE(cfg_FY,10,1),0))-MAX($E282,DATE(cfg_FY,10,1))+1)*(1-IF($M282="نعم",0,N($J282))))</f>
        <v>0</v>
      </c>
      <c r="AF282" s="57" t="n">
        <f aca="false">IF(OR($B282="",$E282="",$F282=""),0,MAX(0,MIN($F282,EOMONTH(DATE(cfg_FY,11,1),0))-MAX($E282,DATE(cfg_FY,11,1))+1)*(1-IF($M282="نعم",0,N($J282))))</f>
        <v>0</v>
      </c>
      <c r="AG282" s="57" t="n">
        <f aca="false">IF(OR($B282="",$E282="",$F282=""),0,MAX(0,MIN($F282,EOMONTH(DATE(cfg_FY,12,1),0))-MAX($E282,DATE(cfg_FY,12,1))+1)*(1-IF($M282="نعم",0,N($J282))))</f>
        <v>0</v>
      </c>
      <c r="AH282" s="57" t="n">
        <f aca="false">IF(OR(OR($B282="",$E282="",$F282=""),$L282&lt;&gt;"لا"),0,MAX(0,MIN($F282,EOMONTH(DATE(cfg_FY,1,1),0))-$E282+1))</f>
        <v>0</v>
      </c>
      <c r="AI282" s="57" t="n">
        <f aca="false">IF(OR(OR($B282="",$E282="",$F282=""),$L282&lt;&gt;"لا"),0,MAX(0,MIN($F282,EOMONTH(DATE(cfg_FY,2,1),0))-$E282+1))</f>
        <v>0</v>
      </c>
      <c r="AJ282" s="57" t="n">
        <f aca="false">IF(OR(OR($B282="",$E282="",$F282=""),$L282&lt;&gt;"لا"),0,MAX(0,MIN($F282,EOMONTH(DATE(cfg_FY,3,1),0))-$E282+1))</f>
        <v>0</v>
      </c>
      <c r="AK282" s="57" t="n">
        <f aca="false">IF(OR(OR($B282="",$E282="",$F282=""),$L282&lt;&gt;"لا"),0,MAX(0,MIN($F282,EOMONTH(DATE(cfg_FY,4,1),0))-$E282+1))</f>
        <v>0</v>
      </c>
      <c r="AL282" s="57" t="n">
        <f aca="false">IF(OR(OR($B282="",$E282="",$F282=""),$L282&lt;&gt;"لا"),0,MAX(0,MIN($F282,EOMONTH(DATE(cfg_FY,5,1),0))-$E282+1))</f>
        <v>0</v>
      </c>
      <c r="AM282" s="57" t="n">
        <f aca="false">IF(OR(OR($B282="",$E282="",$F282=""),$L282&lt;&gt;"لا"),0,MAX(0,MIN($F282,EOMONTH(DATE(cfg_FY,6,1),0))-$E282+1))</f>
        <v>0</v>
      </c>
      <c r="AN282" s="57" t="n">
        <f aca="false">IF(OR(OR($B282="",$E282="",$F282=""),$L282&lt;&gt;"لا"),0,MAX(0,MIN($F282,EOMONTH(DATE(cfg_FY,7,1),0))-$E282+1))</f>
        <v>0</v>
      </c>
      <c r="AO282" s="57" t="n">
        <f aca="false">IF(OR(OR($B282="",$E282="",$F282=""),$L282&lt;&gt;"لا"),0,MAX(0,MIN($F282,EOMONTH(DATE(cfg_FY,8,1),0))-$E282+1))</f>
        <v>0</v>
      </c>
      <c r="AP282" s="57" t="n">
        <f aca="false">IF(OR(OR($B282="",$E282="",$F282=""),$L282&lt;&gt;"لا"),0,MAX(0,MIN($F282,EOMONTH(DATE(cfg_FY,9,1),0))-$E282+1))</f>
        <v>0</v>
      </c>
      <c r="AQ282" s="57" t="n">
        <f aca="false">IF(OR(OR($B282="",$E282="",$F282=""),$L282&lt;&gt;"لا"),0,MAX(0,MIN($F282,EOMONTH(DATE(cfg_FY,10,1),0))-$E282+1))</f>
        <v>0</v>
      </c>
      <c r="AR282" s="57" t="n">
        <f aca="false">IF(OR(OR($B282="",$E282="",$F282=""),$L282&lt;&gt;"لا"),0,MAX(0,MIN($F282,EOMONTH(DATE(cfg_FY,11,1),0))-$E282+1))</f>
        <v>0</v>
      </c>
      <c r="AS282" s="57" t="n">
        <f aca="false">IF(OR(OR($B282="",$E282="",$F282=""),$L282&lt;&gt;"لا"),0,MAX(0,MIN($F282,EOMONTH(DATE(cfg_FY,12,1),0))-$E282+1))</f>
        <v>0</v>
      </c>
      <c r="AT282" s="57" t="n">
        <f aca="false">IF(OR(OR($B282="",$E282="",$F282=""),$K282&lt;&gt;"نعم",$M282="نعم"),0,MAX(0,MIN($F282,EOMONTH(DATE(cfg_FY,1,1),0))-MAX($E282,DATE(cfg_FY,1,1))+1))</f>
        <v>0</v>
      </c>
      <c r="AU282" s="57" t="n">
        <f aca="false">IF(OR(OR($B282="",$E282="",$F282=""),$K282&lt;&gt;"نعم",$M282="نعم"),0,MAX(0,MIN($F282,EOMONTH(DATE(cfg_FY,2,1),0))-MAX($E282,DATE(cfg_FY,2,1))+1))</f>
        <v>0</v>
      </c>
      <c r="AV282" s="57" t="n">
        <f aca="false">IF(OR(OR($B282="",$E282="",$F282=""),$K282&lt;&gt;"نعم",$M282="نعم"),0,MAX(0,MIN($F282,EOMONTH(DATE(cfg_FY,3,1),0))-MAX($E282,DATE(cfg_FY,3,1))+1))</f>
        <v>0</v>
      </c>
      <c r="AW282" s="57" t="n">
        <f aca="false">IF(OR(OR($B282="",$E282="",$F282=""),$K282&lt;&gt;"نعم",$M282="نعم"),0,MAX(0,MIN($F282,EOMONTH(DATE(cfg_FY,4,1),0))-MAX($E282,DATE(cfg_FY,4,1))+1))</f>
        <v>0</v>
      </c>
      <c r="AX282" s="57" t="n">
        <f aca="false">IF(OR(OR($B282="",$E282="",$F282=""),$K282&lt;&gt;"نعم",$M282="نعم"),0,MAX(0,MIN($F282,EOMONTH(DATE(cfg_FY,5,1),0))-MAX($E282,DATE(cfg_FY,5,1))+1))</f>
        <v>0</v>
      </c>
      <c r="AY282" s="57" t="n">
        <f aca="false">IF(OR(OR($B282="",$E282="",$F282=""),$K282&lt;&gt;"نعم",$M282="نعم"),0,MAX(0,MIN($F282,EOMONTH(DATE(cfg_FY,6,1),0))-MAX($E282,DATE(cfg_FY,6,1))+1))</f>
        <v>0</v>
      </c>
      <c r="AZ282" s="57" t="n">
        <f aca="false">IF(OR(OR($B282="",$E282="",$F282=""),$K282&lt;&gt;"نعم",$M282="نعم"),0,MAX(0,MIN($F282,EOMONTH(DATE(cfg_FY,7,1),0))-MAX($E282,DATE(cfg_FY,7,1))+1))</f>
        <v>0</v>
      </c>
      <c r="BA282" s="57" t="n">
        <f aca="false">IF(OR(OR($B282="",$E282="",$F282=""),$K282&lt;&gt;"نعم",$M282="نعم"),0,MAX(0,MIN($F282,EOMONTH(DATE(cfg_FY,8,1),0))-MAX($E282,DATE(cfg_FY,8,1))+1))</f>
        <v>0</v>
      </c>
      <c r="BB282" s="57" t="n">
        <f aca="false">IF(OR(OR($B282="",$E282="",$F282=""),$K282&lt;&gt;"نعم",$M282="نعم"),0,MAX(0,MIN($F282,EOMONTH(DATE(cfg_FY,9,1),0))-MAX($E282,DATE(cfg_FY,9,1))+1))</f>
        <v>0</v>
      </c>
      <c r="BC282" s="57" t="n">
        <f aca="false">IF(OR(OR($B282="",$E282="",$F282=""),$K282&lt;&gt;"نعم",$M282="نعم"),0,MAX(0,MIN($F282,EOMONTH(DATE(cfg_FY,10,1),0))-MAX($E282,DATE(cfg_FY,10,1))+1))</f>
        <v>0</v>
      </c>
      <c r="BD282" s="57" t="n">
        <f aca="false">IF(OR(OR($B282="",$E282="",$F282=""),$K282&lt;&gt;"نعم",$M282="نعم"),0,MAX(0,MIN($F282,EOMONTH(DATE(cfg_FY,11,1),0))-MAX($E282,DATE(cfg_FY,11,1))+1))</f>
        <v>0</v>
      </c>
      <c r="BE282" s="57" t="n">
        <f aca="false">IF(OR(OR($B282="",$E282="",$F282=""),$K282&lt;&gt;"نعم",$M282="نعم"),0,MAX(0,MIN($F282,EOMONTH(DATE(cfg_FY,12,1),0))-MAX($E282,DATE(cfg_FY,12,1))+1))</f>
        <v>0</v>
      </c>
    </row>
    <row r="283" customFormat="false" ht="15" hidden="false" customHeight="false" outlineLevel="0" collapsed="false">
      <c r="A283" s="100" t="str">
        <f aca="false">IF(B283="","",ROW()-5)</f>
        <v/>
      </c>
      <c r="B283" s="79"/>
      <c r="C283" s="102" t="str">
        <f aca="false">IF(B283="","",IFERROR(INDEX(الموظفون!$C$6:$C$105,MATCH(B283,الموظفون!$B$6:$B$105,0)),"✖ رقم غير موجود"))</f>
        <v/>
      </c>
      <c r="D283" s="79"/>
      <c r="E283" s="94"/>
      <c r="F283" s="94"/>
      <c r="G283" s="110" t="str">
        <f aca="false">IF(OR($B283="",$E283="",$F283=""),"",MAX(0,F283-E283+1))</f>
        <v/>
      </c>
      <c r="H283" s="111" t="str">
        <f aca="false">IF(D283="","",IFERROR(VLOOKUP(D283,cfg_LT,2,FALSE()),1))</f>
        <v/>
      </c>
      <c r="I283" s="82"/>
      <c r="J283" s="111" t="str">
        <f aca="false">IF(D283="","",IF(I283&lt;&gt;"",I283,H283))</f>
        <v/>
      </c>
      <c r="K283" s="102" t="str">
        <f aca="false">IF(D283="","",IFERROR(VLOOKUP($D283,cfg_LT,3,FALSE()),""))</f>
        <v/>
      </c>
      <c r="L283" s="102" t="str">
        <f aca="false">IF(D283="","",IFERROR(VLOOKUP($D283,cfg_LT,4,FALSE()),""))</f>
        <v/>
      </c>
      <c r="M283" s="102" t="str">
        <f aca="false">IF(D283="","",IFERROR(VLOOKUP($D283,cfg_LT,5,FALSE()),""))</f>
        <v/>
      </c>
      <c r="N283" s="101" t="n">
        <f aca="false">IF(OR(OR($B283="",$E283="",$F283=""),M283&lt;&gt;"نعم"),0,G283*J283*IFERROR(INDEX(الموظفون!$R$6:$R$105,MATCH(B283,الموظفون!$B$6:$B$105,0)),0)/cfg_DAYS_M)</f>
        <v>0</v>
      </c>
      <c r="O283" s="100" t="str">
        <f aca="false">IF(OR(OR($B283="",$E283="",$F283=""),M283&lt;&gt;"نعم"),"",IF(YEAR(E283)=cfg_FY,MONTH(E283),""))</f>
        <v/>
      </c>
      <c r="P283" s="102" t="str">
        <f aca="false">IF(B283="","",IF(OR(D283="",E283="",F283=""),"⚠ أكمل النوع والتواريخ",IF(F283&lt;E283,"✖ النهاية قبل البداية",IF(COUNTIFS($B$6:$B$505,B283,$E$6:$E$505,"&lt;="&amp;F283,$F$6:$F$505,"&gt;="&amp;E283)&gt;1,"⚠ تداخل مع سجل آخر",IF(E283&gt;cfg_VAL_DATE,"⏳ قادمة",IF(F283&lt;cfg_VAL_DATE,"✔ منتهية","✈ جارية في تاريخ التقرير"))))))</f>
        <v/>
      </c>
      <c r="Q283" s="79"/>
      <c r="R283" s="110" t="n">
        <f aca="false">IF(OR(OR($B283="",$E283="",$F283=""),L283&lt;&gt;"لا"),0,MAX(0,MIN(F283,cfg_Y_START-1)-E283+1))</f>
        <v>0</v>
      </c>
      <c r="S283" s="110" t="n">
        <f aca="false">IF(OR(OR($B283="",$E283="",$F283=""),L283&lt;&gt;"لا"),0,MAX(0,MIN(F283,cfg_VAL_DATE)-E283+1))</f>
        <v>0</v>
      </c>
      <c r="T283" s="110" t="n">
        <f aca="false">IF(OR(OR($B283="",$E283="",$F283=""),K283&lt;&gt;"نعم"),0,IF(M283="نعم",IF(AND(ISNUMBER(O283),N(O283)&lt;=cfg_VAL_M),G283,0),MAX(0,MIN(F283,cfg_VAL_DATE)-MAX(E283,cfg_Y_START)+1)))</f>
        <v>0</v>
      </c>
      <c r="V283" s="110" t="n">
        <f aca="false">IF(OR($B283="",$E283="",$F283=""),0,MAX(0,MIN($F283,EOMONTH(DATE(cfg_FY,1,1),0))-MAX($E283,DATE(cfg_FY,1,1))+1)*(1-IF($M283="نعم",0,N($J283))))</f>
        <v>0</v>
      </c>
      <c r="W283" s="110" t="n">
        <f aca="false">IF(OR($B283="",$E283="",$F283=""),0,MAX(0,MIN($F283,EOMONTH(DATE(cfg_FY,2,1),0))-MAX($E283,DATE(cfg_FY,2,1))+1)*(1-IF($M283="نعم",0,N($J283))))</f>
        <v>0</v>
      </c>
      <c r="X283" s="110" t="n">
        <f aca="false">IF(OR($B283="",$E283="",$F283=""),0,MAX(0,MIN($F283,EOMONTH(DATE(cfg_FY,3,1),0))-MAX($E283,DATE(cfg_FY,3,1))+1)*(1-IF($M283="نعم",0,N($J283))))</f>
        <v>0</v>
      </c>
      <c r="Y283" s="110" t="n">
        <f aca="false">IF(OR($B283="",$E283="",$F283=""),0,MAX(0,MIN($F283,EOMONTH(DATE(cfg_FY,4,1),0))-MAX($E283,DATE(cfg_FY,4,1))+1)*(1-IF($M283="نعم",0,N($J283))))</f>
        <v>0</v>
      </c>
      <c r="Z283" s="110" t="n">
        <f aca="false">IF(OR($B283="",$E283="",$F283=""),0,MAX(0,MIN($F283,EOMONTH(DATE(cfg_FY,5,1),0))-MAX($E283,DATE(cfg_FY,5,1))+1)*(1-IF($M283="نعم",0,N($J283))))</f>
        <v>0</v>
      </c>
      <c r="AA283" s="110" t="n">
        <f aca="false">IF(OR($B283="",$E283="",$F283=""),0,MAX(0,MIN($F283,EOMONTH(DATE(cfg_FY,6,1),0))-MAX($E283,DATE(cfg_FY,6,1))+1)*(1-IF($M283="نعم",0,N($J283))))</f>
        <v>0</v>
      </c>
      <c r="AB283" s="110" t="n">
        <f aca="false">IF(OR($B283="",$E283="",$F283=""),0,MAX(0,MIN($F283,EOMONTH(DATE(cfg_FY,7,1),0))-MAX($E283,DATE(cfg_FY,7,1))+1)*(1-IF($M283="نعم",0,N($J283))))</f>
        <v>0</v>
      </c>
      <c r="AC283" s="110" t="n">
        <f aca="false">IF(OR($B283="",$E283="",$F283=""),0,MAX(0,MIN($F283,EOMONTH(DATE(cfg_FY,8,1),0))-MAX($E283,DATE(cfg_FY,8,1))+1)*(1-IF($M283="نعم",0,N($J283))))</f>
        <v>0</v>
      </c>
      <c r="AD283" s="110" t="n">
        <f aca="false">IF(OR($B283="",$E283="",$F283=""),0,MAX(0,MIN($F283,EOMONTH(DATE(cfg_FY,9,1),0))-MAX($E283,DATE(cfg_FY,9,1))+1)*(1-IF($M283="نعم",0,N($J283))))</f>
        <v>0</v>
      </c>
      <c r="AE283" s="110" t="n">
        <f aca="false">IF(OR($B283="",$E283="",$F283=""),0,MAX(0,MIN($F283,EOMONTH(DATE(cfg_FY,10,1),0))-MAX($E283,DATE(cfg_FY,10,1))+1)*(1-IF($M283="نعم",0,N($J283))))</f>
        <v>0</v>
      </c>
      <c r="AF283" s="110" t="n">
        <f aca="false">IF(OR($B283="",$E283="",$F283=""),0,MAX(0,MIN($F283,EOMONTH(DATE(cfg_FY,11,1),0))-MAX($E283,DATE(cfg_FY,11,1))+1)*(1-IF($M283="نعم",0,N($J283))))</f>
        <v>0</v>
      </c>
      <c r="AG283" s="110" t="n">
        <f aca="false">IF(OR($B283="",$E283="",$F283=""),0,MAX(0,MIN($F283,EOMONTH(DATE(cfg_FY,12,1),0))-MAX($E283,DATE(cfg_FY,12,1))+1)*(1-IF($M283="نعم",0,N($J283))))</f>
        <v>0</v>
      </c>
      <c r="AH283" s="110" t="n">
        <f aca="false">IF(OR(OR($B283="",$E283="",$F283=""),$L283&lt;&gt;"لا"),0,MAX(0,MIN($F283,EOMONTH(DATE(cfg_FY,1,1),0))-$E283+1))</f>
        <v>0</v>
      </c>
      <c r="AI283" s="110" t="n">
        <f aca="false">IF(OR(OR($B283="",$E283="",$F283=""),$L283&lt;&gt;"لا"),0,MAX(0,MIN($F283,EOMONTH(DATE(cfg_FY,2,1),0))-$E283+1))</f>
        <v>0</v>
      </c>
      <c r="AJ283" s="110" t="n">
        <f aca="false">IF(OR(OR($B283="",$E283="",$F283=""),$L283&lt;&gt;"لا"),0,MAX(0,MIN($F283,EOMONTH(DATE(cfg_FY,3,1),0))-$E283+1))</f>
        <v>0</v>
      </c>
      <c r="AK283" s="110" t="n">
        <f aca="false">IF(OR(OR($B283="",$E283="",$F283=""),$L283&lt;&gt;"لا"),0,MAX(0,MIN($F283,EOMONTH(DATE(cfg_FY,4,1),0))-$E283+1))</f>
        <v>0</v>
      </c>
      <c r="AL283" s="110" t="n">
        <f aca="false">IF(OR(OR($B283="",$E283="",$F283=""),$L283&lt;&gt;"لا"),0,MAX(0,MIN($F283,EOMONTH(DATE(cfg_FY,5,1),0))-$E283+1))</f>
        <v>0</v>
      </c>
      <c r="AM283" s="110" t="n">
        <f aca="false">IF(OR(OR($B283="",$E283="",$F283=""),$L283&lt;&gt;"لا"),0,MAX(0,MIN($F283,EOMONTH(DATE(cfg_FY,6,1),0))-$E283+1))</f>
        <v>0</v>
      </c>
      <c r="AN283" s="110" t="n">
        <f aca="false">IF(OR(OR($B283="",$E283="",$F283=""),$L283&lt;&gt;"لا"),0,MAX(0,MIN($F283,EOMONTH(DATE(cfg_FY,7,1),0))-$E283+1))</f>
        <v>0</v>
      </c>
      <c r="AO283" s="110" t="n">
        <f aca="false">IF(OR(OR($B283="",$E283="",$F283=""),$L283&lt;&gt;"لا"),0,MAX(0,MIN($F283,EOMONTH(DATE(cfg_FY,8,1),0))-$E283+1))</f>
        <v>0</v>
      </c>
      <c r="AP283" s="110" t="n">
        <f aca="false">IF(OR(OR($B283="",$E283="",$F283=""),$L283&lt;&gt;"لا"),0,MAX(0,MIN($F283,EOMONTH(DATE(cfg_FY,9,1),0))-$E283+1))</f>
        <v>0</v>
      </c>
      <c r="AQ283" s="110" t="n">
        <f aca="false">IF(OR(OR($B283="",$E283="",$F283=""),$L283&lt;&gt;"لا"),0,MAX(0,MIN($F283,EOMONTH(DATE(cfg_FY,10,1),0))-$E283+1))</f>
        <v>0</v>
      </c>
      <c r="AR283" s="110" t="n">
        <f aca="false">IF(OR(OR($B283="",$E283="",$F283=""),$L283&lt;&gt;"لا"),0,MAX(0,MIN($F283,EOMONTH(DATE(cfg_FY,11,1),0))-$E283+1))</f>
        <v>0</v>
      </c>
      <c r="AS283" s="110" t="n">
        <f aca="false">IF(OR(OR($B283="",$E283="",$F283=""),$L283&lt;&gt;"لا"),0,MAX(0,MIN($F283,EOMONTH(DATE(cfg_FY,12,1),0))-$E283+1))</f>
        <v>0</v>
      </c>
      <c r="AT283" s="110" t="n">
        <f aca="false">IF(OR(OR($B283="",$E283="",$F283=""),$K283&lt;&gt;"نعم",$M283="نعم"),0,MAX(0,MIN($F283,EOMONTH(DATE(cfg_FY,1,1),0))-MAX($E283,DATE(cfg_FY,1,1))+1))</f>
        <v>0</v>
      </c>
      <c r="AU283" s="110" t="n">
        <f aca="false">IF(OR(OR($B283="",$E283="",$F283=""),$K283&lt;&gt;"نعم",$M283="نعم"),0,MAX(0,MIN($F283,EOMONTH(DATE(cfg_FY,2,1),0))-MAX($E283,DATE(cfg_FY,2,1))+1))</f>
        <v>0</v>
      </c>
      <c r="AV283" s="110" t="n">
        <f aca="false">IF(OR(OR($B283="",$E283="",$F283=""),$K283&lt;&gt;"نعم",$M283="نعم"),0,MAX(0,MIN($F283,EOMONTH(DATE(cfg_FY,3,1),0))-MAX($E283,DATE(cfg_FY,3,1))+1))</f>
        <v>0</v>
      </c>
      <c r="AW283" s="110" t="n">
        <f aca="false">IF(OR(OR($B283="",$E283="",$F283=""),$K283&lt;&gt;"نعم",$M283="نعم"),0,MAX(0,MIN($F283,EOMONTH(DATE(cfg_FY,4,1),0))-MAX($E283,DATE(cfg_FY,4,1))+1))</f>
        <v>0</v>
      </c>
      <c r="AX283" s="110" t="n">
        <f aca="false">IF(OR(OR($B283="",$E283="",$F283=""),$K283&lt;&gt;"نعم",$M283="نعم"),0,MAX(0,MIN($F283,EOMONTH(DATE(cfg_FY,5,1),0))-MAX($E283,DATE(cfg_FY,5,1))+1))</f>
        <v>0</v>
      </c>
      <c r="AY283" s="110" t="n">
        <f aca="false">IF(OR(OR($B283="",$E283="",$F283=""),$K283&lt;&gt;"نعم",$M283="نعم"),0,MAX(0,MIN($F283,EOMONTH(DATE(cfg_FY,6,1),0))-MAX($E283,DATE(cfg_FY,6,1))+1))</f>
        <v>0</v>
      </c>
      <c r="AZ283" s="110" t="n">
        <f aca="false">IF(OR(OR($B283="",$E283="",$F283=""),$K283&lt;&gt;"نعم",$M283="نعم"),0,MAX(0,MIN($F283,EOMONTH(DATE(cfg_FY,7,1),0))-MAX($E283,DATE(cfg_FY,7,1))+1))</f>
        <v>0</v>
      </c>
      <c r="BA283" s="110" t="n">
        <f aca="false">IF(OR(OR($B283="",$E283="",$F283=""),$K283&lt;&gt;"نعم",$M283="نعم"),0,MAX(0,MIN($F283,EOMONTH(DATE(cfg_FY,8,1),0))-MAX($E283,DATE(cfg_FY,8,1))+1))</f>
        <v>0</v>
      </c>
      <c r="BB283" s="110" t="n">
        <f aca="false">IF(OR(OR($B283="",$E283="",$F283=""),$K283&lt;&gt;"نعم",$M283="نعم"),0,MAX(0,MIN($F283,EOMONTH(DATE(cfg_FY,9,1),0))-MAX($E283,DATE(cfg_FY,9,1))+1))</f>
        <v>0</v>
      </c>
      <c r="BC283" s="110" t="n">
        <f aca="false">IF(OR(OR($B283="",$E283="",$F283=""),$K283&lt;&gt;"نعم",$M283="نعم"),0,MAX(0,MIN($F283,EOMONTH(DATE(cfg_FY,10,1),0))-MAX($E283,DATE(cfg_FY,10,1))+1))</f>
        <v>0</v>
      </c>
      <c r="BD283" s="110" t="n">
        <f aca="false">IF(OR(OR($B283="",$E283="",$F283=""),$K283&lt;&gt;"نعم",$M283="نعم"),0,MAX(0,MIN($F283,EOMONTH(DATE(cfg_FY,11,1),0))-MAX($E283,DATE(cfg_FY,11,1))+1))</f>
        <v>0</v>
      </c>
      <c r="BE283" s="110" t="n">
        <f aca="false">IF(OR(OR($B283="",$E283="",$F283=""),$K283&lt;&gt;"نعم",$M283="نعم"),0,MAX(0,MIN($F283,EOMONTH(DATE(cfg_FY,12,1),0))-MAX($E283,DATE(cfg_FY,12,1))+1))</f>
        <v>0</v>
      </c>
    </row>
    <row r="284" customFormat="false" ht="15" hidden="false" customHeight="false" outlineLevel="0" collapsed="false">
      <c r="A284" s="93" t="str">
        <f aca="false">IF(B284="","",ROW()-5)</f>
        <v/>
      </c>
      <c r="B284" s="79"/>
      <c r="C284" s="80" t="str">
        <f aca="false">IF(B284="","",IFERROR(INDEX(الموظفون!$C$6:$C$105,MATCH(B284,الموظفون!$B$6:$B$105,0)),"✖ رقم غير موجود"))</f>
        <v/>
      </c>
      <c r="D284" s="79"/>
      <c r="E284" s="94"/>
      <c r="F284" s="94"/>
      <c r="G284" s="57" t="str">
        <f aca="false">IF(OR($B284="",$E284="",$F284=""),"",MAX(0,F284-E284+1))</f>
        <v/>
      </c>
      <c r="H284" s="58" t="str">
        <f aca="false">IF(D284="","",IFERROR(VLOOKUP(D284,cfg_LT,2,FALSE()),1))</f>
        <v/>
      </c>
      <c r="I284" s="82"/>
      <c r="J284" s="58" t="str">
        <f aca="false">IF(D284="","",IF(I284&lt;&gt;"",I284,H284))</f>
        <v/>
      </c>
      <c r="K284" s="80" t="str">
        <f aca="false">IF(D284="","",IFERROR(VLOOKUP($D284,cfg_LT,3,FALSE()),""))</f>
        <v/>
      </c>
      <c r="L284" s="80" t="str">
        <f aca="false">IF(D284="","",IFERROR(VLOOKUP($D284,cfg_LT,4,FALSE()),""))</f>
        <v/>
      </c>
      <c r="M284" s="80" t="str">
        <f aca="false">IF(D284="","",IFERROR(VLOOKUP($D284,cfg_LT,5,FALSE()),""))</f>
        <v/>
      </c>
      <c r="N284" s="97" t="n">
        <f aca="false">IF(OR(OR($B284="",$E284="",$F284=""),M284&lt;&gt;"نعم"),0,G284*J284*IFERROR(INDEX(الموظفون!$R$6:$R$105,MATCH(B284,الموظفون!$B$6:$B$105,0)),0)/cfg_DAYS_M)</f>
        <v>0</v>
      </c>
      <c r="O284" s="93" t="str">
        <f aca="false">IF(OR(OR($B284="",$E284="",$F284=""),M284&lt;&gt;"نعم"),"",IF(YEAR(E284)=cfg_FY,MONTH(E284),""))</f>
        <v/>
      </c>
      <c r="P284" s="80" t="str">
        <f aca="false">IF(B284="","",IF(OR(D284="",E284="",F284=""),"⚠ أكمل النوع والتواريخ",IF(F284&lt;E284,"✖ النهاية قبل البداية",IF(COUNTIFS($B$6:$B$505,B284,$E$6:$E$505,"&lt;="&amp;F284,$F$6:$F$505,"&gt;="&amp;E284)&gt;1,"⚠ تداخل مع سجل آخر",IF(E284&gt;cfg_VAL_DATE,"⏳ قادمة",IF(F284&lt;cfg_VAL_DATE,"✔ منتهية","✈ جارية في تاريخ التقرير"))))))</f>
        <v/>
      </c>
      <c r="Q284" s="79"/>
      <c r="R284" s="57" t="n">
        <f aca="false">IF(OR(OR($B284="",$E284="",$F284=""),L284&lt;&gt;"لا"),0,MAX(0,MIN(F284,cfg_Y_START-1)-E284+1))</f>
        <v>0</v>
      </c>
      <c r="S284" s="57" t="n">
        <f aca="false">IF(OR(OR($B284="",$E284="",$F284=""),L284&lt;&gt;"لا"),0,MAX(0,MIN(F284,cfg_VAL_DATE)-E284+1))</f>
        <v>0</v>
      </c>
      <c r="T284" s="57" t="n">
        <f aca="false">IF(OR(OR($B284="",$E284="",$F284=""),K284&lt;&gt;"نعم"),0,IF(M284="نعم",IF(AND(ISNUMBER(O284),N(O284)&lt;=cfg_VAL_M),G284,0),MAX(0,MIN(F284,cfg_VAL_DATE)-MAX(E284,cfg_Y_START)+1)))</f>
        <v>0</v>
      </c>
      <c r="V284" s="57" t="n">
        <f aca="false">IF(OR($B284="",$E284="",$F284=""),0,MAX(0,MIN($F284,EOMONTH(DATE(cfg_FY,1,1),0))-MAX($E284,DATE(cfg_FY,1,1))+1)*(1-IF($M284="نعم",0,N($J284))))</f>
        <v>0</v>
      </c>
      <c r="W284" s="57" t="n">
        <f aca="false">IF(OR($B284="",$E284="",$F284=""),0,MAX(0,MIN($F284,EOMONTH(DATE(cfg_FY,2,1),0))-MAX($E284,DATE(cfg_FY,2,1))+1)*(1-IF($M284="نعم",0,N($J284))))</f>
        <v>0</v>
      </c>
      <c r="X284" s="57" t="n">
        <f aca="false">IF(OR($B284="",$E284="",$F284=""),0,MAX(0,MIN($F284,EOMONTH(DATE(cfg_FY,3,1),0))-MAX($E284,DATE(cfg_FY,3,1))+1)*(1-IF($M284="نعم",0,N($J284))))</f>
        <v>0</v>
      </c>
      <c r="Y284" s="57" t="n">
        <f aca="false">IF(OR($B284="",$E284="",$F284=""),0,MAX(0,MIN($F284,EOMONTH(DATE(cfg_FY,4,1),0))-MAX($E284,DATE(cfg_FY,4,1))+1)*(1-IF($M284="نعم",0,N($J284))))</f>
        <v>0</v>
      </c>
      <c r="Z284" s="57" t="n">
        <f aca="false">IF(OR($B284="",$E284="",$F284=""),0,MAX(0,MIN($F284,EOMONTH(DATE(cfg_FY,5,1),0))-MAX($E284,DATE(cfg_FY,5,1))+1)*(1-IF($M284="نعم",0,N($J284))))</f>
        <v>0</v>
      </c>
      <c r="AA284" s="57" t="n">
        <f aca="false">IF(OR($B284="",$E284="",$F284=""),0,MAX(0,MIN($F284,EOMONTH(DATE(cfg_FY,6,1),0))-MAX($E284,DATE(cfg_FY,6,1))+1)*(1-IF($M284="نعم",0,N($J284))))</f>
        <v>0</v>
      </c>
      <c r="AB284" s="57" t="n">
        <f aca="false">IF(OR($B284="",$E284="",$F284=""),0,MAX(0,MIN($F284,EOMONTH(DATE(cfg_FY,7,1),0))-MAX($E284,DATE(cfg_FY,7,1))+1)*(1-IF($M284="نعم",0,N($J284))))</f>
        <v>0</v>
      </c>
      <c r="AC284" s="57" t="n">
        <f aca="false">IF(OR($B284="",$E284="",$F284=""),0,MAX(0,MIN($F284,EOMONTH(DATE(cfg_FY,8,1),0))-MAX($E284,DATE(cfg_FY,8,1))+1)*(1-IF($M284="نعم",0,N($J284))))</f>
        <v>0</v>
      </c>
      <c r="AD284" s="57" t="n">
        <f aca="false">IF(OR($B284="",$E284="",$F284=""),0,MAX(0,MIN($F284,EOMONTH(DATE(cfg_FY,9,1),0))-MAX($E284,DATE(cfg_FY,9,1))+1)*(1-IF($M284="نعم",0,N($J284))))</f>
        <v>0</v>
      </c>
      <c r="AE284" s="57" t="n">
        <f aca="false">IF(OR($B284="",$E284="",$F284=""),0,MAX(0,MIN($F284,EOMONTH(DATE(cfg_FY,10,1),0))-MAX($E284,DATE(cfg_FY,10,1))+1)*(1-IF($M284="نعم",0,N($J284))))</f>
        <v>0</v>
      </c>
      <c r="AF284" s="57" t="n">
        <f aca="false">IF(OR($B284="",$E284="",$F284=""),0,MAX(0,MIN($F284,EOMONTH(DATE(cfg_FY,11,1),0))-MAX($E284,DATE(cfg_FY,11,1))+1)*(1-IF($M284="نعم",0,N($J284))))</f>
        <v>0</v>
      </c>
      <c r="AG284" s="57" t="n">
        <f aca="false">IF(OR($B284="",$E284="",$F284=""),0,MAX(0,MIN($F284,EOMONTH(DATE(cfg_FY,12,1),0))-MAX($E284,DATE(cfg_FY,12,1))+1)*(1-IF($M284="نعم",0,N($J284))))</f>
        <v>0</v>
      </c>
      <c r="AH284" s="57" t="n">
        <f aca="false">IF(OR(OR($B284="",$E284="",$F284=""),$L284&lt;&gt;"لا"),0,MAX(0,MIN($F284,EOMONTH(DATE(cfg_FY,1,1),0))-$E284+1))</f>
        <v>0</v>
      </c>
      <c r="AI284" s="57" t="n">
        <f aca="false">IF(OR(OR($B284="",$E284="",$F284=""),$L284&lt;&gt;"لا"),0,MAX(0,MIN($F284,EOMONTH(DATE(cfg_FY,2,1),0))-$E284+1))</f>
        <v>0</v>
      </c>
      <c r="AJ284" s="57" t="n">
        <f aca="false">IF(OR(OR($B284="",$E284="",$F284=""),$L284&lt;&gt;"لا"),0,MAX(0,MIN($F284,EOMONTH(DATE(cfg_FY,3,1),0))-$E284+1))</f>
        <v>0</v>
      </c>
      <c r="AK284" s="57" t="n">
        <f aca="false">IF(OR(OR($B284="",$E284="",$F284=""),$L284&lt;&gt;"لا"),0,MAX(0,MIN($F284,EOMONTH(DATE(cfg_FY,4,1),0))-$E284+1))</f>
        <v>0</v>
      </c>
      <c r="AL284" s="57" t="n">
        <f aca="false">IF(OR(OR($B284="",$E284="",$F284=""),$L284&lt;&gt;"لا"),0,MAX(0,MIN($F284,EOMONTH(DATE(cfg_FY,5,1),0))-$E284+1))</f>
        <v>0</v>
      </c>
      <c r="AM284" s="57" t="n">
        <f aca="false">IF(OR(OR($B284="",$E284="",$F284=""),$L284&lt;&gt;"لا"),0,MAX(0,MIN($F284,EOMONTH(DATE(cfg_FY,6,1),0))-$E284+1))</f>
        <v>0</v>
      </c>
      <c r="AN284" s="57" t="n">
        <f aca="false">IF(OR(OR($B284="",$E284="",$F284=""),$L284&lt;&gt;"لا"),0,MAX(0,MIN($F284,EOMONTH(DATE(cfg_FY,7,1),0))-$E284+1))</f>
        <v>0</v>
      </c>
      <c r="AO284" s="57" t="n">
        <f aca="false">IF(OR(OR($B284="",$E284="",$F284=""),$L284&lt;&gt;"لا"),0,MAX(0,MIN($F284,EOMONTH(DATE(cfg_FY,8,1),0))-$E284+1))</f>
        <v>0</v>
      </c>
      <c r="AP284" s="57" t="n">
        <f aca="false">IF(OR(OR($B284="",$E284="",$F284=""),$L284&lt;&gt;"لا"),0,MAX(0,MIN($F284,EOMONTH(DATE(cfg_FY,9,1),0))-$E284+1))</f>
        <v>0</v>
      </c>
      <c r="AQ284" s="57" t="n">
        <f aca="false">IF(OR(OR($B284="",$E284="",$F284=""),$L284&lt;&gt;"لا"),0,MAX(0,MIN($F284,EOMONTH(DATE(cfg_FY,10,1),0))-$E284+1))</f>
        <v>0</v>
      </c>
      <c r="AR284" s="57" t="n">
        <f aca="false">IF(OR(OR($B284="",$E284="",$F284=""),$L284&lt;&gt;"لا"),0,MAX(0,MIN($F284,EOMONTH(DATE(cfg_FY,11,1),0))-$E284+1))</f>
        <v>0</v>
      </c>
      <c r="AS284" s="57" t="n">
        <f aca="false">IF(OR(OR($B284="",$E284="",$F284=""),$L284&lt;&gt;"لا"),0,MAX(0,MIN($F284,EOMONTH(DATE(cfg_FY,12,1),0))-$E284+1))</f>
        <v>0</v>
      </c>
      <c r="AT284" s="57" t="n">
        <f aca="false">IF(OR(OR($B284="",$E284="",$F284=""),$K284&lt;&gt;"نعم",$M284="نعم"),0,MAX(0,MIN($F284,EOMONTH(DATE(cfg_FY,1,1),0))-MAX($E284,DATE(cfg_FY,1,1))+1))</f>
        <v>0</v>
      </c>
      <c r="AU284" s="57" t="n">
        <f aca="false">IF(OR(OR($B284="",$E284="",$F284=""),$K284&lt;&gt;"نعم",$M284="نعم"),0,MAX(0,MIN($F284,EOMONTH(DATE(cfg_FY,2,1),0))-MAX($E284,DATE(cfg_FY,2,1))+1))</f>
        <v>0</v>
      </c>
      <c r="AV284" s="57" t="n">
        <f aca="false">IF(OR(OR($B284="",$E284="",$F284=""),$K284&lt;&gt;"نعم",$M284="نعم"),0,MAX(0,MIN($F284,EOMONTH(DATE(cfg_FY,3,1),0))-MAX($E284,DATE(cfg_FY,3,1))+1))</f>
        <v>0</v>
      </c>
      <c r="AW284" s="57" t="n">
        <f aca="false">IF(OR(OR($B284="",$E284="",$F284=""),$K284&lt;&gt;"نعم",$M284="نعم"),0,MAX(0,MIN($F284,EOMONTH(DATE(cfg_FY,4,1),0))-MAX($E284,DATE(cfg_FY,4,1))+1))</f>
        <v>0</v>
      </c>
      <c r="AX284" s="57" t="n">
        <f aca="false">IF(OR(OR($B284="",$E284="",$F284=""),$K284&lt;&gt;"نعم",$M284="نعم"),0,MAX(0,MIN($F284,EOMONTH(DATE(cfg_FY,5,1),0))-MAX($E284,DATE(cfg_FY,5,1))+1))</f>
        <v>0</v>
      </c>
      <c r="AY284" s="57" t="n">
        <f aca="false">IF(OR(OR($B284="",$E284="",$F284=""),$K284&lt;&gt;"نعم",$M284="نعم"),0,MAX(0,MIN($F284,EOMONTH(DATE(cfg_FY,6,1),0))-MAX($E284,DATE(cfg_FY,6,1))+1))</f>
        <v>0</v>
      </c>
      <c r="AZ284" s="57" t="n">
        <f aca="false">IF(OR(OR($B284="",$E284="",$F284=""),$K284&lt;&gt;"نعم",$M284="نعم"),0,MAX(0,MIN($F284,EOMONTH(DATE(cfg_FY,7,1),0))-MAX($E284,DATE(cfg_FY,7,1))+1))</f>
        <v>0</v>
      </c>
      <c r="BA284" s="57" t="n">
        <f aca="false">IF(OR(OR($B284="",$E284="",$F284=""),$K284&lt;&gt;"نعم",$M284="نعم"),0,MAX(0,MIN($F284,EOMONTH(DATE(cfg_FY,8,1),0))-MAX($E284,DATE(cfg_FY,8,1))+1))</f>
        <v>0</v>
      </c>
      <c r="BB284" s="57" t="n">
        <f aca="false">IF(OR(OR($B284="",$E284="",$F284=""),$K284&lt;&gt;"نعم",$M284="نعم"),0,MAX(0,MIN($F284,EOMONTH(DATE(cfg_FY,9,1),0))-MAX($E284,DATE(cfg_FY,9,1))+1))</f>
        <v>0</v>
      </c>
      <c r="BC284" s="57" t="n">
        <f aca="false">IF(OR(OR($B284="",$E284="",$F284=""),$K284&lt;&gt;"نعم",$M284="نعم"),0,MAX(0,MIN($F284,EOMONTH(DATE(cfg_FY,10,1),0))-MAX($E284,DATE(cfg_FY,10,1))+1))</f>
        <v>0</v>
      </c>
      <c r="BD284" s="57" t="n">
        <f aca="false">IF(OR(OR($B284="",$E284="",$F284=""),$K284&lt;&gt;"نعم",$M284="نعم"),0,MAX(0,MIN($F284,EOMONTH(DATE(cfg_FY,11,1),0))-MAX($E284,DATE(cfg_FY,11,1))+1))</f>
        <v>0</v>
      </c>
      <c r="BE284" s="57" t="n">
        <f aca="false">IF(OR(OR($B284="",$E284="",$F284=""),$K284&lt;&gt;"نعم",$M284="نعم"),0,MAX(0,MIN($F284,EOMONTH(DATE(cfg_FY,12,1),0))-MAX($E284,DATE(cfg_FY,12,1))+1))</f>
        <v>0</v>
      </c>
    </row>
    <row r="285" customFormat="false" ht="15" hidden="false" customHeight="false" outlineLevel="0" collapsed="false">
      <c r="A285" s="100" t="str">
        <f aca="false">IF(B285="","",ROW()-5)</f>
        <v/>
      </c>
      <c r="B285" s="79"/>
      <c r="C285" s="102" t="str">
        <f aca="false">IF(B285="","",IFERROR(INDEX(الموظفون!$C$6:$C$105,MATCH(B285,الموظفون!$B$6:$B$105,0)),"✖ رقم غير موجود"))</f>
        <v/>
      </c>
      <c r="D285" s="79"/>
      <c r="E285" s="94"/>
      <c r="F285" s="94"/>
      <c r="G285" s="110" t="str">
        <f aca="false">IF(OR($B285="",$E285="",$F285=""),"",MAX(0,F285-E285+1))</f>
        <v/>
      </c>
      <c r="H285" s="111" t="str">
        <f aca="false">IF(D285="","",IFERROR(VLOOKUP(D285,cfg_LT,2,FALSE()),1))</f>
        <v/>
      </c>
      <c r="I285" s="82"/>
      <c r="J285" s="111" t="str">
        <f aca="false">IF(D285="","",IF(I285&lt;&gt;"",I285,H285))</f>
        <v/>
      </c>
      <c r="K285" s="102" t="str">
        <f aca="false">IF(D285="","",IFERROR(VLOOKUP($D285,cfg_LT,3,FALSE()),""))</f>
        <v/>
      </c>
      <c r="L285" s="102" t="str">
        <f aca="false">IF(D285="","",IFERROR(VLOOKUP($D285,cfg_LT,4,FALSE()),""))</f>
        <v/>
      </c>
      <c r="M285" s="102" t="str">
        <f aca="false">IF(D285="","",IFERROR(VLOOKUP($D285,cfg_LT,5,FALSE()),""))</f>
        <v/>
      </c>
      <c r="N285" s="101" t="n">
        <f aca="false">IF(OR(OR($B285="",$E285="",$F285=""),M285&lt;&gt;"نعم"),0,G285*J285*IFERROR(INDEX(الموظفون!$R$6:$R$105,MATCH(B285,الموظفون!$B$6:$B$105,0)),0)/cfg_DAYS_M)</f>
        <v>0</v>
      </c>
      <c r="O285" s="100" t="str">
        <f aca="false">IF(OR(OR($B285="",$E285="",$F285=""),M285&lt;&gt;"نعم"),"",IF(YEAR(E285)=cfg_FY,MONTH(E285),""))</f>
        <v/>
      </c>
      <c r="P285" s="102" t="str">
        <f aca="false">IF(B285="","",IF(OR(D285="",E285="",F285=""),"⚠ أكمل النوع والتواريخ",IF(F285&lt;E285,"✖ النهاية قبل البداية",IF(COUNTIFS($B$6:$B$505,B285,$E$6:$E$505,"&lt;="&amp;F285,$F$6:$F$505,"&gt;="&amp;E285)&gt;1,"⚠ تداخل مع سجل آخر",IF(E285&gt;cfg_VAL_DATE,"⏳ قادمة",IF(F285&lt;cfg_VAL_DATE,"✔ منتهية","✈ جارية في تاريخ التقرير"))))))</f>
        <v/>
      </c>
      <c r="Q285" s="79"/>
      <c r="R285" s="110" t="n">
        <f aca="false">IF(OR(OR($B285="",$E285="",$F285=""),L285&lt;&gt;"لا"),0,MAX(0,MIN(F285,cfg_Y_START-1)-E285+1))</f>
        <v>0</v>
      </c>
      <c r="S285" s="110" t="n">
        <f aca="false">IF(OR(OR($B285="",$E285="",$F285=""),L285&lt;&gt;"لا"),0,MAX(0,MIN(F285,cfg_VAL_DATE)-E285+1))</f>
        <v>0</v>
      </c>
      <c r="T285" s="110" t="n">
        <f aca="false">IF(OR(OR($B285="",$E285="",$F285=""),K285&lt;&gt;"نعم"),0,IF(M285="نعم",IF(AND(ISNUMBER(O285),N(O285)&lt;=cfg_VAL_M),G285,0),MAX(0,MIN(F285,cfg_VAL_DATE)-MAX(E285,cfg_Y_START)+1)))</f>
        <v>0</v>
      </c>
      <c r="V285" s="110" t="n">
        <f aca="false">IF(OR($B285="",$E285="",$F285=""),0,MAX(0,MIN($F285,EOMONTH(DATE(cfg_FY,1,1),0))-MAX($E285,DATE(cfg_FY,1,1))+1)*(1-IF($M285="نعم",0,N($J285))))</f>
        <v>0</v>
      </c>
      <c r="W285" s="110" t="n">
        <f aca="false">IF(OR($B285="",$E285="",$F285=""),0,MAX(0,MIN($F285,EOMONTH(DATE(cfg_FY,2,1),0))-MAX($E285,DATE(cfg_FY,2,1))+1)*(1-IF($M285="نعم",0,N($J285))))</f>
        <v>0</v>
      </c>
      <c r="X285" s="110" t="n">
        <f aca="false">IF(OR($B285="",$E285="",$F285=""),0,MAX(0,MIN($F285,EOMONTH(DATE(cfg_FY,3,1),0))-MAX($E285,DATE(cfg_FY,3,1))+1)*(1-IF($M285="نعم",0,N($J285))))</f>
        <v>0</v>
      </c>
      <c r="Y285" s="110" t="n">
        <f aca="false">IF(OR($B285="",$E285="",$F285=""),0,MAX(0,MIN($F285,EOMONTH(DATE(cfg_FY,4,1),0))-MAX($E285,DATE(cfg_FY,4,1))+1)*(1-IF($M285="نعم",0,N($J285))))</f>
        <v>0</v>
      </c>
      <c r="Z285" s="110" t="n">
        <f aca="false">IF(OR($B285="",$E285="",$F285=""),0,MAX(0,MIN($F285,EOMONTH(DATE(cfg_FY,5,1),0))-MAX($E285,DATE(cfg_FY,5,1))+1)*(1-IF($M285="نعم",0,N($J285))))</f>
        <v>0</v>
      </c>
      <c r="AA285" s="110" t="n">
        <f aca="false">IF(OR($B285="",$E285="",$F285=""),0,MAX(0,MIN($F285,EOMONTH(DATE(cfg_FY,6,1),0))-MAX($E285,DATE(cfg_FY,6,1))+1)*(1-IF($M285="نعم",0,N($J285))))</f>
        <v>0</v>
      </c>
      <c r="AB285" s="110" t="n">
        <f aca="false">IF(OR($B285="",$E285="",$F285=""),0,MAX(0,MIN($F285,EOMONTH(DATE(cfg_FY,7,1),0))-MAX($E285,DATE(cfg_FY,7,1))+1)*(1-IF($M285="نعم",0,N($J285))))</f>
        <v>0</v>
      </c>
      <c r="AC285" s="110" t="n">
        <f aca="false">IF(OR($B285="",$E285="",$F285=""),0,MAX(0,MIN($F285,EOMONTH(DATE(cfg_FY,8,1),0))-MAX($E285,DATE(cfg_FY,8,1))+1)*(1-IF($M285="نعم",0,N($J285))))</f>
        <v>0</v>
      </c>
      <c r="AD285" s="110" t="n">
        <f aca="false">IF(OR($B285="",$E285="",$F285=""),0,MAX(0,MIN($F285,EOMONTH(DATE(cfg_FY,9,1),0))-MAX($E285,DATE(cfg_FY,9,1))+1)*(1-IF($M285="نعم",0,N($J285))))</f>
        <v>0</v>
      </c>
      <c r="AE285" s="110" t="n">
        <f aca="false">IF(OR($B285="",$E285="",$F285=""),0,MAX(0,MIN($F285,EOMONTH(DATE(cfg_FY,10,1),0))-MAX($E285,DATE(cfg_FY,10,1))+1)*(1-IF($M285="نعم",0,N($J285))))</f>
        <v>0</v>
      </c>
      <c r="AF285" s="110" t="n">
        <f aca="false">IF(OR($B285="",$E285="",$F285=""),0,MAX(0,MIN($F285,EOMONTH(DATE(cfg_FY,11,1),0))-MAX($E285,DATE(cfg_FY,11,1))+1)*(1-IF($M285="نعم",0,N($J285))))</f>
        <v>0</v>
      </c>
      <c r="AG285" s="110" t="n">
        <f aca="false">IF(OR($B285="",$E285="",$F285=""),0,MAX(0,MIN($F285,EOMONTH(DATE(cfg_FY,12,1),0))-MAX($E285,DATE(cfg_FY,12,1))+1)*(1-IF($M285="نعم",0,N($J285))))</f>
        <v>0</v>
      </c>
      <c r="AH285" s="110" t="n">
        <f aca="false">IF(OR(OR($B285="",$E285="",$F285=""),$L285&lt;&gt;"لا"),0,MAX(0,MIN($F285,EOMONTH(DATE(cfg_FY,1,1),0))-$E285+1))</f>
        <v>0</v>
      </c>
      <c r="AI285" s="110" t="n">
        <f aca="false">IF(OR(OR($B285="",$E285="",$F285=""),$L285&lt;&gt;"لا"),0,MAX(0,MIN($F285,EOMONTH(DATE(cfg_FY,2,1),0))-$E285+1))</f>
        <v>0</v>
      </c>
      <c r="AJ285" s="110" t="n">
        <f aca="false">IF(OR(OR($B285="",$E285="",$F285=""),$L285&lt;&gt;"لا"),0,MAX(0,MIN($F285,EOMONTH(DATE(cfg_FY,3,1),0))-$E285+1))</f>
        <v>0</v>
      </c>
      <c r="AK285" s="110" t="n">
        <f aca="false">IF(OR(OR($B285="",$E285="",$F285=""),$L285&lt;&gt;"لا"),0,MAX(0,MIN($F285,EOMONTH(DATE(cfg_FY,4,1),0))-$E285+1))</f>
        <v>0</v>
      </c>
      <c r="AL285" s="110" t="n">
        <f aca="false">IF(OR(OR($B285="",$E285="",$F285=""),$L285&lt;&gt;"لا"),0,MAX(0,MIN($F285,EOMONTH(DATE(cfg_FY,5,1),0))-$E285+1))</f>
        <v>0</v>
      </c>
      <c r="AM285" s="110" t="n">
        <f aca="false">IF(OR(OR($B285="",$E285="",$F285=""),$L285&lt;&gt;"لا"),0,MAX(0,MIN($F285,EOMONTH(DATE(cfg_FY,6,1),0))-$E285+1))</f>
        <v>0</v>
      </c>
      <c r="AN285" s="110" t="n">
        <f aca="false">IF(OR(OR($B285="",$E285="",$F285=""),$L285&lt;&gt;"لا"),0,MAX(0,MIN($F285,EOMONTH(DATE(cfg_FY,7,1),0))-$E285+1))</f>
        <v>0</v>
      </c>
      <c r="AO285" s="110" t="n">
        <f aca="false">IF(OR(OR($B285="",$E285="",$F285=""),$L285&lt;&gt;"لا"),0,MAX(0,MIN($F285,EOMONTH(DATE(cfg_FY,8,1),0))-$E285+1))</f>
        <v>0</v>
      </c>
      <c r="AP285" s="110" t="n">
        <f aca="false">IF(OR(OR($B285="",$E285="",$F285=""),$L285&lt;&gt;"لا"),0,MAX(0,MIN($F285,EOMONTH(DATE(cfg_FY,9,1),0))-$E285+1))</f>
        <v>0</v>
      </c>
      <c r="AQ285" s="110" t="n">
        <f aca="false">IF(OR(OR($B285="",$E285="",$F285=""),$L285&lt;&gt;"لا"),0,MAX(0,MIN($F285,EOMONTH(DATE(cfg_FY,10,1),0))-$E285+1))</f>
        <v>0</v>
      </c>
      <c r="AR285" s="110" t="n">
        <f aca="false">IF(OR(OR($B285="",$E285="",$F285=""),$L285&lt;&gt;"لا"),0,MAX(0,MIN($F285,EOMONTH(DATE(cfg_FY,11,1),0))-$E285+1))</f>
        <v>0</v>
      </c>
      <c r="AS285" s="110" t="n">
        <f aca="false">IF(OR(OR($B285="",$E285="",$F285=""),$L285&lt;&gt;"لا"),0,MAX(0,MIN($F285,EOMONTH(DATE(cfg_FY,12,1),0))-$E285+1))</f>
        <v>0</v>
      </c>
      <c r="AT285" s="110" t="n">
        <f aca="false">IF(OR(OR($B285="",$E285="",$F285=""),$K285&lt;&gt;"نعم",$M285="نعم"),0,MAX(0,MIN($F285,EOMONTH(DATE(cfg_FY,1,1),0))-MAX($E285,DATE(cfg_FY,1,1))+1))</f>
        <v>0</v>
      </c>
      <c r="AU285" s="110" t="n">
        <f aca="false">IF(OR(OR($B285="",$E285="",$F285=""),$K285&lt;&gt;"نعم",$M285="نعم"),0,MAX(0,MIN($F285,EOMONTH(DATE(cfg_FY,2,1),0))-MAX($E285,DATE(cfg_FY,2,1))+1))</f>
        <v>0</v>
      </c>
      <c r="AV285" s="110" t="n">
        <f aca="false">IF(OR(OR($B285="",$E285="",$F285=""),$K285&lt;&gt;"نعم",$M285="نعم"),0,MAX(0,MIN($F285,EOMONTH(DATE(cfg_FY,3,1),0))-MAX($E285,DATE(cfg_FY,3,1))+1))</f>
        <v>0</v>
      </c>
      <c r="AW285" s="110" t="n">
        <f aca="false">IF(OR(OR($B285="",$E285="",$F285=""),$K285&lt;&gt;"نعم",$M285="نعم"),0,MAX(0,MIN($F285,EOMONTH(DATE(cfg_FY,4,1),0))-MAX($E285,DATE(cfg_FY,4,1))+1))</f>
        <v>0</v>
      </c>
      <c r="AX285" s="110" t="n">
        <f aca="false">IF(OR(OR($B285="",$E285="",$F285=""),$K285&lt;&gt;"نعم",$M285="نعم"),0,MAX(0,MIN($F285,EOMONTH(DATE(cfg_FY,5,1),0))-MAX($E285,DATE(cfg_FY,5,1))+1))</f>
        <v>0</v>
      </c>
      <c r="AY285" s="110" t="n">
        <f aca="false">IF(OR(OR($B285="",$E285="",$F285=""),$K285&lt;&gt;"نعم",$M285="نعم"),0,MAX(0,MIN($F285,EOMONTH(DATE(cfg_FY,6,1),0))-MAX($E285,DATE(cfg_FY,6,1))+1))</f>
        <v>0</v>
      </c>
      <c r="AZ285" s="110" t="n">
        <f aca="false">IF(OR(OR($B285="",$E285="",$F285=""),$K285&lt;&gt;"نعم",$M285="نعم"),0,MAX(0,MIN($F285,EOMONTH(DATE(cfg_FY,7,1),0))-MAX($E285,DATE(cfg_FY,7,1))+1))</f>
        <v>0</v>
      </c>
      <c r="BA285" s="110" t="n">
        <f aca="false">IF(OR(OR($B285="",$E285="",$F285=""),$K285&lt;&gt;"نعم",$M285="نعم"),0,MAX(0,MIN($F285,EOMONTH(DATE(cfg_FY,8,1),0))-MAX($E285,DATE(cfg_FY,8,1))+1))</f>
        <v>0</v>
      </c>
      <c r="BB285" s="110" t="n">
        <f aca="false">IF(OR(OR($B285="",$E285="",$F285=""),$K285&lt;&gt;"نعم",$M285="نعم"),0,MAX(0,MIN($F285,EOMONTH(DATE(cfg_FY,9,1),0))-MAX($E285,DATE(cfg_FY,9,1))+1))</f>
        <v>0</v>
      </c>
      <c r="BC285" s="110" t="n">
        <f aca="false">IF(OR(OR($B285="",$E285="",$F285=""),$K285&lt;&gt;"نعم",$M285="نعم"),0,MAX(0,MIN($F285,EOMONTH(DATE(cfg_FY,10,1),0))-MAX($E285,DATE(cfg_FY,10,1))+1))</f>
        <v>0</v>
      </c>
      <c r="BD285" s="110" t="n">
        <f aca="false">IF(OR(OR($B285="",$E285="",$F285=""),$K285&lt;&gt;"نعم",$M285="نعم"),0,MAX(0,MIN($F285,EOMONTH(DATE(cfg_FY,11,1),0))-MAX($E285,DATE(cfg_FY,11,1))+1))</f>
        <v>0</v>
      </c>
      <c r="BE285" s="110" t="n">
        <f aca="false">IF(OR(OR($B285="",$E285="",$F285=""),$K285&lt;&gt;"نعم",$M285="نعم"),0,MAX(0,MIN($F285,EOMONTH(DATE(cfg_FY,12,1),0))-MAX($E285,DATE(cfg_FY,12,1))+1))</f>
        <v>0</v>
      </c>
    </row>
    <row r="286" customFormat="false" ht="15" hidden="false" customHeight="false" outlineLevel="0" collapsed="false">
      <c r="A286" s="93" t="str">
        <f aca="false">IF(B286="","",ROW()-5)</f>
        <v/>
      </c>
      <c r="B286" s="79"/>
      <c r="C286" s="80" t="str">
        <f aca="false">IF(B286="","",IFERROR(INDEX(الموظفون!$C$6:$C$105,MATCH(B286,الموظفون!$B$6:$B$105,0)),"✖ رقم غير موجود"))</f>
        <v/>
      </c>
      <c r="D286" s="79"/>
      <c r="E286" s="94"/>
      <c r="F286" s="94"/>
      <c r="G286" s="57" t="str">
        <f aca="false">IF(OR($B286="",$E286="",$F286=""),"",MAX(0,F286-E286+1))</f>
        <v/>
      </c>
      <c r="H286" s="58" t="str">
        <f aca="false">IF(D286="","",IFERROR(VLOOKUP(D286,cfg_LT,2,FALSE()),1))</f>
        <v/>
      </c>
      <c r="I286" s="82"/>
      <c r="J286" s="58" t="str">
        <f aca="false">IF(D286="","",IF(I286&lt;&gt;"",I286,H286))</f>
        <v/>
      </c>
      <c r="K286" s="80" t="str">
        <f aca="false">IF(D286="","",IFERROR(VLOOKUP($D286,cfg_LT,3,FALSE()),""))</f>
        <v/>
      </c>
      <c r="L286" s="80" t="str">
        <f aca="false">IF(D286="","",IFERROR(VLOOKUP($D286,cfg_LT,4,FALSE()),""))</f>
        <v/>
      </c>
      <c r="M286" s="80" t="str">
        <f aca="false">IF(D286="","",IFERROR(VLOOKUP($D286,cfg_LT,5,FALSE()),""))</f>
        <v/>
      </c>
      <c r="N286" s="97" t="n">
        <f aca="false">IF(OR(OR($B286="",$E286="",$F286=""),M286&lt;&gt;"نعم"),0,G286*J286*IFERROR(INDEX(الموظفون!$R$6:$R$105,MATCH(B286,الموظفون!$B$6:$B$105,0)),0)/cfg_DAYS_M)</f>
        <v>0</v>
      </c>
      <c r="O286" s="93" t="str">
        <f aca="false">IF(OR(OR($B286="",$E286="",$F286=""),M286&lt;&gt;"نعم"),"",IF(YEAR(E286)=cfg_FY,MONTH(E286),""))</f>
        <v/>
      </c>
      <c r="P286" s="80" t="str">
        <f aca="false">IF(B286="","",IF(OR(D286="",E286="",F286=""),"⚠ أكمل النوع والتواريخ",IF(F286&lt;E286,"✖ النهاية قبل البداية",IF(COUNTIFS($B$6:$B$505,B286,$E$6:$E$505,"&lt;="&amp;F286,$F$6:$F$505,"&gt;="&amp;E286)&gt;1,"⚠ تداخل مع سجل آخر",IF(E286&gt;cfg_VAL_DATE,"⏳ قادمة",IF(F286&lt;cfg_VAL_DATE,"✔ منتهية","✈ جارية في تاريخ التقرير"))))))</f>
        <v/>
      </c>
      <c r="Q286" s="79"/>
      <c r="R286" s="57" t="n">
        <f aca="false">IF(OR(OR($B286="",$E286="",$F286=""),L286&lt;&gt;"لا"),0,MAX(0,MIN(F286,cfg_Y_START-1)-E286+1))</f>
        <v>0</v>
      </c>
      <c r="S286" s="57" t="n">
        <f aca="false">IF(OR(OR($B286="",$E286="",$F286=""),L286&lt;&gt;"لا"),0,MAX(0,MIN(F286,cfg_VAL_DATE)-E286+1))</f>
        <v>0</v>
      </c>
      <c r="T286" s="57" t="n">
        <f aca="false">IF(OR(OR($B286="",$E286="",$F286=""),K286&lt;&gt;"نعم"),0,IF(M286="نعم",IF(AND(ISNUMBER(O286),N(O286)&lt;=cfg_VAL_M),G286,0),MAX(0,MIN(F286,cfg_VAL_DATE)-MAX(E286,cfg_Y_START)+1)))</f>
        <v>0</v>
      </c>
      <c r="V286" s="57" t="n">
        <f aca="false">IF(OR($B286="",$E286="",$F286=""),0,MAX(0,MIN($F286,EOMONTH(DATE(cfg_FY,1,1),0))-MAX($E286,DATE(cfg_FY,1,1))+1)*(1-IF($M286="نعم",0,N($J286))))</f>
        <v>0</v>
      </c>
      <c r="W286" s="57" t="n">
        <f aca="false">IF(OR($B286="",$E286="",$F286=""),0,MAX(0,MIN($F286,EOMONTH(DATE(cfg_FY,2,1),0))-MAX($E286,DATE(cfg_FY,2,1))+1)*(1-IF($M286="نعم",0,N($J286))))</f>
        <v>0</v>
      </c>
      <c r="X286" s="57" t="n">
        <f aca="false">IF(OR($B286="",$E286="",$F286=""),0,MAX(0,MIN($F286,EOMONTH(DATE(cfg_FY,3,1),0))-MAX($E286,DATE(cfg_FY,3,1))+1)*(1-IF($M286="نعم",0,N($J286))))</f>
        <v>0</v>
      </c>
      <c r="Y286" s="57" t="n">
        <f aca="false">IF(OR($B286="",$E286="",$F286=""),0,MAX(0,MIN($F286,EOMONTH(DATE(cfg_FY,4,1),0))-MAX($E286,DATE(cfg_FY,4,1))+1)*(1-IF($M286="نعم",0,N($J286))))</f>
        <v>0</v>
      </c>
      <c r="Z286" s="57" t="n">
        <f aca="false">IF(OR($B286="",$E286="",$F286=""),0,MAX(0,MIN($F286,EOMONTH(DATE(cfg_FY,5,1),0))-MAX($E286,DATE(cfg_FY,5,1))+1)*(1-IF($M286="نعم",0,N($J286))))</f>
        <v>0</v>
      </c>
      <c r="AA286" s="57" t="n">
        <f aca="false">IF(OR($B286="",$E286="",$F286=""),0,MAX(0,MIN($F286,EOMONTH(DATE(cfg_FY,6,1),0))-MAX($E286,DATE(cfg_FY,6,1))+1)*(1-IF($M286="نعم",0,N($J286))))</f>
        <v>0</v>
      </c>
      <c r="AB286" s="57" t="n">
        <f aca="false">IF(OR($B286="",$E286="",$F286=""),0,MAX(0,MIN($F286,EOMONTH(DATE(cfg_FY,7,1),0))-MAX($E286,DATE(cfg_FY,7,1))+1)*(1-IF($M286="نعم",0,N($J286))))</f>
        <v>0</v>
      </c>
      <c r="AC286" s="57" t="n">
        <f aca="false">IF(OR($B286="",$E286="",$F286=""),0,MAX(0,MIN($F286,EOMONTH(DATE(cfg_FY,8,1),0))-MAX($E286,DATE(cfg_FY,8,1))+1)*(1-IF($M286="نعم",0,N($J286))))</f>
        <v>0</v>
      </c>
      <c r="AD286" s="57" t="n">
        <f aca="false">IF(OR($B286="",$E286="",$F286=""),0,MAX(0,MIN($F286,EOMONTH(DATE(cfg_FY,9,1),0))-MAX($E286,DATE(cfg_FY,9,1))+1)*(1-IF($M286="نعم",0,N($J286))))</f>
        <v>0</v>
      </c>
      <c r="AE286" s="57" t="n">
        <f aca="false">IF(OR($B286="",$E286="",$F286=""),0,MAX(0,MIN($F286,EOMONTH(DATE(cfg_FY,10,1),0))-MAX($E286,DATE(cfg_FY,10,1))+1)*(1-IF($M286="نعم",0,N($J286))))</f>
        <v>0</v>
      </c>
      <c r="AF286" s="57" t="n">
        <f aca="false">IF(OR($B286="",$E286="",$F286=""),0,MAX(0,MIN($F286,EOMONTH(DATE(cfg_FY,11,1),0))-MAX($E286,DATE(cfg_FY,11,1))+1)*(1-IF($M286="نعم",0,N($J286))))</f>
        <v>0</v>
      </c>
      <c r="AG286" s="57" t="n">
        <f aca="false">IF(OR($B286="",$E286="",$F286=""),0,MAX(0,MIN($F286,EOMONTH(DATE(cfg_FY,12,1),0))-MAX($E286,DATE(cfg_FY,12,1))+1)*(1-IF($M286="نعم",0,N($J286))))</f>
        <v>0</v>
      </c>
      <c r="AH286" s="57" t="n">
        <f aca="false">IF(OR(OR($B286="",$E286="",$F286=""),$L286&lt;&gt;"لا"),0,MAX(0,MIN($F286,EOMONTH(DATE(cfg_FY,1,1),0))-$E286+1))</f>
        <v>0</v>
      </c>
      <c r="AI286" s="57" t="n">
        <f aca="false">IF(OR(OR($B286="",$E286="",$F286=""),$L286&lt;&gt;"لا"),0,MAX(0,MIN($F286,EOMONTH(DATE(cfg_FY,2,1),0))-$E286+1))</f>
        <v>0</v>
      </c>
      <c r="AJ286" s="57" t="n">
        <f aca="false">IF(OR(OR($B286="",$E286="",$F286=""),$L286&lt;&gt;"لا"),0,MAX(0,MIN($F286,EOMONTH(DATE(cfg_FY,3,1),0))-$E286+1))</f>
        <v>0</v>
      </c>
      <c r="AK286" s="57" t="n">
        <f aca="false">IF(OR(OR($B286="",$E286="",$F286=""),$L286&lt;&gt;"لا"),0,MAX(0,MIN($F286,EOMONTH(DATE(cfg_FY,4,1),0))-$E286+1))</f>
        <v>0</v>
      </c>
      <c r="AL286" s="57" t="n">
        <f aca="false">IF(OR(OR($B286="",$E286="",$F286=""),$L286&lt;&gt;"لا"),0,MAX(0,MIN($F286,EOMONTH(DATE(cfg_FY,5,1),0))-$E286+1))</f>
        <v>0</v>
      </c>
      <c r="AM286" s="57" t="n">
        <f aca="false">IF(OR(OR($B286="",$E286="",$F286=""),$L286&lt;&gt;"لا"),0,MAX(0,MIN($F286,EOMONTH(DATE(cfg_FY,6,1),0))-$E286+1))</f>
        <v>0</v>
      </c>
      <c r="AN286" s="57" t="n">
        <f aca="false">IF(OR(OR($B286="",$E286="",$F286=""),$L286&lt;&gt;"لا"),0,MAX(0,MIN($F286,EOMONTH(DATE(cfg_FY,7,1),0))-$E286+1))</f>
        <v>0</v>
      </c>
      <c r="AO286" s="57" t="n">
        <f aca="false">IF(OR(OR($B286="",$E286="",$F286=""),$L286&lt;&gt;"لا"),0,MAX(0,MIN($F286,EOMONTH(DATE(cfg_FY,8,1),0))-$E286+1))</f>
        <v>0</v>
      </c>
      <c r="AP286" s="57" t="n">
        <f aca="false">IF(OR(OR($B286="",$E286="",$F286=""),$L286&lt;&gt;"لا"),0,MAX(0,MIN($F286,EOMONTH(DATE(cfg_FY,9,1),0))-$E286+1))</f>
        <v>0</v>
      </c>
      <c r="AQ286" s="57" t="n">
        <f aca="false">IF(OR(OR($B286="",$E286="",$F286=""),$L286&lt;&gt;"لا"),0,MAX(0,MIN($F286,EOMONTH(DATE(cfg_FY,10,1),0))-$E286+1))</f>
        <v>0</v>
      </c>
      <c r="AR286" s="57" t="n">
        <f aca="false">IF(OR(OR($B286="",$E286="",$F286=""),$L286&lt;&gt;"لا"),0,MAX(0,MIN($F286,EOMONTH(DATE(cfg_FY,11,1),0))-$E286+1))</f>
        <v>0</v>
      </c>
      <c r="AS286" s="57" t="n">
        <f aca="false">IF(OR(OR($B286="",$E286="",$F286=""),$L286&lt;&gt;"لا"),0,MAX(0,MIN($F286,EOMONTH(DATE(cfg_FY,12,1),0))-$E286+1))</f>
        <v>0</v>
      </c>
      <c r="AT286" s="57" t="n">
        <f aca="false">IF(OR(OR($B286="",$E286="",$F286=""),$K286&lt;&gt;"نعم",$M286="نعم"),0,MAX(0,MIN($F286,EOMONTH(DATE(cfg_FY,1,1),0))-MAX($E286,DATE(cfg_FY,1,1))+1))</f>
        <v>0</v>
      </c>
      <c r="AU286" s="57" t="n">
        <f aca="false">IF(OR(OR($B286="",$E286="",$F286=""),$K286&lt;&gt;"نعم",$M286="نعم"),0,MAX(0,MIN($F286,EOMONTH(DATE(cfg_FY,2,1),0))-MAX($E286,DATE(cfg_FY,2,1))+1))</f>
        <v>0</v>
      </c>
      <c r="AV286" s="57" t="n">
        <f aca="false">IF(OR(OR($B286="",$E286="",$F286=""),$K286&lt;&gt;"نعم",$M286="نعم"),0,MAX(0,MIN($F286,EOMONTH(DATE(cfg_FY,3,1),0))-MAX($E286,DATE(cfg_FY,3,1))+1))</f>
        <v>0</v>
      </c>
      <c r="AW286" s="57" t="n">
        <f aca="false">IF(OR(OR($B286="",$E286="",$F286=""),$K286&lt;&gt;"نعم",$M286="نعم"),0,MAX(0,MIN($F286,EOMONTH(DATE(cfg_FY,4,1),0))-MAX($E286,DATE(cfg_FY,4,1))+1))</f>
        <v>0</v>
      </c>
      <c r="AX286" s="57" t="n">
        <f aca="false">IF(OR(OR($B286="",$E286="",$F286=""),$K286&lt;&gt;"نعم",$M286="نعم"),0,MAX(0,MIN($F286,EOMONTH(DATE(cfg_FY,5,1),0))-MAX($E286,DATE(cfg_FY,5,1))+1))</f>
        <v>0</v>
      </c>
      <c r="AY286" s="57" t="n">
        <f aca="false">IF(OR(OR($B286="",$E286="",$F286=""),$K286&lt;&gt;"نعم",$M286="نعم"),0,MAX(0,MIN($F286,EOMONTH(DATE(cfg_FY,6,1),0))-MAX($E286,DATE(cfg_FY,6,1))+1))</f>
        <v>0</v>
      </c>
      <c r="AZ286" s="57" t="n">
        <f aca="false">IF(OR(OR($B286="",$E286="",$F286=""),$K286&lt;&gt;"نعم",$M286="نعم"),0,MAX(0,MIN($F286,EOMONTH(DATE(cfg_FY,7,1),0))-MAX($E286,DATE(cfg_FY,7,1))+1))</f>
        <v>0</v>
      </c>
      <c r="BA286" s="57" t="n">
        <f aca="false">IF(OR(OR($B286="",$E286="",$F286=""),$K286&lt;&gt;"نعم",$M286="نعم"),0,MAX(0,MIN($F286,EOMONTH(DATE(cfg_FY,8,1),0))-MAX($E286,DATE(cfg_FY,8,1))+1))</f>
        <v>0</v>
      </c>
      <c r="BB286" s="57" t="n">
        <f aca="false">IF(OR(OR($B286="",$E286="",$F286=""),$K286&lt;&gt;"نعم",$M286="نعم"),0,MAX(0,MIN($F286,EOMONTH(DATE(cfg_FY,9,1),0))-MAX($E286,DATE(cfg_FY,9,1))+1))</f>
        <v>0</v>
      </c>
      <c r="BC286" s="57" t="n">
        <f aca="false">IF(OR(OR($B286="",$E286="",$F286=""),$K286&lt;&gt;"نعم",$M286="نعم"),0,MAX(0,MIN($F286,EOMONTH(DATE(cfg_FY,10,1),0))-MAX($E286,DATE(cfg_FY,10,1))+1))</f>
        <v>0</v>
      </c>
      <c r="BD286" s="57" t="n">
        <f aca="false">IF(OR(OR($B286="",$E286="",$F286=""),$K286&lt;&gt;"نعم",$M286="نعم"),0,MAX(0,MIN($F286,EOMONTH(DATE(cfg_FY,11,1),0))-MAX($E286,DATE(cfg_FY,11,1))+1))</f>
        <v>0</v>
      </c>
      <c r="BE286" s="57" t="n">
        <f aca="false">IF(OR(OR($B286="",$E286="",$F286=""),$K286&lt;&gt;"نعم",$M286="نعم"),0,MAX(0,MIN($F286,EOMONTH(DATE(cfg_FY,12,1),0))-MAX($E286,DATE(cfg_FY,12,1))+1))</f>
        <v>0</v>
      </c>
    </row>
    <row r="287" customFormat="false" ht="15" hidden="false" customHeight="false" outlineLevel="0" collapsed="false">
      <c r="A287" s="100" t="str">
        <f aca="false">IF(B287="","",ROW()-5)</f>
        <v/>
      </c>
      <c r="B287" s="79"/>
      <c r="C287" s="102" t="str">
        <f aca="false">IF(B287="","",IFERROR(INDEX(الموظفون!$C$6:$C$105,MATCH(B287,الموظفون!$B$6:$B$105,0)),"✖ رقم غير موجود"))</f>
        <v/>
      </c>
      <c r="D287" s="79"/>
      <c r="E287" s="94"/>
      <c r="F287" s="94"/>
      <c r="G287" s="110" t="str">
        <f aca="false">IF(OR($B287="",$E287="",$F287=""),"",MAX(0,F287-E287+1))</f>
        <v/>
      </c>
      <c r="H287" s="111" t="str">
        <f aca="false">IF(D287="","",IFERROR(VLOOKUP(D287,cfg_LT,2,FALSE()),1))</f>
        <v/>
      </c>
      <c r="I287" s="82"/>
      <c r="J287" s="111" t="str">
        <f aca="false">IF(D287="","",IF(I287&lt;&gt;"",I287,H287))</f>
        <v/>
      </c>
      <c r="K287" s="102" t="str">
        <f aca="false">IF(D287="","",IFERROR(VLOOKUP($D287,cfg_LT,3,FALSE()),""))</f>
        <v/>
      </c>
      <c r="L287" s="102" t="str">
        <f aca="false">IF(D287="","",IFERROR(VLOOKUP($D287,cfg_LT,4,FALSE()),""))</f>
        <v/>
      </c>
      <c r="M287" s="102" t="str">
        <f aca="false">IF(D287="","",IFERROR(VLOOKUP($D287,cfg_LT,5,FALSE()),""))</f>
        <v/>
      </c>
      <c r="N287" s="101" t="n">
        <f aca="false">IF(OR(OR($B287="",$E287="",$F287=""),M287&lt;&gt;"نعم"),0,G287*J287*IFERROR(INDEX(الموظفون!$R$6:$R$105,MATCH(B287,الموظفون!$B$6:$B$105,0)),0)/cfg_DAYS_M)</f>
        <v>0</v>
      </c>
      <c r="O287" s="100" t="str">
        <f aca="false">IF(OR(OR($B287="",$E287="",$F287=""),M287&lt;&gt;"نعم"),"",IF(YEAR(E287)=cfg_FY,MONTH(E287),""))</f>
        <v/>
      </c>
      <c r="P287" s="102" t="str">
        <f aca="false">IF(B287="","",IF(OR(D287="",E287="",F287=""),"⚠ أكمل النوع والتواريخ",IF(F287&lt;E287,"✖ النهاية قبل البداية",IF(COUNTIFS($B$6:$B$505,B287,$E$6:$E$505,"&lt;="&amp;F287,$F$6:$F$505,"&gt;="&amp;E287)&gt;1,"⚠ تداخل مع سجل آخر",IF(E287&gt;cfg_VAL_DATE,"⏳ قادمة",IF(F287&lt;cfg_VAL_DATE,"✔ منتهية","✈ جارية في تاريخ التقرير"))))))</f>
        <v/>
      </c>
      <c r="Q287" s="79"/>
      <c r="R287" s="110" t="n">
        <f aca="false">IF(OR(OR($B287="",$E287="",$F287=""),L287&lt;&gt;"لا"),0,MAX(0,MIN(F287,cfg_Y_START-1)-E287+1))</f>
        <v>0</v>
      </c>
      <c r="S287" s="110" t="n">
        <f aca="false">IF(OR(OR($B287="",$E287="",$F287=""),L287&lt;&gt;"لا"),0,MAX(0,MIN(F287,cfg_VAL_DATE)-E287+1))</f>
        <v>0</v>
      </c>
      <c r="T287" s="110" t="n">
        <f aca="false">IF(OR(OR($B287="",$E287="",$F287=""),K287&lt;&gt;"نعم"),0,IF(M287="نعم",IF(AND(ISNUMBER(O287),N(O287)&lt;=cfg_VAL_M),G287,0),MAX(0,MIN(F287,cfg_VAL_DATE)-MAX(E287,cfg_Y_START)+1)))</f>
        <v>0</v>
      </c>
      <c r="V287" s="110" t="n">
        <f aca="false">IF(OR($B287="",$E287="",$F287=""),0,MAX(0,MIN($F287,EOMONTH(DATE(cfg_FY,1,1),0))-MAX($E287,DATE(cfg_FY,1,1))+1)*(1-IF($M287="نعم",0,N($J287))))</f>
        <v>0</v>
      </c>
      <c r="W287" s="110" t="n">
        <f aca="false">IF(OR($B287="",$E287="",$F287=""),0,MAX(0,MIN($F287,EOMONTH(DATE(cfg_FY,2,1),0))-MAX($E287,DATE(cfg_FY,2,1))+1)*(1-IF($M287="نعم",0,N($J287))))</f>
        <v>0</v>
      </c>
      <c r="X287" s="110" t="n">
        <f aca="false">IF(OR($B287="",$E287="",$F287=""),0,MAX(0,MIN($F287,EOMONTH(DATE(cfg_FY,3,1),0))-MAX($E287,DATE(cfg_FY,3,1))+1)*(1-IF($M287="نعم",0,N($J287))))</f>
        <v>0</v>
      </c>
      <c r="Y287" s="110" t="n">
        <f aca="false">IF(OR($B287="",$E287="",$F287=""),0,MAX(0,MIN($F287,EOMONTH(DATE(cfg_FY,4,1),0))-MAX($E287,DATE(cfg_FY,4,1))+1)*(1-IF($M287="نعم",0,N($J287))))</f>
        <v>0</v>
      </c>
      <c r="Z287" s="110" t="n">
        <f aca="false">IF(OR($B287="",$E287="",$F287=""),0,MAX(0,MIN($F287,EOMONTH(DATE(cfg_FY,5,1),0))-MAX($E287,DATE(cfg_FY,5,1))+1)*(1-IF($M287="نعم",0,N($J287))))</f>
        <v>0</v>
      </c>
      <c r="AA287" s="110" t="n">
        <f aca="false">IF(OR($B287="",$E287="",$F287=""),0,MAX(0,MIN($F287,EOMONTH(DATE(cfg_FY,6,1),0))-MAX($E287,DATE(cfg_FY,6,1))+1)*(1-IF($M287="نعم",0,N($J287))))</f>
        <v>0</v>
      </c>
      <c r="AB287" s="110" t="n">
        <f aca="false">IF(OR($B287="",$E287="",$F287=""),0,MAX(0,MIN($F287,EOMONTH(DATE(cfg_FY,7,1),0))-MAX($E287,DATE(cfg_FY,7,1))+1)*(1-IF($M287="نعم",0,N($J287))))</f>
        <v>0</v>
      </c>
      <c r="AC287" s="110" t="n">
        <f aca="false">IF(OR($B287="",$E287="",$F287=""),0,MAX(0,MIN($F287,EOMONTH(DATE(cfg_FY,8,1),0))-MAX($E287,DATE(cfg_FY,8,1))+1)*(1-IF($M287="نعم",0,N($J287))))</f>
        <v>0</v>
      </c>
      <c r="AD287" s="110" t="n">
        <f aca="false">IF(OR($B287="",$E287="",$F287=""),0,MAX(0,MIN($F287,EOMONTH(DATE(cfg_FY,9,1),0))-MAX($E287,DATE(cfg_FY,9,1))+1)*(1-IF($M287="نعم",0,N($J287))))</f>
        <v>0</v>
      </c>
      <c r="AE287" s="110" t="n">
        <f aca="false">IF(OR($B287="",$E287="",$F287=""),0,MAX(0,MIN($F287,EOMONTH(DATE(cfg_FY,10,1),0))-MAX($E287,DATE(cfg_FY,10,1))+1)*(1-IF($M287="نعم",0,N($J287))))</f>
        <v>0</v>
      </c>
      <c r="AF287" s="110" t="n">
        <f aca="false">IF(OR($B287="",$E287="",$F287=""),0,MAX(0,MIN($F287,EOMONTH(DATE(cfg_FY,11,1),0))-MAX($E287,DATE(cfg_FY,11,1))+1)*(1-IF($M287="نعم",0,N($J287))))</f>
        <v>0</v>
      </c>
      <c r="AG287" s="110" t="n">
        <f aca="false">IF(OR($B287="",$E287="",$F287=""),0,MAX(0,MIN($F287,EOMONTH(DATE(cfg_FY,12,1),0))-MAX($E287,DATE(cfg_FY,12,1))+1)*(1-IF($M287="نعم",0,N($J287))))</f>
        <v>0</v>
      </c>
      <c r="AH287" s="110" t="n">
        <f aca="false">IF(OR(OR($B287="",$E287="",$F287=""),$L287&lt;&gt;"لا"),0,MAX(0,MIN($F287,EOMONTH(DATE(cfg_FY,1,1),0))-$E287+1))</f>
        <v>0</v>
      </c>
      <c r="AI287" s="110" t="n">
        <f aca="false">IF(OR(OR($B287="",$E287="",$F287=""),$L287&lt;&gt;"لا"),0,MAX(0,MIN($F287,EOMONTH(DATE(cfg_FY,2,1),0))-$E287+1))</f>
        <v>0</v>
      </c>
      <c r="AJ287" s="110" t="n">
        <f aca="false">IF(OR(OR($B287="",$E287="",$F287=""),$L287&lt;&gt;"لا"),0,MAX(0,MIN($F287,EOMONTH(DATE(cfg_FY,3,1),0))-$E287+1))</f>
        <v>0</v>
      </c>
      <c r="AK287" s="110" t="n">
        <f aca="false">IF(OR(OR($B287="",$E287="",$F287=""),$L287&lt;&gt;"لا"),0,MAX(0,MIN($F287,EOMONTH(DATE(cfg_FY,4,1),0))-$E287+1))</f>
        <v>0</v>
      </c>
      <c r="AL287" s="110" t="n">
        <f aca="false">IF(OR(OR($B287="",$E287="",$F287=""),$L287&lt;&gt;"لا"),0,MAX(0,MIN($F287,EOMONTH(DATE(cfg_FY,5,1),0))-$E287+1))</f>
        <v>0</v>
      </c>
      <c r="AM287" s="110" t="n">
        <f aca="false">IF(OR(OR($B287="",$E287="",$F287=""),$L287&lt;&gt;"لا"),0,MAX(0,MIN($F287,EOMONTH(DATE(cfg_FY,6,1),0))-$E287+1))</f>
        <v>0</v>
      </c>
      <c r="AN287" s="110" t="n">
        <f aca="false">IF(OR(OR($B287="",$E287="",$F287=""),$L287&lt;&gt;"لا"),0,MAX(0,MIN($F287,EOMONTH(DATE(cfg_FY,7,1),0))-$E287+1))</f>
        <v>0</v>
      </c>
      <c r="AO287" s="110" t="n">
        <f aca="false">IF(OR(OR($B287="",$E287="",$F287=""),$L287&lt;&gt;"لا"),0,MAX(0,MIN($F287,EOMONTH(DATE(cfg_FY,8,1),0))-$E287+1))</f>
        <v>0</v>
      </c>
      <c r="AP287" s="110" t="n">
        <f aca="false">IF(OR(OR($B287="",$E287="",$F287=""),$L287&lt;&gt;"لا"),0,MAX(0,MIN($F287,EOMONTH(DATE(cfg_FY,9,1),0))-$E287+1))</f>
        <v>0</v>
      </c>
      <c r="AQ287" s="110" t="n">
        <f aca="false">IF(OR(OR($B287="",$E287="",$F287=""),$L287&lt;&gt;"لا"),0,MAX(0,MIN($F287,EOMONTH(DATE(cfg_FY,10,1),0))-$E287+1))</f>
        <v>0</v>
      </c>
      <c r="AR287" s="110" t="n">
        <f aca="false">IF(OR(OR($B287="",$E287="",$F287=""),$L287&lt;&gt;"لا"),0,MAX(0,MIN($F287,EOMONTH(DATE(cfg_FY,11,1),0))-$E287+1))</f>
        <v>0</v>
      </c>
      <c r="AS287" s="110" t="n">
        <f aca="false">IF(OR(OR($B287="",$E287="",$F287=""),$L287&lt;&gt;"لا"),0,MAX(0,MIN($F287,EOMONTH(DATE(cfg_FY,12,1),0))-$E287+1))</f>
        <v>0</v>
      </c>
      <c r="AT287" s="110" t="n">
        <f aca="false">IF(OR(OR($B287="",$E287="",$F287=""),$K287&lt;&gt;"نعم",$M287="نعم"),0,MAX(0,MIN($F287,EOMONTH(DATE(cfg_FY,1,1),0))-MAX($E287,DATE(cfg_FY,1,1))+1))</f>
        <v>0</v>
      </c>
      <c r="AU287" s="110" t="n">
        <f aca="false">IF(OR(OR($B287="",$E287="",$F287=""),$K287&lt;&gt;"نعم",$M287="نعم"),0,MAX(0,MIN($F287,EOMONTH(DATE(cfg_FY,2,1),0))-MAX($E287,DATE(cfg_FY,2,1))+1))</f>
        <v>0</v>
      </c>
      <c r="AV287" s="110" t="n">
        <f aca="false">IF(OR(OR($B287="",$E287="",$F287=""),$K287&lt;&gt;"نعم",$M287="نعم"),0,MAX(0,MIN($F287,EOMONTH(DATE(cfg_FY,3,1),0))-MAX($E287,DATE(cfg_FY,3,1))+1))</f>
        <v>0</v>
      </c>
      <c r="AW287" s="110" t="n">
        <f aca="false">IF(OR(OR($B287="",$E287="",$F287=""),$K287&lt;&gt;"نعم",$M287="نعم"),0,MAX(0,MIN($F287,EOMONTH(DATE(cfg_FY,4,1),0))-MAX($E287,DATE(cfg_FY,4,1))+1))</f>
        <v>0</v>
      </c>
      <c r="AX287" s="110" t="n">
        <f aca="false">IF(OR(OR($B287="",$E287="",$F287=""),$K287&lt;&gt;"نعم",$M287="نعم"),0,MAX(0,MIN($F287,EOMONTH(DATE(cfg_FY,5,1),0))-MAX($E287,DATE(cfg_FY,5,1))+1))</f>
        <v>0</v>
      </c>
      <c r="AY287" s="110" t="n">
        <f aca="false">IF(OR(OR($B287="",$E287="",$F287=""),$K287&lt;&gt;"نعم",$M287="نعم"),0,MAX(0,MIN($F287,EOMONTH(DATE(cfg_FY,6,1),0))-MAX($E287,DATE(cfg_FY,6,1))+1))</f>
        <v>0</v>
      </c>
      <c r="AZ287" s="110" t="n">
        <f aca="false">IF(OR(OR($B287="",$E287="",$F287=""),$K287&lt;&gt;"نعم",$M287="نعم"),0,MAX(0,MIN($F287,EOMONTH(DATE(cfg_FY,7,1),0))-MAX($E287,DATE(cfg_FY,7,1))+1))</f>
        <v>0</v>
      </c>
      <c r="BA287" s="110" t="n">
        <f aca="false">IF(OR(OR($B287="",$E287="",$F287=""),$K287&lt;&gt;"نعم",$M287="نعم"),0,MAX(0,MIN($F287,EOMONTH(DATE(cfg_FY,8,1),0))-MAX($E287,DATE(cfg_FY,8,1))+1))</f>
        <v>0</v>
      </c>
      <c r="BB287" s="110" t="n">
        <f aca="false">IF(OR(OR($B287="",$E287="",$F287=""),$K287&lt;&gt;"نعم",$M287="نعم"),0,MAX(0,MIN($F287,EOMONTH(DATE(cfg_FY,9,1),0))-MAX($E287,DATE(cfg_FY,9,1))+1))</f>
        <v>0</v>
      </c>
      <c r="BC287" s="110" t="n">
        <f aca="false">IF(OR(OR($B287="",$E287="",$F287=""),$K287&lt;&gt;"نعم",$M287="نعم"),0,MAX(0,MIN($F287,EOMONTH(DATE(cfg_FY,10,1),0))-MAX($E287,DATE(cfg_FY,10,1))+1))</f>
        <v>0</v>
      </c>
      <c r="BD287" s="110" t="n">
        <f aca="false">IF(OR(OR($B287="",$E287="",$F287=""),$K287&lt;&gt;"نعم",$M287="نعم"),0,MAX(0,MIN($F287,EOMONTH(DATE(cfg_FY,11,1),0))-MAX($E287,DATE(cfg_FY,11,1))+1))</f>
        <v>0</v>
      </c>
      <c r="BE287" s="110" t="n">
        <f aca="false">IF(OR(OR($B287="",$E287="",$F287=""),$K287&lt;&gt;"نعم",$M287="نعم"),0,MAX(0,MIN($F287,EOMONTH(DATE(cfg_FY,12,1),0))-MAX($E287,DATE(cfg_FY,12,1))+1))</f>
        <v>0</v>
      </c>
    </row>
    <row r="288" customFormat="false" ht="15" hidden="false" customHeight="false" outlineLevel="0" collapsed="false">
      <c r="A288" s="93" t="str">
        <f aca="false">IF(B288="","",ROW()-5)</f>
        <v/>
      </c>
      <c r="B288" s="79"/>
      <c r="C288" s="80" t="str">
        <f aca="false">IF(B288="","",IFERROR(INDEX(الموظفون!$C$6:$C$105,MATCH(B288,الموظفون!$B$6:$B$105,0)),"✖ رقم غير موجود"))</f>
        <v/>
      </c>
      <c r="D288" s="79"/>
      <c r="E288" s="94"/>
      <c r="F288" s="94"/>
      <c r="G288" s="57" t="str">
        <f aca="false">IF(OR($B288="",$E288="",$F288=""),"",MAX(0,F288-E288+1))</f>
        <v/>
      </c>
      <c r="H288" s="58" t="str">
        <f aca="false">IF(D288="","",IFERROR(VLOOKUP(D288,cfg_LT,2,FALSE()),1))</f>
        <v/>
      </c>
      <c r="I288" s="82"/>
      <c r="J288" s="58" t="str">
        <f aca="false">IF(D288="","",IF(I288&lt;&gt;"",I288,H288))</f>
        <v/>
      </c>
      <c r="K288" s="80" t="str">
        <f aca="false">IF(D288="","",IFERROR(VLOOKUP($D288,cfg_LT,3,FALSE()),""))</f>
        <v/>
      </c>
      <c r="L288" s="80" t="str">
        <f aca="false">IF(D288="","",IFERROR(VLOOKUP($D288,cfg_LT,4,FALSE()),""))</f>
        <v/>
      </c>
      <c r="M288" s="80" t="str">
        <f aca="false">IF(D288="","",IFERROR(VLOOKUP($D288,cfg_LT,5,FALSE()),""))</f>
        <v/>
      </c>
      <c r="N288" s="97" t="n">
        <f aca="false">IF(OR(OR($B288="",$E288="",$F288=""),M288&lt;&gt;"نعم"),0,G288*J288*IFERROR(INDEX(الموظفون!$R$6:$R$105,MATCH(B288,الموظفون!$B$6:$B$105,0)),0)/cfg_DAYS_M)</f>
        <v>0</v>
      </c>
      <c r="O288" s="93" t="str">
        <f aca="false">IF(OR(OR($B288="",$E288="",$F288=""),M288&lt;&gt;"نعم"),"",IF(YEAR(E288)=cfg_FY,MONTH(E288),""))</f>
        <v/>
      </c>
      <c r="P288" s="80" t="str">
        <f aca="false">IF(B288="","",IF(OR(D288="",E288="",F288=""),"⚠ أكمل النوع والتواريخ",IF(F288&lt;E288,"✖ النهاية قبل البداية",IF(COUNTIFS($B$6:$B$505,B288,$E$6:$E$505,"&lt;="&amp;F288,$F$6:$F$505,"&gt;="&amp;E288)&gt;1,"⚠ تداخل مع سجل آخر",IF(E288&gt;cfg_VAL_DATE,"⏳ قادمة",IF(F288&lt;cfg_VAL_DATE,"✔ منتهية","✈ جارية في تاريخ التقرير"))))))</f>
        <v/>
      </c>
      <c r="Q288" s="79"/>
      <c r="R288" s="57" t="n">
        <f aca="false">IF(OR(OR($B288="",$E288="",$F288=""),L288&lt;&gt;"لا"),0,MAX(0,MIN(F288,cfg_Y_START-1)-E288+1))</f>
        <v>0</v>
      </c>
      <c r="S288" s="57" t="n">
        <f aca="false">IF(OR(OR($B288="",$E288="",$F288=""),L288&lt;&gt;"لا"),0,MAX(0,MIN(F288,cfg_VAL_DATE)-E288+1))</f>
        <v>0</v>
      </c>
      <c r="T288" s="57" t="n">
        <f aca="false">IF(OR(OR($B288="",$E288="",$F288=""),K288&lt;&gt;"نعم"),0,IF(M288="نعم",IF(AND(ISNUMBER(O288),N(O288)&lt;=cfg_VAL_M),G288,0),MAX(0,MIN(F288,cfg_VAL_DATE)-MAX(E288,cfg_Y_START)+1)))</f>
        <v>0</v>
      </c>
      <c r="V288" s="57" t="n">
        <f aca="false">IF(OR($B288="",$E288="",$F288=""),0,MAX(0,MIN($F288,EOMONTH(DATE(cfg_FY,1,1),0))-MAX($E288,DATE(cfg_FY,1,1))+1)*(1-IF($M288="نعم",0,N($J288))))</f>
        <v>0</v>
      </c>
      <c r="W288" s="57" t="n">
        <f aca="false">IF(OR($B288="",$E288="",$F288=""),0,MAX(0,MIN($F288,EOMONTH(DATE(cfg_FY,2,1),0))-MAX($E288,DATE(cfg_FY,2,1))+1)*(1-IF($M288="نعم",0,N($J288))))</f>
        <v>0</v>
      </c>
      <c r="X288" s="57" t="n">
        <f aca="false">IF(OR($B288="",$E288="",$F288=""),0,MAX(0,MIN($F288,EOMONTH(DATE(cfg_FY,3,1),0))-MAX($E288,DATE(cfg_FY,3,1))+1)*(1-IF($M288="نعم",0,N($J288))))</f>
        <v>0</v>
      </c>
      <c r="Y288" s="57" t="n">
        <f aca="false">IF(OR($B288="",$E288="",$F288=""),0,MAX(0,MIN($F288,EOMONTH(DATE(cfg_FY,4,1),0))-MAX($E288,DATE(cfg_FY,4,1))+1)*(1-IF($M288="نعم",0,N($J288))))</f>
        <v>0</v>
      </c>
      <c r="Z288" s="57" t="n">
        <f aca="false">IF(OR($B288="",$E288="",$F288=""),0,MAX(0,MIN($F288,EOMONTH(DATE(cfg_FY,5,1),0))-MAX($E288,DATE(cfg_FY,5,1))+1)*(1-IF($M288="نعم",0,N($J288))))</f>
        <v>0</v>
      </c>
      <c r="AA288" s="57" t="n">
        <f aca="false">IF(OR($B288="",$E288="",$F288=""),0,MAX(0,MIN($F288,EOMONTH(DATE(cfg_FY,6,1),0))-MAX($E288,DATE(cfg_FY,6,1))+1)*(1-IF($M288="نعم",0,N($J288))))</f>
        <v>0</v>
      </c>
      <c r="AB288" s="57" t="n">
        <f aca="false">IF(OR($B288="",$E288="",$F288=""),0,MAX(0,MIN($F288,EOMONTH(DATE(cfg_FY,7,1),0))-MAX($E288,DATE(cfg_FY,7,1))+1)*(1-IF($M288="نعم",0,N($J288))))</f>
        <v>0</v>
      </c>
      <c r="AC288" s="57" t="n">
        <f aca="false">IF(OR($B288="",$E288="",$F288=""),0,MAX(0,MIN($F288,EOMONTH(DATE(cfg_FY,8,1),0))-MAX($E288,DATE(cfg_FY,8,1))+1)*(1-IF($M288="نعم",0,N($J288))))</f>
        <v>0</v>
      </c>
      <c r="AD288" s="57" t="n">
        <f aca="false">IF(OR($B288="",$E288="",$F288=""),0,MAX(0,MIN($F288,EOMONTH(DATE(cfg_FY,9,1),0))-MAX($E288,DATE(cfg_FY,9,1))+1)*(1-IF($M288="نعم",0,N($J288))))</f>
        <v>0</v>
      </c>
      <c r="AE288" s="57" t="n">
        <f aca="false">IF(OR($B288="",$E288="",$F288=""),0,MAX(0,MIN($F288,EOMONTH(DATE(cfg_FY,10,1),0))-MAX($E288,DATE(cfg_FY,10,1))+1)*(1-IF($M288="نعم",0,N($J288))))</f>
        <v>0</v>
      </c>
      <c r="AF288" s="57" t="n">
        <f aca="false">IF(OR($B288="",$E288="",$F288=""),0,MAX(0,MIN($F288,EOMONTH(DATE(cfg_FY,11,1),0))-MAX($E288,DATE(cfg_FY,11,1))+1)*(1-IF($M288="نعم",0,N($J288))))</f>
        <v>0</v>
      </c>
      <c r="AG288" s="57" t="n">
        <f aca="false">IF(OR($B288="",$E288="",$F288=""),0,MAX(0,MIN($F288,EOMONTH(DATE(cfg_FY,12,1),0))-MAX($E288,DATE(cfg_FY,12,1))+1)*(1-IF($M288="نعم",0,N($J288))))</f>
        <v>0</v>
      </c>
      <c r="AH288" s="57" t="n">
        <f aca="false">IF(OR(OR($B288="",$E288="",$F288=""),$L288&lt;&gt;"لا"),0,MAX(0,MIN($F288,EOMONTH(DATE(cfg_FY,1,1),0))-$E288+1))</f>
        <v>0</v>
      </c>
      <c r="AI288" s="57" t="n">
        <f aca="false">IF(OR(OR($B288="",$E288="",$F288=""),$L288&lt;&gt;"لا"),0,MAX(0,MIN($F288,EOMONTH(DATE(cfg_FY,2,1),0))-$E288+1))</f>
        <v>0</v>
      </c>
      <c r="AJ288" s="57" t="n">
        <f aca="false">IF(OR(OR($B288="",$E288="",$F288=""),$L288&lt;&gt;"لا"),0,MAX(0,MIN($F288,EOMONTH(DATE(cfg_FY,3,1),0))-$E288+1))</f>
        <v>0</v>
      </c>
      <c r="AK288" s="57" t="n">
        <f aca="false">IF(OR(OR($B288="",$E288="",$F288=""),$L288&lt;&gt;"لا"),0,MAX(0,MIN($F288,EOMONTH(DATE(cfg_FY,4,1),0))-$E288+1))</f>
        <v>0</v>
      </c>
      <c r="AL288" s="57" t="n">
        <f aca="false">IF(OR(OR($B288="",$E288="",$F288=""),$L288&lt;&gt;"لا"),0,MAX(0,MIN($F288,EOMONTH(DATE(cfg_FY,5,1),0))-$E288+1))</f>
        <v>0</v>
      </c>
      <c r="AM288" s="57" t="n">
        <f aca="false">IF(OR(OR($B288="",$E288="",$F288=""),$L288&lt;&gt;"لا"),0,MAX(0,MIN($F288,EOMONTH(DATE(cfg_FY,6,1),0))-$E288+1))</f>
        <v>0</v>
      </c>
      <c r="AN288" s="57" t="n">
        <f aca="false">IF(OR(OR($B288="",$E288="",$F288=""),$L288&lt;&gt;"لا"),0,MAX(0,MIN($F288,EOMONTH(DATE(cfg_FY,7,1),0))-$E288+1))</f>
        <v>0</v>
      </c>
      <c r="AO288" s="57" t="n">
        <f aca="false">IF(OR(OR($B288="",$E288="",$F288=""),$L288&lt;&gt;"لا"),0,MAX(0,MIN($F288,EOMONTH(DATE(cfg_FY,8,1),0))-$E288+1))</f>
        <v>0</v>
      </c>
      <c r="AP288" s="57" t="n">
        <f aca="false">IF(OR(OR($B288="",$E288="",$F288=""),$L288&lt;&gt;"لا"),0,MAX(0,MIN($F288,EOMONTH(DATE(cfg_FY,9,1),0))-$E288+1))</f>
        <v>0</v>
      </c>
      <c r="AQ288" s="57" t="n">
        <f aca="false">IF(OR(OR($B288="",$E288="",$F288=""),$L288&lt;&gt;"لا"),0,MAX(0,MIN($F288,EOMONTH(DATE(cfg_FY,10,1),0))-$E288+1))</f>
        <v>0</v>
      </c>
      <c r="AR288" s="57" t="n">
        <f aca="false">IF(OR(OR($B288="",$E288="",$F288=""),$L288&lt;&gt;"لا"),0,MAX(0,MIN($F288,EOMONTH(DATE(cfg_FY,11,1),0))-$E288+1))</f>
        <v>0</v>
      </c>
      <c r="AS288" s="57" t="n">
        <f aca="false">IF(OR(OR($B288="",$E288="",$F288=""),$L288&lt;&gt;"لا"),0,MAX(0,MIN($F288,EOMONTH(DATE(cfg_FY,12,1),0))-$E288+1))</f>
        <v>0</v>
      </c>
      <c r="AT288" s="57" t="n">
        <f aca="false">IF(OR(OR($B288="",$E288="",$F288=""),$K288&lt;&gt;"نعم",$M288="نعم"),0,MAX(0,MIN($F288,EOMONTH(DATE(cfg_FY,1,1),0))-MAX($E288,DATE(cfg_FY,1,1))+1))</f>
        <v>0</v>
      </c>
      <c r="AU288" s="57" t="n">
        <f aca="false">IF(OR(OR($B288="",$E288="",$F288=""),$K288&lt;&gt;"نعم",$M288="نعم"),0,MAX(0,MIN($F288,EOMONTH(DATE(cfg_FY,2,1),0))-MAX($E288,DATE(cfg_FY,2,1))+1))</f>
        <v>0</v>
      </c>
      <c r="AV288" s="57" t="n">
        <f aca="false">IF(OR(OR($B288="",$E288="",$F288=""),$K288&lt;&gt;"نعم",$M288="نعم"),0,MAX(0,MIN($F288,EOMONTH(DATE(cfg_FY,3,1),0))-MAX($E288,DATE(cfg_FY,3,1))+1))</f>
        <v>0</v>
      </c>
      <c r="AW288" s="57" t="n">
        <f aca="false">IF(OR(OR($B288="",$E288="",$F288=""),$K288&lt;&gt;"نعم",$M288="نعم"),0,MAX(0,MIN($F288,EOMONTH(DATE(cfg_FY,4,1),0))-MAX($E288,DATE(cfg_FY,4,1))+1))</f>
        <v>0</v>
      </c>
      <c r="AX288" s="57" t="n">
        <f aca="false">IF(OR(OR($B288="",$E288="",$F288=""),$K288&lt;&gt;"نعم",$M288="نعم"),0,MAX(0,MIN($F288,EOMONTH(DATE(cfg_FY,5,1),0))-MAX($E288,DATE(cfg_FY,5,1))+1))</f>
        <v>0</v>
      </c>
      <c r="AY288" s="57" t="n">
        <f aca="false">IF(OR(OR($B288="",$E288="",$F288=""),$K288&lt;&gt;"نعم",$M288="نعم"),0,MAX(0,MIN($F288,EOMONTH(DATE(cfg_FY,6,1),0))-MAX($E288,DATE(cfg_FY,6,1))+1))</f>
        <v>0</v>
      </c>
      <c r="AZ288" s="57" t="n">
        <f aca="false">IF(OR(OR($B288="",$E288="",$F288=""),$K288&lt;&gt;"نعم",$M288="نعم"),0,MAX(0,MIN($F288,EOMONTH(DATE(cfg_FY,7,1),0))-MAX($E288,DATE(cfg_FY,7,1))+1))</f>
        <v>0</v>
      </c>
      <c r="BA288" s="57" t="n">
        <f aca="false">IF(OR(OR($B288="",$E288="",$F288=""),$K288&lt;&gt;"نعم",$M288="نعم"),0,MAX(0,MIN($F288,EOMONTH(DATE(cfg_FY,8,1),0))-MAX($E288,DATE(cfg_FY,8,1))+1))</f>
        <v>0</v>
      </c>
      <c r="BB288" s="57" t="n">
        <f aca="false">IF(OR(OR($B288="",$E288="",$F288=""),$K288&lt;&gt;"نعم",$M288="نعم"),0,MAX(0,MIN($F288,EOMONTH(DATE(cfg_FY,9,1),0))-MAX($E288,DATE(cfg_FY,9,1))+1))</f>
        <v>0</v>
      </c>
      <c r="BC288" s="57" t="n">
        <f aca="false">IF(OR(OR($B288="",$E288="",$F288=""),$K288&lt;&gt;"نعم",$M288="نعم"),0,MAX(0,MIN($F288,EOMONTH(DATE(cfg_FY,10,1),0))-MAX($E288,DATE(cfg_FY,10,1))+1))</f>
        <v>0</v>
      </c>
      <c r="BD288" s="57" t="n">
        <f aca="false">IF(OR(OR($B288="",$E288="",$F288=""),$K288&lt;&gt;"نعم",$M288="نعم"),0,MAX(0,MIN($F288,EOMONTH(DATE(cfg_FY,11,1),0))-MAX($E288,DATE(cfg_FY,11,1))+1))</f>
        <v>0</v>
      </c>
      <c r="BE288" s="57" t="n">
        <f aca="false">IF(OR(OR($B288="",$E288="",$F288=""),$K288&lt;&gt;"نعم",$M288="نعم"),0,MAX(0,MIN($F288,EOMONTH(DATE(cfg_FY,12,1),0))-MAX($E288,DATE(cfg_FY,12,1))+1))</f>
        <v>0</v>
      </c>
    </row>
    <row r="289" customFormat="false" ht="15" hidden="false" customHeight="false" outlineLevel="0" collapsed="false">
      <c r="A289" s="100" t="str">
        <f aca="false">IF(B289="","",ROW()-5)</f>
        <v/>
      </c>
      <c r="B289" s="79"/>
      <c r="C289" s="102" t="str">
        <f aca="false">IF(B289="","",IFERROR(INDEX(الموظفون!$C$6:$C$105,MATCH(B289,الموظفون!$B$6:$B$105,0)),"✖ رقم غير موجود"))</f>
        <v/>
      </c>
      <c r="D289" s="79"/>
      <c r="E289" s="94"/>
      <c r="F289" s="94"/>
      <c r="G289" s="110" t="str">
        <f aca="false">IF(OR($B289="",$E289="",$F289=""),"",MAX(0,F289-E289+1))</f>
        <v/>
      </c>
      <c r="H289" s="111" t="str">
        <f aca="false">IF(D289="","",IFERROR(VLOOKUP(D289,cfg_LT,2,FALSE()),1))</f>
        <v/>
      </c>
      <c r="I289" s="82"/>
      <c r="J289" s="111" t="str">
        <f aca="false">IF(D289="","",IF(I289&lt;&gt;"",I289,H289))</f>
        <v/>
      </c>
      <c r="K289" s="102" t="str">
        <f aca="false">IF(D289="","",IFERROR(VLOOKUP($D289,cfg_LT,3,FALSE()),""))</f>
        <v/>
      </c>
      <c r="L289" s="102" t="str">
        <f aca="false">IF(D289="","",IFERROR(VLOOKUP($D289,cfg_LT,4,FALSE()),""))</f>
        <v/>
      </c>
      <c r="M289" s="102" t="str">
        <f aca="false">IF(D289="","",IFERROR(VLOOKUP($D289,cfg_LT,5,FALSE()),""))</f>
        <v/>
      </c>
      <c r="N289" s="101" t="n">
        <f aca="false">IF(OR(OR($B289="",$E289="",$F289=""),M289&lt;&gt;"نعم"),0,G289*J289*IFERROR(INDEX(الموظفون!$R$6:$R$105,MATCH(B289,الموظفون!$B$6:$B$105,0)),0)/cfg_DAYS_M)</f>
        <v>0</v>
      </c>
      <c r="O289" s="100" t="str">
        <f aca="false">IF(OR(OR($B289="",$E289="",$F289=""),M289&lt;&gt;"نعم"),"",IF(YEAR(E289)=cfg_FY,MONTH(E289),""))</f>
        <v/>
      </c>
      <c r="P289" s="102" t="str">
        <f aca="false">IF(B289="","",IF(OR(D289="",E289="",F289=""),"⚠ أكمل النوع والتواريخ",IF(F289&lt;E289,"✖ النهاية قبل البداية",IF(COUNTIFS($B$6:$B$505,B289,$E$6:$E$505,"&lt;="&amp;F289,$F$6:$F$505,"&gt;="&amp;E289)&gt;1,"⚠ تداخل مع سجل آخر",IF(E289&gt;cfg_VAL_DATE,"⏳ قادمة",IF(F289&lt;cfg_VAL_DATE,"✔ منتهية","✈ جارية في تاريخ التقرير"))))))</f>
        <v/>
      </c>
      <c r="Q289" s="79"/>
      <c r="R289" s="110" t="n">
        <f aca="false">IF(OR(OR($B289="",$E289="",$F289=""),L289&lt;&gt;"لا"),0,MAX(0,MIN(F289,cfg_Y_START-1)-E289+1))</f>
        <v>0</v>
      </c>
      <c r="S289" s="110" t="n">
        <f aca="false">IF(OR(OR($B289="",$E289="",$F289=""),L289&lt;&gt;"لا"),0,MAX(0,MIN(F289,cfg_VAL_DATE)-E289+1))</f>
        <v>0</v>
      </c>
      <c r="T289" s="110" t="n">
        <f aca="false">IF(OR(OR($B289="",$E289="",$F289=""),K289&lt;&gt;"نعم"),0,IF(M289="نعم",IF(AND(ISNUMBER(O289),N(O289)&lt;=cfg_VAL_M),G289,0),MAX(0,MIN(F289,cfg_VAL_DATE)-MAX(E289,cfg_Y_START)+1)))</f>
        <v>0</v>
      </c>
      <c r="V289" s="110" t="n">
        <f aca="false">IF(OR($B289="",$E289="",$F289=""),0,MAX(0,MIN($F289,EOMONTH(DATE(cfg_FY,1,1),0))-MAX($E289,DATE(cfg_FY,1,1))+1)*(1-IF($M289="نعم",0,N($J289))))</f>
        <v>0</v>
      </c>
      <c r="W289" s="110" t="n">
        <f aca="false">IF(OR($B289="",$E289="",$F289=""),0,MAX(0,MIN($F289,EOMONTH(DATE(cfg_FY,2,1),0))-MAX($E289,DATE(cfg_FY,2,1))+1)*(1-IF($M289="نعم",0,N($J289))))</f>
        <v>0</v>
      </c>
      <c r="X289" s="110" t="n">
        <f aca="false">IF(OR($B289="",$E289="",$F289=""),0,MAX(0,MIN($F289,EOMONTH(DATE(cfg_FY,3,1),0))-MAX($E289,DATE(cfg_FY,3,1))+1)*(1-IF($M289="نعم",0,N($J289))))</f>
        <v>0</v>
      </c>
      <c r="Y289" s="110" t="n">
        <f aca="false">IF(OR($B289="",$E289="",$F289=""),0,MAX(0,MIN($F289,EOMONTH(DATE(cfg_FY,4,1),0))-MAX($E289,DATE(cfg_FY,4,1))+1)*(1-IF($M289="نعم",0,N($J289))))</f>
        <v>0</v>
      </c>
      <c r="Z289" s="110" t="n">
        <f aca="false">IF(OR($B289="",$E289="",$F289=""),0,MAX(0,MIN($F289,EOMONTH(DATE(cfg_FY,5,1),0))-MAX($E289,DATE(cfg_FY,5,1))+1)*(1-IF($M289="نعم",0,N($J289))))</f>
        <v>0</v>
      </c>
      <c r="AA289" s="110" t="n">
        <f aca="false">IF(OR($B289="",$E289="",$F289=""),0,MAX(0,MIN($F289,EOMONTH(DATE(cfg_FY,6,1),0))-MAX($E289,DATE(cfg_FY,6,1))+1)*(1-IF($M289="نعم",0,N($J289))))</f>
        <v>0</v>
      </c>
      <c r="AB289" s="110" t="n">
        <f aca="false">IF(OR($B289="",$E289="",$F289=""),0,MAX(0,MIN($F289,EOMONTH(DATE(cfg_FY,7,1),0))-MAX($E289,DATE(cfg_FY,7,1))+1)*(1-IF($M289="نعم",0,N($J289))))</f>
        <v>0</v>
      </c>
      <c r="AC289" s="110" t="n">
        <f aca="false">IF(OR($B289="",$E289="",$F289=""),0,MAX(0,MIN($F289,EOMONTH(DATE(cfg_FY,8,1),0))-MAX($E289,DATE(cfg_FY,8,1))+1)*(1-IF($M289="نعم",0,N($J289))))</f>
        <v>0</v>
      </c>
      <c r="AD289" s="110" t="n">
        <f aca="false">IF(OR($B289="",$E289="",$F289=""),0,MAX(0,MIN($F289,EOMONTH(DATE(cfg_FY,9,1),0))-MAX($E289,DATE(cfg_FY,9,1))+1)*(1-IF($M289="نعم",0,N($J289))))</f>
        <v>0</v>
      </c>
      <c r="AE289" s="110" t="n">
        <f aca="false">IF(OR($B289="",$E289="",$F289=""),0,MAX(0,MIN($F289,EOMONTH(DATE(cfg_FY,10,1),0))-MAX($E289,DATE(cfg_FY,10,1))+1)*(1-IF($M289="نعم",0,N($J289))))</f>
        <v>0</v>
      </c>
      <c r="AF289" s="110" t="n">
        <f aca="false">IF(OR($B289="",$E289="",$F289=""),0,MAX(0,MIN($F289,EOMONTH(DATE(cfg_FY,11,1),0))-MAX($E289,DATE(cfg_FY,11,1))+1)*(1-IF($M289="نعم",0,N($J289))))</f>
        <v>0</v>
      </c>
      <c r="AG289" s="110" t="n">
        <f aca="false">IF(OR($B289="",$E289="",$F289=""),0,MAX(0,MIN($F289,EOMONTH(DATE(cfg_FY,12,1),0))-MAX($E289,DATE(cfg_FY,12,1))+1)*(1-IF($M289="نعم",0,N($J289))))</f>
        <v>0</v>
      </c>
      <c r="AH289" s="110" t="n">
        <f aca="false">IF(OR(OR($B289="",$E289="",$F289=""),$L289&lt;&gt;"لا"),0,MAX(0,MIN($F289,EOMONTH(DATE(cfg_FY,1,1),0))-$E289+1))</f>
        <v>0</v>
      </c>
      <c r="AI289" s="110" t="n">
        <f aca="false">IF(OR(OR($B289="",$E289="",$F289=""),$L289&lt;&gt;"لا"),0,MAX(0,MIN($F289,EOMONTH(DATE(cfg_FY,2,1),0))-$E289+1))</f>
        <v>0</v>
      </c>
      <c r="AJ289" s="110" t="n">
        <f aca="false">IF(OR(OR($B289="",$E289="",$F289=""),$L289&lt;&gt;"لا"),0,MAX(0,MIN($F289,EOMONTH(DATE(cfg_FY,3,1),0))-$E289+1))</f>
        <v>0</v>
      </c>
      <c r="AK289" s="110" t="n">
        <f aca="false">IF(OR(OR($B289="",$E289="",$F289=""),$L289&lt;&gt;"لا"),0,MAX(0,MIN($F289,EOMONTH(DATE(cfg_FY,4,1),0))-$E289+1))</f>
        <v>0</v>
      </c>
      <c r="AL289" s="110" t="n">
        <f aca="false">IF(OR(OR($B289="",$E289="",$F289=""),$L289&lt;&gt;"لا"),0,MAX(0,MIN($F289,EOMONTH(DATE(cfg_FY,5,1),0))-$E289+1))</f>
        <v>0</v>
      </c>
      <c r="AM289" s="110" t="n">
        <f aca="false">IF(OR(OR($B289="",$E289="",$F289=""),$L289&lt;&gt;"لا"),0,MAX(0,MIN($F289,EOMONTH(DATE(cfg_FY,6,1),0))-$E289+1))</f>
        <v>0</v>
      </c>
      <c r="AN289" s="110" t="n">
        <f aca="false">IF(OR(OR($B289="",$E289="",$F289=""),$L289&lt;&gt;"لا"),0,MAX(0,MIN($F289,EOMONTH(DATE(cfg_FY,7,1),0))-$E289+1))</f>
        <v>0</v>
      </c>
      <c r="AO289" s="110" t="n">
        <f aca="false">IF(OR(OR($B289="",$E289="",$F289=""),$L289&lt;&gt;"لا"),0,MAX(0,MIN($F289,EOMONTH(DATE(cfg_FY,8,1),0))-$E289+1))</f>
        <v>0</v>
      </c>
      <c r="AP289" s="110" t="n">
        <f aca="false">IF(OR(OR($B289="",$E289="",$F289=""),$L289&lt;&gt;"لا"),0,MAX(0,MIN($F289,EOMONTH(DATE(cfg_FY,9,1),0))-$E289+1))</f>
        <v>0</v>
      </c>
      <c r="AQ289" s="110" t="n">
        <f aca="false">IF(OR(OR($B289="",$E289="",$F289=""),$L289&lt;&gt;"لا"),0,MAX(0,MIN($F289,EOMONTH(DATE(cfg_FY,10,1),0))-$E289+1))</f>
        <v>0</v>
      </c>
      <c r="AR289" s="110" t="n">
        <f aca="false">IF(OR(OR($B289="",$E289="",$F289=""),$L289&lt;&gt;"لا"),0,MAX(0,MIN($F289,EOMONTH(DATE(cfg_FY,11,1),0))-$E289+1))</f>
        <v>0</v>
      </c>
      <c r="AS289" s="110" t="n">
        <f aca="false">IF(OR(OR($B289="",$E289="",$F289=""),$L289&lt;&gt;"لا"),0,MAX(0,MIN($F289,EOMONTH(DATE(cfg_FY,12,1),0))-$E289+1))</f>
        <v>0</v>
      </c>
      <c r="AT289" s="110" t="n">
        <f aca="false">IF(OR(OR($B289="",$E289="",$F289=""),$K289&lt;&gt;"نعم",$M289="نعم"),0,MAX(0,MIN($F289,EOMONTH(DATE(cfg_FY,1,1),0))-MAX($E289,DATE(cfg_FY,1,1))+1))</f>
        <v>0</v>
      </c>
      <c r="AU289" s="110" t="n">
        <f aca="false">IF(OR(OR($B289="",$E289="",$F289=""),$K289&lt;&gt;"نعم",$M289="نعم"),0,MAX(0,MIN($F289,EOMONTH(DATE(cfg_FY,2,1),0))-MAX($E289,DATE(cfg_FY,2,1))+1))</f>
        <v>0</v>
      </c>
      <c r="AV289" s="110" t="n">
        <f aca="false">IF(OR(OR($B289="",$E289="",$F289=""),$K289&lt;&gt;"نعم",$M289="نعم"),0,MAX(0,MIN($F289,EOMONTH(DATE(cfg_FY,3,1),0))-MAX($E289,DATE(cfg_FY,3,1))+1))</f>
        <v>0</v>
      </c>
      <c r="AW289" s="110" t="n">
        <f aca="false">IF(OR(OR($B289="",$E289="",$F289=""),$K289&lt;&gt;"نعم",$M289="نعم"),0,MAX(0,MIN($F289,EOMONTH(DATE(cfg_FY,4,1),0))-MAX($E289,DATE(cfg_FY,4,1))+1))</f>
        <v>0</v>
      </c>
      <c r="AX289" s="110" t="n">
        <f aca="false">IF(OR(OR($B289="",$E289="",$F289=""),$K289&lt;&gt;"نعم",$M289="نعم"),0,MAX(0,MIN($F289,EOMONTH(DATE(cfg_FY,5,1),0))-MAX($E289,DATE(cfg_FY,5,1))+1))</f>
        <v>0</v>
      </c>
      <c r="AY289" s="110" t="n">
        <f aca="false">IF(OR(OR($B289="",$E289="",$F289=""),$K289&lt;&gt;"نعم",$M289="نعم"),0,MAX(0,MIN($F289,EOMONTH(DATE(cfg_FY,6,1),0))-MAX($E289,DATE(cfg_FY,6,1))+1))</f>
        <v>0</v>
      </c>
      <c r="AZ289" s="110" t="n">
        <f aca="false">IF(OR(OR($B289="",$E289="",$F289=""),$K289&lt;&gt;"نعم",$M289="نعم"),0,MAX(0,MIN($F289,EOMONTH(DATE(cfg_FY,7,1),0))-MAX($E289,DATE(cfg_FY,7,1))+1))</f>
        <v>0</v>
      </c>
      <c r="BA289" s="110" t="n">
        <f aca="false">IF(OR(OR($B289="",$E289="",$F289=""),$K289&lt;&gt;"نعم",$M289="نعم"),0,MAX(0,MIN($F289,EOMONTH(DATE(cfg_FY,8,1),0))-MAX($E289,DATE(cfg_FY,8,1))+1))</f>
        <v>0</v>
      </c>
      <c r="BB289" s="110" t="n">
        <f aca="false">IF(OR(OR($B289="",$E289="",$F289=""),$K289&lt;&gt;"نعم",$M289="نعم"),0,MAX(0,MIN($F289,EOMONTH(DATE(cfg_FY,9,1),0))-MAX($E289,DATE(cfg_FY,9,1))+1))</f>
        <v>0</v>
      </c>
      <c r="BC289" s="110" t="n">
        <f aca="false">IF(OR(OR($B289="",$E289="",$F289=""),$K289&lt;&gt;"نعم",$M289="نعم"),0,MAX(0,MIN($F289,EOMONTH(DATE(cfg_FY,10,1),0))-MAX($E289,DATE(cfg_FY,10,1))+1))</f>
        <v>0</v>
      </c>
      <c r="BD289" s="110" t="n">
        <f aca="false">IF(OR(OR($B289="",$E289="",$F289=""),$K289&lt;&gt;"نعم",$M289="نعم"),0,MAX(0,MIN($F289,EOMONTH(DATE(cfg_FY,11,1),0))-MAX($E289,DATE(cfg_FY,11,1))+1))</f>
        <v>0</v>
      </c>
      <c r="BE289" s="110" t="n">
        <f aca="false">IF(OR(OR($B289="",$E289="",$F289=""),$K289&lt;&gt;"نعم",$M289="نعم"),0,MAX(0,MIN($F289,EOMONTH(DATE(cfg_FY,12,1),0))-MAX($E289,DATE(cfg_FY,12,1))+1))</f>
        <v>0</v>
      </c>
    </row>
    <row r="290" customFormat="false" ht="15" hidden="false" customHeight="false" outlineLevel="0" collapsed="false">
      <c r="A290" s="93" t="str">
        <f aca="false">IF(B290="","",ROW()-5)</f>
        <v/>
      </c>
      <c r="B290" s="79"/>
      <c r="C290" s="80" t="str">
        <f aca="false">IF(B290="","",IFERROR(INDEX(الموظفون!$C$6:$C$105,MATCH(B290,الموظفون!$B$6:$B$105,0)),"✖ رقم غير موجود"))</f>
        <v/>
      </c>
      <c r="D290" s="79"/>
      <c r="E290" s="94"/>
      <c r="F290" s="94"/>
      <c r="G290" s="57" t="str">
        <f aca="false">IF(OR($B290="",$E290="",$F290=""),"",MAX(0,F290-E290+1))</f>
        <v/>
      </c>
      <c r="H290" s="58" t="str">
        <f aca="false">IF(D290="","",IFERROR(VLOOKUP(D290,cfg_LT,2,FALSE()),1))</f>
        <v/>
      </c>
      <c r="I290" s="82"/>
      <c r="J290" s="58" t="str">
        <f aca="false">IF(D290="","",IF(I290&lt;&gt;"",I290,H290))</f>
        <v/>
      </c>
      <c r="K290" s="80" t="str">
        <f aca="false">IF(D290="","",IFERROR(VLOOKUP($D290,cfg_LT,3,FALSE()),""))</f>
        <v/>
      </c>
      <c r="L290" s="80" t="str">
        <f aca="false">IF(D290="","",IFERROR(VLOOKUP($D290,cfg_LT,4,FALSE()),""))</f>
        <v/>
      </c>
      <c r="M290" s="80" t="str">
        <f aca="false">IF(D290="","",IFERROR(VLOOKUP($D290,cfg_LT,5,FALSE()),""))</f>
        <v/>
      </c>
      <c r="N290" s="97" t="n">
        <f aca="false">IF(OR(OR($B290="",$E290="",$F290=""),M290&lt;&gt;"نعم"),0,G290*J290*IFERROR(INDEX(الموظفون!$R$6:$R$105,MATCH(B290,الموظفون!$B$6:$B$105,0)),0)/cfg_DAYS_M)</f>
        <v>0</v>
      </c>
      <c r="O290" s="93" t="str">
        <f aca="false">IF(OR(OR($B290="",$E290="",$F290=""),M290&lt;&gt;"نعم"),"",IF(YEAR(E290)=cfg_FY,MONTH(E290),""))</f>
        <v/>
      </c>
      <c r="P290" s="80" t="str">
        <f aca="false">IF(B290="","",IF(OR(D290="",E290="",F290=""),"⚠ أكمل النوع والتواريخ",IF(F290&lt;E290,"✖ النهاية قبل البداية",IF(COUNTIFS($B$6:$B$505,B290,$E$6:$E$505,"&lt;="&amp;F290,$F$6:$F$505,"&gt;="&amp;E290)&gt;1,"⚠ تداخل مع سجل آخر",IF(E290&gt;cfg_VAL_DATE,"⏳ قادمة",IF(F290&lt;cfg_VAL_DATE,"✔ منتهية","✈ جارية في تاريخ التقرير"))))))</f>
        <v/>
      </c>
      <c r="Q290" s="79"/>
      <c r="R290" s="57" t="n">
        <f aca="false">IF(OR(OR($B290="",$E290="",$F290=""),L290&lt;&gt;"لا"),0,MAX(0,MIN(F290,cfg_Y_START-1)-E290+1))</f>
        <v>0</v>
      </c>
      <c r="S290" s="57" t="n">
        <f aca="false">IF(OR(OR($B290="",$E290="",$F290=""),L290&lt;&gt;"لا"),0,MAX(0,MIN(F290,cfg_VAL_DATE)-E290+1))</f>
        <v>0</v>
      </c>
      <c r="T290" s="57" t="n">
        <f aca="false">IF(OR(OR($B290="",$E290="",$F290=""),K290&lt;&gt;"نعم"),0,IF(M290="نعم",IF(AND(ISNUMBER(O290),N(O290)&lt;=cfg_VAL_M),G290,0),MAX(0,MIN(F290,cfg_VAL_DATE)-MAX(E290,cfg_Y_START)+1)))</f>
        <v>0</v>
      </c>
      <c r="V290" s="57" t="n">
        <f aca="false">IF(OR($B290="",$E290="",$F290=""),0,MAX(0,MIN($F290,EOMONTH(DATE(cfg_FY,1,1),0))-MAX($E290,DATE(cfg_FY,1,1))+1)*(1-IF($M290="نعم",0,N($J290))))</f>
        <v>0</v>
      </c>
      <c r="W290" s="57" t="n">
        <f aca="false">IF(OR($B290="",$E290="",$F290=""),0,MAX(0,MIN($F290,EOMONTH(DATE(cfg_FY,2,1),0))-MAX($E290,DATE(cfg_FY,2,1))+1)*(1-IF($M290="نعم",0,N($J290))))</f>
        <v>0</v>
      </c>
      <c r="X290" s="57" t="n">
        <f aca="false">IF(OR($B290="",$E290="",$F290=""),0,MAX(0,MIN($F290,EOMONTH(DATE(cfg_FY,3,1),0))-MAX($E290,DATE(cfg_FY,3,1))+1)*(1-IF($M290="نعم",0,N($J290))))</f>
        <v>0</v>
      </c>
      <c r="Y290" s="57" t="n">
        <f aca="false">IF(OR($B290="",$E290="",$F290=""),0,MAX(0,MIN($F290,EOMONTH(DATE(cfg_FY,4,1),0))-MAX($E290,DATE(cfg_FY,4,1))+1)*(1-IF($M290="نعم",0,N($J290))))</f>
        <v>0</v>
      </c>
      <c r="Z290" s="57" t="n">
        <f aca="false">IF(OR($B290="",$E290="",$F290=""),0,MAX(0,MIN($F290,EOMONTH(DATE(cfg_FY,5,1),0))-MAX($E290,DATE(cfg_FY,5,1))+1)*(1-IF($M290="نعم",0,N($J290))))</f>
        <v>0</v>
      </c>
      <c r="AA290" s="57" t="n">
        <f aca="false">IF(OR($B290="",$E290="",$F290=""),0,MAX(0,MIN($F290,EOMONTH(DATE(cfg_FY,6,1),0))-MAX($E290,DATE(cfg_FY,6,1))+1)*(1-IF($M290="نعم",0,N($J290))))</f>
        <v>0</v>
      </c>
      <c r="AB290" s="57" t="n">
        <f aca="false">IF(OR($B290="",$E290="",$F290=""),0,MAX(0,MIN($F290,EOMONTH(DATE(cfg_FY,7,1),0))-MAX($E290,DATE(cfg_FY,7,1))+1)*(1-IF($M290="نعم",0,N($J290))))</f>
        <v>0</v>
      </c>
      <c r="AC290" s="57" t="n">
        <f aca="false">IF(OR($B290="",$E290="",$F290=""),0,MAX(0,MIN($F290,EOMONTH(DATE(cfg_FY,8,1),0))-MAX($E290,DATE(cfg_FY,8,1))+1)*(1-IF($M290="نعم",0,N($J290))))</f>
        <v>0</v>
      </c>
      <c r="AD290" s="57" t="n">
        <f aca="false">IF(OR($B290="",$E290="",$F290=""),0,MAX(0,MIN($F290,EOMONTH(DATE(cfg_FY,9,1),0))-MAX($E290,DATE(cfg_FY,9,1))+1)*(1-IF($M290="نعم",0,N($J290))))</f>
        <v>0</v>
      </c>
      <c r="AE290" s="57" t="n">
        <f aca="false">IF(OR($B290="",$E290="",$F290=""),0,MAX(0,MIN($F290,EOMONTH(DATE(cfg_FY,10,1),0))-MAX($E290,DATE(cfg_FY,10,1))+1)*(1-IF($M290="نعم",0,N($J290))))</f>
        <v>0</v>
      </c>
      <c r="AF290" s="57" t="n">
        <f aca="false">IF(OR($B290="",$E290="",$F290=""),0,MAX(0,MIN($F290,EOMONTH(DATE(cfg_FY,11,1),0))-MAX($E290,DATE(cfg_FY,11,1))+1)*(1-IF($M290="نعم",0,N($J290))))</f>
        <v>0</v>
      </c>
      <c r="AG290" s="57" t="n">
        <f aca="false">IF(OR($B290="",$E290="",$F290=""),0,MAX(0,MIN($F290,EOMONTH(DATE(cfg_FY,12,1),0))-MAX($E290,DATE(cfg_FY,12,1))+1)*(1-IF($M290="نعم",0,N($J290))))</f>
        <v>0</v>
      </c>
      <c r="AH290" s="57" t="n">
        <f aca="false">IF(OR(OR($B290="",$E290="",$F290=""),$L290&lt;&gt;"لا"),0,MAX(0,MIN($F290,EOMONTH(DATE(cfg_FY,1,1),0))-$E290+1))</f>
        <v>0</v>
      </c>
      <c r="AI290" s="57" t="n">
        <f aca="false">IF(OR(OR($B290="",$E290="",$F290=""),$L290&lt;&gt;"لا"),0,MAX(0,MIN($F290,EOMONTH(DATE(cfg_FY,2,1),0))-$E290+1))</f>
        <v>0</v>
      </c>
      <c r="AJ290" s="57" t="n">
        <f aca="false">IF(OR(OR($B290="",$E290="",$F290=""),$L290&lt;&gt;"لا"),0,MAX(0,MIN($F290,EOMONTH(DATE(cfg_FY,3,1),0))-$E290+1))</f>
        <v>0</v>
      </c>
      <c r="AK290" s="57" t="n">
        <f aca="false">IF(OR(OR($B290="",$E290="",$F290=""),$L290&lt;&gt;"لا"),0,MAX(0,MIN($F290,EOMONTH(DATE(cfg_FY,4,1),0))-$E290+1))</f>
        <v>0</v>
      </c>
      <c r="AL290" s="57" t="n">
        <f aca="false">IF(OR(OR($B290="",$E290="",$F290=""),$L290&lt;&gt;"لا"),0,MAX(0,MIN($F290,EOMONTH(DATE(cfg_FY,5,1),0))-$E290+1))</f>
        <v>0</v>
      </c>
      <c r="AM290" s="57" t="n">
        <f aca="false">IF(OR(OR($B290="",$E290="",$F290=""),$L290&lt;&gt;"لا"),0,MAX(0,MIN($F290,EOMONTH(DATE(cfg_FY,6,1),0))-$E290+1))</f>
        <v>0</v>
      </c>
      <c r="AN290" s="57" t="n">
        <f aca="false">IF(OR(OR($B290="",$E290="",$F290=""),$L290&lt;&gt;"لا"),0,MAX(0,MIN($F290,EOMONTH(DATE(cfg_FY,7,1),0))-$E290+1))</f>
        <v>0</v>
      </c>
      <c r="AO290" s="57" t="n">
        <f aca="false">IF(OR(OR($B290="",$E290="",$F290=""),$L290&lt;&gt;"لا"),0,MAX(0,MIN($F290,EOMONTH(DATE(cfg_FY,8,1),0))-$E290+1))</f>
        <v>0</v>
      </c>
      <c r="AP290" s="57" t="n">
        <f aca="false">IF(OR(OR($B290="",$E290="",$F290=""),$L290&lt;&gt;"لا"),0,MAX(0,MIN($F290,EOMONTH(DATE(cfg_FY,9,1),0))-$E290+1))</f>
        <v>0</v>
      </c>
      <c r="AQ290" s="57" t="n">
        <f aca="false">IF(OR(OR($B290="",$E290="",$F290=""),$L290&lt;&gt;"لا"),0,MAX(0,MIN($F290,EOMONTH(DATE(cfg_FY,10,1),0))-$E290+1))</f>
        <v>0</v>
      </c>
      <c r="AR290" s="57" t="n">
        <f aca="false">IF(OR(OR($B290="",$E290="",$F290=""),$L290&lt;&gt;"لا"),0,MAX(0,MIN($F290,EOMONTH(DATE(cfg_FY,11,1),0))-$E290+1))</f>
        <v>0</v>
      </c>
      <c r="AS290" s="57" t="n">
        <f aca="false">IF(OR(OR($B290="",$E290="",$F290=""),$L290&lt;&gt;"لا"),0,MAX(0,MIN($F290,EOMONTH(DATE(cfg_FY,12,1),0))-$E290+1))</f>
        <v>0</v>
      </c>
      <c r="AT290" s="57" t="n">
        <f aca="false">IF(OR(OR($B290="",$E290="",$F290=""),$K290&lt;&gt;"نعم",$M290="نعم"),0,MAX(0,MIN($F290,EOMONTH(DATE(cfg_FY,1,1),0))-MAX($E290,DATE(cfg_FY,1,1))+1))</f>
        <v>0</v>
      </c>
      <c r="AU290" s="57" t="n">
        <f aca="false">IF(OR(OR($B290="",$E290="",$F290=""),$K290&lt;&gt;"نعم",$M290="نعم"),0,MAX(0,MIN($F290,EOMONTH(DATE(cfg_FY,2,1),0))-MAX($E290,DATE(cfg_FY,2,1))+1))</f>
        <v>0</v>
      </c>
      <c r="AV290" s="57" t="n">
        <f aca="false">IF(OR(OR($B290="",$E290="",$F290=""),$K290&lt;&gt;"نعم",$M290="نعم"),0,MAX(0,MIN($F290,EOMONTH(DATE(cfg_FY,3,1),0))-MAX($E290,DATE(cfg_FY,3,1))+1))</f>
        <v>0</v>
      </c>
      <c r="AW290" s="57" t="n">
        <f aca="false">IF(OR(OR($B290="",$E290="",$F290=""),$K290&lt;&gt;"نعم",$M290="نعم"),0,MAX(0,MIN($F290,EOMONTH(DATE(cfg_FY,4,1),0))-MAX($E290,DATE(cfg_FY,4,1))+1))</f>
        <v>0</v>
      </c>
      <c r="AX290" s="57" t="n">
        <f aca="false">IF(OR(OR($B290="",$E290="",$F290=""),$K290&lt;&gt;"نعم",$M290="نعم"),0,MAX(0,MIN($F290,EOMONTH(DATE(cfg_FY,5,1),0))-MAX($E290,DATE(cfg_FY,5,1))+1))</f>
        <v>0</v>
      </c>
      <c r="AY290" s="57" t="n">
        <f aca="false">IF(OR(OR($B290="",$E290="",$F290=""),$K290&lt;&gt;"نعم",$M290="نعم"),0,MAX(0,MIN($F290,EOMONTH(DATE(cfg_FY,6,1),0))-MAX($E290,DATE(cfg_FY,6,1))+1))</f>
        <v>0</v>
      </c>
      <c r="AZ290" s="57" t="n">
        <f aca="false">IF(OR(OR($B290="",$E290="",$F290=""),$K290&lt;&gt;"نعم",$M290="نعم"),0,MAX(0,MIN($F290,EOMONTH(DATE(cfg_FY,7,1),0))-MAX($E290,DATE(cfg_FY,7,1))+1))</f>
        <v>0</v>
      </c>
      <c r="BA290" s="57" t="n">
        <f aca="false">IF(OR(OR($B290="",$E290="",$F290=""),$K290&lt;&gt;"نعم",$M290="نعم"),0,MAX(0,MIN($F290,EOMONTH(DATE(cfg_FY,8,1),0))-MAX($E290,DATE(cfg_FY,8,1))+1))</f>
        <v>0</v>
      </c>
      <c r="BB290" s="57" t="n">
        <f aca="false">IF(OR(OR($B290="",$E290="",$F290=""),$K290&lt;&gt;"نعم",$M290="نعم"),0,MAX(0,MIN($F290,EOMONTH(DATE(cfg_FY,9,1),0))-MAX($E290,DATE(cfg_FY,9,1))+1))</f>
        <v>0</v>
      </c>
      <c r="BC290" s="57" t="n">
        <f aca="false">IF(OR(OR($B290="",$E290="",$F290=""),$K290&lt;&gt;"نعم",$M290="نعم"),0,MAX(0,MIN($F290,EOMONTH(DATE(cfg_FY,10,1),0))-MAX($E290,DATE(cfg_FY,10,1))+1))</f>
        <v>0</v>
      </c>
      <c r="BD290" s="57" t="n">
        <f aca="false">IF(OR(OR($B290="",$E290="",$F290=""),$K290&lt;&gt;"نعم",$M290="نعم"),0,MAX(0,MIN($F290,EOMONTH(DATE(cfg_FY,11,1),0))-MAX($E290,DATE(cfg_FY,11,1))+1))</f>
        <v>0</v>
      </c>
      <c r="BE290" s="57" t="n">
        <f aca="false">IF(OR(OR($B290="",$E290="",$F290=""),$K290&lt;&gt;"نعم",$M290="نعم"),0,MAX(0,MIN($F290,EOMONTH(DATE(cfg_FY,12,1),0))-MAX($E290,DATE(cfg_FY,12,1))+1))</f>
        <v>0</v>
      </c>
    </row>
    <row r="291" customFormat="false" ht="15" hidden="false" customHeight="false" outlineLevel="0" collapsed="false">
      <c r="A291" s="100" t="str">
        <f aca="false">IF(B291="","",ROW()-5)</f>
        <v/>
      </c>
      <c r="B291" s="79"/>
      <c r="C291" s="102" t="str">
        <f aca="false">IF(B291="","",IFERROR(INDEX(الموظفون!$C$6:$C$105,MATCH(B291,الموظفون!$B$6:$B$105,0)),"✖ رقم غير موجود"))</f>
        <v/>
      </c>
      <c r="D291" s="79"/>
      <c r="E291" s="94"/>
      <c r="F291" s="94"/>
      <c r="G291" s="110" t="str">
        <f aca="false">IF(OR($B291="",$E291="",$F291=""),"",MAX(0,F291-E291+1))</f>
        <v/>
      </c>
      <c r="H291" s="111" t="str">
        <f aca="false">IF(D291="","",IFERROR(VLOOKUP(D291,cfg_LT,2,FALSE()),1))</f>
        <v/>
      </c>
      <c r="I291" s="82"/>
      <c r="J291" s="111" t="str">
        <f aca="false">IF(D291="","",IF(I291&lt;&gt;"",I291,H291))</f>
        <v/>
      </c>
      <c r="K291" s="102" t="str">
        <f aca="false">IF(D291="","",IFERROR(VLOOKUP($D291,cfg_LT,3,FALSE()),""))</f>
        <v/>
      </c>
      <c r="L291" s="102" t="str">
        <f aca="false">IF(D291="","",IFERROR(VLOOKUP($D291,cfg_LT,4,FALSE()),""))</f>
        <v/>
      </c>
      <c r="M291" s="102" t="str">
        <f aca="false">IF(D291="","",IFERROR(VLOOKUP($D291,cfg_LT,5,FALSE()),""))</f>
        <v/>
      </c>
      <c r="N291" s="101" t="n">
        <f aca="false">IF(OR(OR($B291="",$E291="",$F291=""),M291&lt;&gt;"نعم"),0,G291*J291*IFERROR(INDEX(الموظفون!$R$6:$R$105,MATCH(B291,الموظفون!$B$6:$B$105,0)),0)/cfg_DAYS_M)</f>
        <v>0</v>
      </c>
      <c r="O291" s="100" t="str">
        <f aca="false">IF(OR(OR($B291="",$E291="",$F291=""),M291&lt;&gt;"نعم"),"",IF(YEAR(E291)=cfg_FY,MONTH(E291),""))</f>
        <v/>
      </c>
      <c r="P291" s="102" t="str">
        <f aca="false">IF(B291="","",IF(OR(D291="",E291="",F291=""),"⚠ أكمل النوع والتواريخ",IF(F291&lt;E291,"✖ النهاية قبل البداية",IF(COUNTIFS($B$6:$B$505,B291,$E$6:$E$505,"&lt;="&amp;F291,$F$6:$F$505,"&gt;="&amp;E291)&gt;1,"⚠ تداخل مع سجل آخر",IF(E291&gt;cfg_VAL_DATE,"⏳ قادمة",IF(F291&lt;cfg_VAL_DATE,"✔ منتهية","✈ جارية في تاريخ التقرير"))))))</f>
        <v/>
      </c>
      <c r="Q291" s="79"/>
      <c r="R291" s="110" t="n">
        <f aca="false">IF(OR(OR($B291="",$E291="",$F291=""),L291&lt;&gt;"لا"),0,MAX(0,MIN(F291,cfg_Y_START-1)-E291+1))</f>
        <v>0</v>
      </c>
      <c r="S291" s="110" t="n">
        <f aca="false">IF(OR(OR($B291="",$E291="",$F291=""),L291&lt;&gt;"لا"),0,MAX(0,MIN(F291,cfg_VAL_DATE)-E291+1))</f>
        <v>0</v>
      </c>
      <c r="T291" s="110" t="n">
        <f aca="false">IF(OR(OR($B291="",$E291="",$F291=""),K291&lt;&gt;"نعم"),0,IF(M291="نعم",IF(AND(ISNUMBER(O291),N(O291)&lt;=cfg_VAL_M),G291,0),MAX(0,MIN(F291,cfg_VAL_DATE)-MAX(E291,cfg_Y_START)+1)))</f>
        <v>0</v>
      </c>
      <c r="V291" s="110" t="n">
        <f aca="false">IF(OR($B291="",$E291="",$F291=""),0,MAX(0,MIN($F291,EOMONTH(DATE(cfg_FY,1,1),0))-MAX($E291,DATE(cfg_FY,1,1))+1)*(1-IF($M291="نعم",0,N($J291))))</f>
        <v>0</v>
      </c>
      <c r="W291" s="110" t="n">
        <f aca="false">IF(OR($B291="",$E291="",$F291=""),0,MAX(0,MIN($F291,EOMONTH(DATE(cfg_FY,2,1),0))-MAX($E291,DATE(cfg_FY,2,1))+1)*(1-IF($M291="نعم",0,N($J291))))</f>
        <v>0</v>
      </c>
      <c r="X291" s="110" t="n">
        <f aca="false">IF(OR($B291="",$E291="",$F291=""),0,MAX(0,MIN($F291,EOMONTH(DATE(cfg_FY,3,1),0))-MAX($E291,DATE(cfg_FY,3,1))+1)*(1-IF($M291="نعم",0,N($J291))))</f>
        <v>0</v>
      </c>
      <c r="Y291" s="110" t="n">
        <f aca="false">IF(OR($B291="",$E291="",$F291=""),0,MAX(0,MIN($F291,EOMONTH(DATE(cfg_FY,4,1),0))-MAX($E291,DATE(cfg_FY,4,1))+1)*(1-IF($M291="نعم",0,N($J291))))</f>
        <v>0</v>
      </c>
      <c r="Z291" s="110" t="n">
        <f aca="false">IF(OR($B291="",$E291="",$F291=""),0,MAX(0,MIN($F291,EOMONTH(DATE(cfg_FY,5,1),0))-MAX($E291,DATE(cfg_FY,5,1))+1)*(1-IF($M291="نعم",0,N($J291))))</f>
        <v>0</v>
      </c>
      <c r="AA291" s="110" t="n">
        <f aca="false">IF(OR($B291="",$E291="",$F291=""),0,MAX(0,MIN($F291,EOMONTH(DATE(cfg_FY,6,1),0))-MAX($E291,DATE(cfg_FY,6,1))+1)*(1-IF($M291="نعم",0,N($J291))))</f>
        <v>0</v>
      </c>
      <c r="AB291" s="110" t="n">
        <f aca="false">IF(OR($B291="",$E291="",$F291=""),0,MAX(0,MIN($F291,EOMONTH(DATE(cfg_FY,7,1),0))-MAX($E291,DATE(cfg_FY,7,1))+1)*(1-IF($M291="نعم",0,N($J291))))</f>
        <v>0</v>
      </c>
      <c r="AC291" s="110" t="n">
        <f aca="false">IF(OR($B291="",$E291="",$F291=""),0,MAX(0,MIN($F291,EOMONTH(DATE(cfg_FY,8,1),0))-MAX($E291,DATE(cfg_FY,8,1))+1)*(1-IF($M291="نعم",0,N($J291))))</f>
        <v>0</v>
      </c>
      <c r="AD291" s="110" t="n">
        <f aca="false">IF(OR($B291="",$E291="",$F291=""),0,MAX(0,MIN($F291,EOMONTH(DATE(cfg_FY,9,1),0))-MAX($E291,DATE(cfg_FY,9,1))+1)*(1-IF($M291="نعم",0,N($J291))))</f>
        <v>0</v>
      </c>
      <c r="AE291" s="110" t="n">
        <f aca="false">IF(OR($B291="",$E291="",$F291=""),0,MAX(0,MIN($F291,EOMONTH(DATE(cfg_FY,10,1),0))-MAX($E291,DATE(cfg_FY,10,1))+1)*(1-IF($M291="نعم",0,N($J291))))</f>
        <v>0</v>
      </c>
      <c r="AF291" s="110" t="n">
        <f aca="false">IF(OR($B291="",$E291="",$F291=""),0,MAX(0,MIN($F291,EOMONTH(DATE(cfg_FY,11,1),0))-MAX($E291,DATE(cfg_FY,11,1))+1)*(1-IF($M291="نعم",0,N($J291))))</f>
        <v>0</v>
      </c>
      <c r="AG291" s="110" t="n">
        <f aca="false">IF(OR($B291="",$E291="",$F291=""),0,MAX(0,MIN($F291,EOMONTH(DATE(cfg_FY,12,1),0))-MAX($E291,DATE(cfg_FY,12,1))+1)*(1-IF($M291="نعم",0,N($J291))))</f>
        <v>0</v>
      </c>
      <c r="AH291" s="110" t="n">
        <f aca="false">IF(OR(OR($B291="",$E291="",$F291=""),$L291&lt;&gt;"لا"),0,MAX(0,MIN($F291,EOMONTH(DATE(cfg_FY,1,1),0))-$E291+1))</f>
        <v>0</v>
      </c>
      <c r="AI291" s="110" t="n">
        <f aca="false">IF(OR(OR($B291="",$E291="",$F291=""),$L291&lt;&gt;"لا"),0,MAX(0,MIN($F291,EOMONTH(DATE(cfg_FY,2,1),0))-$E291+1))</f>
        <v>0</v>
      </c>
      <c r="AJ291" s="110" t="n">
        <f aca="false">IF(OR(OR($B291="",$E291="",$F291=""),$L291&lt;&gt;"لا"),0,MAX(0,MIN($F291,EOMONTH(DATE(cfg_FY,3,1),0))-$E291+1))</f>
        <v>0</v>
      </c>
      <c r="AK291" s="110" t="n">
        <f aca="false">IF(OR(OR($B291="",$E291="",$F291=""),$L291&lt;&gt;"لا"),0,MAX(0,MIN($F291,EOMONTH(DATE(cfg_FY,4,1),0))-$E291+1))</f>
        <v>0</v>
      </c>
      <c r="AL291" s="110" t="n">
        <f aca="false">IF(OR(OR($B291="",$E291="",$F291=""),$L291&lt;&gt;"لا"),0,MAX(0,MIN($F291,EOMONTH(DATE(cfg_FY,5,1),0))-$E291+1))</f>
        <v>0</v>
      </c>
      <c r="AM291" s="110" t="n">
        <f aca="false">IF(OR(OR($B291="",$E291="",$F291=""),$L291&lt;&gt;"لا"),0,MAX(0,MIN($F291,EOMONTH(DATE(cfg_FY,6,1),0))-$E291+1))</f>
        <v>0</v>
      </c>
      <c r="AN291" s="110" t="n">
        <f aca="false">IF(OR(OR($B291="",$E291="",$F291=""),$L291&lt;&gt;"لا"),0,MAX(0,MIN($F291,EOMONTH(DATE(cfg_FY,7,1),0))-$E291+1))</f>
        <v>0</v>
      </c>
      <c r="AO291" s="110" t="n">
        <f aca="false">IF(OR(OR($B291="",$E291="",$F291=""),$L291&lt;&gt;"لا"),0,MAX(0,MIN($F291,EOMONTH(DATE(cfg_FY,8,1),0))-$E291+1))</f>
        <v>0</v>
      </c>
      <c r="AP291" s="110" t="n">
        <f aca="false">IF(OR(OR($B291="",$E291="",$F291=""),$L291&lt;&gt;"لا"),0,MAX(0,MIN($F291,EOMONTH(DATE(cfg_FY,9,1),0))-$E291+1))</f>
        <v>0</v>
      </c>
      <c r="AQ291" s="110" t="n">
        <f aca="false">IF(OR(OR($B291="",$E291="",$F291=""),$L291&lt;&gt;"لا"),0,MAX(0,MIN($F291,EOMONTH(DATE(cfg_FY,10,1),0))-$E291+1))</f>
        <v>0</v>
      </c>
      <c r="AR291" s="110" t="n">
        <f aca="false">IF(OR(OR($B291="",$E291="",$F291=""),$L291&lt;&gt;"لا"),0,MAX(0,MIN($F291,EOMONTH(DATE(cfg_FY,11,1),0))-$E291+1))</f>
        <v>0</v>
      </c>
      <c r="AS291" s="110" t="n">
        <f aca="false">IF(OR(OR($B291="",$E291="",$F291=""),$L291&lt;&gt;"لا"),0,MAX(0,MIN($F291,EOMONTH(DATE(cfg_FY,12,1),0))-$E291+1))</f>
        <v>0</v>
      </c>
      <c r="AT291" s="110" t="n">
        <f aca="false">IF(OR(OR($B291="",$E291="",$F291=""),$K291&lt;&gt;"نعم",$M291="نعم"),0,MAX(0,MIN($F291,EOMONTH(DATE(cfg_FY,1,1),0))-MAX($E291,DATE(cfg_FY,1,1))+1))</f>
        <v>0</v>
      </c>
      <c r="AU291" s="110" t="n">
        <f aca="false">IF(OR(OR($B291="",$E291="",$F291=""),$K291&lt;&gt;"نعم",$M291="نعم"),0,MAX(0,MIN($F291,EOMONTH(DATE(cfg_FY,2,1),0))-MAX($E291,DATE(cfg_FY,2,1))+1))</f>
        <v>0</v>
      </c>
      <c r="AV291" s="110" t="n">
        <f aca="false">IF(OR(OR($B291="",$E291="",$F291=""),$K291&lt;&gt;"نعم",$M291="نعم"),0,MAX(0,MIN($F291,EOMONTH(DATE(cfg_FY,3,1),0))-MAX($E291,DATE(cfg_FY,3,1))+1))</f>
        <v>0</v>
      </c>
      <c r="AW291" s="110" t="n">
        <f aca="false">IF(OR(OR($B291="",$E291="",$F291=""),$K291&lt;&gt;"نعم",$M291="نعم"),0,MAX(0,MIN($F291,EOMONTH(DATE(cfg_FY,4,1),0))-MAX($E291,DATE(cfg_FY,4,1))+1))</f>
        <v>0</v>
      </c>
      <c r="AX291" s="110" t="n">
        <f aca="false">IF(OR(OR($B291="",$E291="",$F291=""),$K291&lt;&gt;"نعم",$M291="نعم"),0,MAX(0,MIN($F291,EOMONTH(DATE(cfg_FY,5,1),0))-MAX($E291,DATE(cfg_FY,5,1))+1))</f>
        <v>0</v>
      </c>
      <c r="AY291" s="110" t="n">
        <f aca="false">IF(OR(OR($B291="",$E291="",$F291=""),$K291&lt;&gt;"نعم",$M291="نعم"),0,MAX(0,MIN($F291,EOMONTH(DATE(cfg_FY,6,1),0))-MAX($E291,DATE(cfg_FY,6,1))+1))</f>
        <v>0</v>
      </c>
      <c r="AZ291" s="110" t="n">
        <f aca="false">IF(OR(OR($B291="",$E291="",$F291=""),$K291&lt;&gt;"نعم",$M291="نعم"),0,MAX(0,MIN($F291,EOMONTH(DATE(cfg_FY,7,1),0))-MAX($E291,DATE(cfg_FY,7,1))+1))</f>
        <v>0</v>
      </c>
      <c r="BA291" s="110" t="n">
        <f aca="false">IF(OR(OR($B291="",$E291="",$F291=""),$K291&lt;&gt;"نعم",$M291="نعم"),0,MAX(0,MIN($F291,EOMONTH(DATE(cfg_FY,8,1),0))-MAX($E291,DATE(cfg_FY,8,1))+1))</f>
        <v>0</v>
      </c>
      <c r="BB291" s="110" t="n">
        <f aca="false">IF(OR(OR($B291="",$E291="",$F291=""),$K291&lt;&gt;"نعم",$M291="نعم"),0,MAX(0,MIN($F291,EOMONTH(DATE(cfg_FY,9,1),0))-MAX($E291,DATE(cfg_FY,9,1))+1))</f>
        <v>0</v>
      </c>
      <c r="BC291" s="110" t="n">
        <f aca="false">IF(OR(OR($B291="",$E291="",$F291=""),$K291&lt;&gt;"نعم",$M291="نعم"),0,MAX(0,MIN($F291,EOMONTH(DATE(cfg_FY,10,1),0))-MAX($E291,DATE(cfg_FY,10,1))+1))</f>
        <v>0</v>
      </c>
      <c r="BD291" s="110" t="n">
        <f aca="false">IF(OR(OR($B291="",$E291="",$F291=""),$K291&lt;&gt;"نعم",$M291="نعم"),0,MAX(0,MIN($F291,EOMONTH(DATE(cfg_FY,11,1),0))-MAX($E291,DATE(cfg_FY,11,1))+1))</f>
        <v>0</v>
      </c>
      <c r="BE291" s="110" t="n">
        <f aca="false">IF(OR(OR($B291="",$E291="",$F291=""),$K291&lt;&gt;"نعم",$M291="نعم"),0,MAX(0,MIN($F291,EOMONTH(DATE(cfg_FY,12,1),0))-MAX($E291,DATE(cfg_FY,12,1))+1))</f>
        <v>0</v>
      </c>
    </row>
    <row r="292" customFormat="false" ht="15" hidden="false" customHeight="false" outlineLevel="0" collapsed="false">
      <c r="A292" s="93" t="str">
        <f aca="false">IF(B292="","",ROW()-5)</f>
        <v/>
      </c>
      <c r="B292" s="79"/>
      <c r="C292" s="80" t="str">
        <f aca="false">IF(B292="","",IFERROR(INDEX(الموظفون!$C$6:$C$105,MATCH(B292,الموظفون!$B$6:$B$105,0)),"✖ رقم غير موجود"))</f>
        <v/>
      </c>
      <c r="D292" s="79"/>
      <c r="E292" s="94"/>
      <c r="F292" s="94"/>
      <c r="G292" s="57" t="str">
        <f aca="false">IF(OR($B292="",$E292="",$F292=""),"",MAX(0,F292-E292+1))</f>
        <v/>
      </c>
      <c r="H292" s="58" t="str">
        <f aca="false">IF(D292="","",IFERROR(VLOOKUP(D292,cfg_LT,2,FALSE()),1))</f>
        <v/>
      </c>
      <c r="I292" s="82"/>
      <c r="J292" s="58" t="str">
        <f aca="false">IF(D292="","",IF(I292&lt;&gt;"",I292,H292))</f>
        <v/>
      </c>
      <c r="K292" s="80" t="str">
        <f aca="false">IF(D292="","",IFERROR(VLOOKUP($D292,cfg_LT,3,FALSE()),""))</f>
        <v/>
      </c>
      <c r="L292" s="80" t="str">
        <f aca="false">IF(D292="","",IFERROR(VLOOKUP($D292,cfg_LT,4,FALSE()),""))</f>
        <v/>
      </c>
      <c r="M292" s="80" t="str">
        <f aca="false">IF(D292="","",IFERROR(VLOOKUP($D292,cfg_LT,5,FALSE()),""))</f>
        <v/>
      </c>
      <c r="N292" s="97" t="n">
        <f aca="false">IF(OR(OR($B292="",$E292="",$F292=""),M292&lt;&gt;"نعم"),0,G292*J292*IFERROR(INDEX(الموظفون!$R$6:$R$105,MATCH(B292,الموظفون!$B$6:$B$105,0)),0)/cfg_DAYS_M)</f>
        <v>0</v>
      </c>
      <c r="O292" s="93" t="str">
        <f aca="false">IF(OR(OR($B292="",$E292="",$F292=""),M292&lt;&gt;"نعم"),"",IF(YEAR(E292)=cfg_FY,MONTH(E292),""))</f>
        <v/>
      </c>
      <c r="P292" s="80" t="str">
        <f aca="false">IF(B292="","",IF(OR(D292="",E292="",F292=""),"⚠ أكمل النوع والتواريخ",IF(F292&lt;E292,"✖ النهاية قبل البداية",IF(COUNTIFS($B$6:$B$505,B292,$E$6:$E$505,"&lt;="&amp;F292,$F$6:$F$505,"&gt;="&amp;E292)&gt;1,"⚠ تداخل مع سجل آخر",IF(E292&gt;cfg_VAL_DATE,"⏳ قادمة",IF(F292&lt;cfg_VAL_DATE,"✔ منتهية","✈ جارية في تاريخ التقرير"))))))</f>
        <v/>
      </c>
      <c r="Q292" s="79"/>
      <c r="R292" s="57" t="n">
        <f aca="false">IF(OR(OR($B292="",$E292="",$F292=""),L292&lt;&gt;"لا"),0,MAX(0,MIN(F292,cfg_Y_START-1)-E292+1))</f>
        <v>0</v>
      </c>
      <c r="S292" s="57" t="n">
        <f aca="false">IF(OR(OR($B292="",$E292="",$F292=""),L292&lt;&gt;"لا"),0,MAX(0,MIN(F292,cfg_VAL_DATE)-E292+1))</f>
        <v>0</v>
      </c>
      <c r="T292" s="57" t="n">
        <f aca="false">IF(OR(OR($B292="",$E292="",$F292=""),K292&lt;&gt;"نعم"),0,IF(M292="نعم",IF(AND(ISNUMBER(O292),N(O292)&lt;=cfg_VAL_M),G292,0),MAX(0,MIN(F292,cfg_VAL_DATE)-MAX(E292,cfg_Y_START)+1)))</f>
        <v>0</v>
      </c>
      <c r="V292" s="57" t="n">
        <f aca="false">IF(OR($B292="",$E292="",$F292=""),0,MAX(0,MIN($F292,EOMONTH(DATE(cfg_FY,1,1),0))-MAX($E292,DATE(cfg_FY,1,1))+1)*(1-IF($M292="نعم",0,N($J292))))</f>
        <v>0</v>
      </c>
      <c r="W292" s="57" t="n">
        <f aca="false">IF(OR($B292="",$E292="",$F292=""),0,MAX(0,MIN($F292,EOMONTH(DATE(cfg_FY,2,1),0))-MAX($E292,DATE(cfg_FY,2,1))+1)*(1-IF($M292="نعم",0,N($J292))))</f>
        <v>0</v>
      </c>
      <c r="X292" s="57" t="n">
        <f aca="false">IF(OR($B292="",$E292="",$F292=""),0,MAX(0,MIN($F292,EOMONTH(DATE(cfg_FY,3,1),0))-MAX($E292,DATE(cfg_FY,3,1))+1)*(1-IF($M292="نعم",0,N($J292))))</f>
        <v>0</v>
      </c>
      <c r="Y292" s="57" t="n">
        <f aca="false">IF(OR($B292="",$E292="",$F292=""),0,MAX(0,MIN($F292,EOMONTH(DATE(cfg_FY,4,1),0))-MAX($E292,DATE(cfg_FY,4,1))+1)*(1-IF($M292="نعم",0,N($J292))))</f>
        <v>0</v>
      </c>
      <c r="Z292" s="57" t="n">
        <f aca="false">IF(OR($B292="",$E292="",$F292=""),0,MAX(0,MIN($F292,EOMONTH(DATE(cfg_FY,5,1),0))-MAX($E292,DATE(cfg_FY,5,1))+1)*(1-IF($M292="نعم",0,N($J292))))</f>
        <v>0</v>
      </c>
      <c r="AA292" s="57" t="n">
        <f aca="false">IF(OR($B292="",$E292="",$F292=""),0,MAX(0,MIN($F292,EOMONTH(DATE(cfg_FY,6,1),0))-MAX($E292,DATE(cfg_FY,6,1))+1)*(1-IF($M292="نعم",0,N($J292))))</f>
        <v>0</v>
      </c>
      <c r="AB292" s="57" t="n">
        <f aca="false">IF(OR($B292="",$E292="",$F292=""),0,MAX(0,MIN($F292,EOMONTH(DATE(cfg_FY,7,1),0))-MAX($E292,DATE(cfg_FY,7,1))+1)*(1-IF($M292="نعم",0,N($J292))))</f>
        <v>0</v>
      </c>
      <c r="AC292" s="57" t="n">
        <f aca="false">IF(OR($B292="",$E292="",$F292=""),0,MAX(0,MIN($F292,EOMONTH(DATE(cfg_FY,8,1),0))-MAX($E292,DATE(cfg_FY,8,1))+1)*(1-IF($M292="نعم",0,N($J292))))</f>
        <v>0</v>
      </c>
      <c r="AD292" s="57" t="n">
        <f aca="false">IF(OR($B292="",$E292="",$F292=""),0,MAX(0,MIN($F292,EOMONTH(DATE(cfg_FY,9,1),0))-MAX($E292,DATE(cfg_FY,9,1))+1)*(1-IF($M292="نعم",0,N($J292))))</f>
        <v>0</v>
      </c>
      <c r="AE292" s="57" t="n">
        <f aca="false">IF(OR($B292="",$E292="",$F292=""),0,MAX(0,MIN($F292,EOMONTH(DATE(cfg_FY,10,1),0))-MAX($E292,DATE(cfg_FY,10,1))+1)*(1-IF($M292="نعم",0,N($J292))))</f>
        <v>0</v>
      </c>
      <c r="AF292" s="57" t="n">
        <f aca="false">IF(OR($B292="",$E292="",$F292=""),0,MAX(0,MIN($F292,EOMONTH(DATE(cfg_FY,11,1),0))-MAX($E292,DATE(cfg_FY,11,1))+1)*(1-IF($M292="نعم",0,N($J292))))</f>
        <v>0</v>
      </c>
      <c r="AG292" s="57" t="n">
        <f aca="false">IF(OR($B292="",$E292="",$F292=""),0,MAX(0,MIN($F292,EOMONTH(DATE(cfg_FY,12,1),0))-MAX($E292,DATE(cfg_FY,12,1))+1)*(1-IF($M292="نعم",0,N($J292))))</f>
        <v>0</v>
      </c>
      <c r="AH292" s="57" t="n">
        <f aca="false">IF(OR(OR($B292="",$E292="",$F292=""),$L292&lt;&gt;"لا"),0,MAX(0,MIN($F292,EOMONTH(DATE(cfg_FY,1,1),0))-$E292+1))</f>
        <v>0</v>
      </c>
      <c r="AI292" s="57" t="n">
        <f aca="false">IF(OR(OR($B292="",$E292="",$F292=""),$L292&lt;&gt;"لا"),0,MAX(0,MIN($F292,EOMONTH(DATE(cfg_FY,2,1),0))-$E292+1))</f>
        <v>0</v>
      </c>
      <c r="AJ292" s="57" t="n">
        <f aca="false">IF(OR(OR($B292="",$E292="",$F292=""),$L292&lt;&gt;"لا"),0,MAX(0,MIN($F292,EOMONTH(DATE(cfg_FY,3,1),0))-$E292+1))</f>
        <v>0</v>
      </c>
      <c r="AK292" s="57" t="n">
        <f aca="false">IF(OR(OR($B292="",$E292="",$F292=""),$L292&lt;&gt;"لا"),0,MAX(0,MIN($F292,EOMONTH(DATE(cfg_FY,4,1),0))-$E292+1))</f>
        <v>0</v>
      </c>
      <c r="AL292" s="57" t="n">
        <f aca="false">IF(OR(OR($B292="",$E292="",$F292=""),$L292&lt;&gt;"لا"),0,MAX(0,MIN($F292,EOMONTH(DATE(cfg_FY,5,1),0))-$E292+1))</f>
        <v>0</v>
      </c>
      <c r="AM292" s="57" t="n">
        <f aca="false">IF(OR(OR($B292="",$E292="",$F292=""),$L292&lt;&gt;"لا"),0,MAX(0,MIN($F292,EOMONTH(DATE(cfg_FY,6,1),0))-$E292+1))</f>
        <v>0</v>
      </c>
      <c r="AN292" s="57" t="n">
        <f aca="false">IF(OR(OR($B292="",$E292="",$F292=""),$L292&lt;&gt;"لا"),0,MAX(0,MIN($F292,EOMONTH(DATE(cfg_FY,7,1),0))-$E292+1))</f>
        <v>0</v>
      </c>
      <c r="AO292" s="57" t="n">
        <f aca="false">IF(OR(OR($B292="",$E292="",$F292=""),$L292&lt;&gt;"لا"),0,MAX(0,MIN($F292,EOMONTH(DATE(cfg_FY,8,1),0))-$E292+1))</f>
        <v>0</v>
      </c>
      <c r="AP292" s="57" t="n">
        <f aca="false">IF(OR(OR($B292="",$E292="",$F292=""),$L292&lt;&gt;"لا"),0,MAX(0,MIN($F292,EOMONTH(DATE(cfg_FY,9,1),0))-$E292+1))</f>
        <v>0</v>
      </c>
      <c r="AQ292" s="57" t="n">
        <f aca="false">IF(OR(OR($B292="",$E292="",$F292=""),$L292&lt;&gt;"لا"),0,MAX(0,MIN($F292,EOMONTH(DATE(cfg_FY,10,1),0))-$E292+1))</f>
        <v>0</v>
      </c>
      <c r="AR292" s="57" t="n">
        <f aca="false">IF(OR(OR($B292="",$E292="",$F292=""),$L292&lt;&gt;"لا"),0,MAX(0,MIN($F292,EOMONTH(DATE(cfg_FY,11,1),0))-$E292+1))</f>
        <v>0</v>
      </c>
      <c r="AS292" s="57" t="n">
        <f aca="false">IF(OR(OR($B292="",$E292="",$F292=""),$L292&lt;&gt;"لا"),0,MAX(0,MIN($F292,EOMONTH(DATE(cfg_FY,12,1),0))-$E292+1))</f>
        <v>0</v>
      </c>
      <c r="AT292" s="57" t="n">
        <f aca="false">IF(OR(OR($B292="",$E292="",$F292=""),$K292&lt;&gt;"نعم",$M292="نعم"),0,MAX(0,MIN($F292,EOMONTH(DATE(cfg_FY,1,1),0))-MAX($E292,DATE(cfg_FY,1,1))+1))</f>
        <v>0</v>
      </c>
      <c r="AU292" s="57" t="n">
        <f aca="false">IF(OR(OR($B292="",$E292="",$F292=""),$K292&lt;&gt;"نعم",$M292="نعم"),0,MAX(0,MIN($F292,EOMONTH(DATE(cfg_FY,2,1),0))-MAX($E292,DATE(cfg_FY,2,1))+1))</f>
        <v>0</v>
      </c>
      <c r="AV292" s="57" t="n">
        <f aca="false">IF(OR(OR($B292="",$E292="",$F292=""),$K292&lt;&gt;"نعم",$M292="نعم"),0,MAX(0,MIN($F292,EOMONTH(DATE(cfg_FY,3,1),0))-MAX($E292,DATE(cfg_FY,3,1))+1))</f>
        <v>0</v>
      </c>
      <c r="AW292" s="57" t="n">
        <f aca="false">IF(OR(OR($B292="",$E292="",$F292=""),$K292&lt;&gt;"نعم",$M292="نعم"),0,MAX(0,MIN($F292,EOMONTH(DATE(cfg_FY,4,1),0))-MAX($E292,DATE(cfg_FY,4,1))+1))</f>
        <v>0</v>
      </c>
      <c r="AX292" s="57" t="n">
        <f aca="false">IF(OR(OR($B292="",$E292="",$F292=""),$K292&lt;&gt;"نعم",$M292="نعم"),0,MAX(0,MIN($F292,EOMONTH(DATE(cfg_FY,5,1),0))-MAX($E292,DATE(cfg_FY,5,1))+1))</f>
        <v>0</v>
      </c>
      <c r="AY292" s="57" t="n">
        <f aca="false">IF(OR(OR($B292="",$E292="",$F292=""),$K292&lt;&gt;"نعم",$M292="نعم"),0,MAX(0,MIN($F292,EOMONTH(DATE(cfg_FY,6,1),0))-MAX($E292,DATE(cfg_FY,6,1))+1))</f>
        <v>0</v>
      </c>
      <c r="AZ292" s="57" t="n">
        <f aca="false">IF(OR(OR($B292="",$E292="",$F292=""),$K292&lt;&gt;"نعم",$M292="نعم"),0,MAX(0,MIN($F292,EOMONTH(DATE(cfg_FY,7,1),0))-MAX($E292,DATE(cfg_FY,7,1))+1))</f>
        <v>0</v>
      </c>
      <c r="BA292" s="57" t="n">
        <f aca="false">IF(OR(OR($B292="",$E292="",$F292=""),$K292&lt;&gt;"نعم",$M292="نعم"),0,MAX(0,MIN($F292,EOMONTH(DATE(cfg_FY,8,1),0))-MAX($E292,DATE(cfg_FY,8,1))+1))</f>
        <v>0</v>
      </c>
      <c r="BB292" s="57" t="n">
        <f aca="false">IF(OR(OR($B292="",$E292="",$F292=""),$K292&lt;&gt;"نعم",$M292="نعم"),0,MAX(0,MIN($F292,EOMONTH(DATE(cfg_FY,9,1),0))-MAX($E292,DATE(cfg_FY,9,1))+1))</f>
        <v>0</v>
      </c>
      <c r="BC292" s="57" t="n">
        <f aca="false">IF(OR(OR($B292="",$E292="",$F292=""),$K292&lt;&gt;"نعم",$M292="نعم"),0,MAX(0,MIN($F292,EOMONTH(DATE(cfg_FY,10,1),0))-MAX($E292,DATE(cfg_FY,10,1))+1))</f>
        <v>0</v>
      </c>
      <c r="BD292" s="57" t="n">
        <f aca="false">IF(OR(OR($B292="",$E292="",$F292=""),$K292&lt;&gt;"نعم",$M292="نعم"),0,MAX(0,MIN($F292,EOMONTH(DATE(cfg_FY,11,1),0))-MAX($E292,DATE(cfg_FY,11,1))+1))</f>
        <v>0</v>
      </c>
      <c r="BE292" s="57" t="n">
        <f aca="false">IF(OR(OR($B292="",$E292="",$F292=""),$K292&lt;&gt;"نعم",$M292="نعم"),0,MAX(0,MIN($F292,EOMONTH(DATE(cfg_FY,12,1),0))-MAX($E292,DATE(cfg_FY,12,1))+1))</f>
        <v>0</v>
      </c>
    </row>
    <row r="293" customFormat="false" ht="15" hidden="false" customHeight="false" outlineLevel="0" collapsed="false">
      <c r="A293" s="100" t="str">
        <f aca="false">IF(B293="","",ROW()-5)</f>
        <v/>
      </c>
      <c r="B293" s="79"/>
      <c r="C293" s="102" t="str">
        <f aca="false">IF(B293="","",IFERROR(INDEX(الموظفون!$C$6:$C$105,MATCH(B293,الموظفون!$B$6:$B$105,0)),"✖ رقم غير موجود"))</f>
        <v/>
      </c>
      <c r="D293" s="79"/>
      <c r="E293" s="94"/>
      <c r="F293" s="94"/>
      <c r="G293" s="110" t="str">
        <f aca="false">IF(OR($B293="",$E293="",$F293=""),"",MAX(0,F293-E293+1))</f>
        <v/>
      </c>
      <c r="H293" s="111" t="str">
        <f aca="false">IF(D293="","",IFERROR(VLOOKUP(D293,cfg_LT,2,FALSE()),1))</f>
        <v/>
      </c>
      <c r="I293" s="82"/>
      <c r="J293" s="111" t="str">
        <f aca="false">IF(D293="","",IF(I293&lt;&gt;"",I293,H293))</f>
        <v/>
      </c>
      <c r="K293" s="102" t="str">
        <f aca="false">IF(D293="","",IFERROR(VLOOKUP($D293,cfg_LT,3,FALSE()),""))</f>
        <v/>
      </c>
      <c r="L293" s="102" t="str">
        <f aca="false">IF(D293="","",IFERROR(VLOOKUP($D293,cfg_LT,4,FALSE()),""))</f>
        <v/>
      </c>
      <c r="M293" s="102" t="str">
        <f aca="false">IF(D293="","",IFERROR(VLOOKUP($D293,cfg_LT,5,FALSE()),""))</f>
        <v/>
      </c>
      <c r="N293" s="101" t="n">
        <f aca="false">IF(OR(OR($B293="",$E293="",$F293=""),M293&lt;&gt;"نعم"),0,G293*J293*IFERROR(INDEX(الموظفون!$R$6:$R$105,MATCH(B293,الموظفون!$B$6:$B$105,0)),0)/cfg_DAYS_M)</f>
        <v>0</v>
      </c>
      <c r="O293" s="100" t="str">
        <f aca="false">IF(OR(OR($B293="",$E293="",$F293=""),M293&lt;&gt;"نعم"),"",IF(YEAR(E293)=cfg_FY,MONTH(E293),""))</f>
        <v/>
      </c>
      <c r="P293" s="102" t="str">
        <f aca="false">IF(B293="","",IF(OR(D293="",E293="",F293=""),"⚠ أكمل النوع والتواريخ",IF(F293&lt;E293,"✖ النهاية قبل البداية",IF(COUNTIFS($B$6:$B$505,B293,$E$6:$E$505,"&lt;="&amp;F293,$F$6:$F$505,"&gt;="&amp;E293)&gt;1,"⚠ تداخل مع سجل آخر",IF(E293&gt;cfg_VAL_DATE,"⏳ قادمة",IF(F293&lt;cfg_VAL_DATE,"✔ منتهية","✈ جارية في تاريخ التقرير"))))))</f>
        <v/>
      </c>
      <c r="Q293" s="79"/>
      <c r="R293" s="110" t="n">
        <f aca="false">IF(OR(OR($B293="",$E293="",$F293=""),L293&lt;&gt;"لا"),0,MAX(0,MIN(F293,cfg_Y_START-1)-E293+1))</f>
        <v>0</v>
      </c>
      <c r="S293" s="110" t="n">
        <f aca="false">IF(OR(OR($B293="",$E293="",$F293=""),L293&lt;&gt;"لا"),0,MAX(0,MIN(F293,cfg_VAL_DATE)-E293+1))</f>
        <v>0</v>
      </c>
      <c r="T293" s="110" t="n">
        <f aca="false">IF(OR(OR($B293="",$E293="",$F293=""),K293&lt;&gt;"نعم"),0,IF(M293="نعم",IF(AND(ISNUMBER(O293),N(O293)&lt;=cfg_VAL_M),G293,0),MAX(0,MIN(F293,cfg_VAL_DATE)-MAX(E293,cfg_Y_START)+1)))</f>
        <v>0</v>
      </c>
      <c r="V293" s="110" t="n">
        <f aca="false">IF(OR($B293="",$E293="",$F293=""),0,MAX(0,MIN($F293,EOMONTH(DATE(cfg_FY,1,1),0))-MAX($E293,DATE(cfg_FY,1,1))+1)*(1-IF($M293="نعم",0,N($J293))))</f>
        <v>0</v>
      </c>
      <c r="W293" s="110" t="n">
        <f aca="false">IF(OR($B293="",$E293="",$F293=""),0,MAX(0,MIN($F293,EOMONTH(DATE(cfg_FY,2,1),0))-MAX($E293,DATE(cfg_FY,2,1))+1)*(1-IF($M293="نعم",0,N($J293))))</f>
        <v>0</v>
      </c>
      <c r="X293" s="110" t="n">
        <f aca="false">IF(OR($B293="",$E293="",$F293=""),0,MAX(0,MIN($F293,EOMONTH(DATE(cfg_FY,3,1),0))-MAX($E293,DATE(cfg_FY,3,1))+1)*(1-IF($M293="نعم",0,N($J293))))</f>
        <v>0</v>
      </c>
      <c r="Y293" s="110" t="n">
        <f aca="false">IF(OR($B293="",$E293="",$F293=""),0,MAX(0,MIN($F293,EOMONTH(DATE(cfg_FY,4,1),0))-MAX($E293,DATE(cfg_FY,4,1))+1)*(1-IF($M293="نعم",0,N($J293))))</f>
        <v>0</v>
      </c>
      <c r="Z293" s="110" t="n">
        <f aca="false">IF(OR($B293="",$E293="",$F293=""),0,MAX(0,MIN($F293,EOMONTH(DATE(cfg_FY,5,1),0))-MAX($E293,DATE(cfg_FY,5,1))+1)*(1-IF($M293="نعم",0,N($J293))))</f>
        <v>0</v>
      </c>
      <c r="AA293" s="110" t="n">
        <f aca="false">IF(OR($B293="",$E293="",$F293=""),0,MAX(0,MIN($F293,EOMONTH(DATE(cfg_FY,6,1),0))-MAX($E293,DATE(cfg_FY,6,1))+1)*(1-IF($M293="نعم",0,N($J293))))</f>
        <v>0</v>
      </c>
      <c r="AB293" s="110" t="n">
        <f aca="false">IF(OR($B293="",$E293="",$F293=""),0,MAX(0,MIN($F293,EOMONTH(DATE(cfg_FY,7,1),0))-MAX($E293,DATE(cfg_FY,7,1))+1)*(1-IF($M293="نعم",0,N($J293))))</f>
        <v>0</v>
      </c>
      <c r="AC293" s="110" t="n">
        <f aca="false">IF(OR($B293="",$E293="",$F293=""),0,MAX(0,MIN($F293,EOMONTH(DATE(cfg_FY,8,1),0))-MAX($E293,DATE(cfg_FY,8,1))+1)*(1-IF($M293="نعم",0,N($J293))))</f>
        <v>0</v>
      </c>
      <c r="AD293" s="110" t="n">
        <f aca="false">IF(OR($B293="",$E293="",$F293=""),0,MAX(0,MIN($F293,EOMONTH(DATE(cfg_FY,9,1),0))-MAX($E293,DATE(cfg_FY,9,1))+1)*(1-IF($M293="نعم",0,N($J293))))</f>
        <v>0</v>
      </c>
      <c r="AE293" s="110" t="n">
        <f aca="false">IF(OR($B293="",$E293="",$F293=""),0,MAX(0,MIN($F293,EOMONTH(DATE(cfg_FY,10,1),0))-MAX($E293,DATE(cfg_FY,10,1))+1)*(1-IF($M293="نعم",0,N($J293))))</f>
        <v>0</v>
      </c>
      <c r="AF293" s="110" t="n">
        <f aca="false">IF(OR($B293="",$E293="",$F293=""),0,MAX(0,MIN($F293,EOMONTH(DATE(cfg_FY,11,1),0))-MAX($E293,DATE(cfg_FY,11,1))+1)*(1-IF($M293="نعم",0,N($J293))))</f>
        <v>0</v>
      </c>
      <c r="AG293" s="110" t="n">
        <f aca="false">IF(OR($B293="",$E293="",$F293=""),0,MAX(0,MIN($F293,EOMONTH(DATE(cfg_FY,12,1),0))-MAX($E293,DATE(cfg_FY,12,1))+1)*(1-IF($M293="نعم",0,N($J293))))</f>
        <v>0</v>
      </c>
      <c r="AH293" s="110" t="n">
        <f aca="false">IF(OR(OR($B293="",$E293="",$F293=""),$L293&lt;&gt;"لا"),0,MAX(0,MIN($F293,EOMONTH(DATE(cfg_FY,1,1),0))-$E293+1))</f>
        <v>0</v>
      </c>
      <c r="AI293" s="110" t="n">
        <f aca="false">IF(OR(OR($B293="",$E293="",$F293=""),$L293&lt;&gt;"لا"),0,MAX(0,MIN($F293,EOMONTH(DATE(cfg_FY,2,1),0))-$E293+1))</f>
        <v>0</v>
      </c>
      <c r="AJ293" s="110" t="n">
        <f aca="false">IF(OR(OR($B293="",$E293="",$F293=""),$L293&lt;&gt;"لا"),0,MAX(0,MIN($F293,EOMONTH(DATE(cfg_FY,3,1),0))-$E293+1))</f>
        <v>0</v>
      </c>
      <c r="AK293" s="110" t="n">
        <f aca="false">IF(OR(OR($B293="",$E293="",$F293=""),$L293&lt;&gt;"لا"),0,MAX(0,MIN($F293,EOMONTH(DATE(cfg_FY,4,1),0))-$E293+1))</f>
        <v>0</v>
      </c>
      <c r="AL293" s="110" t="n">
        <f aca="false">IF(OR(OR($B293="",$E293="",$F293=""),$L293&lt;&gt;"لا"),0,MAX(0,MIN($F293,EOMONTH(DATE(cfg_FY,5,1),0))-$E293+1))</f>
        <v>0</v>
      </c>
      <c r="AM293" s="110" t="n">
        <f aca="false">IF(OR(OR($B293="",$E293="",$F293=""),$L293&lt;&gt;"لا"),0,MAX(0,MIN($F293,EOMONTH(DATE(cfg_FY,6,1),0))-$E293+1))</f>
        <v>0</v>
      </c>
      <c r="AN293" s="110" t="n">
        <f aca="false">IF(OR(OR($B293="",$E293="",$F293=""),$L293&lt;&gt;"لا"),0,MAX(0,MIN($F293,EOMONTH(DATE(cfg_FY,7,1),0))-$E293+1))</f>
        <v>0</v>
      </c>
      <c r="AO293" s="110" t="n">
        <f aca="false">IF(OR(OR($B293="",$E293="",$F293=""),$L293&lt;&gt;"لا"),0,MAX(0,MIN($F293,EOMONTH(DATE(cfg_FY,8,1),0))-$E293+1))</f>
        <v>0</v>
      </c>
      <c r="AP293" s="110" t="n">
        <f aca="false">IF(OR(OR($B293="",$E293="",$F293=""),$L293&lt;&gt;"لا"),0,MAX(0,MIN($F293,EOMONTH(DATE(cfg_FY,9,1),0))-$E293+1))</f>
        <v>0</v>
      </c>
      <c r="AQ293" s="110" t="n">
        <f aca="false">IF(OR(OR($B293="",$E293="",$F293=""),$L293&lt;&gt;"لا"),0,MAX(0,MIN($F293,EOMONTH(DATE(cfg_FY,10,1),0))-$E293+1))</f>
        <v>0</v>
      </c>
      <c r="AR293" s="110" t="n">
        <f aca="false">IF(OR(OR($B293="",$E293="",$F293=""),$L293&lt;&gt;"لا"),0,MAX(0,MIN($F293,EOMONTH(DATE(cfg_FY,11,1),0))-$E293+1))</f>
        <v>0</v>
      </c>
      <c r="AS293" s="110" t="n">
        <f aca="false">IF(OR(OR($B293="",$E293="",$F293=""),$L293&lt;&gt;"لا"),0,MAX(0,MIN($F293,EOMONTH(DATE(cfg_FY,12,1),0))-$E293+1))</f>
        <v>0</v>
      </c>
      <c r="AT293" s="110" t="n">
        <f aca="false">IF(OR(OR($B293="",$E293="",$F293=""),$K293&lt;&gt;"نعم",$M293="نعم"),0,MAX(0,MIN($F293,EOMONTH(DATE(cfg_FY,1,1),0))-MAX($E293,DATE(cfg_FY,1,1))+1))</f>
        <v>0</v>
      </c>
      <c r="AU293" s="110" t="n">
        <f aca="false">IF(OR(OR($B293="",$E293="",$F293=""),$K293&lt;&gt;"نعم",$M293="نعم"),0,MAX(0,MIN($F293,EOMONTH(DATE(cfg_FY,2,1),0))-MAX($E293,DATE(cfg_FY,2,1))+1))</f>
        <v>0</v>
      </c>
      <c r="AV293" s="110" t="n">
        <f aca="false">IF(OR(OR($B293="",$E293="",$F293=""),$K293&lt;&gt;"نعم",$M293="نعم"),0,MAX(0,MIN($F293,EOMONTH(DATE(cfg_FY,3,1),0))-MAX($E293,DATE(cfg_FY,3,1))+1))</f>
        <v>0</v>
      </c>
      <c r="AW293" s="110" t="n">
        <f aca="false">IF(OR(OR($B293="",$E293="",$F293=""),$K293&lt;&gt;"نعم",$M293="نعم"),0,MAX(0,MIN($F293,EOMONTH(DATE(cfg_FY,4,1),0))-MAX($E293,DATE(cfg_FY,4,1))+1))</f>
        <v>0</v>
      </c>
      <c r="AX293" s="110" t="n">
        <f aca="false">IF(OR(OR($B293="",$E293="",$F293=""),$K293&lt;&gt;"نعم",$M293="نعم"),0,MAX(0,MIN($F293,EOMONTH(DATE(cfg_FY,5,1),0))-MAX($E293,DATE(cfg_FY,5,1))+1))</f>
        <v>0</v>
      </c>
      <c r="AY293" s="110" t="n">
        <f aca="false">IF(OR(OR($B293="",$E293="",$F293=""),$K293&lt;&gt;"نعم",$M293="نعم"),0,MAX(0,MIN($F293,EOMONTH(DATE(cfg_FY,6,1),0))-MAX($E293,DATE(cfg_FY,6,1))+1))</f>
        <v>0</v>
      </c>
      <c r="AZ293" s="110" t="n">
        <f aca="false">IF(OR(OR($B293="",$E293="",$F293=""),$K293&lt;&gt;"نعم",$M293="نعم"),0,MAX(0,MIN($F293,EOMONTH(DATE(cfg_FY,7,1),0))-MAX($E293,DATE(cfg_FY,7,1))+1))</f>
        <v>0</v>
      </c>
      <c r="BA293" s="110" t="n">
        <f aca="false">IF(OR(OR($B293="",$E293="",$F293=""),$K293&lt;&gt;"نعم",$M293="نعم"),0,MAX(0,MIN($F293,EOMONTH(DATE(cfg_FY,8,1),0))-MAX($E293,DATE(cfg_FY,8,1))+1))</f>
        <v>0</v>
      </c>
      <c r="BB293" s="110" t="n">
        <f aca="false">IF(OR(OR($B293="",$E293="",$F293=""),$K293&lt;&gt;"نعم",$M293="نعم"),0,MAX(0,MIN($F293,EOMONTH(DATE(cfg_FY,9,1),0))-MAX($E293,DATE(cfg_FY,9,1))+1))</f>
        <v>0</v>
      </c>
      <c r="BC293" s="110" t="n">
        <f aca="false">IF(OR(OR($B293="",$E293="",$F293=""),$K293&lt;&gt;"نعم",$M293="نعم"),0,MAX(0,MIN($F293,EOMONTH(DATE(cfg_FY,10,1),0))-MAX($E293,DATE(cfg_FY,10,1))+1))</f>
        <v>0</v>
      </c>
      <c r="BD293" s="110" t="n">
        <f aca="false">IF(OR(OR($B293="",$E293="",$F293=""),$K293&lt;&gt;"نعم",$M293="نعم"),0,MAX(0,MIN($F293,EOMONTH(DATE(cfg_FY,11,1),0))-MAX($E293,DATE(cfg_FY,11,1))+1))</f>
        <v>0</v>
      </c>
      <c r="BE293" s="110" t="n">
        <f aca="false">IF(OR(OR($B293="",$E293="",$F293=""),$K293&lt;&gt;"نعم",$M293="نعم"),0,MAX(0,MIN($F293,EOMONTH(DATE(cfg_FY,12,1),0))-MAX($E293,DATE(cfg_FY,12,1))+1))</f>
        <v>0</v>
      </c>
    </row>
    <row r="294" customFormat="false" ht="15" hidden="false" customHeight="false" outlineLevel="0" collapsed="false">
      <c r="A294" s="93" t="str">
        <f aca="false">IF(B294="","",ROW()-5)</f>
        <v/>
      </c>
      <c r="B294" s="79"/>
      <c r="C294" s="80" t="str">
        <f aca="false">IF(B294="","",IFERROR(INDEX(الموظفون!$C$6:$C$105,MATCH(B294,الموظفون!$B$6:$B$105,0)),"✖ رقم غير موجود"))</f>
        <v/>
      </c>
      <c r="D294" s="79"/>
      <c r="E294" s="94"/>
      <c r="F294" s="94"/>
      <c r="G294" s="57" t="str">
        <f aca="false">IF(OR($B294="",$E294="",$F294=""),"",MAX(0,F294-E294+1))</f>
        <v/>
      </c>
      <c r="H294" s="58" t="str">
        <f aca="false">IF(D294="","",IFERROR(VLOOKUP(D294,cfg_LT,2,FALSE()),1))</f>
        <v/>
      </c>
      <c r="I294" s="82"/>
      <c r="J294" s="58" t="str">
        <f aca="false">IF(D294="","",IF(I294&lt;&gt;"",I294,H294))</f>
        <v/>
      </c>
      <c r="K294" s="80" t="str">
        <f aca="false">IF(D294="","",IFERROR(VLOOKUP($D294,cfg_LT,3,FALSE()),""))</f>
        <v/>
      </c>
      <c r="L294" s="80" t="str">
        <f aca="false">IF(D294="","",IFERROR(VLOOKUP($D294,cfg_LT,4,FALSE()),""))</f>
        <v/>
      </c>
      <c r="M294" s="80" t="str">
        <f aca="false">IF(D294="","",IFERROR(VLOOKUP($D294,cfg_LT,5,FALSE()),""))</f>
        <v/>
      </c>
      <c r="N294" s="97" t="n">
        <f aca="false">IF(OR(OR($B294="",$E294="",$F294=""),M294&lt;&gt;"نعم"),0,G294*J294*IFERROR(INDEX(الموظفون!$R$6:$R$105,MATCH(B294,الموظفون!$B$6:$B$105,0)),0)/cfg_DAYS_M)</f>
        <v>0</v>
      </c>
      <c r="O294" s="93" t="str">
        <f aca="false">IF(OR(OR($B294="",$E294="",$F294=""),M294&lt;&gt;"نعم"),"",IF(YEAR(E294)=cfg_FY,MONTH(E294),""))</f>
        <v/>
      </c>
      <c r="P294" s="80" t="str">
        <f aca="false">IF(B294="","",IF(OR(D294="",E294="",F294=""),"⚠ أكمل النوع والتواريخ",IF(F294&lt;E294,"✖ النهاية قبل البداية",IF(COUNTIFS($B$6:$B$505,B294,$E$6:$E$505,"&lt;="&amp;F294,$F$6:$F$505,"&gt;="&amp;E294)&gt;1,"⚠ تداخل مع سجل آخر",IF(E294&gt;cfg_VAL_DATE,"⏳ قادمة",IF(F294&lt;cfg_VAL_DATE,"✔ منتهية","✈ جارية في تاريخ التقرير"))))))</f>
        <v/>
      </c>
      <c r="Q294" s="79"/>
      <c r="R294" s="57" t="n">
        <f aca="false">IF(OR(OR($B294="",$E294="",$F294=""),L294&lt;&gt;"لا"),0,MAX(0,MIN(F294,cfg_Y_START-1)-E294+1))</f>
        <v>0</v>
      </c>
      <c r="S294" s="57" t="n">
        <f aca="false">IF(OR(OR($B294="",$E294="",$F294=""),L294&lt;&gt;"لا"),0,MAX(0,MIN(F294,cfg_VAL_DATE)-E294+1))</f>
        <v>0</v>
      </c>
      <c r="T294" s="57" t="n">
        <f aca="false">IF(OR(OR($B294="",$E294="",$F294=""),K294&lt;&gt;"نعم"),0,IF(M294="نعم",IF(AND(ISNUMBER(O294),N(O294)&lt;=cfg_VAL_M),G294,0),MAX(0,MIN(F294,cfg_VAL_DATE)-MAX(E294,cfg_Y_START)+1)))</f>
        <v>0</v>
      </c>
      <c r="V294" s="57" t="n">
        <f aca="false">IF(OR($B294="",$E294="",$F294=""),0,MAX(0,MIN($F294,EOMONTH(DATE(cfg_FY,1,1),0))-MAX($E294,DATE(cfg_FY,1,1))+1)*(1-IF($M294="نعم",0,N($J294))))</f>
        <v>0</v>
      </c>
      <c r="W294" s="57" t="n">
        <f aca="false">IF(OR($B294="",$E294="",$F294=""),0,MAX(0,MIN($F294,EOMONTH(DATE(cfg_FY,2,1),0))-MAX($E294,DATE(cfg_FY,2,1))+1)*(1-IF($M294="نعم",0,N($J294))))</f>
        <v>0</v>
      </c>
      <c r="X294" s="57" t="n">
        <f aca="false">IF(OR($B294="",$E294="",$F294=""),0,MAX(0,MIN($F294,EOMONTH(DATE(cfg_FY,3,1),0))-MAX($E294,DATE(cfg_FY,3,1))+1)*(1-IF($M294="نعم",0,N($J294))))</f>
        <v>0</v>
      </c>
      <c r="Y294" s="57" t="n">
        <f aca="false">IF(OR($B294="",$E294="",$F294=""),0,MAX(0,MIN($F294,EOMONTH(DATE(cfg_FY,4,1),0))-MAX($E294,DATE(cfg_FY,4,1))+1)*(1-IF($M294="نعم",0,N($J294))))</f>
        <v>0</v>
      </c>
      <c r="Z294" s="57" t="n">
        <f aca="false">IF(OR($B294="",$E294="",$F294=""),0,MAX(0,MIN($F294,EOMONTH(DATE(cfg_FY,5,1),0))-MAX($E294,DATE(cfg_FY,5,1))+1)*(1-IF($M294="نعم",0,N($J294))))</f>
        <v>0</v>
      </c>
      <c r="AA294" s="57" t="n">
        <f aca="false">IF(OR($B294="",$E294="",$F294=""),0,MAX(0,MIN($F294,EOMONTH(DATE(cfg_FY,6,1),0))-MAX($E294,DATE(cfg_FY,6,1))+1)*(1-IF($M294="نعم",0,N($J294))))</f>
        <v>0</v>
      </c>
      <c r="AB294" s="57" t="n">
        <f aca="false">IF(OR($B294="",$E294="",$F294=""),0,MAX(0,MIN($F294,EOMONTH(DATE(cfg_FY,7,1),0))-MAX($E294,DATE(cfg_FY,7,1))+1)*(1-IF($M294="نعم",0,N($J294))))</f>
        <v>0</v>
      </c>
      <c r="AC294" s="57" t="n">
        <f aca="false">IF(OR($B294="",$E294="",$F294=""),0,MAX(0,MIN($F294,EOMONTH(DATE(cfg_FY,8,1),0))-MAX($E294,DATE(cfg_FY,8,1))+1)*(1-IF($M294="نعم",0,N($J294))))</f>
        <v>0</v>
      </c>
      <c r="AD294" s="57" t="n">
        <f aca="false">IF(OR($B294="",$E294="",$F294=""),0,MAX(0,MIN($F294,EOMONTH(DATE(cfg_FY,9,1),0))-MAX($E294,DATE(cfg_FY,9,1))+1)*(1-IF($M294="نعم",0,N($J294))))</f>
        <v>0</v>
      </c>
      <c r="AE294" s="57" t="n">
        <f aca="false">IF(OR($B294="",$E294="",$F294=""),0,MAX(0,MIN($F294,EOMONTH(DATE(cfg_FY,10,1),0))-MAX($E294,DATE(cfg_FY,10,1))+1)*(1-IF($M294="نعم",0,N($J294))))</f>
        <v>0</v>
      </c>
      <c r="AF294" s="57" t="n">
        <f aca="false">IF(OR($B294="",$E294="",$F294=""),0,MAX(0,MIN($F294,EOMONTH(DATE(cfg_FY,11,1),0))-MAX($E294,DATE(cfg_FY,11,1))+1)*(1-IF($M294="نعم",0,N($J294))))</f>
        <v>0</v>
      </c>
      <c r="AG294" s="57" t="n">
        <f aca="false">IF(OR($B294="",$E294="",$F294=""),0,MAX(0,MIN($F294,EOMONTH(DATE(cfg_FY,12,1),0))-MAX($E294,DATE(cfg_FY,12,1))+1)*(1-IF($M294="نعم",0,N($J294))))</f>
        <v>0</v>
      </c>
      <c r="AH294" s="57" t="n">
        <f aca="false">IF(OR(OR($B294="",$E294="",$F294=""),$L294&lt;&gt;"لا"),0,MAX(0,MIN($F294,EOMONTH(DATE(cfg_FY,1,1),0))-$E294+1))</f>
        <v>0</v>
      </c>
      <c r="AI294" s="57" t="n">
        <f aca="false">IF(OR(OR($B294="",$E294="",$F294=""),$L294&lt;&gt;"لا"),0,MAX(0,MIN($F294,EOMONTH(DATE(cfg_FY,2,1),0))-$E294+1))</f>
        <v>0</v>
      </c>
      <c r="AJ294" s="57" t="n">
        <f aca="false">IF(OR(OR($B294="",$E294="",$F294=""),$L294&lt;&gt;"لا"),0,MAX(0,MIN($F294,EOMONTH(DATE(cfg_FY,3,1),0))-$E294+1))</f>
        <v>0</v>
      </c>
      <c r="AK294" s="57" t="n">
        <f aca="false">IF(OR(OR($B294="",$E294="",$F294=""),$L294&lt;&gt;"لا"),0,MAX(0,MIN($F294,EOMONTH(DATE(cfg_FY,4,1),0))-$E294+1))</f>
        <v>0</v>
      </c>
      <c r="AL294" s="57" t="n">
        <f aca="false">IF(OR(OR($B294="",$E294="",$F294=""),$L294&lt;&gt;"لا"),0,MAX(0,MIN($F294,EOMONTH(DATE(cfg_FY,5,1),0))-$E294+1))</f>
        <v>0</v>
      </c>
      <c r="AM294" s="57" t="n">
        <f aca="false">IF(OR(OR($B294="",$E294="",$F294=""),$L294&lt;&gt;"لا"),0,MAX(0,MIN($F294,EOMONTH(DATE(cfg_FY,6,1),0))-$E294+1))</f>
        <v>0</v>
      </c>
      <c r="AN294" s="57" t="n">
        <f aca="false">IF(OR(OR($B294="",$E294="",$F294=""),$L294&lt;&gt;"لا"),0,MAX(0,MIN($F294,EOMONTH(DATE(cfg_FY,7,1),0))-$E294+1))</f>
        <v>0</v>
      </c>
      <c r="AO294" s="57" t="n">
        <f aca="false">IF(OR(OR($B294="",$E294="",$F294=""),$L294&lt;&gt;"لا"),0,MAX(0,MIN($F294,EOMONTH(DATE(cfg_FY,8,1),0))-$E294+1))</f>
        <v>0</v>
      </c>
      <c r="AP294" s="57" t="n">
        <f aca="false">IF(OR(OR($B294="",$E294="",$F294=""),$L294&lt;&gt;"لا"),0,MAX(0,MIN($F294,EOMONTH(DATE(cfg_FY,9,1),0))-$E294+1))</f>
        <v>0</v>
      </c>
      <c r="AQ294" s="57" t="n">
        <f aca="false">IF(OR(OR($B294="",$E294="",$F294=""),$L294&lt;&gt;"لا"),0,MAX(0,MIN($F294,EOMONTH(DATE(cfg_FY,10,1),0))-$E294+1))</f>
        <v>0</v>
      </c>
      <c r="AR294" s="57" t="n">
        <f aca="false">IF(OR(OR($B294="",$E294="",$F294=""),$L294&lt;&gt;"لا"),0,MAX(0,MIN($F294,EOMONTH(DATE(cfg_FY,11,1),0))-$E294+1))</f>
        <v>0</v>
      </c>
      <c r="AS294" s="57" t="n">
        <f aca="false">IF(OR(OR($B294="",$E294="",$F294=""),$L294&lt;&gt;"لا"),0,MAX(0,MIN($F294,EOMONTH(DATE(cfg_FY,12,1),0))-$E294+1))</f>
        <v>0</v>
      </c>
      <c r="AT294" s="57" t="n">
        <f aca="false">IF(OR(OR($B294="",$E294="",$F294=""),$K294&lt;&gt;"نعم",$M294="نعم"),0,MAX(0,MIN($F294,EOMONTH(DATE(cfg_FY,1,1),0))-MAX($E294,DATE(cfg_FY,1,1))+1))</f>
        <v>0</v>
      </c>
      <c r="AU294" s="57" t="n">
        <f aca="false">IF(OR(OR($B294="",$E294="",$F294=""),$K294&lt;&gt;"نعم",$M294="نعم"),0,MAX(0,MIN($F294,EOMONTH(DATE(cfg_FY,2,1),0))-MAX($E294,DATE(cfg_FY,2,1))+1))</f>
        <v>0</v>
      </c>
      <c r="AV294" s="57" t="n">
        <f aca="false">IF(OR(OR($B294="",$E294="",$F294=""),$K294&lt;&gt;"نعم",$M294="نعم"),0,MAX(0,MIN($F294,EOMONTH(DATE(cfg_FY,3,1),0))-MAX($E294,DATE(cfg_FY,3,1))+1))</f>
        <v>0</v>
      </c>
      <c r="AW294" s="57" t="n">
        <f aca="false">IF(OR(OR($B294="",$E294="",$F294=""),$K294&lt;&gt;"نعم",$M294="نعم"),0,MAX(0,MIN($F294,EOMONTH(DATE(cfg_FY,4,1),0))-MAX($E294,DATE(cfg_FY,4,1))+1))</f>
        <v>0</v>
      </c>
      <c r="AX294" s="57" t="n">
        <f aca="false">IF(OR(OR($B294="",$E294="",$F294=""),$K294&lt;&gt;"نعم",$M294="نعم"),0,MAX(0,MIN($F294,EOMONTH(DATE(cfg_FY,5,1),0))-MAX($E294,DATE(cfg_FY,5,1))+1))</f>
        <v>0</v>
      </c>
      <c r="AY294" s="57" t="n">
        <f aca="false">IF(OR(OR($B294="",$E294="",$F294=""),$K294&lt;&gt;"نعم",$M294="نعم"),0,MAX(0,MIN($F294,EOMONTH(DATE(cfg_FY,6,1),0))-MAX($E294,DATE(cfg_FY,6,1))+1))</f>
        <v>0</v>
      </c>
      <c r="AZ294" s="57" t="n">
        <f aca="false">IF(OR(OR($B294="",$E294="",$F294=""),$K294&lt;&gt;"نعم",$M294="نعم"),0,MAX(0,MIN($F294,EOMONTH(DATE(cfg_FY,7,1),0))-MAX($E294,DATE(cfg_FY,7,1))+1))</f>
        <v>0</v>
      </c>
      <c r="BA294" s="57" t="n">
        <f aca="false">IF(OR(OR($B294="",$E294="",$F294=""),$K294&lt;&gt;"نعم",$M294="نعم"),0,MAX(0,MIN($F294,EOMONTH(DATE(cfg_FY,8,1),0))-MAX($E294,DATE(cfg_FY,8,1))+1))</f>
        <v>0</v>
      </c>
      <c r="BB294" s="57" t="n">
        <f aca="false">IF(OR(OR($B294="",$E294="",$F294=""),$K294&lt;&gt;"نعم",$M294="نعم"),0,MAX(0,MIN($F294,EOMONTH(DATE(cfg_FY,9,1),0))-MAX($E294,DATE(cfg_FY,9,1))+1))</f>
        <v>0</v>
      </c>
      <c r="BC294" s="57" t="n">
        <f aca="false">IF(OR(OR($B294="",$E294="",$F294=""),$K294&lt;&gt;"نعم",$M294="نعم"),0,MAX(0,MIN($F294,EOMONTH(DATE(cfg_FY,10,1),0))-MAX($E294,DATE(cfg_FY,10,1))+1))</f>
        <v>0</v>
      </c>
      <c r="BD294" s="57" t="n">
        <f aca="false">IF(OR(OR($B294="",$E294="",$F294=""),$K294&lt;&gt;"نعم",$M294="نعم"),0,MAX(0,MIN($F294,EOMONTH(DATE(cfg_FY,11,1),0))-MAX($E294,DATE(cfg_FY,11,1))+1))</f>
        <v>0</v>
      </c>
      <c r="BE294" s="57" t="n">
        <f aca="false">IF(OR(OR($B294="",$E294="",$F294=""),$K294&lt;&gt;"نعم",$M294="نعم"),0,MAX(0,MIN($F294,EOMONTH(DATE(cfg_FY,12,1),0))-MAX($E294,DATE(cfg_FY,12,1))+1))</f>
        <v>0</v>
      </c>
    </row>
    <row r="295" customFormat="false" ht="15" hidden="false" customHeight="false" outlineLevel="0" collapsed="false">
      <c r="A295" s="100" t="str">
        <f aca="false">IF(B295="","",ROW()-5)</f>
        <v/>
      </c>
      <c r="B295" s="79"/>
      <c r="C295" s="102" t="str">
        <f aca="false">IF(B295="","",IFERROR(INDEX(الموظفون!$C$6:$C$105,MATCH(B295,الموظفون!$B$6:$B$105,0)),"✖ رقم غير موجود"))</f>
        <v/>
      </c>
      <c r="D295" s="79"/>
      <c r="E295" s="94"/>
      <c r="F295" s="94"/>
      <c r="G295" s="110" t="str">
        <f aca="false">IF(OR($B295="",$E295="",$F295=""),"",MAX(0,F295-E295+1))</f>
        <v/>
      </c>
      <c r="H295" s="111" t="str">
        <f aca="false">IF(D295="","",IFERROR(VLOOKUP(D295,cfg_LT,2,FALSE()),1))</f>
        <v/>
      </c>
      <c r="I295" s="82"/>
      <c r="J295" s="111" t="str">
        <f aca="false">IF(D295="","",IF(I295&lt;&gt;"",I295,H295))</f>
        <v/>
      </c>
      <c r="K295" s="102" t="str">
        <f aca="false">IF(D295="","",IFERROR(VLOOKUP($D295,cfg_LT,3,FALSE()),""))</f>
        <v/>
      </c>
      <c r="L295" s="102" t="str">
        <f aca="false">IF(D295="","",IFERROR(VLOOKUP($D295,cfg_LT,4,FALSE()),""))</f>
        <v/>
      </c>
      <c r="M295" s="102" t="str">
        <f aca="false">IF(D295="","",IFERROR(VLOOKUP($D295,cfg_LT,5,FALSE()),""))</f>
        <v/>
      </c>
      <c r="N295" s="101" t="n">
        <f aca="false">IF(OR(OR($B295="",$E295="",$F295=""),M295&lt;&gt;"نعم"),0,G295*J295*IFERROR(INDEX(الموظفون!$R$6:$R$105,MATCH(B295,الموظفون!$B$6:$B$105,0)),0)/cfg_DAYS_M)</f>
        <v>0</v>
      </c>
      <c r="O295" s="100" t="str">
        <f aca="false">IF(OR(OR($B295="",$E295="",$F295=""),M295&lt;&gt;"نعم"),"",IF(YEAR(E295)=cfg_FY,MONTH(E295),""))</f>
        <v/>
      </c>
      <c r="P295" s="102" t="str">
        <f aca="false">IF(B295="","",IF(OR(D295="",E295="",F295=""),"⚠ أكمل النوع والتواريخ",IF(F295&lt;E295,"✖ النهاية قبل البداية",IF(COUNTIFS($B$6:$B$505,B295,$E$6:$E$505,"&lt;="&amp;F295,$F$6:$F$505,"&gt;="&amp;E295)&gt;1,"⚠ تداخل مع سجل آخر",IF(E295&gt;cfg_VAL_DATE,"⏳ قادمة",IF(F295&lt;cfg_VAL_DATE,"✔ منتهية","✈ جارية في تاريخ التقرير"))))))</f>
        <v/>
      </c>
      <c r="Q295" s="79"/>
      <c r="R295" s="110" t="n">
        <f aca="false">IF(OR(OR($B295="",$E295="",$F295=""),L295&lt;&gt;"لا"),0,MAX(0,MIN(F295,cfg_Y_START-1)-E295+1))</f>
        <v>0</v>
      </c>
      <c r="S295" s="110" t="n">
        <f aca="false">IF(OR(OR($B295="",$E295="",$F295=""),L295&lt;&gt;"لا"),0,MAX(0,MIN(F295,cfg_VAL_DATE)-E295+1))</f>
        <v>0</v>
      </c>
      <c r="T295" s="110" t="n">
        <f aca="false">IF(OR(OR($B295="",$E295="",$F295=""),K295&lt;&gt;"نعم"),0,IF(M295="نعم",IF(AND(ISNUMBER(O295),N(O295)&lt;=cfg_VAL_M),G295,0),MAX(0,MIN(F295,cfg_VAL_DATE)-MAX(E295,cfg_Y_START)+1)))</f>
        <v>0</v>
      </c>
      <c r="V295" s="110" t="n">
        <f aca="false">IF(OR($B295="",$E295="",$F295=""),0,MAX(0,MIN($F295,EOMONTH(DATE(cfg_FY,1,1),0))-MAX($E295,DATE(cfg_FY,1,1))+1)*(1-IF($M295="نعم",0,N($J295))))</f>
        <v>0</v>
      </c>
      <c r="W295" s="110" t="n">
        <f aca="false">IF(OR($B295="",$E295="",$F295=""),0,MAX(0,MIN($F295,EOMONTH(DATE(cfg_FY,2,1),0))-MAX($E295,DATE(cfg_FY,2,1))+1)*(1-IF($M295="نعم",0,N($J295))))</f>
        <v>0</v>
      </c>
      <c r="X295" s="110" t="n">
        <f aca="false">IF(OR($B295="",$E295="",$F295=""),0,MAX(0,MIN($F295,EOMONTH(DATE(cfg_FY,3,1),0))-MAX($E295,DATE(cfg_FY,3,1))+1)*(1-IF($M295="نعم",0,N($J295))))</f>
        <v>0</v>
      </c>
      <c r="Y295" s="110" t="n">
        <f aca="false">IF(OR($B295="",$E295="",$F295=""),0,MAX(0,MIN($F295,EOMONTH(DATE(cfg_FY,4,1),0))-MAX($E295,DATE(cfg_FY,4,1))+1)*(1-IF($M295="نعم",0,N($J295))))</f>
        <v>0</v>
      </c>
      <c r="Z295" s="110" t="n">
        <f aca="false">IF(OR($B295="",$E295="",$F295=""),0,MAX(0,MIN($F295,EOMONTH(DATE(cfg_FY,5,1),0))-MAX($E295,DATE(cfg_FY,5,1))+1)*(1-IF($M295="نعم",0,N($J295))))</f>
        <v>0</v>
      </c>
      <c r="AA295" s="110" t="n">
        <f aca="false">IF(OR($B295="",$E295="",$F295=""),0,MAX(0,MIN($F295,EOMONTH(DATE(cfg_FY,6,1),0))-MAX($E295,DATE(cfg_FY,6,1))+1)*(1-IF($M295="نعم",0,N($J295))))</f>
        <v>0</v>
      </c>
      <c r="AB295" s="110" t="n">
        <f aca="false">IF(OR($B295="",$E295="",$F295=""),0,MAX(0,MIN($F295,EOMONTH(DATE(cfg_FY,7,1),0))-MAX($E295,DATE(cfg_FY,7,1))+1)*(1-IF($M295="نعم",0,N($J295))))</f>
        <v>0</v>
      </c>
      <c r="AC295" s="110" t="n">
        <f aca="false">IF(OR($B295="",$E295="",$F295=""),0,MAX(0,MIN($F295,EOMONTH(DATE(cfg_FY,8,1),0))-MAX($E295,DATE(cfg_FY,8,1))+1)*(1-IF($M295="نعم",0,N($J295))))</f>
        <v>0</v>
      </c>
      <c r="AD295" s="110" t="n">
        <f aca="false">IF(OR($B295="",$E295="",$F295=""),0,MAX(0,MIN($F295,EOMONTH(DATE(cfg_FY,9,1),0))-MAX($E295,DATE(cfg_FY,9,1))+1)*(1-IF($M295="نعم",0,N($J295))))</f>
        <v>0</v>
      </c>
      <c r="AE295" s="110" t="n">
        <f aca="false">IF(OR($B295="",$E295="",$F295=""),0,MAX(0,MIN($F295,EOMONTH(DATE(cfg_FY,10,1),0))-MAX($E295,DATE(cfg_FY,10,1))+1)*(1-IF($M295="نعم",0,N($J295))))</f>
        <v>0</v>
      </c>
      <c r="AF295" s="110" t="n">
        <f aca="false">IF(OR($B295="",$E295="",$F295=""),0,MAX(0,MIN($F295,EOMONTH(DATE(cfg_FY,11,1),0))-MAX($E295,DATE(cfg_FY,11,1))+1)*(1-IF($M295="نعم",0,N($J295))))</f>
        <v>0</v>
      </c>
      <c r="AG295" s="110" t="n">
        <f aca="false">IF(OR($B295="",$E295="",$F295=""),0,MAX(0,MIN($F295,EOMONTH(DATE(cfg_FY,12,1),0))-MAX($E295,DATE(cfg_FY,12,1))+1)*(1-IF($M295="نعم",0,N($J295))))</f>
        <v>0</v>
      </c>
      <c r="AH295" s="110" t="n">
        <f aca="false">IF(OR(OR($B295="",$E295="",$F295=""),$L295&lt;&gt;"لا"),0,MAX(0,MIN($F295,EOMONTH(DATE(cfg_FY,1,1),0))-$E295+1))</f>
        <v>0</v>
      </c>
      <c r="AI295" s="110" t="n">
        <f aca="false">IF(OR(OR($B295="",$E295="",$F295=""),$L295&lt;&gt;"لا"),0,MAX(0,MIN($F295,EOMONTH(DATE(cfg_FY,2,1),0))-$E295+1))</f>
        <v>0</v>
      </c>
      <c r="AJ295" s="110" t="n">
        <f aca="false">IF(OR(OR($B295="",$E295="",$F295=""),$L295&lt;&gt;"لا"),0,MAX(0,MIN($F295,EOMONTH(DATE(cfg_FY,3,1),0))-$E295+1))</f>
        <v>0</v>
      </c>
      <c r="AK295" s="110" t="n">
        <f aca="false">IF(OR(OR($B295="",$E295="",$F295=""),$L295&lt;&gt;"لا"),0,MAX(0,MIN($F295,EOMONTH(DATE(cfg_FY,4,1),0))-$E295+1))</f>
        <v>0</v>
      </c>
      <c r="AL295" s="110" t="n">
        <f aca="false">IF(OR(OR($B295="",$E295="",$F295=""),$L295&lt;&gt;"لا"),0,MAX(0,MIN($F295,EOMONTH(DATE(cfg_FY,5,1),0))-$E295+1))</f>
        <v>0</v>
      </c>
      <c r="AM295" s="110" t="n">
        <f aca="false">IF(OR(OR($B295="",$E295="",$F295=""),$L295&lt;&gt;"لا"),0,MAX(0,MIN($F295,EOMONTH(DATE(cfg_FY,6,1),0))-$E295+1))</f>
        <v>0</v>
      </c>
      <c r="AN295" s="110" t="n">
        <f aca="false">IF(OR(OR($B295="",$E295="",$F295=""),$L295&lt;&gt;"لا"),0,MAX(0,MIN($F295,EOMONTH(DATE(cfg_FY,7,1),0))-$E295+1))</f>
        <v>0</v>
      </c>
      <c r="AO295" s="110" t="n">
        <f aca="false">IF(OR(OR($B295="",$E295="",$F295=""),$L295&lt;&gt;"لا"),0,MAX(0,MIN($F295,EOMONTH(DATE(cfg_FY,8,1),0))-$E295+1))</f>
        <v>0</v>
      </c>
      <c r="AP295" s="110" t="n">
        <f aca="false">IF(OR(OR($B295="",$E295="",$F295=""),$L295&lt;&gt;"لا"),0,MAX(0,MIN($F295,EOMONTH(DATE(cfg_FY,9,1),0))-$E295+1))</f>
        <v>0</v>
      </c>
      <c r="AQ295" s="110" t="n">
        <f aca="false">IF(OR(OR($B295="",$E295="",$F295=""),$L295&lt;&gt;"لا"),0,MAX(0,MIN($F295,EOMONTH(DATE(cfg_FY,10,1),0))-$E295+1))</f>
        <v>0</v>
      </c>
      <c r="AR295" s="110" t="n">
        <f aca="false">IF(OR(OR($B295="",$E295="",$F295=""),$L295&lt;&gt;"لا"),0,MAX(0,MIN($F295,EOMONTH(DATE(cfg_FY,11,1),0))-$E295+1))</f>
        <v>0</v>
      </c>
      <c r="AS295" s="110" t="n">
        <f aca="false">IF(OR(OR($B295="",$E295="",$F295=""),$L295&lt;&gt;"لا"),0,MAX(0,MIN($F295,EOMONTH(DATE(cfg_FY,12,1),0))-$E295+1))</f>
        <v>0</v>
      </c>
      <c r="AT295" s="110" t="n">
        <f aca="false">IF(OR(OR($B295="",$E295="",$F295=""),$K295&lt;&gt;"نعم",$M295="نعم"),0,MAX(0,MIN($F295,EOMONTH(DATE(cfg_FY,1,1),0))-MAX($E295,DATE(cfg_FY,1,1))+1))</f>
        <v>0</v>
      </c>
      <c r="AU295" s="110" t="n">
        <f aca="false">IF(OR(OR($B295="",$E295="",$F295=""),$K295&lt;&gt;"نعم",$M295="نعم"),0,MAX(0,MIN($F295,EOMONTH(DATE(cfg_FY,2,1),0))-MAX($E295,DATE(cfg_FY,2,1))+1))</f>
        <v>0</v>
      </c>
      <c r="AV295" s="110" t="n">
        <f aca="false">IF(OR(OR($B295="",$E295="",$F295=""),$K295&lt;&gt;"نعم",$M295="نعم"),0,MAX(0,MIN($F295,EOMONTH(DATE(cfg_FY,3,1),0))-MAX($E295,DATE(cfg_FY,3,1))+1))</f>
        <v>0</v>
      </c>
      <c r="AW295" s="110" t="n">
        <f aca="false">IF(OR(OR($B295="",$E295="",$F295=""),$K295&lt;&gt;"نعم",$M295="نعم"),0,MAX(0,MIN($F295,EOMONTH(DATE(cfg_FY,4,1),0))-MAX($E295,DATE(cfg_FY,4,1))+1))</f>
        <v>0</v>
      </c>
      <c r="AX295" s="110" t="n">
        <f aca="false">IF(OR(OR($B295="",$E295="",$F295=""),$K295&lt;&gt;"نعم",$M295="نعم"),0,MAX(0,MIN($F295,EOMONTH(DATE(cfg_FY,5,1),0))-MAX($E295,DATE(cfg_FY,5,1))+1))</f>
        <v>0</v>
      </c>
      <c r="AY295" s="110" t="n">
        <f aca="false">IF(OR(OR($B295="",$E295="",$F295=""),$K295&lt;&gt;"نعم",$M295="نعم"),0,MAX(0,MIN($F295,EOMONTH(DATE(cfg_FY,6,1),0))-MAX($E295,DATE(cfg_FY,6,1))+1))</f>
        <v>0</v>
      </c>
      <c r="AZ295" s="110" t="n">
        <f aca="false">IF(OR(OR($B295="",$E295="",$F295=""),$K295&lt;&gt;"نعم",$M295="نعم"),0,MAX(0,MIN($F295,EOMONTH(DATE(cfg_FY,7,1),0))-MAX($E295,DATE(cfg_FY,7,1))+1))</f>
        <v>0</v>
      </c>
      <c r="BA295" s="110" t="n">
        <f aca="false">IF(OR(OR($B295="",$E295="",$F295=""),$K295&lt;&gt;"نعم",$M295="نعم"),0,MAX(0,MIN($F295,EOMONTH(DATE(cfg_FY,8,1),0))-MAX($E295,DATE(cfg_FY,8,1))+1))</f>
        <v>0</v>
      </c>
      <c r="BB295" s="110" t="n">
        <f aca="false">IF(OR(OR($B295="",$E295="",$F295=""),$K295&lt;&gt;"نعم",$M295="نعم"),0,MAX(0,MIN($F295,EOMONTH(DATE(cfg_FY,9,1),0))-MAX($E295,DATE(cfg_FY,9,1))+1))</f>
        <v>0</v>
      </c>
      <c r="BC295" s="110" t="n">
        <f aca="false">IF(OR(OR($B295="",$E295="",$F295=""),$K295&lt;&gt;"نعم",$M295="نعم"),0,MAX(0,MIN($F295,EOMONTH(DATE(cfg_FY,10,1),0))-MAX($E295,DATE(cfg_FY,10,1))+1))</f>
        <v>0</v>
      </c>
      <c r="BD295" s="110" t="n">
        <f aca="false">IF(OR(OR($B295="",$E295="",$F295=""),$K295&lt;&gt;"نعم",$M295="نعم"),0,MAX(0,MIN($F295,EOMONTH(DATE(cfg_FY,11,1),0))-MAX($E295,DATE(cfg_FY,11,1))+1))</f>
        <v>0</v>
      </c>
      <c r="BE295" s="110" t="n">
        <f aca="false">IF(OR(OR($B295="",$E295="",$F295=""),$K295&lt;&gt;"نعم",$M295="نعم"),0,MAX(0,MIN($F295,EOMONTH(DATE(cfg_FY,12,1),0))-MAX($E295,DATE(cfg_FY,12,1))+1))</f>
        <v>0</v>
      </c>
    </row>
    <row r="296" customFormat="false" ht="15" hidden="false" customHeight="false" outlineLevel="0" collapsed="false">
      <c r="A296" s="93" t="str">
        <f aca="false">IF(B296="","",ROW()-5)</f>
        <v/>
      </c>
      <c r="B296" s="79"/>
      <c r="C296" s="80" t="str">
        <f aca="false">IF(B296="","",IFERROR(INDEX(الموظفون!$C$6:$C$105,MATCH(B296,الموظفون!$B$6:$B$105,0)),"✖ رقم غير موجود"))</f>
        <v/>
      </c>
      <c r="D296" s="79"/>
      <c r="E296" s="94"/>
      <c r="F296" s="94"/>
      <c r="G296" s="57" t="str">
        <f aca="false">IF(OR($B296="",$E296="",$F296=""),"",MAX(0,F296-E296+1))</f>
        <v/>
      </c>
      <c r="H296" s="58" t="str">
        <f aca="false">IF(D296="","",IFERROR(VLOOKUP(D296,cfg_LT,2,FALSE()),1))</f>
        <v/>
      </c>
      <c r="I296" s="82"/>
      <c r="J296" s="58" t="str">
        <f aca="false">IF(D296="","",IF(I296&lt;&gt;"",I296,H296))</f>
        <v/>
      </c>
      <c r="K296" s="80" t="str">
        <f aca="false">IF(D296="","",IFERROR(VLOOKUP($D296,cfg_LT,3,FALSE()),""))</f>
        <v/>
      </c>
      <c r="L296" s="80" t="str">
        <f aca="false">IF(D296="","",IFERROR(VLOOKUP($D296,cfg_LT,4,FALSE()),""))</f>
        <v/>
      </c>
      <c r="M296" s="80" t="str">
        <f aca="false">IF(D296="","",IFERROR(VLOOKUP($D296,cfg_LT,5,FALSE()),""))</f>
        <v/>
      </c>
      <c r="N296" s="97" t="n">
        <f aca="false">IF(OR(OR($B296="",$E296="",$F296=""),M296&lt;&gt;"نعم"),0,G296*J296*IFERROR(INDEX(الموظفون!$R$6:$R$105,MATCH(B296,الموظفون!$B$6:$B$105,0)),0)/cfg_DAYS_M)</f>
        <v>0</v>
      </c>
      <c r="O296" s="93" t="str">
        <f aca="false">IF(OR(OR($B296="",$E296="",$F296=""),M296&lt;&gt;"نعم"),"",IF(YEAR(E296)=cfg_FY,MONTH(E296),""))</f>
        <v/>
      </c>
      <c r="P296" s="80" t="str">
        <f aca="false">IF(B296="","",IF(OR(D296="",E296="",F296=""),"⚠ أكمل النوع والتواريخ",IF(F296&lt;E296,"✖ النهاية قبل البداية",IF(COUNTIFS($B$6:$B$505,B296,$E$6:$E$505,"&lt;="&amp;F296,$F$6:$F$505,"&gt;="&amp;E296)&gt;1,"⚠ تداخل مع سجل آخر",IF(E296&gt;cfg_VAL_DATE,"⏳ قادمة",IF(F296&lt;cfg_VAL_DATE,"✔ منتهية","✈ جارية في تاريخ التقرير"))))))</f>
        <v/>
      </c>
      <c r="Q296" s="79"/>
      <c r="R296" s="57" t="n">
        <f aca="false">IF(OR(OR($B296="",$E296="",$F296=""),L296&lt;&gt;"لا"),0,MAX(0,MIN(F296,cfg_Y_START-1)-E296+1))</f>
        <v>0</v>
      </c>
      <c r="S296" s="57" t="n">
        <f aca="false">IF(OR(OR($B296="",$E296="",$F296=""),L296&lt;&gt;"لا"),0,MAX(0,MIN(F296,cfg_VAL_DATE)-E296+1))</f>
        <v>0</v>
      </c>
      <c r="T296" s="57" t="n">
        <f aca="false">IF(OR(OR($B296="",$E296="",$F296=""),K296&lt;&gt;"نعم"),0,IF(M296="نعم",IF(AND(ISNUMBER(O296),N(O296)&lt;=cfg_VAL_M),G296,0),MAX(0,MIN(F296,cfg_VAL_DATE)-MAX(E296,cfg_Y_START)+1)))</f>
        <v>0</v>
      </c>
      <c r="V296" s="57" t="n">
        <f aca="false">IF(OR($B296="",$E296="",$F296=""),0,MAX(0,MIN($F296,EOMONTH(DATE(cfg_FY,1,1),0))-MAX($E296,DATE(cfg_FY,1,1))+1)*(1-IF($M296="نعم",0,N($J296))))</f>
        <v>0</v>
      </c>
      <c r="W296" s="57" t="n">
        <f aca="false">IF(OR($B296="",$E296="",$F296=""),0,MAX(0,MIN($F296,EOMONTH(DATE(cfg_FY,2,1),0))-MAX($E296,DATE(cfg_FY,2,1))+1)*(1-IF($M296="نعم",0,N($J296))))</f>
        <v>0</v>
      </c>
      <c r="X296" s="57" t="n">
        <f aca="false">IF(OR($B296="",$E296="",$F296=""),0,MAX(0,MIN($F296,EOMONTH(DATE(cfg_FY,3,1),0))-MAX($E296,DATE(cfg_FY,3,1))+1)*(1-IF($M296="نعم",0,N($J296))))</f>
        <v>0</v>
      </c>
      <c r="Y296" s="57" t="n">
        <f aca="false">IF(OR($B296="",$E296="",$F296=""),0,MAX(0,MIN($F296,EOMONTH(DATE(cfg_FY,4,1),0))-MAX($E296,DATE(cfg_FY,4,1))+1)*(1-IF($M296="نعم",0,N($J296))))</f>
        <v>0</v>
      </c>
      <c r="Z296" s="57" t="n">
        <f aca="false">IF(OR($B296="",$E296="",$F296=""),0,MAX(0,MIN($F296,EOMONTH(DATE(cfg_FY,5,1),0))-MAX($E296,DATE(cfg_FY,5,1))+1)*(1-IF($M296="نعم",0,N($J296))))</f>
        <v>0</v>
      </c>
      <c r="AA296" s="57" t="n">
        <f aca="false">IF(OR($B296="",$E296="",$F296=""),0,MAX(0,MIN($F296,EOMONTH(DATE(cfg_FY,6,1),0))-MAX($E296,DATE(cfg_FY,6,1))+1)*(1-IF($M296="نعم",0,N($J296))))</f>
        <v>0</v>
      </c>
      <c r="AB296" s="57" t="n">
        <f aca="false">IF(OR($B296="",$E296="",$F296=""),0,MAX(0,MIN($F296,EOMONTH(DATE(cfg_FY,7,1),0))-MAX($E296,DATE(cfg_FY,7,1))+1)*(1-IF($M296="نعم",0,N($J296))))</f>
        <v>0</v>
      </c>
      <c r="AC296" s="57" t="n">
        <f aca="false">IF(OR($B296="",$E296="",$F296=""),0,MAX(0,MIN($F296,EOMONTH(DATE(cfg_FY,8,1),0))-MAX($E296,DATE(cfg_FY,8,1))+1)*(1-IF($M296="نعم",0,N($J296))))</f>
        <v>0</v>
      </c>
      <c r="AD296" s="57" t="n">
        <f aca="false">IF(OR($B296="",$E296="",$F296=""),0,MAX(0,MIN($F296,EOMONTH(DATE(cfg_FY,9,1),0))-MAX($E296,DATE(cfg_FY,9,1))+1)*(1-IF($M296="نعم",0,N($J296))))</f>
        <v>0</v>
      </c>
      <c r="AE296" s="57" t="n">
        <f aca="false">IF(OR($B296="",$E296="",$F296=""),0,MAX(0,MIN($F296,EOMONTH(DATE(cfg_FY,10,1),0))-MAX($E296,DATE(cfg_FY,10,1))+1)*(1-IF($M296="نعم",0,N($J296))))</f>
        <v>0</v>
      </c>
      <c r="AF296" s="57" t="n">
        <f aca="false">IF(OR($B296="",$E296="",$F296=""),0,MAX(0,MIN($F296,EOMONTH(DATE(cfg_FY,11,1),0))-MAX($E296,DATE(cfg_FY,11,1))+1)*(1-IF($M296="نعم",0,N($J296))))</f>
        <v>0</v>
      </c>
      <c r="AG296" s="57" t="n">
        <f aca="false">IF(OR($B296="",$E296="",$F296=""),0,MAX(0,MIN($F296,EOMONTH(DATE(cfg_FY,12,1),0))-MAX($E296,DATE(cfg_FY,12,1))+1)*(1-IF($M296="نعم",0,N($J296))))</f>
        <v>0</v>
      </c>
      <c r="AH296" s="57" t="n">
        <f aca="false">IF(OR(OR($B296="",$E296="",$F296=""),$L296&lt;&gt;"لا"),0,MAX(0,MIN($F296,EOMONTH(DATE(cfg_FY,1,1),0))-$E296+1))</f>
        <v>0</v>
      </c>
      <c r="AI296" s="57" t="n">
        <f aca="false">IF(OR(OR($B296="",$E296="",$F296=""),$L296&lt;&gt;"لا"),0,MAX(0,MIN($F296,EOMONTH(DATE(cfg_FY,2,1),0))-$E296+1))</f>
        <v>0</v>
      </c>
      <c r="AJ296" s="57" t="n">
        <f aca="false">IF(OR(OR($B296="",$E296="",$F296=""),$L296&lt;&gt;"لا"),0,MAX(0,MIN($F296,EOMONTH(DATE(cfg_FY,3,1),0))-$E296+1))</f>
        <v>0</v>
      </c>
      <c r="AK296" s="57" t="n">
        <f aca="false">IF(OR(OR($B296="",$E296="",$F296=""),$L296&lt;&gt;"لا"),0,MAX(0,MIN($F296,EOMONTH(DATE(cfg_FY,4,1),0))-$E296+1))</f>
        <v>0</v>
      </c>
      <c r="AL296" s="57" t="n">
        <f aca="false">IF(OR(OR($B296="",$E296="",$F296=""),$L296&lt;&gt;"لا"),0,MAX(0,MIN($F296,EOMONTH(DATE(cfg_FY,5,1),0))-$E296+1))</f>
        <v>0</v>
      </c>
      <c r="AM296" s="57" t="n">
        <f aca="false">IF(OR(OR($B296="",$E296="",$F296=""),$L296&lt;&gt;"لا"),0,MAX(0,MIN($F296,EOMONTH(DATE(cfg_FY,6,1),0))-$E296+1))</f>
        <v>0</v>
      </c>
      <c r="AN296" s="57" t="n">
        <f aca="false">IF(OR(OR($B296="",$E296="",$F296=""),$L296&lt;&gt;"لا"),0,MAX(0,MIN($F296,EOMONTH(DATE(cfg_FY,7,1),0))-$E296+1))</f>
        <v>0</v>
      </c>
      <c r="AO296" s="57" t="n">
        <f aca="false">IF(OR(OR($B296="",$E296="",$F296=""),$L296&lt;&gt;"لا"),0,MAX(0,MIN($F296,EOMONTH(DATE(cfg_FY,8,1),0))-$E296+1))</f>
        <v>0</v>
      </c>
      <c r="AP296" s="57" t="n">
        <f aca="false">IF(OR(OR($B296="",$E296="",$F296=""),$L296&lt;&gt;"لا"),0,MAX(0,MIN($F296,EOMONTH(DATE(cfg_FY,9,1),0))-$E296+1))</f>
        <v>0</v>
      </c>
      <c r="AQ296" s="57" t="n">
        <f aca="false">IF(OR(OR($B296="",$E296="",$F296=""),$L296&lt;&gt;"لا"),0,MAX(0,MIN($F296,EOMONTH(DATE(cfg_FY,10,1),0))-$E296+1))</f>
        <v>0</v>
      </c>
      <c r="AR296" s="57" t="n">
        <f aca="false">IF(OR(OR($B296="",$E296="",$F296=""),$L296&lt;&gt;"لا"),0,MAX(0,MIN($F296,EOMONTH(DATE(cfg_FY,11,1),0))-$E296+1))</f>
        <v>0</v>
      </c>
      <c r="AS296" s="57" t="n">
        <f aca="false">IF(OR(OR($B296="",$E296="",$F296=""),$L296&lt;&gt;"لا"),0,MAX(0,MIN($F296,EOMONTH(DATE(cfg_FY,12,1),0))-$E296+1))</f>
        <v>0</v>
      </c>
      <c r="AT296" s="57" t="n">
        <f aca="false">IF(OR(OR($B296="",$E296="",$F296=""),$K296&lt;&gt;"نعم",$M296="نعم"),0,MAX(0,MIN($F296,EOMONTH(DATE(cfg_FY,1,1),0))-MAX($E296,DATE(cfg_FY,1,1))+1))</f>
        <v>0</v>
      </c>
      <c r="AU296" s="57" t="n">
        <f aca="false">IF(OR(OR($B296="",$E296="",$F296=""),$K296&lt;&gt;"نعم",$M296="نعم"),0,MAX(0,MIN($F296,EOMONTH(DATE(cfg_FY,2,1),0))-MAX($E296,DATE(cfg_FY,2,1))+1))</f>
        <v>0</v>
      </c>
      <c r="AV296" s="57" t="n">
        <f aca="false">IF(OR(OR($B296="",$E296="",$F296=""),$K296&lt;&gt;"نعم",$M296="نعم"),0,MAX(0,MIN($F296,EOMONTH(DATE(cfg_FY,3,1),0))-MAX($E296,DATE(cfg_FY,3,1))+1))</f>
        <v>0</v>
      </c>
      <c r="AW296" s="57" t="n">
        <f aca="false">IF(OR(OR($B296="",$E296="",$F296=""),$K296&lt;&gt;"نعم",$M296="نعم"),0,MAX(0,MIN($F296,EOMONTH(DATE(cfg_FY,4,1),0))-MAX($E296,DATE(cfg_FY,4,1))+1))</f>
        <v>0</v>
      </c>
      <c r="AX296" s="57" t="n">
        <f aca="false">IF(OR(OR($B296="",$E296="",$F296=""),$K296&lt;&gt;"نعم",$M296="نعم"),0,MAX(0,MIN($F296,EOMONTH(DATE(cfg_FY,5,1),0))-MAX($E296,DATE(cfg_FY,5,1))+1))</f>
        <v>0</v>
      </c>
      <c r="AY296" s="57" t="n">
        <f aca="false">IF(OR(OR($B296="",$E296="",$F296=""),$K296&lt;&gt;"نعم",$M296="نعم"),0,MAX(0,MIN($F296,EOMONTH(DATE(cfg_FY,6,1),0))-MAX($E296,DATE(cfg_FY,6,1))+1))</f>
        <v>0</v>
      </c>
      <c r="AZ296" s="57" t="n">
        <f aca="false">IF(OR(OR($B296="",$E296="",$F296=""),$K296&lt;&gt;"نعم",$M296="نعم"),0,MAX(0,MIN($F296,EOMONTH(DATE(cfg_FY,7,1),0))-MAX($E296,DATE(cfg_FY,7,1))+1))</f>
        <v>0</v>
      </c>
      <c r="BA296" s="57" t="n">
        <f aca="false">IF(OR(OR($B296="",$E296="",$F296=""),$K296&lt;&gt;"نعم",$M296="نعم"),0,MAX(0,MIN($F296,EOMONTH(DATE(cfg_FY,8,1),0))-MAX($E296,DATE(cfg_FY,8,1))+1))</f>
        <v>0</v>
      </c>
      <c r="BB296" s="57" t="n">
        <f aca="false">IF(OR(OR($B296="",$E296="",$F296=""),$K296&lt;&gt;"نعم",$M296="نعم"),0,MAX(0,MIN($F296,EOMONTH(DATE(cfg_FY,9,1),0))-MAX($E296,DATE(cfg_FY,9,1))+1))</f>
        <v>0</v>
      </c>
      <c r="BC296" s="57" t="n">
        <f aca="false">IF(OR(OR($B296="",$E296="",$F296=""),$K296&lt;&gt;"نعم",$M296="نعم"),0,MAX(0,MIN($F296,EOMONTH(DATE(cfg_FY,10,1),0))-MAX($E296,DATE(cfg_FY,10,1))+1))</f>
        <v>0</v>
      </c>
      <c r="BD296" s="57" t="n">
        <f aca="false">IF(OR(OR($B296="",$E296="",$F296=""),$K296&lt;&gt;"نعم",$M296="نعم"),0,MAX(0,MIN($F296,EOMONTH(DATE(cfg_FY,11,1),0))-MAX($E296,DATE(cfg_FY,11,1))+1))</f>
        <v>0</v>
      </c>
      <c r="BE296" s="57" t="n">
        <f aca="false">IF(OR(OR($B296="",$E296="",$F296=""),$K296&lt;&gt;"نعم",$M296="نعم"),0,MAX(0,MIN($F296,EOMONTH(DATE(cfg_FY,12,1),0))-MAX($E296,DATE(cfg_FY,12,1))+1))</f>
        <v>0</v>
      </c>
    </row>
    <row r="297" customFormat="false" ht="15" hidden="false" customHeight="false" outlineLevel="0" collapsed="false">
      <c r="A297" s="100" t="str">
        <f aca="false">IF(B297="","",ROW()-5)</f>
        <v/>
      </c>
      <c r="B297" s="79"/>
      <c r="C297" s="102" t="str">
        <f aca="false">IF(B297="","",IFERROR(INDEX(الموظفون!$C$6:$C$105,MATCH(B297,الموظفون!$B$6:$B$105,0)),"✖ رقم غير موجود"))</f>
        <v/>
      </c>
      <c r="D297" s="79"/>
      <c r="E297" s="94"/>
      <c r="F297" s="94"/>
      <c r="G297" s="110" t="str">
        <f aca="false">IF(OR($B297="",$E297="",$F297=""),"",MAX(0,F297-E297+1))</f>
        <v/>
      </c>
      <c r="H297" s="111" t="str">
        <f aca="false">IF(D297="","",IFERROR(VLOOKUP(D297,cfg_LT,2,FALSE()),1))</f>
        <v/>
      </c>
      <c r="I297" s="82"/>
      <c r="J297" s="111" t="str">
        <f aca="false">IF(D297="","",IF(I297&lt;&gt;"",I297,H297))</f>
        <v/>
      </c>
      <c r="K297" s="102" t="str">
        <f aca="false">IF(D297="","",IFERROR(VLOOKUP($D297,cfg_LT,3,FALSE()),""))</f>
        <v/>
      </c>
      <c r="L297" s="102" t="str">
        <f aca="false">IF(D297="","",IFERROR(VLOOKUP($D297,cfg_LT,4,FALSE()),""))</f>
        <v/>
      </c>
      <c r="M297" s="102" t="str">
        <f aca="false">IF(D297="","",IFERROR(VLOOKUP($D297,cfg_LT,5,FALSE()),""))</f>
        <v/>
      </c>
      <c r="N297" s="101" t="n">
        <f aca="false">IF(OR(OR($B297="",$E297="",$F297=""),M297&lt;&gt;"نعم"),0,G297*J297*IFERROR(INDEX(الموظفون!$R$6:$R$105,MATCH(B297,الموظفون!$B$6:$B$105,0)),0)/cfg_DAYS_M)</f>
        <v>0</v>
      </c>
      <c r="O297" s="100" t="str">
        <f aca="false">IF(OR(OR($B297="",$E297="",$F297=""),M297&lt;&gt;"نعم"),"",IF(YEAR(E297)=cfg_FY,MONTH(E297),""))</f>
        <v/>
      </c>
      <c r="P297" s="102" t="str">
        <f aca="false">IF(B297="","",IF(OR(D297="",E297="",F297=""),"⚠ أكمل النوع والتواريخ",IF(F297&lt;E297,"✖ النهاية قبل البداية",IF(COUNTIFS($B$6:$B$505,B297,$E$6:$E$505,"&lt;="&amp;F297,$F$6:$F$505,"&gt;="&amp;E297)&gt;1,"⚠ تداخل مع سجل آخر",IF(E297&gt;cfg_VAL_DATE,"⏳ قادمة",IF(F297&lt;cfg_VAL_DATE,"✔ منتهية","✈ جارية في تاريخ التقرير"))))))</f>
        <v/>
      </c>
      <c r="Q297" s="79"/>
      <c r="R297" s="110" t="n">
        <f aca="false">IF(OR(OR($B297="",$E297="",$F297=""),L297&lt;&gt;"لا"),0,MAX(0,MIN(F297,cfg_Y_START-1)-E297+1))</f>
        <v>0</v>
      </c>
      <c r="S297" s="110" t="n">
        <f aca="false">IF(OR(OR($B297="",$E297="",$F297=""),L297&lt;&gt;"لا"),0,MAX(0,MIN(F297,cfg_VAL_DATE)-E297+1))</f>
        <v>0</v>
      </c>
      <c r="T297" s="110" t="n">
        <f aca="false">IF(OR(OR($B297="",$E297="",$F297=""),K297&lt;&gt;"نعم"),0,IF(M297="نعم",IF(AND(ISNUMBER(O297),N(O297)&lt;=cfg_VAL_M),G297,0),MAX(0,MIN(F297,cfg_VAL_DATE)-MAX(E297,cfg_Y_START)+1)))</f>
        <v>0</v>
      </c>
      <c r="V297" s="110" t="n">
        <f aca="false">IF(OR($B297="",$E297="",$F297=""),0,MAX(0,MIN($F297,EOMONTH(DATE(cfg_FY,1,1),0))-MAX($E297,DATE(cfg_FY,1,1))+1)*(1-IF($M297="نعم",0,N($J297))))</f>
        <v>0</v>
      </c>
      <c r="W297" s="110" t="n">
        <f aca="false">IF(OR($B297="",$E297="",$F297=""),0,MAX(0,MIN($F297,EOMONTH(DATE(cfg_FY,2,1),0))-MAX($E297,DATE(cfg_FY,2,1))+1)*(1-IF($M297="نعم",0,N($J297))))</f>
        <v>0</v>
      </c>
      <c r="X297" s="110" t="n">
        <f aca="false">IF(OR($B297="",$E297="",$F297=""),0,MAX(0,MIN($F297,EOMONTH(DATE(cfg_FY,3,1),0))-MAX($E297,DATE(cfg_FY,3,1))+1)*(1-IF($M297="نعم",0,N($J297))))</f>
        <v>0</v>
      </c>
      <c r="Y297" s="110" t="n">
        <f aca="false">IF(OR($B297="",$E297="",$F297=""),0,MAX(0,MIN($F297,EOMONTH(DATE(cfg_FY,4,1),0))-MAX($E297,DATE(cfg_FY,4,1))+1)*(1-IF($M297="نعم",0,N($J297))))</f>
        <v>0</v>
      </c>
      <c r="Z297" s="110" t="n">
        <f aca="false">IF(OR($B297="",$E297="",$F297=""),0,MAX(0,MIN($F297,EOMONTH(DATE(cfg_FY,5,1),0))-MAX($E297,DATE(cfg_FY,5,1))+1)*(1-IF($M297="نعم",0,N($J297))))</f>
        <v>0</v>
      </c>
      <c r="AA297" s="110" t="n">
        <f aca="false">IF(OR($B297="",$E297="",$F297=""),0,MAX(0,MIN($F297,EOMONTH(DATE(cfg_FY,6,1),0))-MAX($E297,DATE(cfg_FY,6,1))+1)*(1-IF($M297="نعم",0,N($J297))))</f>
        <v>0</v>
      </c>
      <c r="AB297" s="110" t="n">
        <f aca="false">IF(OR($B297="",$E297="",$F297=""),0,MAX(0,MIN($F297,EOMONTH(DATE(cfg_FY,7,1),0))-MAX($E297,DATE(cfg_FY,7,1))+1)*(1-IF($M297="نعم",0,N($J297))))</f>
        <v>0</v>
      </c>
      <c r="AC297" s="110" t="n">
        <f aca="false">IF(OR($B297="",$E297="",$F297=""),0,MAX(0,MIN($F297,EOMONTH(DATE(cfg_FY,8,1),0))-MAX($E297,DATE(cfg_FY,8,1))+1)*(1-IF($M297="نعم",0,N($J297))))</f>
        <v>0</v>
      </c>
      <c r="AD297" s="110" t="n">
        <f aca="false">IF(OR($B297="",$E297="",$F297=""),0,MAX(0,MIN($F297,EOMONTH(DATE(cfg_FY,9,1),0))-MAX($E297,DATE(cfg_FY,9,1))+1)*(1-IF($M297="نعم",0,N($J297))))</f>
        <v>0</v>
      </c>
      <c r="AE297" s="110" t="n">
        <f aca="false">IF(OR($B297="",$E297="",$F297=""),0,MAX(0,MIN($F297,EOMONTH(DATE(cfg_FY,10,1),0))-MAX($E297,DATE(cfg_FY,10,1))+1)*(1-IF($M297="نعم",0,N($J297))))</f>
        <v>0</v>
      </c>
      <c r="AF297" s="110" t="n">
        <f aca="false">IF(OR($B297="",$E297="",$F297=""),0,MAX(0,MIN($F297,EOMONTH(DATE(cfg_FY,11,1),0))-MAX($E297,DATE(cfg_FY,11,1))+1)*(1-IF($M297="نعم",0,N($J297))))</f>
        <v>0</v>
      </c>
      <c r="AG297" s="110" t="n">
        <f aca="false">IF(OR($B297="",$E297="",$F297=""),0,MAX(0,MIN($F297,EOMONTH(DATE(cfg_FY,12,1),0))-MAX($E297,DATE(cfg_FY,12,1))+1)*(1-IF($M297="نعم",0,N($J297))))</f>
        <v>0</v>
      </c>
      <c r="AH297" s="110" t="n">
        <f aca="false">IF(OR(OR($B297="",$E297="",$F297=""),$L297&lt;&gt;"لا"),0,MAX(0,MIN($F297,EOMONTH(DATE(cfg_FY,1,1),0))-$E297+1))</f>
        <v>0</v>
      </c>
      <c r="AI297" s="110" t="n">
        <f aca="false">IF(OR(OR($B297="",$E297="",$F297=""),$L297&lt;&gt;"لا"),0,MAX(0,MIN($F297,EOMONTH(DATE(cfg_FY,2,1),0))-$E297+1))</f>
        <v>0</v>
      </c>
      <c r="AJ297" s="110" t="n">
        <f aca="false">IF(OR(OR($B297="",$E297="",$F297=""),$L297&lt;&gt;"لا"),0,MAX(0,MIN($F297,EOMONTH(DATE(cfg_FY,3,1),0))-$E297+1))</f>
        <v>0</v>
      </c>
      <c r="AK297" s="110" t="n">
        <f aca="false">IF(OR(OR($B297="",$E297="",$F297=""),$L297&lt;&gt;"لا"),0,MAX(0,MIN($F297,EOMONTH(DATE(cfg_FY,4,1),0))-$E297+1))</f>
        <v>0</v>
      </c>
      <c r="AL297" s="110" t="n">
        <f aca="false">IF(OR(OR($B297="",$E297="",$F297=""),$L297&lt;&gt;"لا"),0,MAX(0,MIN($F297,EOMONTH(DATE(cfg_FY,5,1),0))-$E297+1))</f>
        <v>0</v>
      </c>
      <c r="AM297" s="110" t="n">
        <f aca="false">IF(OR(OR($B297="",$E297="",$F297=""),$L297&lt;&gt;"لا"),0,MAX(0,MIN($F297,EOMONTH(DATE(cfg_FY,6,1),0))-$E297+1))</f>
        <v>0</v>
      </c>
      <c r="AN297" s="110" t="n">
        <f aca="false">IF(OR(OR($B297="",$E297="",$F297=""),$L297&lt;&gt;"لا"),0,MAX(0,MIN($F297,EOMONTH(DATE(cfg_FY,7,1),0))-$E297+1))</f>
        <v>0</v>
      </c>
      <c r="AO297" s="110" t="n">
        <f aca="false">IF(OR(OR($B297="",$E297="",$F297=""),$L297&lt;&gt;"لا"),0,MAX(0,MIN($F297,EOMONTH(DATE(cfg_FY,8,1),0))-$E297+1))</f>
        <v>0</v>
      </c>
      <c r="AP297" s="110" t="n">
        <f aca="false">IF(OR(OR($B297="",$E297="",$F297=""),$L297&lt;&gt;"لا"),0,MAX(0,MIN($F297,EOMONTH(DATE(cfg_FY,9,1),0))-$E297+1))</f>
        <v>0</v>
      </c>
      <c r="AQ297" s="110" t="n">
        <f aca="false">IF(OR(OR($B297="",$E297="",$F297=""),$L297&lt;&gt;"لا"),0,MAX(0,MIN($F297,EOMONTH(DATE(cfg_FY,10,1),0))-$E297+1))</f>
        <v>0</v>
      </c>
      <c r="AR297" s="110" t="n">
        <f aca="false">IF(OR(OR($B297="",$E297="",$F297=""),$L297&lt;&gt;"لا"),0,MAX(0,MIN($F297,EOMONTH(DATE(cfg_FY,11,1),0))-$E297+1))</f>
        <v>0</v>
      </c>
      <c r="AS297" s="110" t="n">
        <f aca="false">IF(OR(OR($B297="",$E297="",$F297=""),$L297&lt;&gt;"لا"),0,MAX(0,MIN($F297,EOMONTH(DATE(cfg_FY,12,1),0))-$E297+1))</f>
        <v>0</v>
      </c>
      <c r="AT297" s="110" t="n">
        <f aca="false">IF(OR(OR($B297="",$E297="",$F297=""),$K297&lt;&gt;"نعم",$M297="نعم"),0,MAX(0,MIN($F297,EOMONTH(DATE(cfg_FY,1,1),0))-MAX($E297,DATE(cfg_FY,1,1))+1))</f>
        <v>0</v>
      </c>
      <c r="AU297" s="110" t="n">
        <f aca="false">IF(OR(OR($B297="",$E297="",$F297=""),$K297&lt;&gt;"نعم",$M297="نعم"),0,MAX(0,MIN($F297,EOMONTH(DATE(cfg_FY,2,1),0))-MAX($E297,DATE(cfg_FY,2,1))+1))</f>
        <v>0</v>
      </c>
      <c r="AV297" s="110" t="n">
        <f aca="false">IF(OR(OR($B297="",$E297="",$F297=""),$K297&lt;&gt;"نعم",$M297="نعم"),0,MAX(0,MIN($F297,EOMONTH(DATE(cfg_FY,3,1),0))-MAX($E297,DATE(cfg_FY,3,1))+1))</f>
        <v>0</v>
      </c>
      <c r="AW297" s="110" t="n">
        <f aca="false">IF(OR(OR($B297="",$E297="",$F297=""),$K297&lt;&gt;"نعم",$M297="نعم"),0,MAX(0,MIN($F297,EOMONTH(DATE(cfg_FY,4,1),0))-MAX($E297,DATE(cfg_FY,4,1))+1))</f>
        <v>0</v>
      </c>
      <c r="AX297" s="110" t="n">
        <f aca="false">IF(OR(OR($B297="",$E297="",$F297=""),$K297&lt;&gt;"نعم",$M297="نعم"),0,MAX(0,MIN($F297,EOMONTH(DATE(cfg_FY,5,1),0))-MAX($E297,DATE(cfg_FY,5,1))+1))</f>
        <v>0</v>
      </c>
      <c r="AY297" s="110" t="n">
        <f aca="false">IF(OR(OR($B297="",$E297="",$F297=""),$K297&lt;&gt;"نعم",$M297="نعم"),0,MAX(0,MIN($F297,EOMONTH(DATE(cfg_FY,6,1),0))-MAX($E297,DATE(cfg_FY,6,1))+1))</f>
        <v>0</v>
      </c>
      <c r="AZ297" s="110" t="n">
        <f aca="false">IF(OR(OR($B297="",$E297="",$F297=""),$K297&lt;&gt;"نعم",$M297="نعم"),0,MAX(0,MIN($F297,EOMONTH(DATE(cfg_FY,7,1),0))-MAX($E297,DATE(cfg_FY,7,1))+1))</f>
        <v>0</v>
      </c>
      <c r="BA297" s="110" t="n">
        <f aca="false">IF(OR(OR($B297="",$E297="",$F297=""),$K297&lt;&gt;"نعم",$M297="نعم"),0,MAX(0,MIN($F297,EOMONTH(DATE(cfg_FY,8,1),0))-MAX($E297,DATE(cfg_FY,8,1))+1))</f>
        <v>0</v>
      </c>
      <c r="BB297" s="110" t="n">
        <f aca="false">IF(OR(OR($B297="",$E297="",$F297=""),$K297&lt;&gt;"نعم",$M297="نعم"),0,MAX(0,MIN($F297,EOMONTH(DATE(cfg_FY,9,1),0))-MAX($E297,DATE(cfg_FY,9,1))+1))</f>
        <v>0</v>
      </c>
      <c r="BC297" s="110" t="n">
        <f aca="false">IF(OR(OR($B297="",$E297="",$F297=""),$K297&lt;&gt;"نعم",$M297="نعم"),0,MAX(0,MIN($F297,EOMONTH(DATE(cfg_FY,10,1),0))-MAX($E297,DATE(cfg_FY,10,1))+1))</f>
        <v>0</v>
      </c>
      <c r="BD297" s="110" t="n">
        <f aca="false">IF(OR(OR($B297="",$E297="",$F297=""),$K297&lt;&gt;"نعم",$M297="نعم"),0,MAX(0,MIN($F297,EOMONTH(DATE(cfg_FY,11,1),0))-MAX($E297,DATE(cfg_FY,11,1))+1))</f>
        <v>0</v>
      </c>
      <c r="BE297" s="110" t="n">
        <f aca="false">IF(OR(OR($B297="",$E297="",$F297=""),$K297&lt;&gt;"نعم",$M297="نعم"),0,MAX(0,MIN($F297,EOMONTH(DATE(cfg_FY,12,1),0))-MAX($E297,DATE(cfg_FY,12,1))+1))</f>
        <v>0</v>
      </c>
    </row>
    <row r="298" customFormat="false" ht="15" hidden="false" customHeight="false" outlineLevel="0" collapsed="false">
      <c r="A298" s="93" t="str">
        <f aca="false">IF(B298="","",ROW()-5)</f>
        <v/>
      </c>
      <c r="B298" s="79"/>
      <c r="C298" s="80" t="str">
        <f aca="false">IF(B298="","",IFERROR(INDEX(الموظفون!$C$6:$C$105,MATCH(B298,الموظفون!$B$6:$B$105,0)),"✖ رقم غير موجود"))</f>
        <v/>
      </c>
      <c r="D298" s="79"/>
      <c r="E298" s="94"/>
      <c r="F298" s="94"/>
      <c r="G298" s="57" t="str">
        <f aca="false">IF(OR($B298="",$E298="",$F298=""),"",MAX(0,F298-E298+1))</f>
        <v/>
      </c>
      <c r="H298" s="58" t="str">
        <f aca="false">IF(D298="","",IFERROR(VLOOKUP(D298,cfg_LT,2,FALSE()),1))</f>
        <v/>
      </c>
      <c r="I298" s="82"/>
      <c r="J298" s="58" t="str">
        <f aca="false">IF(D298="","",IF(I298&lt;&gt;"",I298,H298))</f>
        <v/>
      </c>
      <c r="K298" s="80" t="str">
        <f aca="false">IF(D298="","",IFERROR(VLOOKUP($D298,cfg_LT,3,FALSE()),""))</f>
        <v/>
      </c>
      <c r="L298" s="80" t="str">
        <f aca="false">IF(D298="","",IFERROR(VLOOKUP($D298,cfg_LT,4,FALSE()),""))</f>
        <v/>
      </c>
      <c r="M298" s="80" t="str">
        <f aca="false">IF(D298="","",IFERROR(VLOOKUP($D298,cfg_LT,5,FALSE()),""))</f>
        <v/>
      </c>
      <c r="N298" s="97" t="n">
        <f aca="false">IF(OR(OR($B298="",$E298="",$F298=""),M298&lt;&gt;"نعم"),0,G298*J298*IFERROR(INDEX(الموظفون!$R$6:$R$105,MATCH(B298,الموظفون!$B$6:$B$105,0)),0)/cfg_DAYS_M)</f>
        <v>0</v>
      </c>
      <c r="O298" s="93" t="str">
        <f aca="false">IF(OR(OR($B298="",$E298="",$F298=""),M298&lt;&gt;"نعم"),"",IF(YEAR(E298)=cfg_FY,MONTH(E298),""))</f>
        <v/>
      </c>
      <c r="P298" s="80" t="str">
        <f aca="false">IF(B298="","",IF(OR(D298="",E298="",F298=""),"⚠ أكمل النوع والتواريخ",IF(F298&lt;E298,"✖ النهاية قبل البداية",IF(COUNTIFS($B$6:$B$505,B298,$E$6:$E$505,"&lt;="&amp;F298,$F$6:$F$505,"&gt;="&amp;E298)&gt;1,"⚠ تداخل مع سجل آخر",IF(E298&gt;cfg_VAL_DATE,"⏳ قادمة",IF(F298&lt;cfg_VAL_DATE,"✔ منتهية","✈ جارية في تاريخ التقرير"))))))</f>
        <v/>
      </c>
      <c r="Q298" s="79"/>
      <c r="R298" s="57" t="n">
        <f aca="false">IF(OR(OR($B298="",$E298="",$F298=""),L298&lt;&gt;"لا"),0,MAX(0,MIN(F298,cfg_Y_START-1)-E298+1))</f>
        <v>0</v>
      </c>
      <c r="S298" s="57" t="n">
        <f aca="false">IF(OR(OR($B298="",$E298="",$F298=""),L298&lt;&gt;"لا"),0,MAX(0,MIN(F298,cfg_VAL_DATE)-E298+1))</f>
        <v>0</v>
      </c>
      <c r="T298" s="57" t="n">
        <f aca="false">IF(OR(OR($B298="",$E298="",$F298=""),K298&lt;&gt;"نعم"),0,IF(M298="نعم",IF(AND(ISNUMBER(O298),N(O298)&lt;=cfg_VAL_M),G298,0),MAX(0,MIN(F298,cfg_VAL_DATE)-MAX(E298,cfg_Y_START)+1)))</f>
        <v>0</v>
      </c>
      <c r="V298" s="57" t="n">
        <f aca="false">IF(OR($B298="",$E298="",$F298=""),0,MAX(0,MIN($F298,EOMONTH(DATE(cfg_FY,1,1),0))-MAX($E298,DATE(cfg_FY,1,1))+1)*(1-IF($M298="نعم",0,N($J298))))</f>
        <v>0</v>
      </c>
      <c r="W298" s="57" t="n">
        <f aca="false">IF(OR($B298="",$E298="",$F298=""),0,MAX(0,MIN($F298,EOMONTH(DATE(cfg_FY,2,1),0))-MAX($E298,DATE(cfg_FY,2,1))+1)*(1-IF($M298="نعم",0,N($J298))))</f>
        <v>0</v>
      </c>
      <c r="X298" s="57" t="n">
        <f aca="false">IF(OR($B298="",$E298="",$F298=""),0,MAX(0,MIN($F298,EOMONTH(DATE(cfg_FY,3,1),0))-MAX($E298,DATE(cfg_FY,3,1))+1)*(1-IF($M298="نعم",0,N($J298))))</f>
        <v>0</v>
      </c>
      <c r="Y298" s="57" t="n">
        <f aca="false">IF(OR($B298="",$E298="",$F298=""),0,MAX(0,MIN($F298,EOMONTH(DATE(cfg_FY,4,1),0))-MAX($E298,DATE(cfg_FY,4,1))+1)*(1-IF($M298="نعم",0,N($J298))))</f>
        <v>0</v>
      </c>
      <c r="Z298" s="57" t="n">
        <f aca="false">IF(OR($B298="",$E298="",$F298=""),0,MAX(0,MIN($F298,EOMONTH(DATE(cfg_FY,5,1),0))-MAX($E298,DATE(cfg_FY,5,1))+1)*(1-IF($M298="نعم",0,N($J298))))</f>
        <v>0</v>
      </c>
      <c r="AA298" s="57" t="n">
        <f aca="false">IF(OR($B298="",$E298="",$F298=""),0,MAX(0,MIN($F298,EOMONTH(DATE(cfg_FY,6,1),0))-MAX($E298,DATE(cfg_FY,6,1))+1)*(1-IF($M298="نعم",0,N($J298))))</f>
        <v>0</v>
      </c>
      <c r="AB298" s="57" t="n">
        <f aca="false">IF(OR($B298="",$E298="",$F298=""),0,MAX(0,MIN($F298,EOMONTH(DATE(cfg_FY,7,1),0))-MAX($E298,DATE(cfg_FY,7,1))+1)*(1-IF($M298="نعم",0,N($J298))))</f>
        <v>0</v>
      </c>
      <c r="AC298" s="57" t="n">
        <f aca="false">IF(OR($B298="",$E298="",$F298=""),0,MAX(0,MIN($F298,EOMONTH(DATE(cfg_FY,8,1),0))-MAX($E298,DATE(cfg_FY,8,1))+1)*(1-IF($M298="نعم",0,N($J298))))</f>
        <v>0</v>
      </c>
      <c r="AD298" s="57" t="n">
        <f aca="false">IF(OR($B298="",$E298="",$F298=""),0,MAX(0,MIN($F298,EOMONTH(DATE(cfg_FY,9,1),0))-MAX($E298,DATE(cfg_FY,9,1))+1)*(1-IF($M298="نعم",0,N($J298))))</f>
        <v>0</v>
      </c>
      <c r="AE298" s="57" t="n">
        <f aca="false">IF(OR($B298="",$E298="",$F298=""),0,MAX(0,MIN($F298,EOMONTH(DATE(cfg_FY,10,1),0))-MAX($E298,DATE(cfg_FY,10,1))+1)*(1-IF($M298="نعم",0,N($J298))))</f>
        <v>0</v>
      </c>
      <c r="AF298" s="57" t="n">
        <f aca="false">IF(OR($B298="",$E298="",$F298=""),0,MAX(0,MIN($F298,EOMONTH(DATE(cfg_FY,11,1),0))-MAX($E298,DATE(cfg_FY,11,1))+1)*(1-IF($M298="نعم",0,N($J298))))</f>
        <v>0</v>
      </c>
      <c r="AG298" s="57" t="n">
        <f aca="false">IF(OR($B298="",$E298="",$F298=""),0,MAX(0,MIN($F298,EOMONTH(DATE(cfg_FY,12,1),0))-MAX($E298,DATE(cfg_FY,12,1))+1)*(1-IF($M298="نعم",0,N($J298))))</f>
        <v>0</v>
      </c>
      <c r="AH298" s="57" t="n">
        <f aca="false">IF(OR(OR($B298="",$E298="",$F298=""),$L298&lt;&gt;"لا"),0,MAX(0,MIN($F298,EOMONTH(DATE(cfg_FY,1,1),0))-$E298+1))</f>
        <v>0</v>
      </c>
      <c r="AI298" s="57" t="n">
        <f aca="false">IF(OR(OR($B298="",$E298="",$F298=""),$L298&lt;&gt;"لا"),0,MAX(0,MIN($F298,EOMONTH(DATE(cfg_FY,2,1),0))-$E298+1))</f>
        <v>0</v>
      </c>
      <c r="AJ298" s="57" t="n">
        <f aca="false">IF(OR(OR($B298="",$E298="",$F298=""),$L298&lt;&gt;"لا"),0,MAX(0,MIN($F298,EOMONTH(DATE(cfg_FY,3,1),0))-$E298+1))</f>
        <v>0</v>
      </c>
      <c r="AK298" s="57" t="n">
        <f aca="false">IF(OR(OR($B298="",$E298="",$F298=""),$L298&lt;&gt;"لا"),0,MAX(0,MIN($F298,EOMONTH(DATE(cfg_FY,4,1),0))-$E298+1))</f>
        <v>0</v>
      </c>
      <c r="AL298" s="57" t="n">
        <f aca="false">IF(OR(OR($B298="",$E298="",$F298=""),$L298&lt;&gt;"لا"),0,MAX(0,MIN($F298,EOMONTH(DATE(cfg_FY,5,1),0))-$E298+1))</f>
        <v>0</v>
      </c>
      <c r="AM298" s="57" t="n">
        <f aca="false">IF(OR(OR($B298="",$E298="",$F298=""),$L298&lt;&gt;"لا"),0,MAX(0,MIN($F298,EOMONTH(DATE(cfg_FY,6,1),0))-$E298+1))</f>
        <v>0</v>
      </c>
      <c r="AN298" s="57" t="n">
        <f aca="false">IF(OR(OR($B298="",$E298="",$F298=""),$L298&lt;&gt;"لا"),0,MAX(0,MIN($F298,EOMONTH(DATE(cfg_FY,7,1),0))-$E298+1))</f>
        <v>0</v>
      </c>
      <c r="AO298" s="57" t="n">
        <f aca="false">IF(OR(OR($B298="",$E298="",$F298=""),$L298&lt;&gt;"لا"),0,MAX(0,MIN($F298,EOMONTH(DATE(cfg_FY,8,1),0))-$E298+1))</f>
        <v>0</v>
      </c>
      <c r="AP298" s="57" t="n">
        <f aca="false">IF(OR(OR($B298="",$E298="",$F298=""),$L298&lt;&gt;"لا"),0,MAX(0,MIN($F298,EOMONTH(DATE(cfg_FY,9,1),0))-$E298+1))</f>
        <v>0</v>
      </c>
      <c r="AQ298" s="57" t="n">
        <f aca="false">IF(OR(OR($B298="",$E298="",$F298=""),$L298&lt;&gt;"لا"),0,MAX(0,MIN($F298,EOMONTH(DATE(cfg_FY,10,1),0))-$E298+1))</f>
        <v>0</v>
      </c>
      <c r="AR298" s="57" t="n">
        <f aca="false">IF(OR(OR($B298="",$E298="",$F298=""),$L298&lt;&gt;"لا"),0,MAX(0,MIN($F298,EOMONTH(DATE(cfg_FY,11,1),0))-$E298+1))</f>
        <v>0</v>
      </c>
      <c r="AS298" s="57" t="n">
        <f aca="false">IF(OR(OR($B298="",$E298="",$F298=""),$L298&lt;&gt;"لا"),0,MAX(0,MIN($F298,EOMONTH(DATE(cfg_FY,12,1),0))-$E298+1))</f>
        <v>0</v>
      </c>
      <c r="AT298" s="57" t="n">
        <f aca="false">IF(OR(OR($B298="",$E298="",$F298=""),$K298&lt;&gt;"نعم",$M298="نعم"),0,MAX(0,MIN($F298,EOMONTH(DATE(cfg_FY,1,1),0))-MAX($E298,DATE(cfg_FY,1,1))+1))</f>
        <v>0</v>
      </c>
      <c r="AU298" s="57" t="n">
        <f aca="false">IF(OR(OR($B298="",$E298="",$F298=""),$K298&lt;&gt;"نعم",$M298="نعم"),0,MAX(0,MIN($F298,EOMONTH(DATE(cfg_FY,2,1),0))-MAX($E298,DATE(cfg_FY,2,1))+1))</f>
        <v>0</v>
      </c>
      <c r="AV298" s="57" t="n">
        <f aca="false">IF(OR(OR($B298="",$E298="",$F298=""),$K298&lt;&gt;"نعم",$M298="نعم"),0,MAX(0,MIN($F298,EOMONTH(DATE(cfg_FY,3,1),0))-MAX($E298,DATE(cfg_FY,3,1))+1))</f>
        <v>0</v>
      </c>
      <c r="AW298" s="57" t="n">
        <f aca="false">IF(OR(OR($B298="",$E298="",$F298=""),$K298&lt;&gt;"نعم",$M298="نعم"),0,MAX(0,MIN($F298,EOMONTH(DATE(cfg_FY,4,1),0))-MAX($E298,DATE(cfg_FY,4,1))+1))</f>
        <v>0</v>
      </c>
      <c r="AX298" s="57" t="n">
        <f aca="false">IF(OR(OR($B298="",$E298="",$F298=""),$K298&lt;&gt;"نعم",$M298="نعم"),0,MAX(0,MIN($F298,EOMONTH(DATE(cfg_FY,5,1),0))-MAX($E298,DATE(cfg_FY,5,1))+1))</f>
        <v>0</v>
      </c>
      <c r="AY298" s="57" t="n">
        <f aca="false">IF(OR(OR($B298="",$E298="",$F298=""),$K298&lt;&gt;"نعم",$M298="نعم"),0,MAX(0,MIN($F298,EOMONTH(DATE(cfg_FY,6,1),0))-MAX($E298,DATE(cfg_FY,6,1))+1))</f>
        <v>0</v>
      </c>
      <c r="AZ298" s="57" t="n">
        <f aca="false">IF(OR(OR($B298="",$E298="",$F298=""),$K298&lt;&gt;"نعم",$M298="نعم"),0,MAX(0,MIN($F298,EOMONTH(DATE(cfg_FY,7,1),0))-MAX($E298,DATE(cfg_FY,7,1))+1))</f>
        <v>0</v>
      </c>
      <c r="BA298" s="57" t="n">
        <f aca="false">IF(OR(OR($B298="",$E298="",$F298=""),$K298&lt;&gt;"نعم",$M298="نعم"),0,MAX(0,MIN($F298,EOMONTH(DATE(cfg_FY,8,1),0))-MAX($E298,DATE(cfg_FY,8,1))+1))</f>
        <v>0</v>
      </c>
      <c r="BB298" s="57" t="n">
        <f aca="false">IF(OR(OR($B298="",$E298="",$F298=""),$K298&lt;&gt;"نعم",$M298="نعم"),0,MAX(0,MIN($F298,EOMONTH(DATE(cfg_FY,9,1),0))-MAX($E298,DATE(cfg_FY,9,1))+1))</f>
        <v>0</v>
      </c>
      <c r="BC298" s="57" t="n">
        <f aca="false">IF(OR(OR($B298="",$E298="",$F298=""),$K298&lt;&gt;"نعم",$M298="نعم"),0,MAX(0,MIN($F298,EOMONTH(DATE(cfg_FY,10,1),0))-MAX($E298,DATE(cfg_FY,10,1))+1))</f>
        <v>0</v>
      </c>
      <c r="BD298" s="57" t="n">
        <f aca="false">IF(OR(OR($B298="",$E298="",$F298=""),$K298&lt;&gt;"نعم",$M298="نعم"),0,MAX(0,MIN($F298,EOMONTH(DATE(cfg_FY,11,1),0))-MAX($E298,DATE(cfg_FY,11,1))+1))</f>
        <v>0</v>
      </c>
      <c r="BE298" s="57" t="n">
        <f aca="false">IF(OR(OR($B298="",$E298="",$F298=""),$K298&lt;&gt;"نعم",$M298="نعم"),0,MAX(0,MIN($F298,EOMONTH(DATE(cfg_FY,12,1),0))-MAX($E298,DATE(cfg_FY,12,1))+1))</f>
        <v>0</v>
      </c>
    </row>
    <row r="299" customFormat="false" ht="15" hidden="false" customHeight="false" outlineLevel="0" collapsed="false">
      <c r="A299" s="100" t="str">
        <f aca="false">IF(B299="","",ROW()-5)</f>
        <v/>
      </c>
      <c r="B299" s="79"/>
      <c r="C299" s="102" t="str">
        <f aca="false">IF(B299="","",IFERROR(INDEX(الموظفون!$C$6:$C$105,MATCH(B299,الموظفون!$B$6:$B$105,0)),"✖ رقم غير موجود"))</f>
        <v/>
      </c>
      <c r="D299" s="79"/>
      <c r="E299" s="94"/>
      <c r="F299" s="94"/>
      <c r="G299" s="110" t="str">
        <f aca="false">IF(OR($B299="",$E299="",$F299=""),"",MAX(0,F299-E299+1))</f>
        <v/>
      </c>
      <c r="H299" s="111" t="str">
        <f aca="false">IF(D299="","",IFERROR(VLOOKUP(D299,cfg_LT,2,FALSE()),1))</f>
        <v/>
      </c>
      <c r="I299" s="82"/>
      <c r="J299" s="111" t="str">
        <f aca="false">IF(D299="","",IF(I299&lt;&gt;"",I299,H299))</f>
        <v/>
      </c>
      <c r="K299" s="102" t="str">
        <f aca="false">IF(D299="","",IFERROR(VLOOKUP($D299,cfg_LT,3,FALSE()),""))</f>
        <v/>
      </c>
      <c r="L299" s="102" t="str">
        <f aca="false">IF(D299="","",IFERROR(VLOOKUP($D299,cfg_LT,4,FALSE()),""))</f>
        <v/>
      </c>
      <c r="M299" s="102" t="str">
        <f aca="false">IF(D299="","",IFERROR(VLOOKUP($D299,cfg_LT,5,FALSE()),""))</f>
        <v/>
      </c>
      <c r="N299" s="101" t="n">
        <f aca="false">IF(OR(OR($B299="",$E299="",$F299=""),M299&lt;&gt;"نعم"),0,G299*J299*IFERROR(INDEX(الموظفون!$R$6:$R$105,MATCH(B299,الموظفون!$B$6:$B$105,0)),0)/cfg_DAYS_M)</f>
        <v>0</v>
      </c>
      <c r="O299" s="100" t="str">
        <f aca="false">IF(OR(OR($B299="",$E299="",$F299=""),M299&lt;&gt;"نعم"),"",IF(YEAR(E299)=cfg_FY,MONTH(E299),""))</f>
        <v/>
      </c>
      <c r="P299" s="102" t="str">
        <f aca="false">IF(B299="","",IF(OR(D299="",E299="",F299=""),"⚠ أكمل النوع والتواريخ",IF(F299&lt;E299,"✖ النهاية قبل البداية",IF(COUNTIFS($B$6:$B$505,B299,$E$6:$E$505,"&lt;="&amp;F299,$F$6:$F$505,"&gt;="&amp;E299)&gt;1,"⚠ تداخل مع سجل آخر",IF(E299&gt;cfg_VAL_DATE,"⏳ قادمة",IF(F299&lt;cfg_VAL_DATE,"✔ منتهية","✈ جارية في تاريخ التقرير"))))))</f>
        <v/>
      </c>
      <c r="Q299" s="79"/>
      <c r="R299" s="110" t="n">
        <f aca="false">IF(OR(OR($B299="",$E299="",$F299=""),L299&lt;&gt;"لا"),0,MAX(0,MIN(F299,cfg_Y_START-1)-E299+1))</f>
        <v>0</v>
      </c>
      <c r="S299" s="110" t="n">
        <f aca="false">IF(OR(OR($B299="",$E299="",$F299=""),L299&lt;&gt;"لا"),0,MAX(0,MIN(F299,cfg_VAL_DATE)-E299+1))</f>
        <v>0</v>
      </c>
      <c r="T299" s="110" t="n">
        <f aca="false">IF(OR(OR($B299="",$E299="",$F299=""),K299&lt;&gt;"نعم"),0,IF(M299="نعم",IF(AND(ISNUMBER(O299),N(O299)&lt;=cfg_VAL_M),G299,0),MAX(0,MIN(F299,cfg_VAL_DATE)-MAX(E299,cfg_Y_START)+1)))</f>
        <v>0</v>
      </c>
      <c r="V299" s="110" t="n">
        <f aca="false">IF(OR($B299="",$E299="",$F299=""),0,MAX(0,MIN($F299,EOMONTH(DATE(cfg_FY,1,1),0))-MAX($E299,DATE(cfg_FY,1,1))+1)*(1-IF($M299="نعم",0,N($J299))))</f>
        <v>0</v>
      </c>
      <c r="W299" s="110" t="n">
        <f aca="false">IF(OR($B299="",$E299="",$F299=""),0,MAX(0,MIN($F299,EOMONTH(DATE(cfg_FY,2,1),0))-MAX($E299,DATE(cfg_FY,2,1))+1)*(1-IF($M299="نعم",0,N($J299))))</f>
        <v>0</v>
      </c>
      <c r="X299" s="110" t="n">
        <f aca="false">IF(OR($B299="",$E299="",$F299=""),0,MAX(0,MIN($F299,EOMONTH(DATE(cfg_FY,3,1),0))-MAX($E299,DATE(cfg_FY,3,1))+1)*(1-IF($M299="نعم",0,N($J299))))</f>
        <v>0</v>
      </c>
      <c r="Y299" s="110" t="n">
        <f aca="false">IF(OR($B299="",$E299="",$F299=""),0,MAX(0,MIN($F299,EOMONTH(DATE(cfg_FY,4,1),0))-MAX($E299,DATE(cfg_FY,4,1))+1)*(1-IF($M299="نعم",0,N($J299))))</f>
        <v>0</v>
      </c>
      <c r="Z299" s="110" t="n">
        <f aca="false">IF(OR($B299="",$E299="",$F299=""),0,MAX(0,MIN($F299,EOMONTH(DATE(cfg_FY,5,1),0))-MAX($E299,DATE(cfg_FY,5,1))+1)*(1-IF($M299="نعم",0,N($J299))))</f>
        <v>0</v>
      </c>
      <c r="AA299" s="110" t="n">
        <f aca="false">IF(OR($B299="",$E299="",$F299=""),0,MAX(0,MIN($F299,EOMONTH(DATE(cfg_FY,6,1),0))-MAX($E299,DATE(cfg_FY,6,1))+1)*(1-IF($M299="نعم",0,N($J299))))</f>
        <v>0</v>
      </c>
      <c r="AB299" s="110" t="n">
        <f aca="false">IF(OR($B299="",$E299="",$F299=""),0,MAX(0,MIN($F299,EOMONTH(DATE(cfg_FY,7,1),0))-MAX($E299,DATE(cfg_FY,7,1))+1)*(1-IF($M299="نعم",0,N($J299))))</f>
        <v>0</v>
      </c>
      <c r="AC299" s="110" t="n">
        <f aca="false">IF(OR($B299="",$E299="",$F299=""),0,MAX(0,MIN($F299,EOMONTH(DATE(cfg_FY,8,1),0))-MAX($E299,DATE(cfg_FY,8,1))+1)*(1-IF($M299="نعم",0,N($J299))))</f>
        <v>0</v>
      </c>
      <c r="AD299" s="110" t="n">
        <f aca="false">IF(OR($B299="",$E299="",$F299=""),0,MAX(0,MIN($F299,EOMONTH(DATE(cfg_FY,9,1),0))-MAX($E299,DATE(cfg_FY,9,1))+1)*(1-IF($M299="نعم",0,N($J299))))</f>
        <v>0</v>
      </c>
      <c r="AE299" s="110" t="n">
        <f aca="false">IF(OR($B299="",$E299="",$F299=""),0,MAX(0,MIN($F299,EOMONTH(DATE(cfg_FY,10,1),0))-MAX($E299,DATE(cfg_FY,10,1))+1)*(1-IF($M299="نعم",0,N($J299))))</f>
        <v>0</v>
      </c>
      <c r="AF299" s="110" t="n">
        <f aca="false">IF(OR($B299="",$E299="",$F299=""),0,MAX(0,MIN($F299,EOMONTH(DATE(cfg_FY,11,1),0))-MAX($E299,DATE(cfg_FY,11,1))+1)*(1-IF($M299="نعم",0,N($J299))))</f>
        <v>0</v>
      </c>
      <c r="AG299" s="110" t="n">
        <f aca="false">IF(OR($B299="",$E299="",$F299=""),0,MAX(0,MIN($F299,EOMONTH(DATE(cfg_FY,12,1),0))-MAX($E299,DATE(cfg_FY,12,1))+1)*(1-IF($M299="نعم",0,N($J299))))</f>
        <v>0</v>
      </c>
      <c r="AH299" s="110" t="n">
        <f aca="false">IF(OR(OR($B299="",$E299="",$F299=""),$L299&lt;&gt;"لا"),0,MAX(0,MIN($F299,EOMONTH(DATE(cfg_FY,1,1),0))-$E299+1))</f>
        <v>0</v>
      </c>
      <c r="AI299" s="110" t="n">
        <f aca="false">IF(OR(OR($B299="",$E299="",$F299=""),$L299&lt;&gt;"لا"),0,MAX(0,MIN($F299,EOMONTH(DATE(cfg_FY,2,1),0))-$E299+1))</f>
        <v>0</v>
      </c>
      <c r="AJ299" s="110" t="n">
        <f aca="false">IF(OR(OR($B299="",$E299="",$F299=""),$L299&lt;&gt;"لا"),0,MAX(0,MIN($F299,EOMONTH(DATE(cfg_FY,3,1),0))-$E299+1))</f>
        <v>0</v>
      </c>
      <c r="AK299" s="110" t="n">
        <f aca="false">IF(OR(OR($B299="",$E299="",$F299=""),$L299&lt;&gt;"لا"),0,MAX(0,MIN($F299,EOMONTH(DATE(cfg_FY,4,1),0))-$E299+1))</f>
        <v>0</v>
      </c>
      <c r="AL299" s="110" t="n">
        <f aca="false">IF(OR(OR($B299="",$E299="",$F299=""),$L299&lt;&gt;"لا"),0,MAX(0,MIN($F299,EOMONTH(DATE(cfg_FY,5,1),0))-$E299+1))</f>
        <v>0</v>
      </c>
      <c r="AM299" s="110" t="n">
        <f aca="false">IF(OR(OR($B299="",$E299="",$F299=""),$L299&lt;&gt;"لا"),0,MAX(0,MIN($F299,EOMONTH(DATE(cfg_FY,6,1),0))-$E299+1))</f>
        <v>0</v>
      </c>
      <c r="AN299" s="110" t="n">
        <f aca="false">IF(OR(OR($B299="",$E299="",$F299=""),$L299&lt;&gt;"لا"),0,MAX(0,MIN($F299,EOMONTH(DATE(cfg_FY,7,1),0))-$E299+1))</f>
        <v>0</v>
      </c>
      <c r="AO299" s="110" t="n">
        <f aca="false">IF(OR(OR($B299="",$E299="",$F299=""),$L299&lt;&gt;"لا"),0,MAX(0,MIN($F299,EOMONTH(DATE(cfg_FY,8,1),0))-$E299+1))</f>
        <v>0</v>
      </c>
      <c r="AP299" s="110" t="n">
        <f aca="false">IF(OR(OR($B299="",$E299="",$F299=""),$L299&lt;&gt;"لا"),0,MAX(0,MIN($F299,EOMONTH(DATE(cfg_FY,9,1),0))-$E299+1))</f>
        <v>0</v>
      </c>
      <c r="AQ299" s="110" t="n">
        <f aca="false">IF(OR(OR($B299="",$E299="",$F299=""),$L299&lt;&gt;"لا"),0,MAX(0,MIN($F299,EOMONTH(DATE(cfg_FY,10,1),0))-$E299+1))</f>
        <v>0</v>
      </c>
      <c r="AR299" s="110" t="n">
        <f aca="false">IF(OR(OR($B299="",$E299="",$F299=""),$L299&lt;&gt;"لا"),0,MAX(0,MIN($F299,EOMONTH(DATE(cfg_FY,11,1),0))-$E299+1))</f>
        <v>0</v>
      </c>
      <c r="AS299" s="110" t="n">
        <f aca="false">IF(OR(OR($B299="",$E299="",$F299=""),$L299&lt;&gt;"لا"),0,MAX(0,MIN($F299,EOMONTH(DATE(cfg_FY,12,1),0))-$E299+1))</f>
        <v>0</v>
      </c>
      <c r="AT299" s="110" t="n">
        <f aca="false">IF(OR(OR($B299="",$E299="",$F299=""),$K299&lt;&gt;"نعم",$M299="نعم"),0,MAX(0,MIN($F299,EOMONTH(DATE(cfg_FY,1,1),0))-MAX($E299,DATE(cfg_FY,1,1))+1))</f>
        <v>0</v>
      </c>
      <c r="AU299" s="110" t="n">
        <f aca="false">IF(OR(OR($B299="",$E299="",$F299=""),$K299&lt;&gt;"نعم",$M299="نعم"),0,MAX(0,MIN($F299,EOMONTH(DATE(cfg_FY,2,1),0))-MAX($E299,DATE(cfg_FY,2,1))+1))</f>
        <v>0</v>
      </c>
      <c r="AV299" s="110" t="n">
        <f aca="false">IF(OR(OR($B299="",$E299="",$F299=""),$K299&lt;&gt;"نعم",$M299="نعم"),0,MAX(0,MIN($F299,EOMONTH(DATE(cfg_FY,3,1),0))-MAX($E299,DATE(cfg_FY,3,1))+1))</f>
        <v>0</v>
      </c>
      <c r="AW299" s="110" t="n">
        <f aca="false">IF(OR(OR($B299="",$E299="",$F299=""),$K299&lt;&gt;"نعم",$M299="نعم"),0,MAX(0,MIN($F299,EOMONTH(DATE(cfg_FY,4,1),0))-MAX($E299,DATE(cfg_FY,4,1))+1))</f>
        <v>0</v>
      </c>
      <c r="AX299" s="110" t="n">
        <f aca="false">IF(OR(OR($B299="",$E299="",$F299=""),$K299&lt;&gt;"نعم",$M299="نعم"),0,MAX(0,MIN($F299,EOMONTH(DATE(cfg_FY,5,1),0))-MAX($E299,DATE(cfg_FY,5,1))+1))</f>
        <v>0</v>
      </c>
      <c r="AY299" s="110" t="n">
        <f aca="false">IF(OR(OR($B299="",$E299="",$F299=""),$K299&lt;&gt;"نعم",$M299="نعم"),0,MAX(0,MIN($F299,EOMONTH(DATE(cfg_FY,6,1),0))-MAX($E299,DATE(cfg_FY,6,1))+1))</f>
        <v>0</v>
      </c>
      <c r="AZ299" s="110" t="n">
        <f aca="false">IF(OR(OR($B299="",$E299="",$F299=""),$K299&lt;&gt;"نعم",$M299="نعم"),0,MAX(0,MIN($F299,EOMONTH(DATE(cfg_FY,7,1),0))-MAX($E299,DATE(cfg_FY,7,1))+1))</f>
        <v>0</v>
      </c>
      <c r="BA299" s="110" t="n">
        <f aca="false">IF(OR(OR($B299="",$E299="",$F299=""),$K299&lt;&gt;"نعم",$M299="نعم"),0,MAX(0,MIN($F299,EOMONTH(DATE(cfg_FY,8,1),0))-MAX($E299,DATE(cfg_FY,8,1))+1))</f>
        <v>0</v>
      </c>
      <c r="BB299" s="110" t="n">
        <f aca="false">IF(OR(OR($B299="",$E299="",$F299=""),$K299&lt;&gt;"نعم",$M299="نعم"),0,MAX(0,MIN($F299,EOMONTH(DATE(cfg_FY,9,1),0))-MAX($E299,DATE(cfg_FY,9,1))+1))</f>
        <v>0</v>
      </c>
      <c r="BC299" s="110" t="n">
        <f aca="false">IF(OR(OR($B299="",$E299="",$F299=""),$K299&lt;&gt;"نعم",$M299="نعم"),0,MAX(0,MIN($F299,EOMONTH(DATE(cfg_FY,10,1),0))-MAX($E299,DATE(cfg_FY,10,1))+1))</f>
        <v>0</v>
      </c>
      <c r="BD299" s="110" t="n">
        <f aca="false">IF(OR(OR($B299="",$E299="",$F299=""),$K299&lt;&gt;"نعم",$M299="نعم"),0,MAX(0,MIN($F299,EOMONTH(DATE(cfg_FY,11,1),0))-MAX($E299,DATE(cfg_FY,11,1))+1))</f>
        <v>0</v>
      </c>
      <c r="BE299" s="110" t="n">
        <f aca="false">IF(OR(OR($B299="",$E299="",$F299=""),$K299&lt;&gt;"نعم",$M299="نعم"),0,MAX(0,MIN($F299,EOMONTH(DATE(cfg_FY,12,1),0))-MAX($E299,DATE(cfg_FY,12,1))+1))</f>
        <v>0</v>
      </c>
    </row>
    <row r="300" customFormat="false" ht="15" hidden="false" customHeight="false" outlineLevel="0" collapsed="false">
      <c r="A300" s="93" t="str">
        <f aca="false">IF(B300="","",ROW()-5)</f>
        <v/>
      </c>
      <c r="B300" s="79"/>
      <c r="C300" s="80" t="str">
        <f aca="false">IF(B300="","",IFERROR(INDEX(الموظفون!$C$6:$C$105,MATCH(B300,الموظفون!$B$6:$B$105,0)),"✖ رقم غير موجود"))</f>
        <v/>
      </c>
      <c r="D300" s="79"/>
      <c r="E300" s="94"/>
      <c r="F300" s="94"/>
      <c r="G300" s="57" t="str">
        <f aca="false">IF(OR($B300="",$E300="",$F300=""),"",MAX(0,F300-E300+1))</f>
        <v/>
      </c>
      <c r="H300" s="58" t="str">
        <f aca="false">IF(D300="","",IFERROR(VLOOKUP(D300,cfg_LT,2,FALSE()),1))</f>
        <v/>
      </c>
      <c r="I300" s="82"/>
      <c r="J300" s="58" t="str">
        <f aca="false">IF(D300="","",IF(I300&lt;&gt;"",I300,H300))</f>
        <v/>
      </c>
      <c r="K300" s="80" t="str">
        <f aca="false">IF(D300="","",IFERROR(VLOOKUP($D300,cfg_LT,3,FALSE()),""))</f>
        <v/>
      </c>
      <c r="L300" s="80" t="str">
        <f aca="false">IF(D300="","",IFERROR(VLOOKUP($D300,cfg_LT,4,FALSE()),""))</f>
        <v/>
      </c>
      <c r="M300" s="80" t="str">
        <f aca="false">IF(D300="","",IFERROR(VLOOKUP($D300,cfg_LT,5,FALSE()),""))</f>
        <v/>
      </c>
      <c r="N300" s="97" t="n">
        <f aca="false">IF(OR(OR($B300="",$E300="",$F300=""),M300&lt;&gt;"نعم"),0,G300*J300*IFERROR(INDEX(الموظفون!$R$6:$R$105,MATCH(B300,الموظفون!$B$6:$B$105,0)),0)/cfg_DAYS_M)</f>
        <v>0</v>
      </c>
      <c r="O300" s="93" t="str">
        <f aca="false">IF(OR(OR($B300="",$E300="",$F300=""),M300&lt;&gt;"نعم"),"",IF(YEAR(E300)=cfg_FY,MONTH(E300),""))</f>
        <v/>
      </c>
      <c r="P300" s="80" t="str">
        <f aca="false">IF(B300="","",IF(OR(D300="",E300="",F300=""),"⚠ أكمل النوع والتواريخ",IF(F300&lt;E300,"✖ النهاية قبل البداية",IF(COUNTIFS($B$6:$B$505,B300,$E$6:$E$505,"&lt;="&amp;F300,$F$6:$F$505,"&gt;="&amp;E300)&gt;1,"⚠ تداخل مع سجل آخر",IF(E300&gt;cfg_VAL_DATE,"⏳ قادمة",IF(F300&lt;cfg_VAL_DATE,"✔ منتهية","✈ جارية في تاريخ التقرير"))))))</f>
        <v/>
      </c>
      <c r="Q300" s="79"/>
      <c r="R300" s="57" t="n">
        <f aca="false">IF(OR(OR($B300="",$E300="",$F300=""),L300&lt;&gt;"لا"),0,MAX(0,MIN(F300,cfg_Y_START-1)-E300+1))</f>
        <v>0</v>
      </c>
      <c r="S300" s="57" t="n">
        <f aca="false">IF(OR(OR($B300="",$E300="",$F300=""),L300&lt;&gt;"لا"),0,MAX(0,MIN(F300,cfg_VAL_DATE)-E300+1))</f>
        <v>0</v>
      </c>
      <c r="T300" s="57" t="n">
        <f aca="false">IF(OR(OR($B300="",$E300="",$F300=""),K300&lt;&gt;"نعم"),0,IF(M300="نعم",IF(AND(ISNUMBER(O300),N(O300)&lt;=cfg_VAL_M),G300,0),MAX(0,MIN(F300,cfg_VAL_DATE)-MAX(E300,cfg_Y_START)+1)))</f>
        <v>0</v>
      </c>
      <c r="V300" s="57" t="n">
        <f aca="false">IF(OR($B300="",$E300="",$F300=""),0,MAX(0,MIN($F300,EOMONTH(DATE(cfg_FY,1,1),0))-MAX($E300,DATE(cfg_FY,1,1))+1)*(1-IF($M300="نعم",0,N($J300))))</f>
        <v>0</v>
      </c>
      <c r="W300" s="57" t="n">
        <f aca="false">IF(OR($B300="",$E300="",$F300=""),0,MAX(0,MIN($F300,EOMONTH(DATE(cfg_FY,2,1),0))-MAX($E300,DATE(cfg_FY,2,1))+1)*(1-IF($M300="نعم",0,N($J300))))</f>
        <v>0</v>
      </c>
      <c r="X300" s="57" t="n">
        <f aca="false">IF(OR($B300="",$E300="",$F300=""),0,MAX(0,MIN($F300,EOMONTH(DATE(cfg_FY,3,1),0))-MAX($E300,DATE(cfg_FY,3,1))+1)*(1-IF($M300="نعم",0,N($J300))))</f>
        <v>0</v>
      </c>
      <c r="Y300" s="57" t="n">
        <f aca="false">IF(OR($B300="",$E300="",$F300=""),0,MAX(0,MIN($F300,EOMONTH(DATE(cfg_FY,4,1),0))-MAX($E300,DATE(cfg_FY,4,1))+1)*(1-IF($M300="نعم",0,N($J300))))</f>
        <v>0</v>
      </c>
      <c r="Z300" s="57" t="n">
        <f aca="false">IF(OR($B300="",$E300="",$F300=""),0,MAX(0,MIN($F300,EOMONTH(DATE(cfg_FY,5,1),0))-MAX($E300,DATE(cfg_FY,5,1))+1)*(1-IF($M300="نعم",0,N($J300))))</f>
        <v>0</v>
      </c>
      <c r="AA300" s="57" t="n">
        <f aca="false">IF(OR($B300="",$E300="",$F300=""),0,MAX(0,MIN($F300,EOMONTH(DATE(cfg_FY,6,1),0))-MAX($E300,DATE(cfg_FY,6,1))+1)*(1-IF($M300="نعم",0,N($J300))))</f>
        <v>0</v>
      </c>
      <c r="AB300" s="57" t="n">
        <f aca="false">IF(OR($B300="",$E300="",$F300=""),0,MAX(0,MIN($F300,EOMONTH(DATE(cfg_FY,7,1),0))-MAX($E300,DATE(cfg_FY,7,1))+1)*(1-IF($M300="نعم",0,N($J300))))</f>
        <v>0</v>
      </c>
      <c r="AC300" s="57" t="n">
        <f aca="false">IF(OR($B300="",$E300="",$F300=""),0,MAX(0,MIN($F300,EOMONTH(DATE(cfg_FY,8,1),0))-MAX($E300,DATE(cfg_FY,8,1))+1)*(1-IF($M300="نعم",0,N($J300))))</f>
        <v>0</v>
      </c>
      <c r="AD300" s="57" t="n">
        <f aca="false">IF(OR($B300="",$E300="",$F300=""),0,MAX(0,MIN($F300,EOMONTH(DATE(cfg_FY,9,1),0))-MAX($E300,DATE(cfg_FY,9,1))+1)*(1-IF($M300="نعم",0,N($J300))))</f>
        <v>0</v>
      </c>
      <c r="AE300" s="57" t="n">
        <f aca="false">IF(OR($B300="",$E300="",$F300=""),0,MAX(0,MIN($F300,EOMONTH(DATE(cfg_FY,10,1),0))-MAX($E300,DATE(cfg_FY,10,1))+1)*(1-IF($M300="نعم",0,N($J300))))</f>
        <v>0</v>
      </c>
      <c r="AF300" s="57" t="n">
        <f aca="false">IF(OR($B300="",$E300="",$F300=""),0,MAX(0,MIN($F300,EOMONTH(DATE(cfg_FY,11,1),0))-MAX($E300,DATE(cfg_FY,11,1))+1)*(1-IF($M300="نعم",0,N($J300))))</f>
        <v>0</v>
      </c>
      <c r="AG300" s="57" t="n">
        <f aca="false">IF(OR($B300="",$E300="",$F300=""),0,MAX(0,MIN($F300,EOMONTH(DATE(cfg_FY,12,1),0))-MAX($E300,DATE(cfg_FY,12,1))+1)*(1-IF($M300="نعم",0,N($J300))))</f>
        <v>0</v>
      </c>
      <c r="AH300" s="57" t="n">
        <f aca="false">IF(OR(OR($B300="",$E300="",$F300=""),$L300&lt;&gt;"لا"),0,MAX(0,MIN($F300,EOMONTH(DATE(cfg_FY,1,1),0))-$E300+1))</f>
        <v>0</v>
      </c>
      <c r="AI300" s="57" t="n">
        <f aca="false">IF(OR(OR($B300="",$E300="",$F300=""),$L300&lt;&gt;"لا"),0,MAX(0,MIN($F300,EOMONTH(DATE(cfg_FY,2,1),0))-$E300+1))</f>
        <v>0</v>
      </c>
      <c r="AJ300" s="57" t="n">
        <f aca="false">IF(OR(OR($B300="",$E300="",$F300=""),$L300&lt;&gt;"لا"),0,MAX(0,MIN($F300,EOMONTH(DATE(cfg_FY,3,1),0))-$E300+1))</f>
        <v>0</v>
      </c>
      <c r="AK300" s="57" t="n">
        <f aca="false">IF(OR(OR($B300="",$E300="",$F300=""),$L300&lt;&gt;"لا"),0,MAX(0,MIN($F300,EOMONTH(DATE(cfg_FY,4,1),0))-$E300+1))</f>
        <v>0</v>
      </c>
      <c r="AL300" s="57" t="n">
        <f aca="false">IF(OR(OR($B300="",$E300="",$F300=""),$L300&lt;&gt;"لا"),0,MAX(0,MIN($F300,EOMONTH(DATE(cfg_FY,5,1),0))-$E300+1))</f>
        <v>0</v>
      </c>
      <c r="AM300" s="57" t="n">
        <f aca="false">IF(OR(OR($B300="",$E300="",$F300=""),$L300&lt;&gt;"لا"),0,MAX(0,MIN($F300,EOMONTH(DATE(cfg_FY,6,1),0))-$E300+1))</f>
        <v>0</v>
      </c>
      <c r="AN300" s="57" t="n">
        <f aca="false">IF(OR(OR($B300="",$E300="",$F300=""),$L300&lt;&gt;"لا"),0,MAX(0,MIN($F300,EOMONTH(DATE(cfg_FY,7,1),0))-$E300+1))</f>
        <v>0</v>
      </c>
      <c r="AO300" s="57" t="n">
        <f aca="false">IF(OR(OR($B300="",$E300="",$F300=""),$L300&lt;&gt;"لا"),0,MAX(0,MIN($F300,EOMONTH(DATE(cfg_FY,8,1),0))-$E300+1))</f>
        <v>0</v>
      </c>
      <c r="AP300" s="57" t="n">
        <f aca="false">IF(OR(OR($B300="",$E300="",$F300=""),$L300&lt;&gt;"لا"),0,MAX(0,MIN($F300,EOMONTH(DATE(cfg_FY,9,1),0))-$E300+1))</f>
        <v>0</v>
      </c>
      <c r="AQ300" s="57" t="n">
        <f aca="false">IF(OR(OR($B300="",$E300="",$F300=""),$L300&lt;&gt;"لا"),0,MAX(0,MIN($F300,EOMONTH(DATE(cfg_FY,10,1),0))-$E300+1))</f>
        <v>0</v>
      </c>
      <c r="AR300" s="57" t="n">
        <f aca="false">IF(OR(OR($B300="",$E300="",$F300=""),$L300&lt;&gt;"لا"),0,MAX(0,MIN($F300,EOMONTH(DATE(cfg_FY,11,1),0))-$E300+1))</f>
        <v>0</v>
      </c>
      <c r="AS300" s="57" t="n">
        <f aca="false">IF(OR(OR($B300="",$E300="",$F300=""),$L300&lt;&gt;"لا"),0,MAX(0,MIN($F300,EOMONTH(DATE(cfg_FY,12,1),0))-$E300+1))</f>
        <v>0</v>
      </c>
      <c r="AT300" s="57" t="n">
        <f aca="false">IF(OR(OR($B300="",$E300="",$F300=""),$K300&lt;&gt;"نعم",$M300="نعم"),0,MAX(0,MIN($F300,EOMONTH(DATE(cfg_FY,1,1),0))-MAX($E300,DATE(cfg_FY,1,1))+1))</f>
        <v>0</v>
      </c>
      <c r="AU300" s="57" t="n">
        <f aca="false">IF(OR(OR($B300="",$E300="",$F300=""),$K300&lt;&gt;"نعم",$M300="نعم"),0,MAX(0,MIN($F300,EOMONTH(DATE(cfg_FY,2,1),0))-MAX($E300,DATE(cfg_FY,2,1))+1))</f>
        <v>0</v>
      </c>
      <c r="AV300" s="57" t="n">
        <f aca="false">IF(OR(OR($B300="",$E300="",$F300=""),$K300&lt;&gt;"نعم",$M300="نعم"),0,MAX(0,MIN($F300,EOMONTH(DATE(cfg_FY,3,1),0))-MAX($E300,DATE(cfg_FY,3,1))+1))</f>
        <v>0</v>
      </c>
      <c r="AW300" s="57" t="n">
        <f aca="false">IF(OR(OR($B300="",$E300="",$F300=""),$K300&lt;&gt;"نعم",$M300="نعم"),0,MAX(0,MIN($F300,EOMONTH(DATE(cfg_FY,4,1),0))-MAX($E300,DATE(cfg_FY,4,1))+1))</f>
        <v>0</v>
      </c>
      <c r="AX300" s="57" t="n">
        <f aca="false">IF(OR(OR($B300="",$E300="",$F300=""),$K300&lt;&gt;"نعم",$M300="نعم"),0,MAX(0,MIN($F300,EOMONTH(DATE(cfg_FY,5,1),0))-MAX($E300,DATE(cfg_FY,5,1))+1))</f>
        <v>0</v>
      </c>
      <c r="AY300" s="57" t="n">
        <f aca="false">IF(OR(OR($B300="",$E300="",$F300=""),$K300&lt;&gt;"نعم",$M300="نعم"),0,MAX(0,MIN($F300,EOMONTH(DATE(cfg_FY,6,1),0))-MAX($E300,DATE(cfg_FY,6,1))+1))</f>
        <v>0</v>
      </c>
      <c r="AZ300" s="57" t="n">
        <f aca="false">IF(OR(OR($B300="",$E300="",$F300=""),$K300&lt;&gt;"نعم",$M300="نعم"),0,MAX(0,MIN($F300,EOMONTH(DATE(cfg_FY,7,1),0))-MAX($E300,DATE(cfg_FY,7,1))+1))</f>
        <v>0</v>
      </c>
      <c r="BA300" s="57" t="n">
        <f aca="false">IF(OR(OR($B300="",$E300="",$F300=""),$K300&lt;&gt;"نعم",$M300="نعم"),0,MAX(0,MIN($F300,EOMONTH(DATE(cfg_FY,8,1),0))-MAX($E300,DATE(cfg_FY,8,1))+1))</f>
        <v>0</v>
      </c>
      <c r="BB300" s="57" t="n">
        <f aca="false">IF(OR(OR($B300="",$E300="",$F300=""),$K300&lt;&gt;"نعم",$M300="نعم"),0,MAX(0,MIN($F300,EOMONTH(DATE(cfg_FY,9,1),0))-MAX($E300,DATE(cfg_FY,9,1))+1))</f>
        <v>0</v>
      </c>
      <c r="BC300" s="57" t="n">
        <f aca="false">IF(OR(OR($B300="",$E300="",$F300=""),$K300&lt;&gt;"نعم",$M300="نعم"),0,MAX(0,MIN($F300,EOMONTH(DATE(cfg_FY,10,1),0))-MAX($E300,DATE(cfg_FY,10,1))+1))</f>
        <v>0</v>
      </c>
      <c r="BD300" s="57" t="n">
        <f aca="false">IF(OR(OR($B300="",$E300="",$F300=""),$K300&lt;&gt;"نعم",$M300="نعم"),0,MAX(0,MIN($F300,EOMONTH(DATE(cfg_FY,11,1),0))-MAX($E300,DATE(cfg_FY,11,1))+1))</f>
        <v>0</v>
      </c>
      <c r="BE300" s="57" t="n">
        <f aca="false">IF(OR(OR($B300="",$E300="",$F300=""),$K300&lt;&gt;"نعم",$M300="نعم"),0,MAX(0,MIN($F300,EOMONTH(DATE(cfg_FY,12,1),0))-MAX($E300,DATE(cfg_FY,12,1))+1))</f>
        <v>0</v>
      </c>
    </row>
    <row r="301" customFormat="false" ht="15" hidden="false" customHeight="false" outlineLevel="0" collapsed="false">
      <c r="A301" s="100" t="str">
        <f aca="false">IF(B301="","",ROW()-5)</f>
        <v/>
      </c>
      <c r="B301" s="79"/>
      <c r="C301" s="102" t="str">
        <f aca="false">IF(B301="","",IFERROR(INDEX(الموظفون!$C$6:$C$105,MATCH(B301,الموظفون!$B$6:$B$105,0)),"✖ رقم غير موجود"))</f>
        <v/>
      </c>
      <c r="D301" s="79"/>
      <c r="E301" s="94"/>
      <c r="F301" s="94"/>
      <c r="G301" s="110" t="str">
        <f aca="false">IF(OR($B301="",$E301="",$F301=""),"",MAX(0,F301-E301+1))</f>
        <v/>
      </c>
      <c r="H301" s="111" t="str">
        <f aca="false">IF(D301="","",IFERROR(VLOOKUP(D301,cfg_LT,2,FALSE()),1))</f>
        <v/>
      </c>
      <c r="I301" s="82"/>
      <c r="J301" s="111" t="str">
        <f aca="false">IF(D301="","",IF(I301&lt;&gt;"",I301,H301))</f>
        <v/>
      </c>
      <c r="K301" s="102" t="str">
        <f aca="false">IF(D301="","",IFERROR(VLOOKUP($D301,cfg_LT,3,FALSE()),""))</f>
        <v/>
      </c>
      <c r="L301" s="102" t="str">
        <f aca="false">IF(D301="","",IFERROR(VLOOKUP($D301,cfg_LT,4,FALSE()),""))</f>
        <v/>
      </c>
      <c r="M301" s="102" t="str">
        <f aca="false">IF(D301="","",IFERROR(VLOOKUP($D301,cfg_LT,5,FALSE()),""))</f>
        <v/>
      </c>
      <c r="N301" s="101" t="n">
        <f aca="false">IF(OR(OR($B301="",$E301="",$F301=""),M301&lt;&gt;"نعم"),0,G301*J301*IFERROR(INDEX(الموظفون!$R$6:$R$105,MATCH(B301,الموظفون!$B$6:$B$105,0)),0)/cfg_DAYS_M)</f>
        <v>0</v>
      </c>
      <c r="O301" s="100" t="str">
        <f aca="false">IF(OR(OR($B301="",$E301="",$F301=""),M301&lt;&gt;"نعم"),"",IF(YEAR(E301)=cfg_FY,MONTH(E301),""))</f>
        <v/>
      </c>
      <c r="P301" s="102" t="str">
        <f aca="false">IF(B301="","",IF(OR(D301="",E301="",F301=""),"⚠ أكمل النوع والتواريخ",IF(F301&lt;E301,"✖ النهاية قبل البداية",IF(COUNTIFS($B$6:$B$505,B301,$E$6:$E$505,"&lt;="&amp;F301,$F$6:$F$505,"&gt;="&amp;E301)&gt;1,"⚠ تداخل مع سجل آخر",IF(E301&gt;cfg_VAL_DATE,"⏳ قادمة",IF(F301&lt;cfg_VAL_DATE,"✔ منتهية","✈ جارية في تاريخ التقرير"))))))</f>
        <v/>
      </c>
      <c r="Q301" s="79"/>
      <c r="R301" s="110" t="n">
        <f aca="false">IF(OR(OR($B301="",$E301="",$F301=""),L301&lt;&gt;"لا"),0,MAX(0,MIN(F301,cfg_Y_START-1)-E301+1))</f>
        <v>0</v>
      </c>
      <c r="S301" s="110" t="n">
        <f aca="false">IF(OR(OR($B301="",$E301="",$F301=""),L301&lt;&gt;"لا"),0,MAX(0,MIN(F301,cfg_VAL_DATE)-E301+1))</f>
        <v>0</v>
      </c>
      <c r="T301" s="110" t="n">
        <f aca="false">IF(OR(OR($B301="",$E301="",$F301=""),K301&lt;&gt;"نعم"),0,IF(M301="نعم",IF(AND(ISNUMBER(O301),N(O301)&lt;=cfg_VAL_M),G301,0),MAX(0,MIN(F301,cfg_VAL_DATE)-MAX(E301,cfg_Y_START)+1)))</f>
        <v>0</v>
      </c>
      <c r="V301" s="110" t="n">
        <f aca="false">IF(OR($B301="",$E301="",$F301=""),0,MAX(0,MIN($F301,EOMONTH(DATE(cfg_FY,1,1),0))-MAX($E301,DATE(cfg_FY,1,1))+1)*(1-IF($M301="نعم",0,N($J301))))</f>
        <v>0</v>
      </c>
      <c r="W301" s="110" t="n">
        <f aca="false">IF(OR($B301="",$E301="",$F301=""),0,MAX(0,MIN($F301,EOMONTH(DATE(cfg_FY,2,1),0))-MAX($E301,DATE(cfg_FY,2,1))+1)*(1-IF($M301="نعم",0,N($J301))))</f>
        <v>0</v>
      </c>
      <c r="X301" s="110" t="n">
        <f aca="false">IF(OR($B301="",$E301="",$F301=""),0,MAX(0,MIN($F301,EOMONTH(DATE(cfg_FY,3,1),0))-MAX($E301,DATE(cfg_FY,3,1))+1)*(1-IF($M301="نعم",0,N($J301))))</f>
        <v>0</v>
      </c>
      <c r="Y301" s="110" t="n">
        <f aca="false">IF(OR($B301="",$E301="",$F301=""),0,MAX(0,MIN($F301,EOMONTH(DATE(cfg_FY,4,1),0))-MAX($E301,DATE(cfg_FY,4,1))+1)*(1-IF($M301="نعم",0,N($J301))))</f>
        <v>0</v>
      </c>
      <c r="Z301" s="110" t="n">
        <f aca="false">IF(OR($B301="",$E301="",$F301=""),0,MAX(0,MIN($F301,EOMONTH(DATE(cfg_FY,5,1),0))-MAX($E301,DATE(cfg_FY,5,1))+1)*(1-IF($M301="نعم",0,N($J301))))</f>
        <v>0</v>
      </c>
      <c r="AA301" s="110" t="n">
        <f aca="false">IF(OR($B301="",$E301="",$F301=""),0,MAX(0,MIN($F301,EOMONTH(DATE(cfg_FY,6,1),0))-MAX($E301,DATE(cfg_FY,6,1))+1)*(1-IF($M301="نعم",0,N($J301))))</f>
        <v>0</v>
      </c>
      <c r="AB301" s="110" t="n">
        <f aca="false">IF(OR($B301="",$E301="",$F301=""),0,MAX(0,MIN($F301,EOMONTH(DATE(cfg_FY,7,1),0))-MAX($E301,DATE(cfg_FY,7,1))+1)*(1-IF($M301="نعم",0,N($J301))))</f>
        <v>0</v>
      </c>
      <c r="AC301" s="110" t="n">
        <f aca="false">IF(OR($B301="",$E301="",$F301=""),0,MAX(0,MIN($F301,EOMONTH(DATE(cfg_FY,8,1),0))-MAX($E301,DATE(cfg_FY,8,1))+1)*(1-IF($M301="نعم",0,N($J301))))</f>
        <v>0</v>
      </c>
      <c r="AD301" s="110" t="n">
        <f aca="false">IF(OR($B301="",$E301="",$F301=""),0,MAX(0,MIN($F301,EOMONTH(DATE(cfg_FY,9,1),0))-MAX($E301,DATE(cfg_FY,9,1))+1)*(1-IF($M301="نعم",0,N($J301))))</f>
        <v>0</v>
      </c>
      <c r="AE301" s="110" t="n">
        <f aca="false">IF(OR($B301="",$E301="",$F301=""),0,MAX(0,MIN($F301,EOMONTH(DATE(cfg_FY,10,1),0))-MAX($E301,DATE(cfg_FY,10,1))+1)*(1-IF($M301="نعم",0,N($J301))))</f>
        <v>0</v>
      </c>
      <c r="AF301" s="110" t="n">
        <f aca="false">IF(OR($B301="",$E301="",$F301=""),0,MAX(0,MIN($F301,EOMONTH(DATE(cfg_FY,11,1),0))-MAX($E301,DATE(cfg_FY,11,1))+1)*(1-IF($M301="نعم",0,N($J301))))</f>
        <v>0</v>
      </c>
      <c r="AG301" s="110" t="n">
        <f aca="false">IF(OR($B301="",$E301="",$F301=""),0,MAX(0,MIN($F301,EOMONTH(DATE(cfg_FY,12,1),0))-MAX($E301,DATE(cfg_FY,12,1))+1)*(1-IF($M301="نعم",0,N($J301))))</f>
        <v>0</v>
      </c>
      <c r="AH301" s="110" t="n">
        <f aca="false">IF(OR(OR($B301="",$E301="",$F301=""),$L301&lt;&gt;"لا"),0,MAX(0,MIN($F301,EOMONTH(DATE(cfg_FY,1,1),0))-$E301+1))</f>
        <v>0</v>
      </c>
      <c r="AI301" s="110" t="n">
        <f aca="false">IF(OR(OR($B301="",$E301="",$F301=""),$L301&lt;&gt;"لا"),0,MAX(0,MIN($F301,EOMONTH(DATE(cfg_FY,2,1),0))-$E301+1))</f>
        <v>0</v>
      </c>
      <c r="AJ301" s="110" t="n">
        <f aca="false">IF(OR(OR($B301="",$E301="",$F301=""),$L301&lt;&gt;"لا"),0,MAX(0,MIN($F301,EOMONTH(DATE(cfg_FY,3,1),0))-$E301+1))</f>
        <v>0</v>
      </c>
      <c r="AK301" s="110" t="n">
        <f aca="false">IF(OR(OR($B301="",$E301="",$F301=""),$L301&lt;&gt;"لا"),0,MAX(0,MIN($F301,EOMONTH(DATE(cfg_FY,4,1),0))-$E301+1))</f>
        <v>0</v>
      </c>
      <c r="AL301" s="110" t="n">
        <f aca="false">IF(OR(OR($B301="",$E301="",$F301=""),$L301&lt;&gt;"لا"),0,MAX(0,MIN($F301,EOMONTH(DATE(cfg_FY,5,1),0))-$E301+1))</f>
        <v>0</v>
      </c>
      <c r="AM301" s="110" t="n">
        <f aca="false">IF(OR(OR($B301="",$E301="",$F301=""),$L301&lt;&gt;"لا"),0,MAX(0,MIN($F301,EOMONTH(DATE(cfg_FY,6,1),0))-$E301+1))</f>
        <v>0</v>
      </c>
      <c r="AN301" s="110" t="n">
        <f aca="false">IF(OR(OR($B301="",$E301="",$F301=""),$L301&lt;&gt;"لا"),0,MAX(0,MIN($F301,EOMONTH(DATE(cfg_FY,7,1),0))-$E301+1))</f>
        <v>0</v>
      </c>
      <c r="AO301" s="110" t="n">
        <f aca="false">IF(OR(OR($B301="",$E301="",$F301=""),$L301&lt;&gt;"لا"),0,MAX(0,MIN($F301,EOMONTH(DATE(cfg_FY,8,1),0))-$E301+1))</f>
        <v>0</v>
      </c>
      <c r="AP301" s="110" t="n">
        <f aca="false">IF(OR(OR($B301="",$E301="",$F301=""),$L301&lt;&gt;"لا"),0,MAX(0,MIN($F301,EOMONTH(DATE(cfg_FY,9,1),0))-$E301+1))</f>
        <v>0</v>
      </c>
      <c r="AQ301" s="110" t="n">
        <f aca="false">IF(OR(OR($B301="",$E301="",$F301=""),$L301&lt;&gt;"لا"),0,MAX(0,MIN($F301,EOMONTH(DATE(cfg_FY,10,1),0))-$E301+1))</f>
        <v>0</v>
      </c>
      <c r="AR301" s="110" t="n">
        <f aca="false">IF(OR(OR($B301="",$E301="",$F301=""),$L301&lt;&gt;"لا"),0,MAX(0,MIN($F301,EOMONTH(DATE(cfg_FY,11,1),0))-$E301+1))</f>
        <v>0</v>
      </c>
      <c r="AS301" s="110" t="n">
        <f aca="false">IF(OR(OR($B301="",$E301="",$F301=""),$L301&lt;&gt;"لا"),0,MAX(0,MIN($F301,EOMONTH(DATE(cfg_FY,12,1),0))-$E301+1))</f>
        <v>0</v>
      </c>
      <c r="AT301" s="110" t="n">
        <f aca="false">IF(OR(OR($B301="",$E301="",$F301=""),$K301&lt;&gt;"نعم",$M301="نعم"),0,MAX(0,MIN($F301,EOMONTH(DATE(cfg_FY,1,1),0))-MAX($E301,DATE(cfg_FY,1,1))+1))</f>
        <v>0</v>
      </c>
      <c r="AU301" s="110" t="n">
        <f aca="false">IF(OR(OR($B301="",$E301="",$F301=""),$K301&lt;&gt;"نعم",$M301="نعم"),0,MAX(0,MIN($F301,EOMONTH(DATE(cfg_FY,2,1),0))-MAX($E301,DATE(cfg_FY,2,1))+1))</f>
        <v>0</v>
      </c>
      <c r="AV301" s="110" t="n">
        <f aca="false">IF(OR(OR($B301="",$E301="",$F301=""),$K301&lt;&gt;"نعم",$M301="نعم"),0,MAX(0,MIN($F301,EOMONTH(DATE(cfg_FY,3,1),0))-MAX($E301,DATE(cfg_FY,3,1))+1))</f>
        <v>0</v>
      </c>
      <c r="AW301" s="110" t="n">
        <f aca="false">IF(OR(OR($B301="",$E301="",$F301=""),$K301&lt;&gt;"نعم",$M301="نعم"),0,MAX(0,MIN($F301,EOMONTH(DATE(cfg_FY,4,1),0))-MAX($E301,DATE(cfg_FY,4,1))+1))</f>
        <v>0</v>
      </c>
      <c r="AX301" s="110" t="n">
        <f aca="false">IF(OR(OR($B301="",$E301="",$F301=""),$K301&lt;&gt;"نعم",$M301="نعم"),0,MAX(0,MIN($F301,EOMONTH(DATE(cfg_FY,5,1),0))-MAX($E301,DATE(cfg_FY,5,1))+1))</f>
        <v>0</v>
      </c>
      <c r="AY301" s="110" t="n">
        <f aca="false">IF(OR(OR($B301="",$E301="",$F301=""),$K301&lt;&gt;"نعم",$M301="نعم"),0,MAX(0,MIN($F301,EOMONTH(DATE(cfg_FY,6,1),0))-MAX($E301,DATE(cfg_FY,6,1))+1))</f>
        <v>0</v>
      </c>
      <c r="AZ301" s="110" t="n">
        <f aca="false">IF(OR(OR($B301="",$E301="",$F301=""),$K301&lt;&gt;"نعم",$M301="نعم"),0,MAX(0,MIN($F301,EOMONTH(DATE(cfg_FY,7,1),0))-MAX($E301,DATE(cfg_FY,7,1))+1))</f>
        <v>0</v>
      </c>
      <c r="BA301" s="110" t="n">
        <f aca="false">IF(OR(OR($B301="",$E301="",$F301=""),$K301&lt;&gt;"نعم",$M301="نعم"),0,MAX(0,MIN($F301,EOMONTH(DATE(cfg_FY,8,1),0))-MAX($E301,DATE(cfg_FY,8,1))+1))</f>
        <v>0</v>
      </c>
      <c r="BB301" s="110" t="n">
        <f aca="false">IF(OR(OR($B301="",$E301="",$F301=""),$K301&lt;&gt;"نعم",$M301="نعم"),0,MAX(0,MIN($F301,EOMONTH(DATE(cfg_FY,9,1),0))-MAX($E301,DATE(cfg_FY,9,1))+1))</f>
        <v>0</v>
      </c>
      <c r="BC301" s="110" t="n">
        <f aca="false">IF(OR(OR($B301="",$E301="",$F301=""),$K301&lt;&gt;"نعم",$M301="نعم"),0,MAX(0,MIN($F301,EOMONTH(DATE(cfg_FY,10,1),0))-MAX($E301,DATE(cfg_FY,10,1))+1))</f>
        <v>0</v>
      </c>
      <c r="BD301" s="110" t="n">
        <f aca="false">IF(OR(OR($B301="",$E301="",$F301=""),$K301&lt;&gt;"نعم",$M301="نعم"),0,MAX(0,MIN($F301,EOMONTH(DATE(cfg_FY,11,1),0))-MAX($E301,DATE(cfg_FY,11,1))+1))</f>
        <v>0</v>
      </c>
      <c r="BE301" s="110" t="n">
        <f aca="false">IF(OR(OR($B301="",$E301="",$F301=""),$K301&lt;&gt;"نعم",$M301="نعم"),0,MAX(0,MIN($F301,EOMONTH(DATE(cfg_FY,12,1),0))-MAX($E301,DATE(cfg_FY,12,1))+1))</f>
        <v>0</v>
      </c>
    </row>
    <row r="302" customFormat="false" ht="15" hidden="false" customHeight="false" outlineLevel="0" collapsed="false">
      <c r="A302" s="93" t="str">
        <f aca="false">IF(B302="","",ROW()-5)</f>
        <v/>
      </c>
      <c r="B302" s="79"/>
      <c r="C302" s="80" t="str">
        <f aca="false">IF(B302="","",IFERROR(INDEX(الموظفون!$C$6:$C$105,MATCH(B302,الموظفون!$B$6:$B$105,0)),"✖ رقم غير موجود"))</f>
        <v/>
      </c>
      <c r="D302" s="79"/>
      <c r="E302" s="94"/>
      <c r="F302" s="94"/>
      <c r="G302" s="57" t="str">
        <f aca="false">IF(OR($B302="",$E302="",$F302=""),"",MAX(0,F302-E302+1))</f>
        <v/>
      </c>
      <c r="H302" s="58" t="str">
        <f aca="false">IF(D302="","",IFERROR(VLOOKUP(D302,cfg_LT,2,FALSE()),1))</f>
        <v/>
      </c>
      <c r="I302" s="82"/>
      <c r="J302" s="58" t="str">
        <f aca="false">IF(D302="","",IF(I302&lt;&gt;"",I302,H302))</f>
        <v/>
      </c>
      <c r="K302" s="80" t="str">
        <f aca="false">IF(D302="","",IFERROR(VLOOKUP($D302,cfg_LT,3,FALSE()),""))</f>
        <v/>
      </c>
      <c r="L302" s="80" t="str">
        <f aca="false">IF(D302="","",IFERROR(VLOOKUP($D302,cfg_LT,4,FALSE()),""))</f>
        <v/>
      </c>
      <c r="M302" s="80" t="str">
        <f aca="false">IF(D302="","",IFERROR(VLOOKUP($D302,cfg_LT,5,FALSE()),""))</f>
        <v/>
      </c>
      <c r="N302" s="97" t="n">
        <f aca="false">IF(OR(OR($B302="",$E302="",$F302=""),M302&lt;&gt;"نعم"),0,G302*J302*IFERROR(INDEX(الموظفون!$R$6:$R$105,MATCH(B302,الموظفون!$B$6:$B$105,0)),0)/cfg_DAYS_M)</f>
        <v>0</v>
      </c>
      <c r="O302" s="93" t="str">
        <f aca="false">IF(OR(OR($B302="",$E302="",$F302=""),M302&lt;&gt;"نعم"),"",IF(YEAR(E302)=cfg_FY,MONTH(E302),""))</f>
        <v/>
      </c>
      <c r="P302" s="80" t="str">
        <f aca="false">IF(B302="","",IF(OR(D302="",E302="",F302=""),"⚠ أكمل النوع والتواريخ",IF(F302&lt;E302,"✖ النهاية قبل البداية",IF(COUNTIFS($B$6:$B$505,B302,$E$6:$E$505,"&lt;="&amp;F302,$F$6:$F$505,"&gt;="&amp;E302)&gt;1,"⚠ تداخل مع سجل آخر",IF(E302&gt;cfg_VAL_DATE,"⏳ قادمة",IF(F302&lt;cfg_VAL_DATE,"✔ منتهية","✈ جارية في تاريخ التقرير"))))))</f>
        <v/>
      </c>
      <c r="Q302" s="79"/>
      <c r="R302" s="57" t="n">
        <f aca="false">IF(OR(OR($B302="",$E302="",$F302=""),L302&lt;&gt;"لا"),0,MAX(0,MIN(F302,cfg_Y_START-1)-E302+1))</f>
        <v>0</v>
      </c>
      <c r="S302" s="57" t="n">
        <f aca="false">IF(OR(OR($B302="",$E302="",$F302=""),L302&lt;&gt;"لا"),0,MAX(0,MIN(F302,cfg_VAL_DATE)-E302+1))</f>
        <v>0</v>
      </c>
      <c r="T302" s="57" t="n">
        <f aca="false">IF(OR(OR($B302="",$E302="",$F302=""),K302&lt;&gt;"نعم"),0,IF(M302="نعم",IF(AND(ISNUMBER(O302),N(O302)&lt;=cfg_VAL_M),G302,0),MAX(0,MIN(F302,cfg_VAL_DATE)-MAX(E302,cfg_Y_START)+1)))</f>
        <v>0</v>
      </c>
      <c r="V302" s="57" t="n">
        <f aca="false">IF(OR($B302="",$E302="",$F302=""),0,MAX(0,MIN($F302,EOMONTH(DATE(cfg_FY,1,1),0))-MAX($E302,DATE(cfg_FY,1,1))+1)*(1-IF($M302="نعم",0,N($J302))))</f>
        <v>0</v>
      </c>
      <c r="W302" s="57" t="n">
        <f aca="false">IF(OR($B302="",$E302="",$F302=""),0,MAX(0,MIN($F302,EOMONTH(DATE(cfg_FY,2,1),0))-MAX($E302,DATE(cfg_FY,2,1))+1)*(1-IF($M302="نعم",0,N($J302))))</f>
        <v>0</v>
      </c>
      <c r="X302" s="57" t="n">
        <f aca="false">IF(OR($B302="",$E302="",$F302=""),0,MAX(0,MIN($F302,EOMONTH(DATE(cfg_FY,3,1),0))-MAX($E302,DATE(cfg_FY,3,1))+1)*(1-IF($M302="نعم",0,N($J302))))</f>
        <v>0</v>
      </c>
      <c r="Y302" s="57" t="n">
        <f aca="false">IF(OR($B302="",$E302="",$F302=""),0,MAX(0,MIN($F302,EOMONTH(DATE(cfg_FY,4,1),0))-MAX($E302,DATE(cfg_FY,4,1))+1)*(1-IF($M302="نعم",0,N($J302))))</f>
        <v>0</v>
      </c>
      <c r="Z302" s="57" t="n">
        <f aca="false">IF(OR($B302="",$E302="",$F302=""),0,MAX(0,MIN($F302,EOMONTH(DATE(cfg_FY,5,1),0))-MAX($E302,DATE(cfg_FY,5,1))+1)*(1-IF($M302="نعم",0,N($J302))))</f>
        <v>0</v>
      </c>
      <c r="AA302" s="57" t="n">
        <f aca="false">IF(OR($B302="",$E302="",$F302=""),0,MAX(0,MIN($F302,EOMONTH(DATE(cfg_FY,6,1),0))-MAX($E302,DATE(cfg_FY,6,1))+1)*(1-IF($M302="نعم",0,N($J302))))</f>
        <v>0</v>
      </c>
      <c r="AB302" s="57" t="n">
        <f aca="false">IF(OR($B302="",$E302="",$F302=""),0,MAX(0,MIN($F302,EOMONTH(DATE(cfg_FY,7,1),0))-MAX($E302,DATE(cfg_FY,7,1))+1)*(1-IF($M302="نعم",0,N($J302))))</f>
        <v>0</v>
      </c>
      <c r="AC302" s="57" t="n">
        <f aca="false">IF(OR($B302="",$E302="",$F302=""),0,MAX(0,MIN($F302,EOMONTH(DATE(cfg_FY,8,1),0))-MAX($E302,DATE(cfg_FY,8,1))+1)*(1-IF($M302="نعم",0,N($J302))))</f>
        <v>0</v>
      </c>
      <c r="AD302" s="57" t="n">
        <f aca="false">IF(OR($B302="",$E302="",$F302=""),0,MAX(0,MIN($F302,EOMONTH(DATE(cfg_FY,9,1),0))-MAX($E302,DATE(cfg_FY,9,1))+1)*(1-IF($M302="نعم",0,N($J302))))</f>
        <v>0</v>
      </c>
      <c r="AE302" s="57" t="n">
        <f aca="false">IF(OR($B302="",$E302="",$F302=""),0,MAX(0,MIN($F302,EOMONTH(DATE(cfg_FY,10,1),0))-MAX($E302,DATE(cfg_FY,10,1))+1)*(1-IF($M302="نعم",0,N($J302))))</f>
        <v>0</v>
      </c>
      <c r="AF302" s="57" t="n">
        <f aca="false">IF(OR($B302="",$E302="",$F302=""),0,MAX(0,MIN($F302,EOMONTH(DATE(cfg_FY,11,1),0))-MAX($E302,DATE(cfg_FY,11,1))+1)*(1-IF($M302="نعم",0,N($J302))))</f>
        <v>0</v>
      </c>
      <c r="AG302" s="57" t="n">
        <f aca="false">IF(OR($B302="",$E302="",$F302=""),0,MAX(0,MIN($F302,EOMONTH(DATE(cfg_FY,12,1),0))-MAX($E302,DATE(cfg_FY,12,1))+1)*(1-IF($M302="نعم",0,N($J302))))</f>
        <v>0</v>
      </c>
      <c r="AH302" s="57" t="n">
        <f aca="false">IF(OR(OR($B302="",$E302="",$F302=""),$L302&lt;&gt;"لا"),0,MAX(0,MIN($F302,EOMONTH(DATE(cfg_FY,1,1),0))-$E302+1))</f>
        <v>0</v>
      </c>
      <c r="AI302" s="57" t="n">
        <f aca="false">IF(OR(OR($B302="",$E302="",$F302=""),$L302&lt;&gt;"لا"),0,MAX(0,MIN($F302,EOMONTH(DATE(cfg_FY,2,1),0))-$E302+1))</f>
        <v>0</v>
      </c>
      <c r="AJ302" s="57" t="n">
        <f aca="false">IF(OR(OR($B302="",$E302="",$F302=""),$L302&lt;&gt;"لا"),0,MAX(0,MIN($F302,EOMONTH(DATE(cfg_FY,3,1),0))-$E302+1))</f>
        <v>0</v>
      </c>
      <c r="AK302" s="57" t="n">
        <f aca="false">IF(OR(OR($B302="",$E302="",$F302=""),$L302&lt;&gt;"لا"),0,MAX(0,MIN($F302,EOMONTH(DATE(cfg_FY,4,1),0))-$E302+1))</f>
        <v>0</v>
      </c>
      <c r="AL302" s="57" t="n">
        <f aca="false">IF(OR(OR($B302="",$E302="",$F302=""),$L302&lt;&gt;"لا"),0,MAX(0,MIN($F302,EOMONTH(DATE(cfg_FY,5,1),0))-$E302+1))</f>
        <v>0</v>
      </c>
      <c r="AM302" s="57" t="n">
        <f aca="false">IF(OR(OR($B302="",$E302="",$F302=""),$L302&lt;&gt;"لا"),0,MAX(0,MIN($F302,EOMONTH(DATE(cfg_FY,6,1),0))-$E302+1))</f>
        <v>0</v>
      </c>
      <c r="AN302" s="57" t="n">
        <f aca="false">IF(OR(OR($B302="",$E302="",$F302=""),$L302&lt;&gt;"لا"),0,MAX(0,MIN($F302,EOMONTH(DATE(cfg_FY,7,1),0))-$E302+1))</f>
        <v>0</v>
      </c>
      <c r="AO302" s="57" t="n">
        <f aca="false">IF(OR(OR($B302="",$E302="",$F302=""),$L302&lt;&gt;"لا"),0,MAX(0,MIN($F302,EOMONTH(DATE(cfg_FY,8,1),0))-$E302+1))</f>
        <v>0</v>
      </c>
      <c r="AP302" s="57" t="n">
        <f aca="false">IF(OR(OR($B302="",$E302="",$F302=""),$L302&lt;&gt;"لا"),0,MAX(0,MIN($F302,EOMONTH(DATE(cfg_FY,9,1),0))-$E302+1))</f>
        <v>0</v>
      </c>
      <c r="AQ302" s="57" t="n">
        <f aca="false">IF(OR(OR($B302="",$E302="",$F302=""),$L302&lt;&gt;"لا"),0,MAX(0,MIN($F302,EOMONTH(DATE(cfg_FY,10,1),0))-$E302+1))</f>
        <v>0</v>
      </c>
      <c r="AR302" s="57" t="n">
        <f aca="false">IF(OR(OR($B302="",$E302="",$F302=""),$L302&lt;&gt;"لا"),0,MAX(0,MIN($F302,EOMONTH(DATE(cfg_FY,11,1),0))-$E302+1))</f>
        <v>0</v>
      </c>
      <c r="AS302" s="57" t="n">
        <f aca="false">IF(OR(OR($B302="",$E302="",$F302=""),$L302&lt;&gt;"لا"),0,MAX(0,MIN($F302,EOMONTH(DATE(cfg_FY,12,1),0))-$E302+1))</f>
        <v>0</v>
      </c>
      <c r="AT302" s="57" t="n">
        <f aca="false">IF(OR(OR($B302="",$E302="",$F302=""),$K302&lt;&gt;"نعم",$M302="نعم"),0,MAX(0,MIN($F302,EOMONTH(DATE(cfg_FY,1,1),0))-MAX($E302,DATE(cfg_FY,1,1))+1))</f>
        <v>0</v>
      </c>
      <c r="AU302" s="57" t="n">
        <f aca="false">IF(OR(OR($B302="",$E302="",$F302=""),$K302&lt;&gt;"نعم",$M302="نعم"),0,MAX(0,MIN($F302,EOMONTH(DATE(cfg_FY,2,1),0))-MAX($E302,DATE(cfg_FY,2,1))+1))</f>
        <v>0</v>
      </c>
      <c r="AV302" s="57" t="n">
        <f aca="false">IF(OR(OR($B302="",$E302="",$F302=""),$K302&lt;&gt;"نعم",$M302="نعم"),0,MAX(0,MIN($F302,EOMONTH(DATE(cfg_FY,3,1),0))-MAX($E302,DATE(cfg_FY,3,1))+1))</f>
        <v>0</v>
      </c>
      <c r="AW302" s="57" t="n">
        <f aca="false">IF(OR(OR($B302="",$E302="",$F302=""),$K302&lt;&gt;"نعم",$M302="نعم"),0,MAX(0,MIN($F302,EOMONTH(DATE(cfg_FY,4,1),0))-MAX($E302,DATE(cfg_FY,4,1))+1))</f>
        <v>0</v>
      </c>
      <c r="AX302" s="57" t="n">
        <f aca="false">IF(OR(OR($B302="",$E302="",$F302=""),$K302&lt;&gt;"نعم",$M302="نعم"),0,MAX(0,MIN($F302,EOMONTH(DATE(cfg_FY,5,1),0))-MAX($E302,DATE(cfg_FY,5,1))+1))</f>
        <v>0</v>
      </c>
      <c r="AY302" s="57" t="n">
        <f aca="false">IF(OR(OR($B302="",$E302="",$F302=""),$K302&lt;&gt;"نعم",$M302="نعم"),0,MAX(0,MIN($F302,EOMONTH(DATE(cfg_FY,6,1),0))-MAX($E302,DATE(cfg_FY,6,1))+1))</f>
        <v>0</v>
      </c>
      <c r="AZ302" s="57" t="n">
        <f aca="false">IF(OR(OR($B302="",$E302="",$F302=""),$K302&lt;&gt;"نعم",$M302="نعم"),0,MAX(0,MIN($F302,EOMONTH(DATE(cfg_FY,7,1),0))-MAX($E302,DATE(cfg_FY,7,1))+1))</f>
        <v>0</v>
      </c>
      <c r="BA302" s="57" t="n">
        <f aca="false">IF(OR(OR($B302="",$E302="",$F302=""),$K302&lt;&gt;"نعم",$M302="نعم"),0,MAX(0,MIN($F302,EOMONTH(DATE(cfg_FY,8,1),0))-MAX($E302,DATE(cfg_FY,8,1))+1))</f>
        <v>0</v>
      </c>
      <c r="BB302" s="57" t="n">
        <f aca="false">IF(OR(OR($B302="",$E302="",$F302=""),$K302&lt;&gt;"نعم",$M302="نعم"),0,MAX(0,MIN($F302,EOMONTH(DATE(cfg_FY,9,1),0))-MAX($E302,DATE(cfg_FY,9,1))+1))</f>
        <v>0</v>
      </c>
      <c r="BC302" s="57" t="n">
        <f aca="false">IF(OR(OR($B302="",$E302="",$F302=""),$K302&lt;&gt;"نعم",$M302="نعم"),0,MAX(0,MIN($F302,EOMONTH(DATE(cfg_FY,10,1),0))-MAX($E302,DATE(cfg_FY,10,1))+1))</f>
        <v>0</v>
      </c>
      <c r="BD302" s="57" t="n">
        <f aca="false">IF(OR(OR($B302="",$E302="",$F302=""),$K302&lt;&gt;"نعم",$M302="نعم"),0,MAX(0,MIN($F302,EOMONTH(DATE(cfg_FY,11,1),0))-MAX($E302,DATE(cfg_FY,11,1))+1))</f>
        <v>0</v>
      </c>
      <c r="BE302" s="57" t="n">
        <f aca="false">IF(OR(OR($B302="",$E302="",$F302=""),$K302&lt;&gt;"نعم",$M302="نعم"),0,MAX(0,MIN($F302,EOMONTH(DATE(cfg_FY,12,1),0))-MAX($E302,DATE(cfg_FY,12,1))+1))</f>
        <v>0</v>
      </c>
    </row>
    <row r="303" customFormat="false" ht="15" hidden="false" customHeight="false" outlineLevel="0" collapsed="false">
      <c r="A303" s="100" t="str">
        <f aca="false">IF(B303="","",ROW()-5)</f>
        <v/>
      </c>
      <c r="B303" s="79"/>
      <c r="C303" s="102" t="str">
        <f aca="false">IF(B303="","",IFERROR(INDEX(الموظفون!$C$6:$C$105,MATCH(B303,الموظفون!$B$6:$B$105,0)),"✖ رقم غير موجود"))</f>
        <v/>
      </c>
      <c r="D303" s="79"/>
      <c r="E303" s="94"/>
      <c r="F303" s="94"/>
      <c r="G303" s="110" t="str">
        <f aca="false">IF(OR($B303="",$E303="",$F303=""),"",MAX(0,F303-E303+1))</f>
        <v/>
      </c>
      <c r="H303" s="111" t="str">
        <f aca="false">IF(D303="","",IFERROR(VLOOKUP(D303,cfg_LT,2,FALSE()),1))</f>
        <v/>
      </c>
      <c r="I303" s="82"/>
      <c r="J303" s="111" t="str">
        <f aca="false">IF(D303="","",IF(I303&lt;&gt;"",I303,H303))</f>
        <v/>
      </c>
      <c r="K303" s="102" t="str">
        <f aca="false">IF(D303="","",IFERROR(VLOOKUP($D303,cfg_LT,3,FALSE()),""))</f>
        <v/>
      </c>
      <c r="L303" s="102" t="str">
        <f aca="false">IF(D303="","",IFERROR(VLOOKUP($D303,cfg_LT,4,FALSE()),""))</f>
        <v/>
      </c>
      <c r="M303" s="102" t="str">
        <f aca="false">IF(D303="","",IFERROR(VLOOKUP($D303,cfg_LT,5,FALSE()),""))</f>
        <v/>
      </c>
      <c r="N303" s="101" t="n">
        <f aca="false">IF(OR(OR($B303="",$E303="",$F303=""),M303&lt;&gt;"نعم"),0,G303*J303*IFERROR(INDEX(الموظفون!$R$6:$R$105,MATCH(B303,الموظفون!$B$6:$B$105,0)),0)/cfg_DAYS_M)</f>
        <v>0</v>
      </c>
      <c r="O303" s="100" t="str">
        <f aca="false">IF(OR(OR($B303="",$E303="",$F303=""),M303&lt;&gt;"نعم"),"",IF(YEAR(E303)=cfg_FY,MONTH(E303),""))</f>
        <v/>
      </c>
      <c r="P303" s="102" t="str">
        <f aca="false">IF(B303="","",IF(OR(D303="",E303="",F303=""),"⚠ أكمل النوع والتواريخ",IF(F303&lt;E303,"✖ النهاية قبل البداية",IF(COUNTIFS($B$6:$B$505,B303,$E$6:$E$505,"&lt;="&amp;F303,$F$6:$F$505,"&gt;="&amp;E303)&gt;1,"⚠ تداخل مع سجل آخر",IF(E303&gt;cfg_VAL_DATE,"⏳ قادمة",IF(F303&lt;cfg_VAL_DATE,"✔ منتهية","✈ جارية في تاريخ التقرير"))))))</f>
        <v/>
      </c>
      <c r="Q303" s="79"/>
      <c r="R303" s="110" t="n">
        <f aca="false">IF(OR(OR($B303="",$E303="",$F303=""),L303&lt;&gt;"لا"),0,MAX(0,MIN(F303,cfg_Y_START-1)-E303+1))</f>
        <v>0</v>
      </c>
      <c r="S303" s="110" t="n">
        <f aca="false">IF(OR(OR($B303="",$E303="",$F303=""),L303&lt;&gt;"لا"),0,MAX(0,MIN(F303,cfg_VAL_DATE)-E303+1))</f>
        <v>0</v>
      </c>
      <c r="T303" s="110" t="n">
        <f aca="false">IF(OR(OR($B303="",$E303="",$F303=""),K303&lt;&gt;"نعم"),0,IF(M303="نعم",IF(AND(ISNUMBER(O303),N(O303)&lt;=cfg_VAL_M),G303,0),MAX(0,MIN(F303,cfg_VAL_DATE)-MAX(E303,cfg_Y_START)+1)))</f>
        <v>0</v>
      </c>
      <c r="V303" s="110" t="n">
        <f aca="false">IF(OR($B303="",$E303="",$F303=""),0,MAX(0,MIN($F303,EOMONTH(DATE(cfg_FY,1,1),0))-MAX($E303,DATE(cfg_FY,1,1))+1)*(1-IF($M303="نعم",0,N($J303))))</f>
        <v>0</v>
      </c>
      <c r="W303" s="110" t="n">
        <f aca="false">IF(OR($B303="",$E303="",$F303=""),0,MAX(0,MIN($F303,EOMONTH(DATE(cfg_FY,2,1),0))-MAX($E303,DATE(cfg_FY,2,1))+1)*(1-IF($M303="نعم",0,N($J303))))</f>
        <v>0</v>
      </c>
      <c r="X303" s="110" t="n">
        <f aca="false">IF(OR($B303="",$E303="",$F303=""),0,MAX(0,MIN($F303,EOMONTH(DATE(cfg_FY,3,1),0))-MAX($E303,DATE(cfg_FY,3,1))+1)*(1-IF($M303="نعم",0,N($J303))))</f>
        <v>0</v>
      </c>
      <c r="Y303" s="110" t="n">
        <f aca="false">IF(OR($B303="",$E303="",$F303=""),0,MAX(0,MIN($F303,EOMONTH(DATE(cfg_FY,4,1),0))-MAX($E303,DATE(cfg_FY,4,1))+1)*(1-IF($M303="نعم",0,N($J303))))</f>
        <v>0</v>
      </c>
      <c r="Z303" s="110" t="n">
        <f aca="false">IF(OR($B303="",$E303="",$F303=""),0,MAX(0,MIN($F303,EOMONTH(DATE(cfg_FY,5,1),0))-MAX($E303,DATE(cfg_FY,5,1))+1)*(1-IF($M303="نعم",0,N($J303))))</f>
        <v>0</v>
      </c>
      <c r="AA303" s="110" t="n">
        <f aca="false">IF(OR($B303="",$E303="",$F303=""),0,MAX(0,MIN($F303,EOMONTH(DATE(cfg_FY,6,1),0))-MAX($E303,DATE(cfg_FY,6,1))+1)*(1-IF($M303="نعم",0,N($J303))))</f>
        <v>0</v>
      </c>
      <c r="AB303" s="110" t="n">
        <f aca="false">IF(OR($B303="",$E303="",$F303=""),0,MAX(0,MIN($F303,EOMONTH(DATE(cfg_FY,7,1),0))-MAX($E303,DATE(cfg_FY,7,1))+1)*(1-IF($M303="نعم",0,N($J303))))</f>
        <v>0</v>
      </c>
      <c r="AC303" s="110" t="n">
        <f aca="false">IF(OR($B303="",$E303="",$F303=""),0,MAX(0,MIN($F303,EOMONTH(DATE(cfg_FY,8,1),0))-MAX($E303,DATE(cfg_FY,8,1))+1)*(1-IF($M303="نعم",0,N($J303))))</f>
        <v>0</v>
      </c>
      <c r="AD303" s="110" t="n">
        <f aca="false">IF(OR($B303="",$E303="",$F303=""),0,MAX(0,MIN($F303,EOMONTH(DATE(cfg_FY,9,1),0))-MAX($E303,DATE(cfg_FY,9,1))+1)*(1-IF($M303="نعم",0,N($J303))))</f>
        <v>0</v>
      </c>
      <c r="AE303" s="110" t="n">
        <f aca="false">IF(OR($B303="",$E303="",$F303=""),0,MAX(0,MIN($F303,EOMONTH(DATE(cfg_FY,10,1),0))-MAX($E303,DATE(cfg_FY,10,1))+1)*(1-IF($M303="نعم",0,N($J303))))</f>
        <v>0</v>
      </c>
      <c r="AF303" s="110" t="n">
        <f aca="false">IF(OR($B303="",$E303="",$F303=""),0,MAX(0,MIN($F303,EOMONTH(DATE(cfg_FY,11,1),0))-MAX($E303,DATE(cfg_FY,11,1))+1)*(1-IF($M303="نعم",0,N($J303))))</f>
        <v>0</v>
      </c>
      <c r="AG303" s="110" t="n">
        <f aca="false">IF(OR($B303="",$E303="",$F303=""),0,MAX(0,MIN($F303,EOMONTH(DATE(cfg_FY,12,1),0))-MAX($E303,DATE(cfg_FY,12,1))+1)*(1-IF($M303="نعم",0,N($J303))))</f>
        <v>0</v>
      </c>
      <c r="AH303" s="110" t="n">
        <f aca="false">IF(OR(OR($B303="",$E303="",$F303=""),$L303&lt;&gt;"لا"),0,MAX(0,MIN($F303,EOMONTH(DATE(cfg_FY,1,1),0))-$E303+1))</f>
        <v>0</v>
      </c>
      <c r="AI303" s="110" t="n">
        <f aca="false">IF(OR(OR($B303="",$E303="",$F303=""),$L303&lt;&gt;"لا"),0,MAX(0,MIN($F303,EOMONTH(DATE(cfg_FY,2,1),0))-$E303+1))</f>
        <v>0</v>
      </c>
      <c r="AJ303" s="110" t="n">
        <f aca="false">IF(OR(OR($B303="",$E303="",$F303=""),$L303&lt;&gt;"لا"),0,MAX(0,MIN($F303,EOMONTH(DATE(cfg_FY,3,1),0))-$E303+1))</f>
        <v>0</v>
      </c>
      <c r="AK303" s="110" t="n">
        <f aca="false">IF(OR(OR($B303="",$E303="",$F303=""),$L303&lt;&gt;"لا"),0,MAX(0,MIN($F303,EOMONTH(DATE(cfg_FY,4,1),0))-$E303+1))</f>
        <v>0</v>
      </c>
      <c r="AL303" s="110" t="n">
        <f aca="false">IF(OR(OR($B303="",$E303="",$F303=""),$L303&lt;&gt;"لا"),0,MAX(0,MIN($F303,EOMONTH(DATE(cfg_FY,5,1),0))-$E303+1))</f>
        <v>0</v>
      </c>
      <c r="AM303" s="110" t="n">
        <f aca="false">IF(OR(OR($B303="",$E303="",$F303=""),$L303&lt;&gt;"لا"),0,MAX(0,MIN($F303,EOMONTH(DATE(cfg_FY,6,1),0))-$E303+1))</f>
        <v>0</v>
      </c>
      <c r="AN303" s="110" t="n">
        <f aca="false">IF(OR(OR($B303="",$E303="",$F303=""),$L303&lt;&gt;"لا"),0,MAX(0,MIN($F303,EOMONTH(DATE(cfg_FY,7,1),0))-$E303+1))</f>
        <v>0</v>
      </c>
      <c r="AO303" s="110" t="n">
        <f aca="false">IF(OR(OR($B303="",$E303="",$F303=""),$L303&lt;&gt;"لا"),0,MAX(0,MIN($F303,EOMONTH(DATE(cfg_FY,8,1),0))-$E303+1))</f>
        <v>0</v>
      </c>
      <c r="AP303" s="110" t="n">
        <f aca="false">IF(OR(OR($B303="",$E303="",$F303=""),$L303&lt;&gt;"لا"),0,MAX(0,MIN($F303,EOMONTH(DATE(cfg_FY,9,1),0))-$E303+1))</f>
        <v>0</v>
      </c>
      <c r="AQ303" s="110" t="n">
        <f aca="false">IF(OR(OR($B303="",$E303="",$F303=""),$L303&lt;&gt;"لا"),0,MAX(0,MIN($F303,EOMONTH(DATE(cfg_FY,10,1),0))-$E303+1))</f>
        <v>0</v>
      </c>
      <c r="AR303" s="110" t="n">
        <f aca="false">IF(OR(OR($B303="",$E303="",$F303=""),$L303&lt;&gt;"لا"),0,MAX(0,MIN($F303,EOMONTH(DATE(cfg_FY,11,1),0))-$E303+1))</f>
        <v>0</v>
      </c>
      <c r="AS303" s="110" t="n">
        <f aca="false">IF(OR(OR($B303="",$E303="",$F303=""),$L303&lt;&gt;"لا"),0,MAX(0,MIN($F303,EOMONTH(DATE(cfg_FY,12,1),0))-$E303+1))</f>
        <v>0</v>
      </c>
      <c r="AT303" s="110" t="n">
        <f aca="false">IF(OR(OR($B303="",$E303="",$F303=""),$K303&lt;&gt;"نعم",$M303="نعم"),0,MAX(0,MIN($F303,EOMONTH(DATE(cfg_FY,1,1),0))-MAX($E303,DATE(cfg_FY,1,1))+1))</f>
        <v>0</v>
      </c>
      <c r="AU303" s="110" t="n">
        <f aca="false">IF(OR(OR($B303="",$E303="",$F303=""),$K303&lt;&gt;"نعم",$M303="نعم"),0,MAX(0,MIN($F303,EOMONTH(DATE(cfg_FY,2,1),0))-MAX($E303,DATE(cfg_FY,2,1))+1))</f>
        <v>0</v>
      </c>
      <c r="AV303" s="110" t="n">
        <f aca="false">IF(OR(OR($B303="",$E303="",$F303=""),$K303&lt;&gt;"نعم",$M303="نعم"),0,MAX(0,MIN($F303,EOMONTH(DATE(cfg_FY,3,1),0))-MAX($E303,DATE(cfg_FY,3,1))+1))</f>
        <v>0</v>
      </c>
      <c r="AW303" s="110" t="n">
        <f aca="false">IF(OR(OR($B303="",$E303="",$F303=""),$K303&lt;&gt;"نعم",$M303="نعم"),0,MAX(0,MIN($F303,EOMONTH(DATE(cfg_FY,4,1),0))-MAX($E303,DATE(cfg_FY,4,1))+1))</f>
        <v>0</v>
      </c>
      <c r="AX303" s="110" t="n">
        <f aca="false">IF(OR(OR($B303="",$E303="",$F303=""),$K303&lt;&gt;"نعم",$M303="نعم"),0,MAX(0,MIN($F303,EOMONTH(DATE(cfg_FY,5,1),0))-MAX($E303,DATE(cfg_FY,5,1))+1))</f>
        <v>0</v>
      </c>
      <c r="AY303" s="110" t="n">
        <f aca="false">IF(OR(OR($B303="",$E303="",$F303=""),$K303&lt;&gt;"نعم",$M303="نعم"),0,MAX(0,MIN($F303,EOMONTH(DATE(cfg_FY,6,1),0))-MAX($E303,DATE(cfg_FY,6,1))+1))</f>
        <v>0</v>
      </c>
      <c r="AZ303" s="110" t="n">
        <f aca="false">IF(OR(OR($B303="",$E303="",$F303=""),$K303&lt;&gt;"نعم",$M303="نعم"),0,MAX(0,MIN($F303,EOMONTH(DATE(cfg_FY,7,1),0))-MAX($E303,DATE(cfg_FY,7,1))+1))</f>
        <v>0</v>
      </c>
      <c r="BA303" s="110" t="n">
        <f aca="false">IF(OR(OR($B303="",$E303="",$F303=""),$K303&lt;&gt;"نعم",$M303="نعم"),0,MAX(0,MIN($F303,EOMONTH(DATE(cfg_FY,8,1),0))-MAX($E303,DATE(cfg_FY,8,1))+1))</f>
        <v>0</v>
      </c>
      <c r="BB303" s="110" t="n">
        <f aca="false">IF(OR(OR($B303="",$E303="",$F303=""),$K303&lt;&gt;"نعم",$M303="نعم"),0,MAX(0,MIN($F303,EOMONTH(DATE(cfg_FY,9,1),0))-MAX($E303,DATE(cfg_FY,9,1))+1))</f>
        <v>0</v>
      </c>
      <c r="BC303" s="110" t="n">
        <f aca="false">IF(OR(OR($B303="",$E303="",$F303=""),$K303&lt;&gt;"نعم",$M303="نعم"),0,MAX(0,MIN($F303,EOMONTH(DATE(cfg_FY,10,1),0))-MAX($E303,DATE(cfg_FY,10,1))+1))</f>
        <v>0</v>
      </c>
      <c r="BD303" s="110" t="n">
        <f aca="false">IF(OR(OR($B303="",$E303="",$F303=""),$K303&lt;&gt;"نعم",$M303="نعم"),0,MAX(0,MIN($F303,EOMONTH(DATE(cfg_FY,11,1),0))-MAX($E303,DATE(cfg_FY,11,1))+1))</f>
        <v>0</v>
      </c>
      <c r="BE303" s="110" t="n">
        <f aca="false">IF(OR(OR($B303="",$E303="",$F303=""),$K303&lt;&gt;"نعم",$M303="نعم"),0,MAX(0,MIN($F303,EOMONTH(DATE(cfg_FY,12,1),0))-MAX($E303,DATE(cfg_FY,12,1))+1))</f>
        <v>0</v>
      </c>
    </row>
    <row r="304" customFormat="false" ht="15" hidden="false" customHeight="false" outlineLevel="0" collapsed="false">
      <c r="A304" s="93" t="str">
        <f aca="false">IF(B304="","",ROW()-5)</f>
        <v/>
      </c>
      <c r="B304" s="79"/>
      <c r="C304" s="80" t="str">
        <f aca="false">IF(B304="","",IFERROR(INDEX(الموظفون!$C$6:$C$105,MATCH(B304,الموظفون!$B$6:$B$105,0)),"✖ رقم غير موجود"))</f>
        <v/>
      </c>
      <c r="D304" s="79"/>
      <c r="E304" s="94"/>
      <c r="F304" s="94"/>
      <c r="G304" s="57" t="str">
        <f aca="false">IF(OR($B304="",$E304="",$F304=""),"",MAX(0,F304-E304+1))</f>
        <v/>
      </c>
      <c r="H304" s="58" t="str">
        <f aca="false">IF(D304="","",IFERROR(VLOOKUP(D304,cfg_LT,2,FALSE()),1))</f>
        <v/>
      </c>
      <c r="I304" s="82"/>
      <c r="J304" s="58" t="str">
        <f aca="false">IF(D304="","",IF(I304&lt;&gt;"",I304,H304))</f>
        <v/>
      </c>
      <c r="K304" s="80" t="str">
        <f aca="false">IF(D304="","",IFERROR(VLOOKUP($D304,cfg_LT,3,FALSE()),""))</f>
        <v/>
      </c>
      <c r="L304" s="80" t="str">
        <f aca="false">IF(D304="","",IFERROR(VLOOKUP($D304,cfg_LT,4,FALSE()),""))</f>
        <v/>
      </c>
      <c r="M304" s="80" t="str">
        <f aca="false">IF(D304="","",IFERROR(VLOOKUP($D304,cfg_LT,5,FALSE()),""))</f>
        <v/>
      </c>
      <c r="N304" s="97" t="n">
        <f aca="false">IF(OR(OR($B304="",$E304="",$F304=""),M304&lt;&gt;"نعم"),0,G304*J304*IFERROR(INDEX(الموظفون!$R$6:$R$105,MATCH(B304,الموظفون!$B$6:$B$105,0)),0)/cfg_DAYS_M)</f>
        <v>0</v>
      </c>
      <c r="O304" s="93" t="str">
        <f aca="false">IF(OR(OR($B304="",$E304="",$F304=""),M304&lt;&gt;"نعم"),"",IF(YEAR(E304)=cfg_FY,MONTH(E304),""))</f>
        <v/>
      </c>
      <c r="P304" s="80" t="str">
        <f aca="false">IF(B304="","",IF(OR(D304="",E304="",F304=""),"⚠ أكمل النوع والتواريخ",IF(F304&lt;E304,"✖ النهاية قبل البداية",IF(COUNTIFS($B$6:$B$505,B304,$E$6:$E$505,"&lt;="&amp;F304,$F$6:$F$505,"&gt;="&amp;E304)&gt;1,"⚠ تداخل مع سجل آخر",IF(E304&gt;cfg_VAL_DATE,"⏳ قادمة",IF(F304&lt;cfg_VAL_DATE,"✔ منتهية","✈ جارية في تاريخ التقرير"))))))</f>
        <v/>
      </c>
      <c r="Q304" s="79"/>
      <c r="R304" s="57" t="n">
        <f aca="false">IF(OR(OR($B304="",$E304="",$F304=""),L304&lt;&gt;"لا"),0,MAX(0,MIN(F304,cfg_Y_START-1)-E304+1))</f>
        <v>0</v>
      </c>
      <c r="S304" s="57" t="n">
        <f aca="false">IF(OR(OR($B304="",$E304="",$F304=""),L304&lt;&gt;"لا"),0,MAX(0,MIN(F304,cfg_VAL_DATE)-E304+1))</f>
        <v>0</v>
      </c>
      <c r="T304" s="57" t="n">
        <f aca="false">IF(OR(OR($B304="",$E304="",$F304=""),K304&lt;&gt;"نعم"),0,IF(M304="نعم",IF(AND(ISNUMBER(O304),N(O304)&lt;=cfg_VAL_M),G304,0),MAX(0,MIN(F304,cfg_VAL_DATE)-MAX(E304,cfg_Y_START)+1)))</f>
        <v>0</v>
      </c>
      <c r="V304" s="57" t="n">
        <f aca="false">IF(OR($B304="",$E304="",$F304=""),0,MAX(0,MIN($F304,EOMONTH(DATE(cfg_FY,1,1),0))-MAX($E304,DATE(cfg_FY,1,1))+1)*(1-IF($M304="نعم",0,N($J304))))</f>
        <v>0</v>
      </c>
      <c r="W304" s="57" t="n">
        <f aca="false">IF(OR($B304="",$E304="",$F304=""),0,MAX(0,MIN($F304,EOMONTH(DATE(cfg_FY,2,1),0))-MAX($E304,DATE(cfg_FY,2,1))+1)*(1-IF($M304="نعم",0,N($J304))))</f>
        <v>0</v>
      </c>
      <c r="X304" s="57" t="n">
        <f aca="false">IF(OR($B304="",$E304="",$F304=""),0,MAX(0,MIN($F304,EOMONTH(DATE(cfg_FY,3,1),0))-MAX($E304,DATE(cfg_FY,3,1))+1)*(1-IF($M304="نعم",0,N($J304))))</f>
        <v>0</v>
      </c>
      <c r="Y304" s="57" t="n">
        <f aca="false">IF(OR($B304="",$E304="",$F304=""),0,MAX(0,MIN($F304,EOMONTH(DATE(cfg_FY,4,1),0))-MAX($E304,DATE(cfg_FY,4,1))+1)*(1-IF($M304="نعم",0,N($J304))))</f>
        <v>0</v>
      </c>
      <c r="Z304" s="57" t="n">
        <f aca="false">IF(OR($B304="",$E304="",$F304=""),0,MAX(0,MIN($F304,EOMONTH(DATE(cfg_FY,5,1),0))-MAX($E304,DATE(cfg_FY,5,1))+1)*(1-IF($M304="نعم",0,N($J304))))</f>
        <v>0</v>
      </c>
      <c r="AA304" s="57" t="n">
        <f aca="false">IF(OR($B304="",$E304="",$F304=""),0,MAX(0,MIN($F304,EOMONTH(DATE(cfg_FY,6,1),0))-MAX($E304,DATE(cfg_FY,6,1))+1)*(1-IF($M304="نعم",0,N($J304))))</f>
        <v>0</v>
      </c>
      <c r="AB304" s="57" t="n">
        <f aca="false">IF(OR($B304="",$E304="",$F304=""),0,MAX(0,MIN($F304,EOMONTH(DATE(cfg_FY,7,1),0))-MAX($E304,DATE(cfg_FY,7,1))+1)*(1-IF($M304="نعم",0,N($J304))))</f>
        <v>0</v>
      </c>
      <c r="AC304" s="57" t="n">
        <f aca="false">IF(OR($B304="",$E304="",$F304=""),0,MAX(0,MIN($F304,EOMONTH(DATE(cfg_FY,8,1),0))-MAX($E304,DATE(cfg_FY,8,1))+1)*(1-IF($M304="نعم",0,N($J304))))</f>
        <v>0</v>
      </c>
      <c r="AD304" s="57" t="n">
        <f aca="false">IF(OR($B304="",$E304="",$F304=""),0,MAX(0,MIN($F304,EOMONTH(DATE(cfg_FY,9,1),0))-MAX($E304,DATE(cfg_FY,9,1))+1)*(1-IF($M304="نعم",0,N($J304))))</f>
        <v>0</v>
      </c>
      <c r="AE304" s="57" t="n">
        <f aca="false">IF(OR($B304="",$E304="",$F304=""),0,MAX(0,MIN($F304,EOMONTH(DATE(cfg_FY,10,1),0))-MAX($E304,DATE(cfg_FY,10,1))+1)*(1-IF($M304="نعم",0,N($J304))))</f>
        <v>0</v>
      </c>
      <c r="AF304" s="57" t="n">
        <f aca="false">IF(OR($B304="",$E304="",$F304=""),0,MAX(0,MIN($F304,EOMONTH(DATE(cfg_FY,11,1),0))-MAX($E304,DATE(cfg_FY,11,1))+1)*(1-IF($M304="نعم",0,N($J304))))</f>
        <v>0</v>
      </c>
      <c r="AG304" s="57" t="n">
        <f aca="false">IF(OR($B304="",$E304="",$F304=""),0,MAX(0,MIN($F304,EOMONTH(DATE(cfg_FY,12,1),0))-MAX($E304,DATE(cfg_FY,12,1))+1)*(1-IF($M304="نعم",0,N($J304))))</f>
        <v>0</v>
      </c>
      <c r="AH304" s="57" t="n">
        <f aca="false">IF(OR(OR($B304="",$E304="",$F304=""),$L304&lt;&gt;"لا"),0,MAX(0,MIN($F304,EOMONTH(DATE(cfg_FY,1,1),0))-$E304+1))</f>
        <v>0</v>
      </c>
      <c r="AI304" s="57" t="n">
        <f aca="false">IF(OR(OR($B304="",$E304="",$F304=""),$L304&lt;&gt;"لا"),0,MAX(0,MIN($F304,EOMONTH(DATE(cfg_FY,2,1),0))-$E304+1))</f>
        <v>0</v>
      </c>
      <c r="AJ304" s="57" t="n">
        <f aca="false">IF(OR(OR($B304="",$E304="",$F304=""),$L304&lt;&gt;"لا"),0,MAX(0,MIN($F304,EOMONTH(DATE(cfg_FY,3,1),0))-$E304+1))</f>
        <v>0</v>
      </c>
      <c r="AK304" s="57" t="n">
        <f aca="false">IF(OR(OR($B304="",$E304="",$F304=""),$L304&lt;&gt;"لا"),0,MAX(0,MIN($F304,EOMONTH(DATE(cfg_FY,4,1),0))-$E304+1))</f>
        <v>0</v>
      </c>
      <c r="AL304" s="57" t="n">
        <f aca="false">IF(OR(OR($B304="",$E304="",$F304=""),$L304&lt;&gt;"لا"),0,MAX(0,MIN($F304,EOMONTH(DATE(cfg_FY,5,1),0))-$E304+1))</f>
        <v>0</v>
      </c>
      <c r="AM304" s="57" t="n">
        <f aca="false">IF(OR(OR($B304="",$E304="",$F304=""),$L304&lt;&gt;"لا"),0,MAX(0,MIN($F304,EOMONTH(DATE(cfg_FY,6,1),0))-$E304+1))</f>
        <v>0</v>
      </c>
      <c r="AN304" s="57" t="n">
        <f aca="false">IF(OR(OR($B304="",$E304="",$F304=""),$L304&lt;&gt;"لا"),0,MAX(0,MIN($F304,EOMONTH(DATE(cfg_FY,7,1),0))-$E304+1))</f>
        <v>0</v>
      </c>
      <c r="AO304" s="57" t="n">
        <f aca="false">IF(OR(OR($B304="",$E304="",$F304=""),$L304&lt;&gt;"لا"),0,MAX(0,MIN($F304,EOMONTH(DATE(cfg_FY,8,1),0))-$E304+1))</f>
        <v>0</v>
      </c>
      <c r="AP304" s="57" t="n">
        <f aca="false">IF(OR(OR($B304="",$E304="",$F304=""),$L304&lt;&gt;"لا"),0,MAX(0,MIN($F304,EOMONTH(DATE(cfg_FY,9,1),0))-$E304+1))</f>
        <v>0</v>
      </c>
      <c r="AQ304" s="57" t="n">
        <f aca="false">IF(OR(OR($B304="",$E304="",$F304=""),$L304&lt;&gt;"لا"),0,MAX(0,MIN($F304,EOMONTH(DATE(cfg_FY,10,1),0))-$E304+1))</f>
        <v>0</v>
      </c>
      <c r="AR304" s="57" t="n">
        <f aca="false">IF(OR(OR($B304="",$E304="",$F304=""),$L304&lt;&gt;"لا"),0,MAX(0,MIN($F304,EOMONTH(DATE(cfg_FY,11,1),0))-$E304+1))</f>
        <v>0</v>
      </c>
      <c r="AS304" s="57" t="n">
        <f aca="false">IF(OR(OR($B304="",$E304="",$F304=""),$L304&lt;&gt;"لا"),0,MAX(0,MIN($F304,EOMONTH(DATE(cfg_FY,12,1),0))-$E304+1))</f>
        <v>0</v>
      </c>
      <c r="AT304" s="57" t="n">
        <f aca="false">IF(OR(OR($B304="",$E304="",$F304=""),$K304&lt;&gt;"نعم",$M304="نعم"),0,MAX(0,MIN($F304,EOMONTH(DATE(cfg_FY,1,1),0))-MAX($E304,DATE(cfg_FY,1,1))+1))</f>
        <v>0</v>
      </c>
      <c r="AU304" s="57" t="n">
        <f aca="false">IF(OR(OR($B304="",$E304="",$F304=""),$K304&lt;&gt;"نعم",$M304="نعم"),0,MAX(0,MIN($F304,EOMONTH(DATE(cfg_FY,2,1),0))-MAX($E304,DATE(cfg_FY,2,1))+1))</f>
        <v>0</v>
      </c>
      <c r="AV304" s="57" t="n">
        <f aca="false">IF(OR(OR($B304="",$E304="",$F304=""),$K304&lt;&gt;"نعم",$M304="نعم"),0,MAX(0,MIN($F304,EOMONTH(DATE(cfg_FY,3,1),0))-MAX($E304,DATE(cfg_FY,3,1))+1))</f>
        <v>0</v>
      </c>
      <c r="AW304" s="57" t="n">
        <f aca="false">IF(OR(OR($B304="",$E304="",$F304=""),$K304&lt;&gt;"نعم",$M304="نعم"),0,MAX(0,MIN($F304,EOMONTH(DATE(cfg_FY,4,1),0))-MAX($E304,DATE(cfg_FY,4,1))+1))</f>
        <v>0</v>
      </c>
      <c r="AX304" s="57" t="n">
        <f aca="false">IF(OR(OR($B304="",$E304="",$F304=""),$K304&lt;&gt;"نعم",$M304="نعم"),0,MAX(0,MIN($F304,EOMONTH(DATE(cfg_FY,5,1),0))-MAX($E304,DATE(cfg_FY,5,1))+1))</f>
        <v>0</v>
      </c>
      <c r="AY304" s="57" t="n">
        <f aca="false">IF(OR(OR($B304="",$E304="",$F304=""),$K304&lt;&gt;"نعم",$M304="نعم"),0,MAX(0,MIN($F304,EOMONTH(DATE(cfg_FY,6,1),0))-MAX($E304,DATE(cfg_FY,6,1))+1))</f>
        <v>0</v>
      </c>
      <c r="AZ304" s="57" t="n">
        <f aca="false">IF(OR(OR($B304="",$E304="",$F304=""),$K304&lt;&gt;"نعم",$M304="نعم"),0,MAX(0,MIN($F304,EOMONTH(DATE(cfg_FY,7,1),0))-MAX($E304,DATE(cfg_FY,7,1))+1))</f>
        <v>0</v>
      </c>
      <c r="BA304" s="57" t="n">
        <f aca="false">IF(OR(OR($B304="",$E304="",$F304=""),$K304&lt;&gt;"نعم",$M304="نعم"),0,MAX(0,MIN($F304,EOMONTH(DATE(cfg_FY,8,1),0))-MAX($E304,DATE(cfg_FY,8,1))+1))</f>
        <v>0</v>
      </c>
      <c r="BB304" s="57" t="n">
        <f aca="false">IF(OR(OR($B304="",$E304="",$F304=""),$K304&lt;&gt;"نعم",$M304="نعم"),0,MAX(0,MIN($F304,EOMONTH(DATE(cfg_FY,9,1),0))-MAX($E304,DATE(cfg_FY,9,1))+1))</f>
        <v>0</v>
      </c>
      <c r="BC304" s="57" t="n">
        <f aca="false">IF(OR(OR($B304="",$E304="",$F304=""),$K304&lt;&gt;"نعم",$M304="نعم"),0,MAX(0,MIN($F304,EOMONTH(DATE(cfg_FY,10,1),0))-MAX($E304,DATE(cfg_FY,10,1))+1))</f>
        <v>0</v>
      </c>
      <c r="BD304" s="57" t="n">
        <f aca="false">IF(OR(OR($B304="",$E304="",$F304=""),$K304&lt;&gt;"نعم",$M304="نعم"),0,MAX(0,MIN($F304,EOMONTH(DATE(cfg_FY,11,1),0))-MAX($E304,DATE(cfg_FY,11,1))+1))</f>
        <v>0</v>
      </c>
      <c r="BE304" s="57" t="n">
        <f aca="false">IF(OR(OR($B304="",$E304="",$F304=""),$K304&lt;&gt;"نعم",$M304="نعم"),0,MAX(0,MIN($F304,EOMONTH(DATE(cfg_FY,12,1),0))-MAX($E304,DATE(cfg_FY,12,1))+1))</f>
        <v>0</v>
      </c>
    </row>
    <row r="305" customFormat="false" ht="15" hidden="false" customHeight="false" outlineLevel="0" collapsed="false">
      <c r="A305" s="100" t="str">
        <f aca="false">IF(B305="","",ROW()-5)</f>
        <v/>
      </c>
      <c r="B305" s="79"/>
      <c r="C305" s="102" t="str">
        <f aca="false">IF(B305="","",IFERROR(INDEX(الموظفون!$C$6:$C$105,MATCH(B305,الموظفون!$B$6:$B$105,0)),"✖ رقم غير موجود"))</f>
        <v/>
      </c>
      <c r="D305" s="79"/>
      <c r="E305" s="94"/>
      <c r="F305" s="94"/>
      <c r="G305" s="110" t="str">
        <f aca="false">IF(OR($B305="",$E305="",$F305=""),"",MAX(0,F305-E305+1))</f>
        <v/>
      </c>
      <c r="H305" s="111" t="str">
        <f aca="false">IF(D305="","",IFERROR(VLOOKUP(D305,cfg_LT,2,FALSE()),1))</f>
        <v/>
      </c>
      <c r="I305" s="82"/>
      <c r="J305" s="111" t="str">
        <f aca="false">IF(D305="","",IF(I305&lt;&gt;"",I305,H305))</f>
        <v/>
      </c>
      <c r="K305" s="102" t="str">
        <f aca="false">IF(D305="","",IFERROR(VLOOKUP($D305,cfg_LT,3,FALSE()),""))</f>
        <v/>
      </c>
      <c r="L305" s="102" t="str">
        <f aca="false">IF(D305="","",IFERROR(VLOOKUP($D305,cfg_LT,4,FALSE()),""))</f>
        <v/>
      </c>
      <c r="M305" s="102" t="str">
        <f aca="false">IF(D305="","",IFERROR(VLOOKUP($D305,cfg_LT,5,FALSE()),""))</f>
        <v/>
      </c>
      <c r="N305" s="101" t="n">
        <f aca="false">IF(OR(OR($B305="",$E305="",$F305=""),M305&lt;&gt;"نعم"),0,G305*J305*IFERROR(INDEX(الموظفون!$R$6:$R$105,MATCH(B305,الموظفون!$B$6:$B$105,0)),0)/cfg_DAYS_M)</f>
        <v>0</v>
      </c>
      <c r="O305" s="100" t="str">
        <f aca="false">IF(OR(OR($B305="",$E305="",$F305=""),M305&lt;&gt;"نعم"),"",IF(YEAR(E305)=cfg_FY,MONTH(E305),""))</f>
        <v/>
      </c>
      <c r="P305" s="102" t="str">
        <f aca="false">IF(B305="","",IF(OR(D305="",E305="",F305=""),"⚠ أكمل النوع والتواريخ",IF(F305&lt;E305,"✖ النهاية قبل البداية",IF(COUNTIFS($B$6:$B$505,B305,$E$6:$E$505,"&lt;="&amp;F305,$F$6:$F$505,"&gt;="&amp;E305)&gt;1,"⚠ تداخل مع سجل آخر",IF(E305&gt;cfg_VAL_DATE,"⏳ قادمة",IF(F305&lt;cfg_VAL_DATE,"✔ منتهية","✈ جارية في تاريخ التقرير"))))))</f>
        <v/>
      </c>
      <c r="Q305" s="79"/>
      <c r="R305" s="110" t="n">
        <f aca="false">IF(OR(OR($B305="",$E305="",$F305=""),L305&lt;&gt;"لا"),0,MAX(0,MIN(F305,cfg_Y_START-1)-E305+1))</f>
        <v>0</v>
      </c>
      <c r="S305" s="110" t="n">
        <f aca="false">IF(OR(OR($B305="",$E305="",$F305=""),L305&lt;&gt;"لا"),0,MAX(0,MIN(F305,cfg_VAL_DATE)-E305+1))</f>
        <v>0</v>
      </c>
      <c r="T305" s="110" t="n">
        <f aca="false">IF(OR(OR($B305="",$E305="",$F305=""),K305&lt;&gt;"نعم"),0,IF(M305="نعم",IF(AND(ISNUMBER(O305),N(O305)&lt;=cfg_VAL_M),G305,0),MAX(0,MIN(F305,cfg_VAL_DATE)-MAX(E305,cfg_Y_START)+1)))</f>
        <v>0</v>
      </c>
      <c r="V305" s="110" t="n">
        <f aca="false">IF(OR($B305="",$E305="",$F305=""),0,MAX(0,MIN($F305,EOMONTH(DATE(cfg_FY,1,1),0))-MAX($E305,DATE(cfg_FY,1,1))+1)*(1-IF($M305="نعم",0,N($J305))))</f>
        <v>0</v>
      </c>
      <c r="W305" s="110" t="n">
        <f aca="false">IF(OR($B305="",$E305="",$F305=""),0,MAX(0,MIN($F305,EOMONTH(DATE(cfg_FY,2,1),0))-MAX($E305,DATE(cfg_FY,2,1))+1)*(1-IF($M305="نعم",0,N($J305))))</f>
        <v>0</v>
      </c>
      <c r="X305" s="110" t="n">
        <f aca="false">IF(OR($B305="",$E305="",$F305=""),0,MAX(0,MIN($F305,EOMONTH(DATE(cfg_FY,3,1),0))-MAX($E305,DATE(cfg_FY,3,1))+1)*(1-IF($M305="نعم",0,N($J305))))</f>
        <v>0</v>
      </c>
      <c r="Y305" s="110" t="n">
        <f aca="false">IF(OR($B305="",$E305="",$F305=""),0,MAX(0,MIN($F305,EOMONTH(DATE(cfg_FY,4,1),0))-MAX($E305,DATE(cfg_FY,4,1))+1)*(1-IF($M305="نعم",0,N($J305))))</f>
        <v>0</v>
      </c>
      <c r="Z305" s="110" t="n">
        <f aca="false">IF(OR($B305="",$E305="",$F305=""),0,MAX(0,MIN($F305,EOMONTH(DATE(cfg_FY,5,1),0))-MAX($E305,DATE(cfg_FY,5,1))+1)*(1-IF($M305="نعم",0,N($J305))))</f>
        <v>0</v>
      </c>
      <c r="AA305" s="110" t="n">
        <f aca="false">IF(OR($B305="",$E305="",$F305=""),0,MAX(0,MIN($F305,EOMONTH(DATE(cfg_FY,6,1),0))-MAX($E305,DATE(cfg_FY,6,1))+1)*(1-IF($M305="نعم",0,N($J305))))</f>
        <v>0</v>
      </c>
      <c r="AB305" s="110" t="n">
        <f aca="false">IF(OR($B305="",$E305="",$F305=""),0,MAX(0,MIN($F305,EOMONTH(DATE(cfg_FY,7,1),0))-MAX($E305,DATE(cfg_FY,7,1))+1)*(1-IF($M305="نعم",0,N($J305))))</f>
        <v>0</v>
      </c>
      <c r="AC305" s="110" t="n">
        <f aca="false">IF(OR($B305="",$E305="",$F305=""),0,MAX(0,MIN($F305,EOMONTH(DATE(cfg_FY,8,1),0))-MAX($E305,DATE(cfg_FY,8,1))+1)*(1-IF($M305="نعم",0,N($J305))))</f>
        <v>0</v>
      </c>
      <c r="AD305" s="110" t="n">
        <f aca="false">IF(OR($B305="",$E305="",$F305=""),0,MAX(0,MIN($F305,EOMONTH(DATE(cfg_FY,9,1),0))-MAX($E305,DATE(cfg_FY,9,1))+1)*(1-IF($M305="نعم",0,N($J305))))</f>
        <v>0</v>
      </c>
      <c r="AE305" s="110" t="n">
        <f aca="false">IF(OR($B305="",$E305="",$F305=""),0,MAX(0,MIN($F305,EOMONTH(DATE(cfg_FY,10,1),0))-MAX($E305,DATE(cfg_FY,10,1))+1)*(1-IF($M305="نعم",0,N($J305))))</f>
        <v>0</v>
      </c>
      <c r="AF305" s="110" t="n">
        <f aca="false">IF(OR($B305="",$E305="",$F305=""),0,MAX(0,MIN($F305,EOMONTH(DATE(cfg_FY,11,1),0))-MAX($E305,DATE(cfg_FY,11,1))+1)*(1-IF($M305="نعم",0,N($J305))))</f>
        <v>0</v>
      </c>
      <c r="AG305" s="110" t="n">
        <f aca="false">IF(OR($B305="",$E305="",$F305=""),0,MAX(0,MIN($F305,EOMONTH(DATE(cfg_FY,12,1),0))-MAX($E305,DATE(cfg_FY,12,1))+1)*(1-IF($M305="نعم",0,N($J305))))</f>
        <v>0</v>
      </c>
      <c r="AH305" s="110" t="n">
        <f aca="false">IF(OR(OR($B305="",$E305="",$F305=""),$L305&lt;&gt;"لا"),0,MAX(0,MIN($F305,EOMONTH(DATE(cfg_FY,1,1),0))-$E305+1))</f>
        <v>0</v>
      </c>
      <c r="AI305" s="110" t="n">
        <f aca="false">IF(OR(OR($B305="",$E305="",$F305=""),$L305&lt;&gt;"لا"),0,MAX(0,MIN($F305,EOMONTH(DATE(cfg_FY,2,1),0))-$E305+1))</f>
        <v>0</v>
      </c>
      <c r="AJ305" s="110" t="n">
        <f aca="false">IF(OR(OR($B305="",$E305="",$F305=""),$L305&lt;&gt;"لا"),0,MAX(0,MIN($F305,EOMONTH(DATE(cfg_FY,3,1),0))-$E305+1))</f>
        <v>0</v>
      </c>
      <c r="AK305" s="110" t="n">
        <f aca="false">IF(OR(OR($B305="",$E305="",$F305=""),$L305&lt;&gt;"لا"),0,MAX(0,MIN($F305,EOMONTH(DATE(cfg_FY,4,1),0))-$E305+1))</f>
        <v>0</v>
      </c>
      <c r="AL305" s="110" t="n">
        <f aca="false">IF(OR(OR($B305="",$E305="",$F305=""),$L305&lt;&gt;"لا"),0,MAX(0,MIN($F305,EOMONTH(DATE(cfg_FY,5,1),0))-$E305+1))</f>
        <v>0</v>
      </c>
      <c r="AM305" s="110" t="n">
        <f aca="false">IF(OR(OR($B305="",$E305="",$F305=""),$L305&lt;&gt;"لا"),0,MAX(0,MIN($F305,EOMONTH(DATE(cfg_FY,6,1),0))-$E305+1))</f>
        <v>0</v>
      </c>
      <c r="AN305" s="110" t="n">
        <f aca="false">IF(OR(OR($B305="",$E305="",$F305=""),$L305&lt;&gt;"لا"),0,MAX(0,MIN($F305,EOMONTH(DATE(cfg_FY,7,1),0))-$E305+1))</f>
        <v>0</v>
      </c>
      <c r="AO305" s="110" t="n">
        <f aca="false">IF(OR(OR($B305="",$E305="",$F305=""),$L305&lt;&gt;"لا"),0,MAX(0,MIN($F305,EOMONTH(DATE(cfg_FY,8,1),0))-$E305+1))</f>
        <v>0</v>
      </c>
      <c r="AP305" s="110" t="n">
        <f aca="false">IF(OR(OR($B305="",$E305="",$F305=""),$L305&lt;&gt;"لا"),0,MAX(0,MIN($F305,EOMONTH(DATE(cfg_FY,9,1),0))-$E305+1))</f>
        <v>0</v>
      </c>
      <c r="AQ305" s="110" t="n">
        <f aca="false">IF(OR(OR($B305="",$E305="",$F305=""),$L305&lt;&gt;"لا"),0,MAX(0,MIN($F305,EOMONTH(DATE(cfg_FY,10,1),0))-$E305+1))</f>
        <v>0</v>
      </c>
      <c r="AR305" s="110" t="n">
        <f aca="false">IF(OR(OR($B305="",$E305="",$F305=""),$L305&lt;&gt;"لا"),0,MAX(0,MIN($F305,EOMONTH(DATE(cfg_FY,11,1),0))-$E305+1))</f>
        <v>0</v>
      </c>
      <c r="AS305" s="110" t="n">
        <f aca="false">IF(OR(OR($B305="",$E305="",$F305=""),$L305&lt;&gt;"لا"),0,MAX(0,MIN($F305,EOMONTH(DATE(cfg_FY,12,1),0))-$E305+1))</f>
        <v>0</v>
      </c>
      <c r="AT305" s="110" t="n">
        <f aca="false">IF(OR(OR($B305="",$E305="",$F305=""),$K305&lt;&gt;"نعم",$M305="نعم"),0,MAX(0,MIN($F305,EOMONTH(DATE(cfg_FY,1,1),0))-MAX($E305,DATE(cfg_FY,1,1))+1))</f>
        <v>0</v>
      </c>
      <c r="AU305" s="110" t="n">
        <f aca="false">IF(OR(OR($B305="",$E305="",$F305=""),$K305&lt;&gt;"نعم",$M305="نعم"),0,MAX(0,MIN($F305,EOMONTH(DATE(cfg_FY,2,1),0))-MAX($E305,DATE(cfg_FY,2,1))+1))</f>
        <v>0</v>
      </c>
      <c r="AV305" s="110" t="n">
        <f aca="false">IF(OR(OR($B305="",$E305="",$F305=""),$K305&lt;&gt;"نعم",$M305="نعم"),0,MAX(0,MIN($F305,EOMONTH(DATE(cfg_FY,3,1),0))-MAX($E305,DATE(cfg_FY,3,1))+1))</f>
        <v>0</v>
      </c>
      <c r="AW305" s="110" t="n">
        <f aca="false">IF(OR(OR($B305="",$E305="",$F305=""),$K305&lt;&gt;"نعم",$M305="نعم"),0,MAX(0,MIN($F305,EOMONTH(DATE(cfg_FY,4,1),0))-MAX($E305,DATE(cfg_FY,4,1))+1))</f>
        <v>0</v>
      </c>
      <c r="AX305" s="110" t="n">
        <f aca="false">IF(OR(OR($B305="",$E305="",$F305=""),$K305&lt;&gt;"نعم",$M305="نعم"),0,MAX(0,MIN($F305,EOMONTH(DATE(cfg_FY,5,1),0))-MAX($E305,DATE(cfg_FY,5,1))+1))</f>
        <v>0</v>
      </c>
      <c r="AY305" s="110" t="n">
        <f aca="false">IF(OR(OR($B305="",$E305="",$F305=""),$K305&lt;&gt;"نعم",$M305="نعم"),0,MAX(0,MIN($F305,EOMONTH(DATE(cfg_FY,6,1),0))-MAX($E305,DATE(cfg_FY,6,1))+1))</f>
        <v>0</v>
      </c>
      <c r="AZ305" s="110" t="n">
        <f aca="false">IF(OR(OR($B305="",$E305="",$F305=""),$K305&lt;&gt;"نعم",$M305="نعم"),0,MAX(0,MIN($F305,EOMONTH(DATE(cfg_FY,7,1),0))-MAX($E305,DATE(cfg_FY,7,1))+1))</f>
        <v>0</v>
      </c>
      <c r="BA305" s="110" t="n">
        <f aca="false">IF(OR(OR($B305="",$E305="",$F305=""),$K305&lt;&gt;"نعم",$M305="نعم"),0,MAX(0,MIN($F305,EOMONTH(DATE(cfg_FY,8,1),0))-MAX($E305,DATE(cfg_FY,8,1))+1))</f>
        <v>0</v>
      </c>
      <c r="BB305" s="110" t="n">
        <f aca="false">IF(OR(OR($B305="",$E305="",$F305=""),$K305&lt;&gt;"نعم",$M305="نعم"),0,MAX(0,MIN($F305,EOMONTH(DATE(cfg_FY,9,1),0))-MAX($E305,DATE(cfg_FY,9,1))+1))</f>
        <v>0</v>
      </c>
      <c r="BC305" s="110" t="n">
        <f aca="false">IF(OR(OR($B305="",$E305="",$F305=""),$K305&lt;&gt;"نعم",$M305="نعم"),0,MAX(0,MIN($F305,EOMONTH(DATE(cfg_FY,10,1),0))-MAX($E305,DATE(cfg_FY,10,1))+1))</f>
        <v>0</v>
      </c>
      <c r="BD305" s="110" t="n">
        <f aca="false">IF(OR(OR($B305="",$E305="",$F305=""),$K305&lt;&gt;"نعم",$M305="نعم"),0,MAX(0,MIN($F305,EOMONTH(DATE(cfg_FY,11,1),0))-MAX($E305,DATE(cfg_FY,11,1))+1))</f>
        <v>0</v>
      </c>
      <c r="BE305" s="110" t="n">
        <f aca="false">IF(OR(OR($B305="",$E305="",$F305=""),$K305&lt;&gt;"نعم",$M305="نعم"),0,MAX(0,MIN($F305,EOMONTH(DATE(cfg_FY,12,1),0))-MAX($E305,DATE(cfg_FY,12,1))+1))</f>
        <v>0</v>
      </c>
    </row>
    <row r="306" customFormat="false" ht="15" hidden="false" customHeight="false" outlineLevel="0" collapsed="false">
      <c r="A306" s="93" t="str">
        <f aca="false">IF(B306="","",ROW()-5)</f>
        <v/>
      </c>
      <c r="B306" s="79"/>
      <c r="C306" s="80" t="str">
        <f aca="false">IF(B306="","",IFERROR(INDEX(الموظفون!$C$6:$C$105,MATCH(B306,الموظفون!$B$6:$B$105,0)),"✖ رقم غير موجود"))</f>
        <v/>
      </c>
      <c r="D306" s="79"/>
      <c r="E306" s="94"/>
      <c r="F306" s="94"/>
      <c r="G306" s="57" t="str">
        <f aca="false">IF(OR($B306="",$E306="",$F306=""),"",MAX(0,F306-E306+1))</f>
        <v/>
      </c>
      <c r="H306" s="58" t="str">
        <f aca="false">IF(D306="","",IFERROR(VLOOKUP(D306,cfg_LT,2,FALSE()),1))</f>
        <v/>
      </c>
      <c r="I306" s="82"/>
      <c r="J306" s="58" t="str">
        <f aca="false">IF(D306="","",IF(I306&lt;&gt;"",I306,H306))</f>
        <v/>
      </c>
      <c r="K306" s="80" t="str">
        <f aca="false">IF(D306="","",IFERROR(VLOOKUP($D306,cfg_LT,3,FALSE()),""))</f>
        <v/>
      </c>
      <c r="L306" s="80" t="str">
        <f aca="false">IF(D306="","",IFERROR(VLOOKUP($D306,cfg_LT,4,FALSE()),""))</f>
        <v/>
      </c>
      <c r="M306" s="80" t="str">
        <f aca="false">IF(D306="","",IFERROR(VLOOKUP($D306,cfg_LT,5,FALSE()),""))</f>
        <v/>
      </c>
      <c r="N306" s="97" t="n">
        <f aca="false">IF(OR(OR($B306="",$E306="",$F306=""),M306&lt;&gt;"نعم"),0,G306*J306*IFERROR(INDEX(الموظفون!$R$6:$R$105,MATCH(B306,الموظفون!$B$6:$B$105,0)),0)/cfg_DAYS_M)</f>
        <v>0</v>
      </c>
      <c r="O306" s="93" t="str">
        <f aca="false">IF(OR(OR($B306="",$E306="",$F306=""),M306&lt;&gt;"نعم"),"",IF(YEAR(E306)=cfg_FY,MONTH(E306),""))</f>
        <v/>
      </c>
      <c r="P306" s="80" t="str">
        <f aca="false">IF(B306="","",IF(OR(D306="",E306="",F306=""),"⚠ أكمل النوع والتواريخ",IF(F306&lt;E306,"✖ النهاية قبل البداية",IF(COUNTIFS($B$6:$B$505,B306,$E$6:$E$505,"&lt;="&amp;F306,$F$6:$F$505,"&gt;="&amp;E306)&gt;1,"⚠ تداخل مع سجل آخر",IF(E306&gt;cfg_VAL_DATE,"⏳ قادمة",IF(F306&lt;cfg_VAL_DATE,"✔ منتهية","✈ جارية في تاريخ التقرير"))))))</f>
        <v/>
      </c>
      <c r="Q306" s="79"/>
      <c r="R306" s="57" t="n">
        <f aca="false">IF(OR(OR($B306="",$E306="",$F306=""),L306&lt;&gt;"لا"),0,MAX(0,MIN(F306,cfg_Y_START-1)-E306+1))</f>
        <v>0</v>
      </c>
      <c r="S306" s="57" t="n">
        <f aca="false">IF(OR(OR($B306="",$E306="",$F306=""),L306&lt;&gt;"لا"),0,MAX(0,MIN(F306,cfg_VAL_DATE)-E306+1))</f>
        <v>0</v>
      </c>
      <c r="T306" s="57" t="n">
        <f aca="false">IF(OR(OR($B306="",$E306="",$F306=""),K306&lt;&gt;"نعم"),0,IF(M306="نعم",IF(AND(ISNUMBER(O306),N(O306)&lt;=cfg_VAL_M),G306,0),MAX(0,MIN(F306,cfg_VAL_DATE)-MAX(E306,cfg_Y_START)+1)))</f>
        <v>0</v>
      </c>
      <c r="V306" s="57" t="n">
        <f aca="false">IF(OR($B306="",$E306="",$F306=""),0,MAX(0,MIN($F306,EOMONTH(DATE(cfg_FY,1,1),0))-MAX($E306,DATE(cfg_FY,1,1))+1)*(1-IF($M306="نعم",0,N($J306))))</f>
        <v>0</v>
      </c>
      <c r="W306" s="57" t="n">
        <f aca="false">IF(OR($B306="",$E306="",$F306=""),0,MAX(0,MIN($F306,EOMONTH(DATE(cfg_FY,2,1),0))-MAX($E306,DATE(cfg_FY,2,1))+1)*(1-IF($M306="نعم",0,N($J306))))</f>
        <v>0</v>
      </c>
      <c r="X306" s="57" t="n">
        <f aca="false">IF(OR($B306="",$E306="",$F306=""),0,MAX(0,MIN($F306,EOMONTH(DATE(cfg_FY,3,1),0))-MAX($E306,DATE(cfg_FY,3,1))+1)*(1-IF($M306="نعم",0,N($J306))))</f>
        <v>0</v>
      </c>
      <c r="Y306" s="57" t="n">
        <f aca="false">IF(OR($B306="",$E306="",$F306=""),0,MAX(0,MIN($F306,EOMONTH(DATE(cfg_FY,4,1),0))-MAX($E306,DATE(cfg_FY,4,1))+1)*(1-IF($M306="نعم",0,N($J306))))</f>
        <v>0</v>
      </c>
      <c r="Z306" s="57" t="n">
        <f aca="false">IF(OR($B306="",$E306="",$F306=""),0,MAX(0,MIN($F306,EOMONTH(DATE(cfg_FY,5,1),0))-MAX($E306,DATE(cfg_FY,5,1))+1)*(1-IF($M306="نعم",0,N($J306))))</f>
        <v>0</v>
      </c>
      <c r="AA306" s="57" t="n">
        <f aca="false">IF(OR($B306="",$E306="",$F306=""),0,MAX(0,MIN($F306,EOMONTH(DATE(cfg_FY,6,1),0))-MAX($E306,DATE(cfg_FY,6,1))+1)*(1-IF($M306="نعم",0,N($J306))))</f>
        <v>0</v>
      </c>
      <c r="AB306" s="57" t="n">
        <f aca="false">IF(OR($B306="",$E306="",$F306=""),0,MAX(0,MIN($F306,EOMONTH(DATE(cfg_FY,7,1),0))-MAX($E306,DATE(cfg_FY,7,1))+1)*(1-IF($M306="نعم",0,N($J306))))</f>
        <v>0</v>
      </c>
      <c r="AC306" s="57" t="n">
        <f aca="false">IF(OR($B306="",$E306="",$F306=""),0,MAX(0,MIN($F306,EOMONTH(DATE(cfg_FY,8,1),0))-MAX($E306,DATE(cfg_FY,8,1))+1)*(1-IF($M306="نعم",0,N($J306))))</f>
        <v>0</v>
      </c>
      <c r="AD306" s="57" t="n">
        <f aca="false">IF(OR($B306="",$E306="",$F306=""),0,MAX(0,MIN($F306,EOMONTH(DATE(cfg_FY,9,1),0))-MAX($E306,DATE(cfg_FY,9,1))+1)*(1-IF($M306="نعم",0,N($J306))))</f>
        <v>0</v>
      </c>
      <c r="AE306" s="57" t="n">
        <f aca="false">IF(OR($B306="",$E306="",$F306=""),0,MAX(0,MIN($F306,EOMONTH(DATE(cfg_FY,10,1),0))-MAX($E306,DATE(cfg_FY,10,1))+1)*(1-IF($M306="نعم",0,N($J306))))</f>
        <v>0</v>
      </c>
      <c r="AF306" s="57" t="n">
        <f aca="false">IF(OR($B306="",$E306="",$F306=""),0,MAX(0,MIN($F306,EOMONTH(DATE(cfg_FY,11,1),0))-MAX($E306,DATE(cfg_FY,11,1))+1)*(1-IF($M306="نعم",0,N($J306))))</f>
        <v>0</v>
      </c>
      <c r="AG306" s="57" t="n">
        <f aca="false">IF(OR($B306="",$E306="",$F306=""),0,MAX(0,MIN($F306,EOMONTH(DATE(cfg_FY,12,1),0))-MAX($E306,DATE(cfg_FY,12,1))+1)*(1-IF($M306="نعم",0,N($J306))))</f>
        <v>0</v>
      </c>
      <c r="AH306" s="57" t="n">
        <f aca="false">IF(OR(OR($B306="",$E306="",$F306=""),$L306&lt;&gt;"لا"),0,MAX(0,MIN($F306,EOMONTH(DATE(cfg_FY,1,1),0))-$E306+1))</f>
        <v>0</v>
      </c>
      <c r="AI306" s="57" t="n">
        <f aca="false">IF(OR(OR($B306="",$E306="",$F306=""),$L306&lt;&gt;"لا"),0,MAX(0,MIN($F306,EOMONTH(DATE(cfg_FY,2,1),0))-$E306+1))</f>
        <v>0</v>
      </c>
      <c r="AJ306" s="57" t="n">
        <f aca="false">IF(OR(OR($B306="",$E306="",$F306=""),$L306&lt;&gt;"لا"),0,MAX(0,MIN($F306,EOMONTH(DATE(cfg_FY,3,1),0))-$E306+1))</f>
        <v>0</v>
      </c>
      <c r="AK306" s="57" t="n">
        <f aca="false">IF(OR(OR($B306="",$E306="",$F306=""),$L306&lt;&gt;"لا"),0,MAX(0,MIN($F306,EOMONTH(DATE(cfg_FY,4,1),0))-$E306+1))</f>
        <v>0</v>
      </c>
      <c r="AL306" s="57" t="n">
        <f aca="false">IF(OR(OR($B306="",$E306="",$F306=""),$L306&lt;&gt;"لا"),0,MAX(0,MIN($F306,EOMONTH(DATE(cfg_FY,5,1),0))-$E306+1))</f>
        <v>0</v>
      </c>
      <c r="AM306" s="57" t="n">
        <f aca="false">IF(OR(OR($B306="",$E306="",$F306=""),$L306&lt;&gt;"لا"),0,MAX(0,MIN($F306,EOMONTH(DATE(cfg_FY,6,1),0))-$E306+1))</f>
        <v>0</v>
      </c>
      <c r="AN306" s="57" t="n">
        <f aca="false">IF(OR(OR($B306="",$E306="",$F306=""),$L306&lt;&gt;"لا"),0,MAX(0,MIN($F306,EOMONTH(DATE(cfg_FY,7,1),0))-$E306+1))</f>
        <v>0</v>
      </c>
      <c r="AO306" s="57" t="n">
        <f aca="false">IF(OR(OR($B306="",$E306="",$F306=""),$L306&lt;&gt;"لا"),0,MAX(0,MIN($F306,EOMONTH(DATE(cfg_FY,8,1),0))-$E306+1))</f>
        <v>0</v>
      </c>
      <c r="AP306" s="57" t="n">
        <f aca="false">IF(OR(OR($B306="",$E306="",$F306=""),$L306&lt;&gt;"لا"),0,MAX(0,MIN($F306,EOMONTH(DATE(cfg_FY,9,1),0))-$E306+1))</f>
        <v>0</v>
      </c>
      <c r="AQ306" s="57" t="n">
        <f aca="false">IF(OR(OR($B306="",$E306="",$F306=""),$L306&lt;&gt;"لا"),0,MAX(0,MIN($F306,EOMONTH(DATE(cfg_FY,10,1),0))-$E306+1))</f>
        <v>0</v>
      </c>
      <c r="AR306" s="57" t="n">
        <f aca="false">IF(OR(OR($B306="",$E306="",$F306=""),$L306&lt;&gt;"لا"),0,MAX(0,MIN($F306,EOMONTH(DATE(cfg_FY,11,1),0))-$E306+1))</f>
        <v>0</v>
      </c>
      <c r="AS306" s="57" t="n">
        <f aca="false">IF(OR(OR($B306="",$E306="",$F306=""),$L306&lt;&gt;"لا"),0,MAX(0,MIN($F306,EOMONTH(DATE(cfg_FY,12,1),0))-$E306+1))</f>
        <v>0</v>
      </c>
      <c r="AT306" s="57" t="n">
        <f aca="false">IF(OR(OR($B306="",$E306="",$F306=""),$K306&lt;&gt;"نعم",$M306="نعم"),0,MAX(0,MIN($F306,EOMONTH(DATE(cfg_FY,1,1),0))-MAX($E306,DATE(cfg_FY,1,1))+1))</f>
        <v>0</v>
      </c>
      <c r="AU306" s="57" t="n">
        <f aca="false">IF(OR(OR($B306="",$E306="",$F306=""),$K306&lt;&gt;"نعم",$M306="نعم"),0,MAX(0,MIN($F306,EOMONTH(DATE(cfg_FY,2,1),0))-MAX($E306,DATE(cfg_FY,2,1))+1))</f>
        <v>0</v>
      </c>
      <c r="AV306" s="57" t="n">
        <f aca="false">IF(OR(OR($B306="",$E306="",$F306=""),$K306&lt;&gt;"نعم",$M306="نعم"),0,MAX(0,MIN($F306,EOMONTH(DATE(cfg_FY,3,1),0))-MAX($E306,DATE(cfg_FY,3,1))+1))</f>
        <v>0</v>
      </c>
      <c r="AW306" s="57" t="n">
        <f aca="false">IF(OR(OR($B306="",$E306="",$F306=""),$K306&lt;&gt;"نعم",$M306="نعم"),0,MAX(0,MIN($F306,EOMONTH(DATE(cfg_FY,4,1),0))-MAX($E306,DATE(cfg_FY,4,1))+1))</f>
        <v>0</v>
      </c>
      <c r="AX306" s="57" t="n">
        <f aca="false">IF(OR(OR($B306="",$E306="",$F306=""),$K306&lt;&gt;"نعم",$M306="نعم"),0,MAX(0,MIN($F306,EOMONTH(DATE(cfg_FY,5,1),0))-MAX($E306,DATE(cfg_FY,5,1))+1))</f>
        <v>0</v>
      </c>
      <c r="AY306" s="57" t="n">
        <f aca="false">IF(OR(OR($B306="",$E306="",$F306=""),$K306&lt;&gt;"نعم",$M306="نعم"),0,MAX(0,MIN($F306,EOMONTH(DATE(cfg_FY,6,1),0))-MAX($E306,DATE(cfg_FY,6,1))+1))</f>
        <v>0</v>
      </c>
      <c r="AZ306" s="57" t="n">
        <f aca="false">IF(OR(OR($B306="",$E306="",$F306=""),$K306&lt;&gt;"نعم",$M306="نعم"),0,MAX(0,MIN($F306,EOMONTH(DATE(cfg_FY,7,1),0))-MAX($E306,DATE(cfg_FY,7,1))+1))</f>
        <v>0</v>
      </c>
      <c r="BA306" s="57" t="n">
        <f aca="false">IF(OR(OR($B306="",$E306="",$F306=""),$K306&lt;&gt;"نعم",$M306="نعم"),0,MAX(0,MIN($F306,EOMONTH(DATE(cfg_FY,8,1),0))-MAX($E306,DATE(cfg_FY,8,1))+1))</f>
        <v>0</v>
      </c>
      <c r="BB306" s="57" t="n">
        <f aca="false">IF(OR(OR($B306="",$E306="",$F306=""),$K306&lt;&gt;"نعم",$M306="نعم"),0,MAX(0,MIN($F306,EOMONTH(DATE(cfg_FY,9,1),0))-MAX($E306,DATE(cfg_FY,9,1))+1))</f>
        <v>0</v>
      </c>
      <c r="BC306" s="57" t="n">
        <f aca="false">IF(OR(OR($B306="",$E306="",$F306=""),$K306&lt;&gt;"نعم",$M306="نعم"),0,MAX(0,MIN($F306,EOMONTH(DATE(cfg_FY,10,1),0))-MAX($E306,DATE(cfg_FY,10,1))+1))</f>
        <v>0</v>
      </c>
      <c r="BD306" s="57" t="n">
        <f aca="false">IF(OR(OR($B306="",$E306="",$F306=""),$K306&lt;&gt;"نعم",$M306="نعم"),0,MAX(0,MIN($F306,EOMONTH(DATE(cfg_FY,11,1),0))-MAX($E306,DATE(cfg_FY,11,1))+1))</f>
        <v>0</v>
      </c>
      <c r="BE306" s="57" t="n">
        <f aca="false">IF(OR(OR($B306="",$E306="",$F306=""),$K306&lt;&gt;"نعم",$M306="نعم"),0,MAX(0,MIN($F306,EOMONTH(DATE(cfg_FY,12,1),0))-MAX($E306,DATE(cfg_FY,12,1))+1))</f>
        <v>0</v>
      </c>
    </row>
    <row r="307" customFormat="false" ht="15" hidden="false" customHeight="false" outlineLevel="0" collapsed="false">
      <c r="A307" s="100" t="str">
        <f aca="false">IF(B307="","",ROW()-5)</f>
        <v/>
      </c>
      <c r="B307" s="79"/>
      <c r="C307" s="102" t="str">
        <f aca="false">IF(B307="","",IFERROR(INDEX(الموظفون!$C$6:$C$105,MATCH(B307,الموظفون!$B$6:$B$105,0)),"✖ رقم غير موجود"))</f>
        <v/>
      </c>
      <c r="D307" s="79"/>
      <c r="E307" s="94"/>
      <c r="F307" s="94"/>
      <c r="G307" s="110" t="str">
        <f aca="false">IF(OR($B307="",$E307="",$F307=""),"",MAX(0,F307-E307+1))</f>
        <v/>
      </c>
      <c r="H307" s="111" t="str">
        <f aca="false">IF(D307="","",IFERROR(VLOOKUP(D307,cfg_LT,2,FALSE()),1))</f>
        <v/>
      </c>
      <c r="I307" s="82"/>
      <c r="J307" s="111" t="str">
        <f aca="false">IF(D307="","",IF(I307&lt;&gt;"",I307,H307))</f>
        <v/>
      </c>
      <c r="K307" s="102" t="str">
        <f aca="false">IF(D307="","",IFERROR(VLOOKUP($D307,cfg_LT,3,FALSE()),""))</f>
        <v/>
      </c>
      <c r="L307" s="102" t="str">
        <f aca="false">IF(D307="","",IFERROR(VLOOKUP($D307,cfg_LT,4,FALSE()),""))</f>
        <v/>
      </c>
      <c r="M307" s="102" t="str">
        <f aca="false">IF(D307="","",IFERROR(VLOOKUP($D307,cfg_LT,5,FALSE()),""))</f>
        <v/>
      </c>
      <c r="N307" s="101" t="n">
        <f aca="false">IF(OR(OR($B307="",$E307="",$F307=""),M307&lt;&gt;"نعم"),0,G307*J307*IFERROR(INDEX(الموظفون!$R$6:$R$105,MATCH(B307,الموظفون!$B$6:$B$105,0)),0)/cfg_DAYS_M)</f>
        <v>0</v>
      </c>
      <c r="O307" s="100" t="str">
        <f aca="false">IF(OR(OR($B307="",$E307="",$F307=""),M307&lt;&gt;"نعم"),"",IF(YEAR(E307)=cfg_FY,MONTH(E307),""))</f>
        <v/>
      </c>
      <c r="P307" s="102" t="str">
        <f aca="false">IF(B307="","",IF(OR(D307="",E307="",F307=""),"⚠ أكمل النوع والتواريخ",IF(F307&lt;E307,"✖ النهاية قبل البداية",IF(COUNTIFS($B$6:$B$505,B307,$E$6:$E$505,"&lt;="&amp;F307,$F$6:$F$505,"&gt;="&amp;E307)&gt;1,"⚠ تداخل مع سجل آخر",IF(E307&gt;cfg_VAL_DATE,"⏳ قادمة",IF(F307&lt;cfg_VAL_DATE,"✔ منتهية","✈ جارية في تاريخ التقرير"))))))</f>
        <v/>
      </c>
      <c r="Q307" s="79"/>
      <c r="R307" s="110" t="n">
        <f aca="false">IF(OR(OR($B307="",$E307="",$F307=""),L307&lt;&gt;"لا"),0,MAX(0,MIN(F307,cfg_Y_START-1)-E307+1))</f>
        <v>0</v>
      </c>
      <c r="S307" s="110" t="n">
        <f aca="false">IF(OR(OR($B307="",$E307="",$F307=""),L307&lt;&gt;"لا"),0,MAX(0,MIN(F307,cfg_VAL_DATE)-E307+1))</f>
        <v>0</v>
      </c>
      <c r="T307" s="110" t="n">
        <f aca="false">IF(OR(OR($B307="",$E307="",$F307=""),K307&lt;&gt;"نعم"),0,IF(M307="نعم",IF(AND(ISNUMBER(O307),N(O307)&lt;=cfg_VAL_M),G307,0),MAX(0,MIN(F307,cfg_VAL_DATE)-MAX(E307,cfg_Y_START)+1)))</f>
        <v>0</v>
      </c>
      <c r="V307" s="110" t="n">
        <f aca="false">IF(OR($B307="",$E307="",$F307=""),0,MAX(0,MIN($F307,EOMONTH(DATE(cfg_FY,1,1),0))-MAX($E307,DATE(cfg_FY,1,1))+1)*(1-IF($M307="نعم",0,N($J307))))</f>
        <v>0</v>
      </c>
      <c r="W307" s="110" t="n">
        <f aca="false">IF(OR($B307="",$E307="",$F307=""),0,MAX(0,MIN($F307,EOMONTH(DATE(cfg_FY,2,1),0))-MAX($E307,DATE(cfg_FY,2,1))+1)*(1-IF($M307="نعم",0,N($J307))))</f>
        <v>0</v>
      </c>
      <c r="X307" s="110" t="n">
        <f aca="false">IF(OR($B307="",$E307="",$F307=""),0,MAX(0,MIN($F307,EOMONTH(DATE(cfg_FY,3,1),0))-MAX($E307,DATE(cfg_FY,3,1))+1)*(1-IF($M307="نعم",0,N($J307))))</f>
        <v>0</v>
      </c>
      <c r="Y307" s="110" t="n">
        <f aca="false">IF(OR($B307="",$E307="",$F307=""),0,MAX(0,MIN($F307,EOMONTH(DATE(cfg_FY,4,1),0))-MAX($E307,DATE(cfg_FY,4,1))+1)*(1-IF($M307="نعم",0,N($J307))))</f>
        <v>0</v>
      </c>
      <c r="Z307" s="110" t="n">
        <f aca="false">IF(OR($B307="",$E307="",$F307=""),0,MAX(0,MIN($F307,EOMONTH(DATE(cfg_FY,5,1),0))-MAX($E307,DATE(cfg_FY,5,1))+1)*(1-IF($M307="نعم",0,N($J307))))</f>
        <v>0</v>
      </c>
      <c r="AA307" s="110" t="n">
        <f aca="false">IF(OR($B307="",$E307="",$F307=""),0,MAX(0,MIN($F307,EOMONTH(DATE(cfg_FY,6,1),0))-MAX($E307,DATE(cfg_FY,6,1))+1)*(1-IF($M307="نعم",0,N($J307))))</f>
        <v>0</v>
      </c>
      <c r="AB307" s="110" t="n">
        <f aca="false">IF(OR($B307="",$E307="",$F307=""),0,MAX(0,MIN($F307,EOMONTH(DATE(cfg_FY,7,1),0))-MAX($E307,DATE(cfg_FY,7,1))+1)*(1-IF($M307="نعم",0,N($J307))))</f>
        <v>0</v>
      </c>
      <c r="AC307" s="110" t="n">
        <f aca="false">IF(OR($B307="",$E307="",$F307=""),0,MAX(0,MIN($F307,EOMONTH(DATE(cfg_FY,8,1),0))-MAX($E307,DATE(cfg_FY,8,1))+1)*(1-IF($M307="نعم",0,N($J307))))</f>
        <v>0</v>
      </c>
      <c r="AD307" s="110" t="n">
        <f aca="false">IF(OR($B307="",$E307="",$F307=""),0,MAX(0,MIN($F307,EOMONTH(DATE(cfg_FY,9,1),0))-MAX($E307,DATE(cfg_FY,9,1))+1)*(1-IF($M307="نعم",0,N($J307))))</f>
        <v>0</v>
      </c>
      <c r="AE307" s="110" t="n">
        <f aca="false">IF(OR($B307="",$E307="",$F307=""),0,MAX(0,MIN($F307,EOMONTH(DATE(cfg_FY,10,1),0))-MAX($E307,DATE(cfg_FY,10,1))+1)*(1-IF($M307="نعم",0,N($J307))))</f>
        <v>0</v>
      </c>
      <c r="AF307" s="110" t="n">
        <f aca="false">IF(OR($B307="",$E307="",$F307=""),0,MAX(0,MIN($F307,EOMONTH(DATE(cfg_FY,11,1),0))-MAX($E307,DATE(cfg_FY,11,1))+1)*(1-IF($M307="نعم",0,N($J307))))</f>
        <v>0</v>
      </c>
      <c r="AG307" s="110" t="n">
        <f aca="false">IF(OR($B307="",$E307="",$F307=""),0,MAX(0,MIN($F307,EOMONTH(DATE(cfg_FY,12,1),0))-MAX($E307,DATE(cfg_FY,12,1))+1)*(1-IF($M307="نعم",0,N($J307))))</f>
        <v>0</v>
      </c>
      <c r="AH307" s="110" t="n">
        <f aca="false">IF(OR(OR($B307="",$E307="",$F307=""),$L307&lt;&gt;"لا"),0,MAX(0,MIN($F307,EOMONTH(DATE(cfg_FY,1,1),0))-$E307+1))</f>
        <v>0</v>
      </c>
      <c r="AI307" s="110" t="n">
        <f aca="false">IF(OR(OR($B307="",$E307="",$F307=""),$L307&lt;&gt;"لا"),0,MAX(0,MIN($F307,EOMONTH(DATE(cfg_FY,2,1),0))-$E307+1))</f>
        <v>0</v>
      </c>
      <c r="AJ307" s="110" t="n">
        <f aca="false">IF(OR(OR($B307="",$E307="",$F307=""),$L307&lt;&gt;"لا"),0,MAX(0,MIN($F307,EOMONTH(DATE(cfg_FY,3,1),0))-$E307+1))</f>
        <v>0</v>
      </c>
      <c r="AK307" s="110" t="n">
        <f aca="false">IF(OR(OR($B307="",$E307="",$F307=""),$L307&lt;&gt;"لا"),0,MAX(0,MIN($F307,EOMONTH(DATE(cfg_FY,4,1),0))-$E307+1))</f>
        <v>0</v>
      </c>
      <c r="AL307" s="110" t="n">
        <f aca="false">IF(OR(OR($B307="",$E307="",$F307=""),$L307&lt;&gt;"لا"),0,MAX(0,MIN($F307,EOMONTH(DATE(cfg_FY,5,1),0))-$E307+1))</f>
        <v>0</v>
      </c>
      <c r="AM307" s="110" t="n">
        <f aca="false">IF(OR(OR($B307="",$E307="",$F307=""),$L307&lt;&gt;"لا"),0,MAX(0,MIN($F307,EOMONTH(DATE(cfg_FY,6,1),0))-$E307+1))</f>
        <v>0</v>
      </c>
      <c r="AN307" s="110" t="n">
        <f aca="false">IF(OR(OR($B307="",$E307="",$F307=""),$L307&lt;&gt;"لا"),0,MAX(0,MIN($F307,EOMONTH(DATE(cfg_FY,7,1),0))-$E307+1))</f>
        <v>0</v>
      </c>
      <c r="AO307" s="110" t="n">
        <f aca="false">IF(OR(OR($B307="",$E307="",$F307=""),$L307&lt;&gt;"لا"),0,MAX(0,MIN($F307,EOMONTH(DATE(cfg_FY,8,1),0))-$E307+1))</f>
        <v>0</v>
      </c>
      <c r="AP307" s="110" t="n">
        <f aca="false">IF(OR(OR($B307="",$E307="",$F307=""),$L307&lt;&gt;"لا"),0,MAX(0,MIN($F307,EOMONTH(DATE(cfg_FY,9,1),0))-$E307+1))</f>
        <v>0</v>
      </c>
      <c r="AQ307" s="110" t="n">
        <f aca="false">IF(OR(OR($B307="",$E307="",$F307=""),$L307&lt;&gt;"لا"),0,MAX(0,MIN($F307,EOMONTH(DATE(cfg_FY,10,1),0))-$E307+1))</f>
        <v>0</v>
      </c>
      <c r="AR307" s="110" t="n">
        <f aca="false">IF(OR(OR($B307="",$E307="",$F307=""),$L307&lt;&gt;"لا"),0,MAX(0,MIN($F307,EOMONTH(DATE(cfg_FY,11,1),0))-$E307+1))</f>
        <v>0</v>
      </c>
      <c r="AS307" s="110" t="n">
        <f aca="false">IF(OR(OR($B307="",$E307="",$F307=""),$L307&lt;&gt;"لا"),0,MAX(0,MIN($F307,EOMONTH(DATE(cfg_FY,12,1),0))-$E307+1))</f>
        <v>0</v>
      </c>
      <c r="AT307" s="110" t="n">
        <f aca="false">IF(OR(OR($B307="",$E307="",$F307=""),$K307&lt;&gt;"نعم",$M307="نعم"),0,MAX(0,MIN($F307,EOMONTH(DATE(cfg_FY,1,1),0))-MAX($E307,DATE(cfg_FY,1,1))+1))</f>
        <v>0</v>
      </c>
      <c r="AU307" s="110" t="n">
        <f aca="false">IF(OR(OR($B307="",$E307="",$F307=""),$K307&lt;&gt;"نعم",$M307="نعم"),0,MAX(0,MIN($F307,EOMONTH(DATE(cfg_FY,2,1),0))-MAX($E307,DATE(cfg_FY,2,1))+1))</f>
        <v>0</v>
      </c>
      <c r="AV307" s="110" t="n">
        <f aca="false">IF(OR(OR($B307="",$E307="",$F307=""),$K307&lt;&gt;"نعم",$M307="نعم"),0,MAX(0,MIN($F307,EOMONTH(DATE(cfg_FY,3,1),0))-MAX($E307,DATE(cfg_FY,3,1))+1))</f>
        <v>0</v>
      </c>
      <c r="AW307" s="110" t="n">
        <f aca="false">IF(OR(OR($B307="",$E307="",$F307=""),$K307&lt;&gt;"نعم",$M307="نعم"),0,MAX(0,MIN($F307,EOMONTH(DATE(cfg_FY,4,1),0))-MAX($E307,DATE(cfg_FY,4,1))+1))</f>
        <v>0</v>
      </c>
      <c r="AX307" s="110" t="n">
        <f aca="false">IF(OR(OR($B307="",$E307="",$F307=""),$K307&lt;&gt;"نعم",$M307="نعم"),0,MAX(0,MIN($F307,EOMONTH(DATE(cfg_FY,5,1),0))-MAX($E307,DATE(cfg_FY,5,1))+1))</f>
        <v>0</v>
      </c>
      <c r="AY307" s="110" t="n">
        <f aca="false">IF(OR(OR($B307="",$E307="",$F307=""),$K307&lt;&gt;"نعم",$M307="نعم"),0,MAX(0,MIN($F307,EOMONTH(DATE(cfg_FY,6,1),0))-MAX($E307,DATE(cfg_FY,6,1))+1))</f>
        <v>0</v>
      </c>
      <c r="AZ307" s="110" t="n">
        <f aca="false">IF(OR(OR($B307="",$E307="",$F307=""),$K307&lt;&gt;"نعم",$M307="نعم"),0,MAX(0,MIN($F307,EOMONTH(DATE(cfg_FY,7,1),0))-MAX($E307,DATE(cfg_FY,7,1))+1))</f>
        <v>0</v>
      </c>
      <c r="BA307" s="110" t="n">
        <f aca="false">IF(OR(OR($B307="",$E307="",$F307=""),$K307&lt;&gt;"نعم",$M307="نعم"),0,MAX(0,MIN($F307,EOMONTH(DATE(cfg_FY,8,1),0))-MAX($E307,DATE(cfg_FY,8,1))+1))</f>
        <v>0</v>
      </c>
      <c r="BB307" s="110" t="n">
        <f aca="false">IF(OR(OR($B307="",$E307="",$F307=""),$K307&lt;&gt;"نعم",$M307="نعم"),0,MAX(0,MIN($F307,EOMONTH(DATE(cfg_FY,9,1),0))-MAX($E307,DATE(cfg_FY,9,1))+1))</f>
        <v>0</v>
      </c>
      <c r="BC307" s="110" t="n">
        <f aca="false">IF(OR(OR($B307="",$E307="",$F307=""),$K307&lt;&gt;"نعم",$M307="نعم"),0,MAX(0,MIN($F307,EOMONTH(DATE(cfg_FY,10,1),0))-MAX($E307,DATE(cfg_FY,10,1))+1))</f>
        <v>0</v>
      </c>
      <c r="BD307" s="110" t="n">
        <f aca="false">IF(OR(OR($B307="",$E307="",$F307=""),$K307&lt;&gt;"نعم",$M307="نعم"),0,MAX(0,MIN($F307,EOMONTH(DATE(cfg_FY,11,1),0))-MAX($E307,DATE(cfg_FY,11,1))+1))</f>
        <v>0</v>
      </c>
      <c r="BE307" s="110" t="n">
        <f aca="false">IF(OR(OR($B307="",$E307="",$F307=""),$K307&lt;&gt;"نعم",$M307="نعم"),0,MAX(0,MIN($F307,EOMONTH(DATE(cfg_FY,12,1),0))-MAX($E307,DATE(cfg_FY,12,1))+1))</f>
        <v>0</v>
      </c>
    </row>
    <row r="308" customFormat="false" ht="15" hidden="false" customHeight="false" outlineLevel="0" collapsed="false">
      <c r="A308" s="93" t="str">
        <f aca="false">IF(B308="","",ROW()-5)</f>
        <v/>
      </c>
      <c r="B308" s="79"/>
      <c r="C308" s="80" t="str">
        <f aca="false">IF(B308="","",IFERROR(INDEX(الموظفون!$C$6:$C$105,MATCH(B308,الموظفون!$B$6:$B$105,0)),"✖ رقم غير موجود"))</f>
        <v/>
      </c>
      <c r="D308" s="79"/>
      <c r="E308" s="94"/>
      <c r="F308" s="94"/>
      <c r="G308" s="57" t="str">
        <f aca="false">IF(OR($B308="",$E308="",$F308=""),"",MAX(0,F308-E308+1))</f>
        <v/>
      </c>
      <c r="H308" s="58" t="str">
        <f aca="false">IF(D308="","",IFERROR(VLOOKUP(D308,cfg_LT,2,FALSE()),1))</f>
        <v/>
      </c>
      <c r="I308" s="82"/>
      <c r="J308" s="58" t="str">
        <f aca="false">IF(D308="","",IF(I308&lt;&gt;"",I308,H308))</f>
        <v/>
      </c>
      <c r="K308" s="80" t="str">
        <f aca="false">IF(D308="","",IFERROR(VLOOKUP($D308,cfg_LT,3,FALSE()),""))</f>
        <v/>
      </c>
      <c r="L308" s="80" t="str">
        <f aca="false">IF(D308="","",IFERROR(VLOOKUP($D308,cfg_LT,4,FALSE()),""))</f>
        <v/>
      </c>
      <c r="M308" s="80" t="str">
        <f aca="false">IF(D308="","",IFERROR(VLOOKUP($D308,cfg_LT,5,FALSE()),""))</f>
        <v/>
      </c>
      <c r="N308" s="97" t="n">
        <f aca="false">IF(OR(OR($B308="",$E308="",$F308=""),M308&lt;&gt;"نعم"),0,G308*J308*IFERROR(INDEX(الموظفون!$R$6:$R$105,MATCH(B308,الموظفون!$B$6:$B$105,0)),0)/cfg_DAYS_M)</f>
        <v>0</v>
      </c>
      <c r="O308" s="93" t="str">
        <f aca="false">IF(OR(OR($B308="",$E308="",$F308=""),M308&lt;&gt;"نعم"),"",IF(YEAR(E308)=cfg_FY,MONTH(E308),""))</f>
        <v/>
      </c>
      <c r="P308" s="80" t="str">
        <f aca="false">IF(B308="","",IF(OR(D308="",E308="",F308=""),"⚠ أكمل النوع والتواريخ",IF(F308&lt;E308,"✖ النهاية قبل البداية",IF(COUNTIFS($B$6:$B$505,B308,$E$6:$E$505,"&lt;="&amp;F308,$F$6:$F$505,"&gt;="&amp;E308)&gt;1,"⚠ تداخل مع سجل آخر",IF(E308&gt;cfg_VAL_DATE,"⏳ قادمة",IF(F308&lt;cfg_VAL_DATE,"✔ منتهية","✈ جارية في تاريخ التقرير"))))))</f>
        <v/>
      </c>
      <c r="Q308" s="79"/>
      <c r="R308" s="57" t="n">
        <f aca="false">IF(OR(OR($B308="",$E308="",$F308=""),L308&lt;&gt;"لا"),0,MAX(0,MIN(F308,cfg_Y_START-1)-E308+1))</f>
        <v>0</v>
      </c>
      <c r="S308" s="57" t="n">
        <f aca="false">IF(OR(OR($B308="",$E308="",$F308=""),L308&lt;&gt;"لا"),0,MAX(0,MIN(F308,cfg_VAL_DATE)-E308+1))</f>
        <v>0</v>
      </c>
      <c r="T308" s="57" t="n">
        <f aca="false">IF(OR(OR($B308="",$E308="",$F308=""),K308&lt;&gt;"نعم"),0,IF(M308="نعم",IF(AND(ISNUMBER(O308),N(O308)&lt;=cfg_VAL_M),G308,0),MAX(0,MIN(F308,cfg_VAL_DATE)-MAX(E308,cfg_Y_START)+1)))</f>
        <v>0</v>
      </c>
      <c r="V308" s="57" t="n">
        <f aca="false">IF(OR($B308="",$E308="",$F308=""),0,MAX(0,MIN($F308,EOMONTH(DATE(cfg_FY,1,1),0))-MAX($E308,DATE(cfg_FY,1,1))+1)*(1-IF($M308="نعم",0,N($J308))))</f>
        <v>0</v>
      </c>
      <c r="W308" s="57" t="n">
        <f aca="false">IF(OR($B308="",$E308="",$F308=""),0,MAX(0,MIN($F308,EOMONTH(DATE(cfg_FY,2,1),0))-MAX($E308,DATE(cfg_FY,2,1))+1)*(1-IF($M308="نعم",0,N($J308))))</f>
        <v>0</v>
      </c>
      <c r="X308" s="57" t="n">
        <f aca="false">IF(OR($B308="",$E308="",$F308=""),0,MAX(0,MIN($F308,EOMONTH(DATE(cfg_FY,3,1),0))-MAX($E308,DATE(cfg_FY,3,1))+1)*(1-IF($M308="نعم",0,N($J308))))</f>
        <v>0</v>
      </c>
      <c r="Y308" s="57" t="n">
        <f aca="false">IF(OR($B308="",$E308="",$F308=""),0,MAX(0,MIN($F308,EOMONTH(DATE(cfg_FY,4,1),0))-MAX($E308,DATE(cfg_FY,4,1))+1)*(1-IF($M308="نعم",0,N($J308))))</f>
        <v>0</v>
      </c>
      <c r="Z308" s="57" t="n">
        <f aca="false">IF(OR($B308="",$E308="",$F308=""),0,MAX(0,MIN($F308,EOMONTH(DATE(cfg_FY,5,1),0))-MAX($E308,DATE(cfg_FY,5,1))+1)*(1-IF($M308="نعم",0,N($J308))))</f>
        <v>0</v>
      </c>
      <c r="AA308" s="57" t="n">
        <f aca="false">IF(OR($B308="",$E308="",$F308=""),0,MAX(0,MIN($F308,EOMONTH(DATE(cfg_FY,6,1),0))-MAX($E308,DATE(cfg_FY,6,1))+1)*(1-IF($M308="نعم",0,N($J308))))</f>
        <v>0</v>
      </c>
      <c r="AB308" s="57" t="n">
        <f aca="false">IF(OR($B308="",$E308="",$F308=""),0,MAX(0,MIN($F308,EOMONTH(DATE(cfg_FY,7,1),0))-MAX($E308,DATE(cfg_FY,7,1))+1)*(1-IF($M308="نعم",0,N($J308))))</f>
        <v>0</v>
      </c>
      <c r="AC308" s="57" t="n">
        <f aca="false">IF(OR($B308="",$E308="",$F308=""),0,MAX(0,MIN($F308,EOMONTH(DATE(cfg_FY,8,1),0))-MAX($E308,DATE(cfg_FY,8,1))+1)*(1-IF($M308="نعم",0,N($J308))))</f>
        <v>0</v>
      </c>
      <c r="AD308" s="57" t="n">
        <f aca="false">IF(OR($B308="",$E308="",$F308=""),0,MAX(0,MIN($F308,EOMONTH(DATE(cfg_FY,9,1),0))-MAX($E308,DATE(cfg_FY,9,1))+1)*(1-IF($M308="نعم",0,N($J308))))</f>
        <v>0</v>
      </c>
      <c r="AE308" s="57" t="n">
        <f aca="false">IF(OR($B308="",$E308="",$F308=""),0,MAX(0,MIN($F308,EOMONTH(DATE(cfg_FY,10,1),0))-MAX($E308,DATE(cfg_FY,10,1))+1)*(1-IF($M308="نعم",0,N($J308))))</f>
        <v>0</v>
      </c>
      <c r="AF308" s="57" t="n">
        <f aca="false">IF(OR($B308="",$E308="",$F308=""),0,MAX(0,MIN($F308,EOMONTH(DATE(cfg_FY,11,1),0))-MAX($E308,DATE(cfg_FY,11,1))+1)*(1-IF($M308="نعم",0,N($J308))))</f>
        <v>0</v>
      </c>
      <c r="AG308" s="57" t="n">
        <f aca="false">IF(OR($B308="",$E308="",$F308=""),0,MAX(0,MIN($F308,EOMONTH(DATE(cfg_FY,12,1),0))-MAX($E308,DATE(cfg_FY,12,1))+1)*(1-IF($M308="نعم",0,N($J308))))</f>
        <v>0</v>
      </c>
      <c r="AH308" s="57" t="n">
        <f aca="false">IF(OR(OR($B308="",$E308="",$F308=""),$L308&lt;&gt;"لا"),0,MAX(0,MIN($F308,EOMONTH(DATE(cfg_FY,1,1),0))-$E308+1))</f>
        <v>0</v>
      </c>
      <c r="AI308" s="57" t="n">
        <f aca="false">IF(OR(OR($B308="",$E308="",$F308=""),$L308&lt;&gt;"لا"),0,MAX(0,MIN($F308,EOMONTH(DATE(cfg_FY,2,1),0))-$E308+1))</f>
        <v>0</v>
      </c>
      <c r="AJ308" s="57" t="n">
        <f aca="false">IF(OR(OR($B308="",$E308="",$F308=""),$L308&lt;&gt;"لا"),0,MAX(0,MIN($F308,EOMONTH(DATE(cfg_FY,3,1),0))-$E308+1))</f>
        <v>0</v>
      </c>
      <c r="AK308" s="57" t="n">
        <f aca="false">IF(OR(OR($B308="",$E308="",$F308=""),$L308&lt;&gt;"لا"),0,MAX(0,MIN($F308,EOMONTH(DATE(cfg_FY,4,1),0))-$E308+1))</f>
        <v>0</v>
      </c>
      <c r="AL308" s="57" t="n">
        <f aca="false">IF(OR(OR($B308="",$E308="",$F308=""),$L308&lt;&gt;"لا"),0,MAX(0,MIN($F308,EOMONTH(DATE(cfg_FY,5,1),0))-$E308+1))</f>
        <v>0</v>
      </c>
      <c r="AM308" s="57" t="n">
        <f aca="false">IF(OR(OR($B308="",$E308="",$F308=""),$L308&lt;&gt;"لا"),0,MAX(0,MIN($F308,EOMONTH(DATE(cfg_FY,6,1),0))-$E308+1))</f>
        <v>0</v>
      </c>
      <c r="AN308" s="57" t="n">
        <f aca="false">IF(OR(OR($B308="",$E308="",$F308=""),$L308&lt;&gt;"لا"),0,MAX(0,MIN($F308,EOMONTH(DATE(cfg_FY,7,1),0))-$E308+1))</f>
        <v>0</v>
      </c>
      <c r="AO308" s="57" t="n">
        <f aca="false">IF(OR(OR($B308="",$E308="",$F308=""),$L308&lt;&gt;"لا"),0,MAX(0,MIN($F308,EOMONTH(DATE(cfg_FY,8,1),0))-$E308+1))</f>
        <v>0</v>
      </c>
      <c r="AP308" s="57" t="n">
        <f aca="false">IF(OR(OR($B308="",$E308="",$F308=""),$L308&lt;&gt;"لا"),0,MAX(0,MIN($F308,EOMONTH(DATE(cfg_FY,9,1),0))-$E308+1))</f>
        <v>0</v>
      </c>
      <c r="AQ308" s="57" t="n">
        <f aca="false">IF(OR(OR($B308="",$E308="",$F308=""),$L308&lt;&gt;"لا"),0,MAX(0,MIN($F308,EOMONTH(DATE(cfg_FY,10,1),0))-$E308+1))</f>
        <v>0</v>
      </c>
      <c r="AR308" s="57" t="n">
        <f aca="false">IF(OR(OR($B308="",$E308="",$F308=""),$L308&lt;&gt;"لا"),0,MAX(0,MIN($F308,EOMONTH(DATE(cfg_FY,11,1),0))-$E308+1))</f>
        <v>0</v>
      </c>
      <c r="AS308" s="57" t="n">
        <f aca="false">IF(OR(OR($B308="",$E308="",$F308=""),$L308&lt;&gt;"لا"),0,MAX(0,MIN($F308,EOMONTH(DATE(cfg_FY,12,1),0))-$E308+1))</f>
        <v>0</v>
      </c>
      <c r="AT308" s="57" t="n">
        <f aca="false">IF(OR(OR($B308="",$E308="",$F308=""),$K308&lt;&gt;"نعم",$M308="نعم"),0,MAX(0,MIN($F308,EOMONTH(DATE(cfg_FY,1,1),0))-MAX($E308,DATE(cfg_FY,1,1))+1))</f>
        <v>0</v>
      </c>
      <c r="AU308" s="57" t="n">
        <f aca="false">IF(OR(OR($B308="",$E308="",$F308=""),$K308&lt;&gt;"نعم",$M308="نعم"),0,MAX(0,MIN($F308,EOMONTH(DATE(cfg_FY,2,1),0))-MAX($E308,DATE(cfg_FY,2,1))+1))</f>
        <v>0</v>
      </c>
      <c r="AV308" s="57" t="n">
        <f aca="false">IF(OR(OR($B308="",$E308="",$F308=""),$K308&lt;&gt;"نعم",$M308="نعم"),0,MAX(0,MIN($F308,EOMONTH(DATE(cfg_FY,3,1),0))-MAX($E308,DATE(cfg_FY,3,1))+1))</f>
        <v>0</v>
      </c>
      <c r="AW308" s="57" t="n">
        <f aca="false">IF(OR(OR($B308="",$E308="",$F308=""),$K308&lt;&gt;"نعم",$M308="نعم"),0,MAX(0,MIN($F308,EOMONTH(DATE(cfg_FY,4,1),0))-MAX($E308,DATE(cfg_FY,4,1))+1))</f>
        <v>0</v>
      </c>
      <c r="AX308" s="57" t="n">
        <f aca="false">IF(OR(OR($B308="",$E308="",$F308=""),$K308&lt;&gt;"نعم",$M308="نعم"),0,MAX(0,MIN($F308,EOMONTH(DATE(cfg_FY,5,1),0))-MAX($E308,DATE(cfg_FY,5,1))+1))</f>
        <v>0</v>
      </c>
      <c r="AY308" s="57" t="n">
        <f aca="false">IF(OR(OR($B308="",$E308="",$F308=""),$K308&lt;&gt;"نعم",$M308="نعم"),0,MAX(0,MIN($F308,EOMONTH(DATE(cfg_FY,6,1),0))-MAX($E308,DATE(cfg_FY,6,1))+1))</f>
        <v>0</v>
      </c>
      <c r="AZ308" s="57" t="n">
        <f aca="false">IF(OR(OR($B308="",$E308="",$F308=""),$K308&lt;&gt;"نعم",$M308="نعم"),0,MAX(0,MIN($F308,EOMONTH(DATE(cfg_FY,7,1),0))-MAX($E308,DATE(cfg_FY,7,1))+1))</f>
        <v>0</v>
      </c>
      <c r="BA308" s="57" t="n">
        <f aca="false">IF(OR(OR($B308="",$E308="",$F308=""),$K308&lt;&gt;"نعم",$M308="نعم"),0,MAX(0,MIN($F308,EOMONTH(DATE(cfg_FY,8,1),0))-MAX($E308,DATE(cfg_FY,8,1))+1))</f>
        <v>0</v>
      </c>
      <c r="BB308" s="57" t="n">
        <f aca="false">IF(OR(OR($B308="",$E308="",$F308=""),$K308&lt;&gt;"نعم",$M308="نعم"),0,MAX(0,MIN($F308,EOMONTH(DATE(cfg_FY,9,1),0))-MAX($E308,DATE(cfg_FY,9,1))+1))</f>
        <v>0</v>
      </c>
      <c r="BC308" s="57" t="n">
        <f aca="false">IF(OR(OR($B308="",$E308="",$F308=""),$K308&lt;&gt;"نعم",$M308="نعم"),0,MAX(0,MIN($F308,EOMONTH(DATE(cfg_FY,10,1),0))-MAX($E308,DATE(cfg_FY,10,1))+1))</f>
        <v>0</v>
      </c>
      <c r="BD308" s="57" t="n">
        <f aca="false">IF(OR(OR($B308="",$E308="",$F308=""),$K308&lt;&gt;"نعم",$M308="نعم"),0,MAX(0,MIN($F308,EOMONTH(DATE(cfg_FY,11,1),0))-MAX($E308,DATE(cfg_FY,11,1))+1))</f>
        <v>0</v>
      </c>
      <c r="BE308" s="57" t="n">
        <f aca="false">IF(OR(OR($B308="",$E308="",$F308=""),$K308&lt;&gt;"نعم",$M308="نعم"),0,MAX(0,MIN($F308,EOMONTH(DATE(cfg_FY,12,1),0))-MAX($E308,DATE(cfg_FY,12,1))+1))</f>
        <v>0</v>
      </c>
    </row>
    <row r="309" customFormat="false" ht="15" hidden="false" customHeight="false" outlineLevel="0" collapsed="false">
      <c r="A309" s="100" t="str">
        <f aca="false">IF(B309="","",ROW()-5)</f>
        <v/>
      </c>
      <c r="B309" s="79"/>
      <c r="C309" s="102" t="str">
        <f aca="false">IF(B309="","",IFERROR(INDEX(الموظفون!$C$6:$C$105,MATCH(B309,الموظفون!$B$6:$B$105,0)),"✖ رقم غير موجود"))</f>
        <v/>
      </c>
      <c r="D309" s="79"/>
      <c r="E309" s="94"/>
      <c r="F309" s="94"/>
      <c r="G309" s="110" t="str">
        <f aca="false">IF(OR($B309="",$E309="",$F309=""),"",MAX(0,F309-E309+1))</f>
        <v/>
      </c>
      <c r="H309" s="111" t="str">
        <f aca="false">IF(D309="","",IFERROR(VLOOKUP(D309,cfg_LT,2,FALSE()),1))</f>
        <v/>
      </c>
      <c r="I309" s="82"/>
      <c r="J309" s="111" t="str">
        <f aca="false">IF(D309="","",IF(I309&lt;&gt;"",I309,H309))</f>
        <v/>
      </c>
      <c r="K309" s="102" t="str">
        <f aca="false">IF(D309="","",IFERROR(VLOOKUP($D309,cfg_LT,3,FALSE()),""))</f>
        <v/>
      </c>
      <c r="L309" s="102" t="str">
        <f aca="false">IF(D309="","",IFERROR(VLOOKUP($D309,cfg_LT,4,FALSE()),""))</f>
        <v/>
      </c>
      <c r="M309" s="102" t="str">
        <f aca="false">IF(D309="","",IFERROR(VLOOKUP($D309,cfg_LT,5,FALSE()),""))</f>
        <v/>
      </c>
      <c r="N309" s="101" t="n">
        <f aca="false">IF(OR(OR($B309="",$E309="",$F309=""),M309&lt;&gt;"نعم"),0,G309*J309*IFERROR(INDEX(الموظفون!$R$6:$R$105,MATCH(B309,الموظفون!$B$6:$B$105,0)),0)/cfg_DAYS_M)</f>
        <v>0</v>
      </c>
      <c r="O309" s="100" t="str">
        <f aca="false">IF(OR(OR($B309="",$E309="",$F309=""),M309&lt;&gt;"نعم"),"",IF(YEAR(E309)=cfg_FY,MONTH(E309),""))</f>
        <v/>
      </c>
      <c r="P309" s="102" t="str">
        <f aca="false">IF(B309="","",IF(OR(D309="",E309="",F309=""),"⚠ أكمل النوع والتواريخ",IF(F309&lt;E309,"✖ النهاية قبل البداية",IF(COUNTIFS($B$6:$B$505,B309,$E$6:$E$505,"&lt;="&amp;F309,$F$6:$F$505,"&gt;="&amp;E309)&gt;1,"⚠ تداخل مع سجل آخر",IF(E309&gt;cfg_VAL_DATE,"⏳ قادمة",IF(F309&lt;cfg_VAL_DATE,"✔ منتهية","✈ جارية في تاريخ التقرير"))))))</f>
        <v/>
      </c>
      <c r="Q309" s="79"/>
      <c r="R309" s="110" t="n">
        <f aca="false">IF(OR(OR($B309="",$E309="",$F309=""),L309&lt;&gt;"لا"),0,MAX(0,MIN(F309,cfg_Y_START-1)-E309+1))</f>
        <v>0</v>
      </c>
      <c r="S309" s="110" t="n">
        <f aca="false">IF(OR(OR($B309="",$E309="",$F309=""),L309&lt;&gt;"لا"),0,MAX(0,MIN(F309,cfg_VAL_DATE)-E309+1))</f>
        <v>0</v>
      </c>
      <c r="T309" s="110" t="n">
        <f aca="false">IF(OR(OR($B309="",$E309="",$F309=""),K309&lt;&gt;"نعم"),0,IF(M309="نعم",IF(AND(ISNUMBER(O309),N(O309)&lt;=cfg_VAL_M),G309,0),MAX(0,MIN(F309,cfg_VAL_DATE)-MAX(E309,cfg_Y_START)+1)))</f>
        <v>0</v>
      </c>
      <c r="V309" s="110" t="n">
        <f aca="false">IF(OR($B309="",$E309="",$F309=""),0,MAX(0,MIN($F309,EOMONTH(DATE(cfg_FY,1,1),0))-MAX($E309,DATE(cfg_FY,1,1))+1)*(1-IF($M309="نعم",0,N($J309))))</f>
        <v>0</v>
      </c>
      <c r="W309" s="110" t="n">
        <f aca="false">IF(OR($B309="",$E309="",$F309=""),0,MAX(0,MIN($F309,EOMONTH(DATE(cfg_FY,2,1),0))-MAX($E309,DATE(cfg_FY,2,1))+1)*(1-IF($M309="نعم",0,N($J309))))</f>
        <v>0</v>
      </c>
      <c r="X309" s="110" t="n">
        <f aca="false">IF(OR($B309="",$E309="",$F309=""),0,MAX(0,MIN($F309,EOMONTH(DATE(cfg_FY,3,1),0))-MAX($E309,DATE(cfg_FY,3,1))+1)*(1-IF($M309="نعم",0,N($J309))))</f>
        <v>0</v>
      </c>
      <c r="Y309" s="110" t="n">
        <f aca="false">IF(OR($B309="",$E309="",$F309=""),0,MAX(0,MIN($F309,EOMONTH(DATE(cfg_FY,4,1),0))-MAX($E309,DATE(cfg_FY,4,1))+1)*(1-IF($M309="نعم",0,N($J309))))</f>
        <v>0</v>
      </c>
      <c r="Z309" s="110" t="n">
        <f aca="false">IF(OR($B309="",$E309="",$F309=""),0,MAX(0,MIN($F309,EOMONTH(DATE(cfg_FY,5,1),0))-MAX($E309,DATE(cfg_FY,5,1))+1)*(1-IF($M309="نعم",0,N($J309))))</f>
        <v>0</v>
      </c>
      <c r="AA309" s="110" t="n">
        <f aca="false">IF(OR($B309="",$E309="",$F309=""),0,MAX(0,MIN($F309,EOMONTH(DATE(cfg_FY,6,1),0))-MAX($E309,DATE(cfg_FY,6,1))+1)*(1-IF($M309="نعم",0,N($J309))))</f>
        <v>0</v>
      </c>
      <c r="AB309" s="110" t="n">
        <f aca="false">IF(OR($B309="",$E309="",$F309=""),0,MAX(0,MIN($F309,EOMONTH(DATE(cfg_FY,7,1),0))-MAX($E309,DATE(cfg_FY,7,1))+1)*(1-IF($M309="نعم",0,N($J309))))</f>
        <v>0</v>
      </c>
      <c r="AC309" s="110" t="n">
        <f aca="false">IF(OR($B309="",$E309="",$F309=""),0,MAX(0,MIN($F309,EOMONTH(DATE(cfg_FY,8,1),0))-MAX($E309,DATE(cfg_FY,8,1))+1)*(1-IF($M309="نعم",0,N($J309))))</f>
        <v>0</v>
      </c>
      <c r="AD309" s="110" t="n">
        <f aca="false">IF(OR($B309="",$E309="",$F309=""),0,MAX(0,MIN($F309,EOMONTH(DATE(cfg_FY,9,1),0))-MAX($E309,DATE(cfg_FY,9,1))+1)*(1-IF($M309="نعم",0,N($J309))))</f>
        <v>0</v>
      </c>
      <c r="AE309" s="110" t="n">
        <f aca="false">IF(OR($B309="",$E309="",$F309=""),0,MAX(0,MIN($F309,EOMONTH(DATE(cfg_FY,10,1),0))-MAX($E309,DATE(cfg_FY,10,1))+1)*(1-IF($M309="نعم",0,N($J309))))</f>
        <v>0</v>
      </c>
      <c r="AF309" s="110" t="n">
        <f aca="false">IF(OR($B309="",$E309="",$F309=""),0,MAX(0,MIN($F309,EOMONTH(DATE(cfg_FY,11,1),0))-MAX($E309,DATE(cfg_FY,11,1))+1)*(1-IF($M309="نعم",0,N($J309))))</f>
        <v>0</v>
      </c>
      <c r="AG309" s="110" t="n">
        <f aca="false">IF(OR($B309="",$E309="",$F309=""),0,MAX(0,MIN($F309,EOMONTH(DATE(cfg_FY,12,1),0))-MAX($E309,DATE(cfg_FY,12,1))+1)*(1-IF($M309="نعم",0,N($J309))))</f>
        <v>0</v>
      </c>
      <c r="AH309" s="110" t="n">
        <f aca="false">IF(OR(OR($B309="",$E309="",$F309=""),$L309&lt;&gt;"لا"),0,MAX(0,MIN($F309,EOMONTH(DATE(cfg_FY,1,1),0))-$E309+1))</f>
        <v>0</v>
      </c>
      <c r="AI309" s="110" t="n">
        <f aca="false">IF(OR(OR($B309="",$E309="",$F309=""),$L309&lt;&gt;"لا"),0,MAX(0,MIN($F309,EOMONTH(DATE(cfg_FY,2,1),0))-$E309+1))</f>
        <v>0</v>
      </c>
      <c r="AJ309" s="110" t="n">
        <f aca="false">IF(OR(OR($B309="",$E309="",$F309=""),$L309&lt;&gt;"لا"),0,MAX(0,MIN($F309,EOMONTH(DATE(cfg_FY,3,1),0))-$E309+1))</f>
        <v>0</v>
      </c>
      <c r="AK309" s="110" t="n">
        <f aca="false">IF(OR(OR($B309="",$E309="",$F309=""),$L309&lt;&gt;"لا"),0,MAX(0,MIN($F309,EOMONTH(DATE(cfg_FY,4,1),0))-$E309+1))</f>
        <v>0</v>
      </c>
      <c r="AL309" s="110" t="n">
        <f aca="false">IF(OR(OR($B309="",$E309="",$F309=""),$L309&lt;&gt;"لا"),0,MAX(0,MIN($F309,EOMONTH(DATE(cfg_FY,5,1),0))-$E309+1))</f>
        <v>0</v>
      </c>
      <c r="AM309" s="110" t="n">
        <f aca="false">IF(OR(OR($B309="",$E309="",$F309=""),$L309&lt;&gt;"لا"),0,MAX(0,MIN($F309,EOMONTH(DATE(cfg_FY,6,1),0))-$E309+1))</f>
        <v>0</v>
      </c>
      <c r="AN309" s="110" t="n">
        <f aca="false">IF(OR(OR($B309="",$E309="",$F309=""),$L309&lt;&gt;"لا"),0,MAX(0,MIN($F309,EOMONTH(DATE(cfg_FY,7,1),0))-$E309+1))</f>
        <v>0</v>
      </c>
      <c r="AO309" s="110" t="n">
        <f aca="false">IF(OR(OR($B309="",$E309="",$F309=""),$L309&lt;&gt;"لا"),0,MAX(0,MIN($F309,EOMONTH(DATE(cfg_FY,8,1),0))-$E309+1))</f>
        <v>0</v>
      </c>
      <c r="AP309" s="110" t="n">
        <f aca="false">IF(OR(OR($B309="",$E309="",$F309=""),$L309&lt;&gt;"لا"),0,MAX(0,MIN($F309,EOMONTH(DATE(cfg_FY,9,1),0))-$E309+1))</f>
        <v>0</v>
      </c>
      <c r="AQ309" s="110" t="n">
        <f aca="false">IF(OR(OR($B309="",$E309="",$F309=""),$L309&lt;&gt;"لا"),0,MAX(0,MIN($F309,EOMONTH(DATE(cfg_FY,10,1),0))-$E309+1))</f>
        <v>0</v>
      </c>
      <c r="AR309" s="110" t="n">
        <f aca="false">IF(OR(OR($B309="",$E309="",$F309=""),$L309&lt;&gt;"لا"),0,MAX(0,MIN($F309,EOMONTH(DATE(cfg_FY,11,1),0))-$E309+1))</f>
        <v>0</v>
      </c>
      <c r="AS309" s="110" t="n">
        <f aca="false">IF(OR(OR($B309="",$E309="",$F309=""),$L309&lt;&gt;"لا"),0,MAX(0,MIN($F309,EOMONTH(DATE(cfg_FY,12,1),0))-$E309+1))</f>
        <v>0</v>
      </c>
      <c r="AT309" s="110" t="n">
        <f aca="false">IF(OR(OR($B309="",$E309="",$F309=""),$K309&lt;&gt;"نعم",$M309="نعم"),0,MAX(0,MIN($F309,EOMONTH(DATE(cfg_FY,1,1),0))-MAX($E309,DATE(cfg_FY,1,1))+1))</f>
        <v>0</v>
      </c>
      <c r="AU309" s="110" t="n">
        <f aca="false">IF(OR(OR($B309="",$E309="",$F309=""),$K309&lt;&gt;"نعم",$M309="نعم"),0,MAX(0,MIN($F309,EOMONTH(DATE(cfg_FY,2,1),0))-MAX($E309,DATE(cfg_FY,2,1))+1))</f>
        <v>0</v>
      </c>
      <c r="AV309" s="110" t="n">
        <f aca="false">IF(OR(OR($B309="",$E309="",$F309=""),$K309&lt;&gt;"نعم",$M309="نعم"),0,MAX(0,MIN($F309,EOMONTH(DATE(cfg_FY,3,1),0))-MAX($E309,DATE(cfg_FY,3,1))+1))</f>
        <v>0</v>
      </c>
      <c r="AW309" s="110" t="n">
        <f aca="false">IF(OR(OR($B309="",$E309="",$F309=""),$K309&lt;&gt;"نعم",$M309="نعم"),0,MAX(0,MIN($F309,EOMONTH(DATE(cfg_FY,4,1),0))-MAX($E309,DATE(cfg_FY,4,1))+1))</f>
        <v>0</v>
      </c>
      <c r="AX309" s="110" t="n">
        <f aca="false">IF(OR(OR($B309="",$E309="",$F309=""),$K309&lt;&gt;"نعم",$M309="نعم"),0,MAX(0,MIN($F309,EOMONTH(DATE(cfg_FY,5,1),0))-MAX($E309,DATE(cfg_FY,5,1))+1))</f>
        <v>0</v>
      </c>
      <c r="AY309" s="110" t="n">
        <f aca="false">IF(OR(OR($B309="",$E309="",$F309=""),$K309&lt;&gt;"نعم",$M309="نعم"),0,MAX(0,MIN($F309,EOMONTH(DATE(cfg_FY,6,1),0))-MAX($E309,DATE(cfg_FY,6,1))+1))</f>
        <v>0</v>
      </c>
      <c r="AZ309" s="110" t="n">
        <f aca="false">IF(OR(OR($B309="",$E309="",$F309=""),$K309&lt;&gt;"نعم",$M309="نعم"),0,MAX(0,MIN($F309,EOMONTH(DATE(cfg_FY,7,1),0))-MAX($E309,DATE(cfg_FY,7,1))+1))</f>
        <v>0</v>
      </c>
      <c r="BA309" s="110" t="n">
        <f aca="false">IF(OR(OR($B309="",$E309="",$F309=""),$K309&lt;&gt;"نعم",$M309="نعم"),0,MAX(0,MIN($F309,EOMONTH(DATE(cfg_FY,8,1),0))-MAX($E309,DATE(cfg_FY,8,1))+1))</f>
        <v>0</v>
      </c>
      <c r="BB309" s="110" t="n">
        <f aca="false">IF(OR(OR($B309="",$E309="",$F309=""),$K309&lt;&gt;"نعم",$M309="نعم"),0,MAX(0,MIN($F309,EOMONTH(DATE(cfg_FY,9,1),0))-MAX($E309,DATE(cfg_FY,9,1))+1))</f>
        <v>0</v>
      </c>
      <c r="BC309" s="110" t="n">
        <f aca="false">IF(OR(OR($B309="",$E309="",$F309=""),$K309&lt;&gt;"نعم",$M309="نعم"),0,MAX(0,MIN($F309,EOMONTH(DATE(cfg_FY,10,1),0))-MAX($E309,DATE(cfg_FY,10,1))+1))</f>
        <v>0</v>
      </c>
      <c r="BD309" s="110" t="n">
        <f aca="false">IF(OR(OR($B309="",$E309="",$F309=""),$K309&lt;&gt;"نعم",$M309="نعم"),0,MAX(0,MIN($F309,EOMONTH(DATE(cfg_FY,11,1),0))-MAX($E309,DATE(cfg_FY,11,1))+1))</f>
        <v>0</v>
      </c>
      <c r="BE309" s="110" t="n">
        <f aca="false">IF(OR(OR($B309="",$E309="",$F309=""),$K309&lt;&gt;"نعم",$M309="نعم"),0,MAX(0,MIN($F309,EOMONTH(DATE(cfg_FY,12,1),0))-MAX($E309,DATE(cfg_FY,12,1))+1))</f>
        <v>0</v>
      </c>
    </row>
    <row r="310" customFormat="false" ht="15" hidden="false" customHeight="false" outlineLevel="0" collapsed="false">
      <c r="A310" s="93" t="str">
        <f aca="false">IF(B310="","",ROW()-5)</f>
        <v/>
      </c>
      <c r="B310" s="79"/>
      <c r="C310" s="80" t="str">
        <f aca="false">IF(B310="","",IFERROR(INDEX(الموظفون!$C$6:$C$105,MATCH(B310,الموظفون!$B$6:$B$105,0)),"✖ رقم غير موجود"))</f>
        <v/>
      </c>
      <c r="D310" s="79"/>
      <c r="E310" s="94"/>
      <c r="F310" s="94"/>
      <c r="G310" s="57" t="str">
        <f aca="false">IF(OR($B310="",$E310="",$F310=""),"",MAX(0,F310-E310+1))</f>
        <v/>
      </c>
      <c r="H310" s="58" t="str">
        <f aca="false">IF(D310="","",IFERROR(VLOOKUP(D310,cfg_LT,2,FALSE()),1))</f>
        <v/>
      </c>
      <c r="I310" s="82"/>
      <c r="J310" s="58" t="str">
        <f aca="false">IF(D310="","",IF(I310&lt;&gt;"",I310,H310))</f>
        <v/>
      </c>
      <c r="K310" s="80" t="str">
        <f aca="false">IF(D310="","",IFERROR(VLOOKUP($D310,cfg_LT,3,FALSE()),""))</f>
        <v/>
      </c>
      <c r="L310" s="80" t="str">
        <f aca="false">IF(D310="","",IFERROR(VLOOKUP($D310,cfg_LT,4,FALSE()),""))</f>
        <v/>
      </c>
      <c r="M310" s="80" t="str">
        <f aca="false">IF(D310="","",IFERROR(VLOOKUP($D310,cfg_LT,5,FALSE()),""))</f>
        <v/>
      </c>
      <c r="N310" s="97" t="n">
        <f aca="false">IF(OR(OR($B310="",$E310="",$F310=""),M310&lt;&gt;"نعم"),0,G310*J310*IFERROR(INDEX(الموظفون!$R$6:$R$105,MATCH(B310,الموظفون!$B$6:$B$105,0)),0)/cfg_DAYS_M)</f>
        <v>0</v>
      </c>
      <c r="O310" s="93" t="str">
        <f aca="false">IF(OR(OR($B310="",$E310="",$F310=""),M310&lt;&gt;"نعم"),"",IF(YEAR(E310)=cfg_FY,MONTH(E310),""))</f>
        <v/>
      </c>
      <c r="P310" s="80" t="str">
        <f aca="false">IF(B310="","",IF(OR(D310="",E310="",F310=""),"⚠ أكمل النوع والتواريخ",IF(F310&lt;E310,"✖ النهاية قبل البداية",IF(COUNTIFS($B$6:$B$505,B310,$E$6:$E$505,"&lt;="&amp;F310,$F$6:$F$505,"&gt;="&amp;E310)&gt;1,"⚠ تداخل مع سجل آخر",IF(E310&gt;cfg_VAL_DATE,"⏳ قادمة",IF(F310&lt;cfg_VAL_DATE,"✔ منتهية","✈ جارية في تاريخ التقرير"))))))</f>
        <v/>
      </c>
      <c r="Q310" s="79"/>
      <c r="R310" s="57" t="n">
        <f aca="false">IF(OR(OR($B310="",$E310="",$F310=""),L310&lt;&gt;"لا"),0,MAX(0,MIN(F310,cfg_Y_START-1)-E310+1))</f>
        <v>0</v>
      </c>
      <c r="S310" s="57" t="n">
        <f aca="false">IF(OR(OR($B310="",$E310="",$F310=""),L310&lt;&gt;"لا"),0,MAX(0,MIN(F310,cfg_VAL_DATE)-E310+1))</f>
        <v>0</v>
      </c>
      <c r="T310" s="57" t="n">
        <f aca="false">IF(OR(OR($B310="",$E310="",$F310=""),K310&lt;&gt;"نعم"),0,IF(M310="نعم",IF(AND(ISNUMBER(O310),N(O310)&lt;=cfg_VAL_M),G310,0),MAX(0,MIN(F310,cfg_VAL_DATE)-MAX(E310,cfg_Y_START)+1)))</f>
        <v>0</v>
      </c>
      <c r="V310" s="57" t="n">
        <f aca="false">IF(OR($B310="",$E310="",$F310=""),0,MAX(0,MIN($F310,EOMONTH(DATE(cfg_FY,1,1),0))-MAX($E310,DATE(cfg_FY,1,1))+1)*(1-IF($M310="نعم",0,N($J310))))</f>
        <v>0</v>
      </c>
      <c r="W310" s="57" t="n">
        <f aca="false">IF(OR($B310="",$E310="",$F310=""),0,MAX(0,MIN($F310,EOMONTH(DATE(cfg_FY,2,1),0))-MAX($E310,DATE(cfg_FY,2,1))+1)*(1-IF($M310="نعم",0,N($J310))))</f>
        <v>0</v>
      </c>
      <c r="X310" s="57" t="n">
        <f aca="false">IF(OR($B310="",$E310="",$F310=""),0,MAX(0,MIN($F310,EOMONTH(DATE(cfg_FY,3,1),0))-MAX($E310,DATE(cfg_FY,3,1))+1)*(1-IF($M310="نعم",0,N($J310))))</f>
        <v>0</v>
      </c>
      <c r="Y310" s="57" t="n">
        <f aca="false">IF(OR($B310="",$E310="",$F310=""),0,MAX(0,MIN($F310,EOMONTH(DATE(cfg_FY,4,1),0))-MAX($E310,DATE(cfg_FY,4,1))+1)*(1-IF($M310="نعم",0,N($J310))))</f>
        <v>0</v>
      </c>
      <c r="Z310" s="57" t="n">
        <f aca="false">IF(OR($B310="",$E310="",$F310=""),0,MAX(0,MIN($F310,EOMONTH(DATE(cfg_FY,5,1),0))-MAX($E310,DATE(cfg_FY,5,1))+1)*(1-IF($M310="نعم",0,N($J310))))</f>
        <v>0</v>
      </c>
      <c r="AA310" s="57" t="n">
        <f aca="false">IF(OR($B310="",$E310="",$F310=""),0,MAX(0,MIN($F310,EOMONTH(DATE(cfg_FY,6,1),0))-MAX($E310,DATE(cfg_FY,6,1))+1)*(1-IF($M310="نعم",0,N($J310))))</f>
        <v>0</v>
      </c>
      <c r="AB310" s="57" t="n">
        <f aca="false">IF(OR($B310="",$E310="",$F310=""),0,MAX(0,MIN($F310,EOMONTH(DATE(cfg_FY,7,1),0))-MAX($E310,DATE(cfg_FY,7,1))+1)*(1-IF($M310="نعم",0,N($J310))))</f>
        <v>0</v>
      </c>
      <c r="AC310" s="57" t="n">
        <f aca="false">IF(OR($B310="",$E310="",$F310=""),0,MAX(0,MIN($F310,EOMONTH(DATE(cfg_FY,8,1),0))-MAX($E310,DATE(cfg_FY,8,1))+1)*(1-IF($M310="نعم",0,N($J310))))</f>
        <v>0</v>
      </c>
      <c r="AD310" s="57" t="n">
        <f aca="false">IF(OR($B310="",$E310="",$F310=""),0,MAX(0,MIN($F310,EOMONTH(DATE(cfg_FY,9,1),0))-MAX($E310,DATE(cfg_FY,9,1))+1)*(1-IF($M310="نعم",0,N($J310))))</f>
        <v>0</v>
      </c>
      <c r="AE310" s="57" t="n">
        <f aca="false">IF(OR($B310="",$E310="",$F310=""),0,MAX(0,MIN($F310,EOMONTH(DATE(cfg_FY,10,1),0))-MAX($E310,DATE(cfg_FY,10,1))+1)*(1-IF($M310="نعم",0,N($J310))))</f>
        <v>0</v>
      </c>
      <c r="AF310" s="57" t="n">
        <f aca="false">IF(OR($B310="",$E310="",$F310=""),0,MAX(0,MIN($F310,EOMONTH(DATE(cfg_FY,11,1),0))-MAX($E310,DATE(cfg_FY,11,1))+1)*(1-IF($M310="نعم",0,N($J310))))</f>
        <v>0</v>
      </c>
      <c r="AG310" s="57" t="n">
        <f aca="false">IF(OR($B310="",$E310="",$F310=""),0,MAX(0,MIN($F310,EOMONTH(DATE(cfg_FY,12,1),0))-MAX($E310,DATE(cfg_FY,12,1))+1)*(1-IF($M310="نعم",0,N($J310))))</f>
        <v>0</v>
      </c>
      <c r="AH310" s="57" t="n">
        <f aca="false">IF(OR(OR($B310="",$E310="",$F310=""),$L310&lt;&gt;"لا"),0,MAX(0,MIN($F310,EOMONTH(DATE(cfg_FY,1,1),0))-$E310+1))</f>
        <v>0</v>
      </c>
      <c r="AI310" s="57" t="n">
        <f aca="false">IF(OR(OR($B310="",$E310="",$F310=""),$L310&lt;&gt;"لا"),0,MAX(0,MIN($F310,EOMONTH(DATE(cfg_FY,2,1),0))-$E310+1))</f>
        <v>0</v>
      </c>
      <c r="AJ310" s="57" t="n">
        <f aca="false">IF(OR(OR($B310="",$E310="",$F310=""),$L310&lt;&gt;"لا"),0,MAX(0,MIN($F310,EOMONTH(DATE(cfg_FY,3,1),0))-$E310+1))</f>
        <v>0</v>
      </c>
      <c r="AK310" s="57" t="n">
        <f aca="false">IF(OR(OR($B310="",$E310="",$F310=""),$L310&lt;&gt;"لا"),0,MAX(0,MIN($F310,EOMONTH(DATE(cfg_FY,4,1),0))-$E310+1))</f>
        <v>0</v>
      </c>
      <c r="AL310" s="57" t="n">
        <f aca="false">IF(OR(OR($B310="",$E310="",$F310=""),$L310&lt;&gt;"لا"),0,MAX(0,MIN($F310,EOMONTH(DATE(cfg_FY,5,1),0))-$E310+1))</f>
        <v>0</v>
      </c>
      <c r="AM310" s="57" t="n">
        <f aca="false">IF(OR(OR($B310="",$E310="",$F310=""),$L310&lt;&gt;"لا"),0,MAX(0,MIN($F310,EOMONTH(DATE(cfg_FY,6,1),0))-$E310+1))</f>
        <v>0</v>
      </c>
      <c r="AN310" s="57" t="n">
        <f aca="false">IF(OR(OR($B310="",$E310="",$F310=""),$L310&lt;&gt;"لا"),0,MAX(0,MIN($F310,EOMONTH(DATE(cfg_FY,7,1),0))-$E310+1))</f>
        <v>0</v>
      </c>
      <c r="AO310" s="57" t="n">
        <f aca="false">IF(OR(OR($B310="",$E310="",$F310=""),$L310&lt;&gt;"لا"),0,MAX(0,MIN($F310,EOMONTH(DATE(cfg_FY,8,1),0))-$E310+1))</f>
        <v>0</v>
      </c>
      <c r="AP310" s="57" t="n">
        <f aca="false">IF(OR(OR($B310="",$E310="",$F310=""),$L310&lt;&gt;"لا"),0,MAX(0,MIN($F310,EOMONTH(DATE(cfg_FY,9,1),0))-$E310+1))</f>
        <v>0</v>
      </c>
      <c r="AQ310" s="57" t="n">
        <f aca="false">IF(OR(OR($B310="",$E310="",$F310=""),$L310&lt;&gt;"لا"),0,MAX(0,MIN($F310,EOMONTH(DATE(cfg_FY,10,1),0))-$E310+1))</f>
        <v>0</v>
      </c>
      <c r="AR310" s="57" t="n">
        <f aca="false">IF(OR(OR($B310="",$E310="",$F310=""),$L310&lt;&gt;"لا"),0,MAX(0,MIN($F310,EOMONTH(DATE(cfg_FY,11,1),0))-$E310+1))</f>
        <v>0</v>
      </c>
      <c r="AS310" s="57" t="n">
        <f aca="false">IF(OR(OR($B310="",$E310="",$F310=""),$L310&lt;&gt;"لا"),0,MAX(0,MIN($F310,EOMONTH(DATE(cfg_FY,12,1),0))-$E310+1))</f>
        <v>0</v>
      </c>
      <c r="AT310" s="57" t="n">
        <f aca="false">IF(OR(OR($B310="",$E310="",$F310=""),$K310&lt;&gt;"نعم",$M310="نعم"),0,MAX(0,MIN($F310,EOMONTH(DATE(cfg_FY,1,1),0))-MAX($E310,DATE(cfg_FY,1,1))+1))</f>
        <v>0</v>
      </c>
      <c r="AU310" s="57" t="n">
        <f aca="false">IF(OR(OR($B310="",$E310="",$F310=""),$K310&lt;&gt;"نعم",$M310="نعم"),0,MAX(0,MIN($F310,EOMONTH(DATE(cfg_FY,2,1),0))-MAX($E310,DATE(cfg_FY,2,1))+1))</f>
        <v>0</v>
      </c>
      <c r="AV310" s="57" t="n">
        <f aca="false">IF(OR(OR($B310="",$E310="",$F310=""),$K310&lt;&gt;"نعم",$M310="نعم"),0,MAX(0,MIN($F310,EOMONTH(DATE(cfg_FY,3,1),0))-MAX($E310,DATE(cfg_FY,3,1))+1))</f>
        <v>0</v>
      </c>
      <c r="AW310" s="57" t="n">
        <f aca="false">IF(OR(OR($B310="",$E310="",$F310=""),$K310&lt;&gt;"نعم",$M310="نعم"),0,MAX(0,MIN($F310,EOMONTH(DATE(cfg_FY,4,1),0))-MAX($E310,DATE(cfg_FY,4,1))+1))</f>
        <v>0</v>
      </c>
      <c r="AX310" s="57" t="n">
        <f aca="false">IF(OR(OR($B310="",$E310="",$F310=""),$K310&lt;&gt;"نعم",$M310="نعم"),0,MAX(0,MIN($F310,EOMONTH(DATE(cfg_FY,5,1),0))-MAX($E310,DATE(cfg_FY,5,1))+1))</f>
        <v>0</v>
      </c>
      <c r="AY310" s="57" t="n">
        <f aca="false">IF(OR(OR($B310="",$E310="",$F310=""),$K310&lt;&gt;"نعم",$M310="نعم"),0,MAX(0,MIN($F310,EOMONTH(DATE(cfg_FY,6,1),0))-MAX($E310,DATE(cfg_FY,6,1))+1))</f>
        <v>0</v>
      </c>
      <c r="AZ310" s="57" t="n">
        <f aca="false">IF(OR(OR($B310="",$E310="",$F310=""),$K310&lt;&gt;"نعم",$M310="نعم"),0,MAX(0,MIN($F310,EOMONTH(DATE(cfg_FY,7,1),0))-MAX($E310,DATE(cfg_FY,7,1))+1))</f>
        <v>0</v>
      </c>
      <c r="BA310" s="57" t="n">
        <f aca="false">IF(OR(OR($B310="",$E310="",$F310=""),$K310&lt;&gt;"نعم",$M310="نعم"),0,MAX(0,MIN($F310,EOMONTH(DATE(cfg_FY,8,1),0))-MAX($E310,DATE(cfg_FY,8,1))+1))</f>
        <v>0</v>
      </c>
      <c r="BB310" s="57" t="n">
        <f aca="false">IF(OR(OR($B310="",$E310="",$F310=""),$K310&lt;&gt;"نعم",$M310="نعم"),0,MAX(0,MIN($F310,EOMONTH(DATE(cfg_FY,9,1),0))-MAX($E310,DATE(cfg_FY,9,1))+1))</f>
        <v>0</v>
      </c>
      <c r="BC310" s="57" t="n">
        <f aca="false">IF(OR(OR($B310="",$E310="",$F310=""),$K310&lt;&gt;"نعم",$M310="نعم"),0,MAX(0,MIN($F310,EOMONTH(DATE(cfg_FY,10,1),0))-MAX($E310,DATE(cfg_FY,10,1))+1))</f>
        <v>0</v>
      </c>
      <c r="BD310" s="57" t="n">
        <f aca="false">IF(OR(OR($B310="",$E310="",$F310=""),$K310&lt;&gt;"نعم",$M310="نعم"),0,MAX(0,MIN($F310,EOMONTH(DATE(cfg_FY,11,1),0))-MAX($E310,DATE(cfg_FY,11,1))+1))</f>
        <v>0</v>
      </c>
      <c r="BE310" s="57" t="n">
        <f aca="false">IF(OR(OR($B310="",$E310="",$F310=""),$K310&lt;&gt;"نعم",$M310="نعم"),0,MAX(0,MIN($F310,EOMONTH(DATE(cfg_FY,12,1),0))-MAX($E310,DATE(cfg_FY,12,1))+1))</f>
        <v>0</v>
      </c>
    </row>
    <row r="311" customFormat="false" ht="15" hidden="false" customHeight="false" outlineLevel="0" collapsed="false">
      <c r="A311" s="100" t="str">
        <f aca="false">IF(B311="","",ROW()-5)</f>
        <v/>
      </c>
      <c r="B311" s="79"/>
      <c r="C311" s="102" t="str">
        <f aca="false">IF(B311="","",IFERROR(INDEX(الموظفون!$C$6:$C$105,MATCH(B311,الموظفون!$B$6:$B$105,0)),"✖ رقم غير موجود"))</f>
        <v/>
      </c>
      <c r="D311" s="79"/>
      <c r="E311" s="94"/>
      <c r="F311" s="94"/>
      <c r="G311" s="110" t="str">
        <f aca="false">IF(OR($B311="",$E311="",$F311=""),"",MAX(0,F311-E311+1))</f>
        <v/>
      </c>
      <c r="H311" s="111" t="str">
        <f aca="false">IF(D311="","",IFERROR(VLOOKUP(D311,cfg_LT,2,FALSE()),1))</f>
        <v/>
      </c>
      <c r="I311" s="82"/>
      <c r="J311" s="111" t="str">
        <f aca="false">IF(D311="","",IF(I311&lt;&gt;"",I311,H311))</f>
        <v/>
      </c>
      <c r="K311" s="102" t="str">
        <f aca="false">IF(D311="","",IFERROR(VLOOKUP($D311,cfg_LT,3,FALSE()),""))</f>
        <v/>
      </c>
      <c r="L311" s="102" t="str">
        <f aca="false">IF(D311="","",IFERROR(VLOOKUP($D311,cfg_LT,4,FALSE()),""))</f>
        <v/>
      </c>
      <c r="M311" s="102" t="str">
        <f aca="false">IF(D311="","",IFERROR(VLOOKUP($D311,cfg_LT,5,FALSE()),""))</f>
        <v/>
      </c>
      <c r="N311" s="101" t="n">
        <f aca="false">IF(OR(OR($B311="",$E311="",$F311=""),M311&lt;&gt;"نعم"),0,G311*J311*IFERROR(INDEX(الموظفون!$R$6:$R$105,MATCH(B311,الموظفون!$B$6:$B$105,0)),0)/cfg_DAYS_M)</f>
        <v>0</v>
      </c>
      <c r="O311" s="100" t="str">
        <f aca="false">IF(OR(OR($B311="",$E311="",$F311=""),M311&lt;&gt;"نعم"),"",IF(YEAR(E311)=cfg_FY,MONTH(E311),""))</f>
        <v/>
      </c>
      <c r="P311" s="102" t="str">
        <f aca="false">IF(B311="","",IF(OR(D311="",E311="",F311=""),"⚠ أكمل النوع والتواريخ",IF(F311&lt;E311,"✖ النهاية قبل البداية",IF(COUNTIFS($B$6:$B$505,B311,$E$6:$E$505,"&lt;="&amp;F311,$F$6:$F$505,"&gt;="&amp;E311)&gt;1,"⚠ تداخل مع سجل آخر",IF(E311&gt;cfg_VAL_DATE,"⏳ قادمة",IF(F311&lt;cfg_VAL_DATE,"✔ منتهية","✈ جارية في تاريخ التقرير"))))))</f>
        <v/>
      </c>
      <c r="Q311" s="79"/>
      <c r="R311" s="110" t="n">
        <f aca="false">IF(OR(OR($B311="",$E311="",$F311=""),L311&lt;&gt;"لا"),0,MAX(0,MIN(F311,cfg_Y_START-1)-E311+1))</f>
        <v>0</v>
      </c>
      <c r="S311" s="110" t="n">
        <f aca="false">IF(OR(OR($B311="",$E311="",$F311=""),L311&lt;&gt;"لا"),0,MAX(0,MIN(F311,cfg_VAL_DATE)-E311+1))</f>
        <v>0</v>
      </c>
      <c r="T311" s="110" t="n">
        <f aca="false">IF(OR(OR($B311="",$E311="",$F311=""),K311&lt;&gt;"نعم"),0,IF(M311="نعم",IF(AND(ISNUMBER(O311),N(O311)&lt;=cfg_VAL_M),G311,0),MAX(0,MIN(F311,cfg_VAL_DATE)-MAX(E311,cfg_Y_START)+1)))</f>
        <v>0</v>
      </c>
      <c r="V311" s="110" t="n">
        <f aca="false">IF(OR($B311="",$E311="",$F311=""),0,MAX(0,MIN($F311,EOMONTH(DATE(cfg_FY,1,1),0))-MAX($E311,DATE(cfg_FY,1,1))+1)*(1-IF($M311="نعم",0,N($J311))))</f>
        <v>0</v>
      </c>
      <c r="W311" s="110" t="n">
        <f aca="false">IF(OR($B311="",$E311="",$F311=""),0,MAX(0,MIN($F311,EOMONTH(DATE(cfg_FY,2,1),0))-MAX($E311,DATE(cfg_FY,2,1))+1)*(1-IF($M311="نعم",0,N($J311))))</f>
        <v>0</v>
      </c>
      <c r="X311" s="110" t="n">
        <f aca="false">IF(OR($B311="",$E311="",$F311=""),0,MAX(0,MIN($F311,EOMONTH(DATE(cfg_FY,3,1),0))-MAX($E311,DATE(cfg_FY,3,1))+1)*(1-IF($M311="نعم",0,N($J311))))</f>
        <v>0</v>
      </c>
      <c r="Y311" s="110" t="n">
        <f aca="false">IF(OR($B311="",$E311="",$F311=""),0,MAX(0,MIN($F311,EOMONTH(DATE(cfg_FY,4,1),0))-MAX($E311,DATE(cfg_FY,4,1))+1)*(1-IF($M311="نعم",0,N($J311))))</f>
        <v>0</v>
      </c>
      <c r="Z311" s="110" t="n">
        <f aca="false">IF(OR($B311="",$E311="",$F311=""),0,MAX(0,MIN($F311,EOMONTH(DATE(cfg_FY,5,1),0))-MAX($E311,DATE(cfg_FY,5,1))+1)*(1-IF($M311="نعم",0,N($J311))))</f>
        <v>0</v>
      </c>
      <c r="AA311" s="110" t="n">
        <f aca="false">IF(OR($B311="",$E311="",$F311=""),0,MAX(0,MIN($F311,EOMONTH(DATE(cfg_FY,6,1),0))-MAX($E311,DATE(cfg_FY,6,1))+1)*(1-IF($M311="نعم",0,N($J311))))</f>
        <v>0</v>
      </c>
      <c r="AB311" s="110" t="n">
        <f aca="false">IF(OR($B311="",$E311="",$F311=""),0,MAX(0,MIN($F311,EOMONTH(DATE(cfg_FY,7,1),0))-MAX($E311,DATE(cfg_FY,7,1))+1)*(1-IF($M311="نعم",0,N($J311))))</f>
        <v>0</v>
      </c>
      <c r="AC311" s="110" t="n">
        <f aca="false">IF(OR($B311="",$E311="",$F311=""),0,MAX(0,MIN($F311,EOMONTH(DATE(cfg_FY,8,1),0))-MAX($E311,DATE(cfg_FY,8,1))+1)*(1-IF($M311="نعم",0,N($J311))))</f>
        <v>0</v>
      </c>
      <c r="AD311" s="110" t="n">
        <f aca="false">IF(OR($B311="",$E311="",$F311=""),0,MAX(0,MIN($F311,EOMONTH(DATE(cfg_FY,9,1),0))-MAX($E311,DATE(cfg_FY,9,1))+1)*(1-IF($M311="نعم",0,N($J311))))</f>
        <v>0</v>
      </c>
      <c r="AE311" s="110" t="n">
        <f aca="false">IF(OR($B311="",$E311="",$F311=""),0,MAX(0,MIN($F311,EOMONTH(DATE(cfg_FY,10,1),0))-MAX($E311,DATE(cfg_FY,10,1))+1)*(1-IF($M311="نعم",0,N($J311))))</f>
        <v>0</v>
      </c>
      <c r="AF311" s="110" t="n">
        <f aca="false">IF(OR($B311="",$E311="",$F311=""),0,MAX(0,MIN($F311,EOMONTH(DATE(cfg_FY,11,1),0))-MAX($E311,DATE(cfg_FY,11,1))+1)*(1-IF($M311="نعم",0,N($J311))))</f>
        <v>0</v>
      </c>
      <c r="AG311" s="110" t="n">
        <f aca="false">IF(OR($B311="",$E311="",$F311=""),0,MAX(0,MIN($F311,EOMONTH(DATE(cfg_FY,12,1),0))-MAX($E311,DATE(cfg_FY,12,1))+1)*(1-IF($M311="نعم",0,N($J311))))</f>
        <v>0</v>
      </c>
      <c r="AH311" s="110" t="n">
        <f aca="false">IF(OR(OR($B311="",$E311="",$F311=""),$L311&lt;&gt;"لا"),0,MAX(0,MIN($F311,EOMONTH(DATE(cfg_FY,1,1),0))-$E311+1))</f>
        <v>0</v>
      </c>
      <c r="AI311" s="110" t="n">
        <f aca="false">IF(OR(OR($B311="",$E311="",$F311=""),$L311&lt;&gt;"لا"),0,MAX(0,MIN($F311,EOMONTH(DATE(cfg_FY,2,1),0))-$E311+1))</f>
        <v>0</v>
      </c>
      <c r="AJ311" s="110" t="n">
        <f aca="false">IF(OR(OR($B311="",$E311="",$F311=""),$L311&lt;&gt;"لا"),0,MAX(0,MIN($F311,EOMONTH(DATE(cfg_FY,3,1),0))-$E311+1))</f>
        <v>0</v>
      </c>
      <c r="AK311" s="110" t="n">
        <f aca="false">IF(OR(OR($B311="",$E311="",$F311=""),$L311&lt;&gt;"لا"),0,MAX(0,MIN($F311,EOMONTH(DATE(cfg_FY,4,1),0))-$E311+1))</f>
        <v>0</v>
      </c>
      <c r="AL311" s="110" t="n">
        <f aca="false">IF(OR(OR($B311="",$E311="",$F311=""),$L311&lt;&gt;"لا"),0,MAX(0,MIN($F311,EOMONTH(DATE(cfg_FY,5,1),0))-$E311+1))</f>
        <v>0</v>
      </c>
      <c r="AM311" s="110" t="n">
        <f aca="false">IF(OR(OR($B311="",$E311="",$F311=""),$L311&lt;&gt;"لا"),0,MAX(0,MIN($F311,EOMONTH(DATE(cfg_FY,6,1),0))-$E311+1))</f>
        <v>0</v>
      </c>
      <c r="AN311" s="110" t="n">
        <f aca="false">IF(OR(OR($B311="",$E311="",$F311=""),$L311&lt;&gt;"لا"),0,MAX(0,MIN($F311,EOMONTH(DATE(cfg_FY,7,1),0))-$E311+1))</f>
        <v>0</v>
      </c>
      <c r="AO311" s="110" t="n">
        <f aca="false">IF(OR(OR($B311="",$E311="",$F311=""),$L311&lt;&gt;"لا"),0,MAX(0,MIN($F311,EOMONTH(DATE(cfg_FY,8,1),0))-$E311+1))</f>
        <v>0</v>
      </c>
      <c r="AP311" s="110" t="n">
        <f aca="false">IF(OR(OR($B311="",$E311="",$F311=""),$L311&lt;&gt;"لا"),0,MAX(0,MIN($F311,EOMONTH(DATE(cfg_FY,9,1),0))-$E311+1))</f>
        <v>0</v>
      </c>
      <c r="AQ311" s="110" t="n">
        <f aca="false">IF(OR(OR($B311="",$E311="",$F311=""),$L311&lt;&gt;"لا"),0,MAX(0,MIN($F311,EOMONTH(DATE(cfg_FY,10,1),0))-$E311+1))</f>
        <v>0</v>
      </c>
      <c r="AR311" s="110" t="n">
        <f aca="false">IF(OR(OR($B311="",$E311="",$F311=""),$L311&lt;&gt;"لا"),0,MAX(0,MIN($F311,EOMONTH(DATE(cfg_FY,11,1),0))-$E311+1))</f>
        <v>0</v>
      </c>
      <c r="AS311" s="110" t="n">
        <f aca="false">IF(OR(OR($B311="",$E311="",$F311=""),$L311&lt;&gt;"لا"),0,MAX(0,MIN($F311,EOMONTH(DATE(cfg_FY,12,1),0))-$E311+1))</f>
        <v>0</v>
      </c>
      <c r="AT311" s="110" t="n">
        <f aca="false">IF(OR(OR($B311="",$E311="",$F311=""),$K311&lt;&gt;"نعم",$M311="نعم"),0,MAX(0,MIN($F311,EOMONTH(DATE(cfg_FY,1,1),0))-MAX($E311,DATE(cfg_FY,1,1))+1))</f>
        <v>0</v>
      </c>
      <c r="AU311" s="110" t="n">
        <f aca="false">IF(OR(OR($B311="",$E311="",$F311=""),$K311&lt;&gt;"نعم",$M311="نعم"),0,MAX(0,MIN($F311,EOMONTH(DATE(cfg_FY,2,1),0))-MAX($E311,DATE(cfg_FY,2,1))+1))</f>
        <v>0</v>
      </c>
      <c r="AV311" s="110" t="n">
        <f aca="false">IF(OR(OR($B311="",$E311="",$F311=""),$K311&lt;&gt;"نعم",$M311="نعم"),0,MAX(0,MIN($F311,EOMONTH(DATE(cfg_FY,3,1),0))-MAX($E311,DATE(cfg_FY,3,1))+1))</f>
        <v>0</v>
      </c>
      <c r="AW311" s="110" t="n">
        <f aca="false">IF(OR(OR($B311="",$E311="",$F311=""),$K311&lt;&gt;"نعم",$M311="نعم"),0,MAX(0,MIN($F311,EOMONTH(DATE(cfg_FY,4,1),0))-MAX($E311,DATE(cfg_FY,4,1))+1))</f>
        <v>0</v>
      </c>
      <c r="AX311" s="110" t="n">
        <f aca="false">IF(OR(OR($B311="",$E311="",$F311=""),$K311&lt;&gt;"نعم",$M311="نعم"),0,MAX(0,MIN($F311,EOMONTH(DATE(cfg_FY,5,1),0))-MAX($E311,DATE(cfg_FY,5,1))+1))</f>
        <v>0</v>
      </c>
      <c r="AY311" s="110" t="n">
        <f aca="false">IF(OR(OR($B311="",$E311="",$F311=""),$K311&lt;&gt;"نعم",$M311="نعم"),0,MAX(0,MIN($F311,EOMONTH(DATE(cfg_FY,6,1),0))-MAX($E311,DATE(cfg_FY,6,1))+1))</f>
        <v>0</v>
      </c>
      <c r="AZ311" s="110" t="n">
        <f aca="false">IF(OR(OR($B311="",$E311="",$F311=""),$K311&lt;&gt;"نعم",$M311="نعم"),0,MAX(0,MIN($F311,EOMONTH(DATE(cfg_FY,7,1),0))-MAX($E311,DATE(cfg_FY,7,1))+1))</f>
        <v>0</v>
      </c>
      <c r="BA311" s="110" t="n">
        <f aca="false">IF(OR(OR($B311="",$E311="",$F311=""),$K311&lt;&gt;"نعم",$M311="نعم"),0,MAX(0,MIN($F311,EOMONTH(DATE(cfg_FY,8,1),0))-MAX($E311,DATE(cfg_FY,8,1))+1))</f>
        <v>0</v>
      </c>
      <c r="BB311" s="110" t="n">
        <f aca="false">IF(OR(OR($B311="",$E311="",$F311=""),$K311&lt;&gt;"نعم",$M311="نعم"),0,MAX(0,MIN($F311,EOMONTH(DATE(cfg_FY,9,1),0))-MAX($E311,DATE(cfg_FY,9,1))+1))</f>
        <v>0</v>
      </c>
      <c r="BC311" s="110" t="n">
        <f aca="false">IF(OR(OR($B311="",$E311="",$F311=""),$K311&lt;&gt;"نعم",$M311="نعم"),0,MAX(0,MIN($F311,EOMONTH(DATE(cfg_FY,10,1),0))-MAX($E311,DATE(cfg_FY,10,1))+1))</f>
        <v>0</v>
      </c>
      <c r="BD311" s="110" t="n">
        <f aca="false">IF(OR(OR($B311="",$E311="",$F311=""),$K311&lt;&gt;"نعم",$M311="نعم"),0,MAX(0,MIN($F311,EOMONTH(DATE(cfg_FY,11,1),0))-MAX($E311,DATE(cfg_FY,11,1))+1))</f>
        <v>0</v>
      </c>
      <c r="BE311" s="110" t="n">
        <f aca="false">IF(OR(OR($B311="",$E311="",$F311=""),$K311&lt;&gt;"نعم",$M311="نعم"),0,MAX(0,MIN($F311,EOMONTH(DATE(cfg_FY,12,1),0))-MAX($E311,DATE(cfg_FY,12,1))+1))</f>
        <v>0</v>
      </c>
    </row>
    <row r="312" customFormat="false" ht="15" hidden="false" customHeight="false" outlineLevel="0" collapsed="false">
      <c r="A312" s="93" t="str">
        <f aca="false">IF(B312="","",ROW()-5)</f>
        <v/>
      </c>
      <c r="B312" s="79"/>
      <c r="C312" s="80" t="str">
        <f aca="false">IF(B312="","",IFERROR(INDEX(الموظفون!$C$6:$C$105,MATCH(B312,الموظفون!$B$6:$B$105,0)),"✖ رقم غير موجود"))</f>
        <v/>
      </c>
      <c r="D312" s="79"/>
      <c r="E312" s="94"/>
      <c r="F312" s="94"/>
      <c r="G312" s="57" t="str">
        <f aca="false">IF(OR($B312="",$E312="",$F312=""),"",MAX(0,F312-E312+1))</f>
        <v/>
      </c>
      <c r="H312" s="58" t="str">
        <f aca="false">IF(D312="","",IFERROR(VLOOKUP(D312,cfg_LT,2,FALSE()),1))</f>
        <v/>
      </c>
      <c r="I312" s="82"/>
      <c r="J312" s="58" t="str">
        <f aca="false">IF(D312="","",IF(I312&lt;&gt;"",I312,H312))</f>
        <v/>
      </c>
      <c r="K312" s="80" t="str">
        <f aca="false">IF(D312="","",IFERROR(VLOOKUP($D312,cfg_LT,3,FALSE()),""))</f>
        <v/>
      </c>
      <c r="L312" s="80" t="str">
        <f aca="false">IF(D312="","",IFERROR(VLOOKUP($D312,cfg_LT,4,FALSE()),""))</f>
        <v/>
      </c>
      <c r="M312" s="80" t="str">
        <f aca="false">IF(D312="","",IFERROR(VLOOKUP($D312,cfg_LT,5,FALSE()),""))</f>
        <v/>
      </c>
      <c r="N312" s="97" t="n">
        <f aca="false">IF(OR(OR($B312="",$E312="",$F312=""),M312&lt;&gt;"نعم"),0,G312*J312*IFERROR(INDEX(الموظفون!$R$6:$R$105,MATCH(B312,الموظفون!$B$6:$B$105,0)),0)/cfg_DAYS_M)</f>
        <v>0</v>
      </c>
      <c r="O312" s="93" t="str">
        <f aca="false">IF(OR(OR($B312="",$E312="",$F312=""),M312&lt;&gt;"نعم"),"",IF(YEAR(E312)=cfg_FY,MONTH(E312),""))</f>
        <v/>
      </c>
      <c r="P312" s="80" t="str">
        <f aca="false">IF(B312="","",IF(OR(D312="",E312="",F312=""),"⚠ أكمل النوع والتواريخ",IF(F312&lt;E312,"✖ النهاية قبل البداية",IF(COUNTIFS($B$6:$B$505,B312,$E$6:$E$505,"&lt;="&amp;F312,$F$6:$F$505,"&gt;="&amp;E312)&gt;1,"⚠ تداخل مع سجل آخر",IF(E312&gt;cfg_VAL_DATE,"⏳ قادمة",IF(F312&lt;cfg_VAL_DATE,"✔ منتهية","✈ جارية في تاريخ التقرير"))))))</f>
        <v/>
      </c>
      <c r="Q312" s="79"/>
      <c r="R312" s="57" t="n">
        <f aca="false">IF(OR(OR($B312="",$E312="",$F312=""),L312&lt;&gt;"لا"),0,MAX(0,MIN(F312,cfg_Y_START-1)-E312+1))</f>
        <v>0</v>
      </c>
      <c r="S312" s="57" t="n">
        <f aca="false">IF(OR(OR($B312="",$E312="",$F312=""),L312&lt;&gt;"لا"),0,MAX(0,MIN(F312,cfg_VAL_DATE)-E312+1))</f>
        <v>0</v>
      </c>
      <c r="T312" s="57" t="n">
        <f aca="false">IF(OR(OR($B312="",$E312="",$F312=""),K312&lt;&gt;"نعم"),0,IF(M312="نعم",IF(AND(ISNUMBER(O312),N(O312)&lt;=cfg_VAL_M),G312,0),MAX(0,MIN(F312,cfg_VAL_DATE)-MAX(E312,cfg_Y_START)+1)))</f>
        <v>0</v>
      </c>
      <c r="V312" s="57" t="n">
        <f aca="false">IF(OR($B312="",$E312="",$F312=""),0,MAX(0,MIN($F312,EOMONTH(DATE(cfg_FY,1,1),0))-MAX($E312,DATE(cfg_FY,1,1))+1)*(1-IF($M312="نعم",0,N($J312))))</f>
        <v>0</v>
      </c>
      <c r="W312" s="57" t="n">
        <f aca="false">IF(OR($B312="",$E312="",$F312=""),0,MAX(0,MIN($F312,EOMONTH(DATE(cfg_FY,2,1),0))-MAX($E312,DATE(cfg_FY,2,1))+1)*(1-IF($M312="نعم",0,N($J312))))</f>
        <v>0</v>
      </c>
      <c r="X312" s="57" t="n">
        <f aca="false">IF(OR($B312="",$E312="",$F312=""),0,MAX(0,MIN($F312,EOMONTH(DATE(cfg_FY,3,1),0))-MAX($E312,DATE(cfg_FY,3,1))+1)*(1-IF($M312="نعم",0,N($J312))))</f>
        <v>0</v>
      </c>
      <c r="Y312" s="57" t="n">
        <f aca="false">IF(OR($B312="",$E312="",$F312=""),0,MAX(0,MIN($F312,EOMONTH(DATE(cfg_FY,4,1),0))-MAX($E312,DATE(cfg_FY,4,1))+1)*(1-IF($M312="نعم",0,N($J312))))</f>
        <v>0</v>
      </c>
      <c r="Z312" s="57" t="n">
        <f aca="false">IF(OR($B312="",$E312="",$F312=""),0,MAX(0,MIN($F312,EOMONTH(DATE(cfg_FY,5,1),0))-MAX($E312,DATE(cfg_FY,5,1))+1)*(1-IF($M312="نعم",0,N($J312))))</f>
        <v>0</v>
      </c>
      <c r="AA312" s="57" t="n">
        <f aca="false">IF(OR($B312="",$E312="",$F312=""),0,MAX(0,MIN($F312,EOMONTH(DATE(cfg_FY,6,1),0))-MAX($E312,DATE(cfg_FY,6,1))+1)*(1-IF($M312="نعم",0,N($J312))))</f>
        <v>0</v>
      </c>
      <c r="AB312" s="57" t="n">
        <f aca="false">IF(OR($B312="",$E312="",$F312=""),0,MAX(0,MIN($F312,EOMONTH(DATE(cfg_FY,7,1),0))-MAX($E312,DATE(cfg_FY,7,1))+1)*(1-IF($M312="نعم",0,N($J312))))</f>
        <v>0</v>
      </c>
      <c r="AC312" s="57" t="n">
        <f aca="false">IF(OR($B312="",$E312="",$F312=""),0,MAX(0,MIN($F312,EOMONTH(DATE(cfg_FY,8,1),0))-MAX($E312,DATE(cfg_FY,8,1))+1)*(1-IF($M312="نعم",0,N($J312))))</f>
        <v>0</v>
      </c>
      <c r="AD312" s="57" t="n">
        <f aca="false">IF(OR($B312="",$E312="",$F312=""),0,MAX(0,MIN($F312,EOMONTH(DATE(cfg_FY,9,1),0))-MAX($E312,DATE(cfg_FY,9,1))+1)*(1-IF($M312="نعم",0,N($J312))))</f>
        <v>0</v>
      </c>
      <c r="AE312" s="57" t="n">
        <f aca="false">IF(OR($B312="",$E312="",$F312=""),0,MAX(0,MIN($F312,EOMONTH(DATE(cfg_FY,10,1),0))-MAX($E312,DATE(cfg_FY,10,1))+1)*(1-IF($M312="نعم",0,N($J312))))</f>
        <v>0</v>
      </c>
      <c r="AF312" s="57" t="n">
        <f aca="false">IF(OR($B312="",$E312="",$F312=""),0,MAX(0,MIN($F312,EOMONTH(DATE(cfg_FY,11,1),0))-MAX($E312,DATE(cfg_FY,11,1))+1)*(1-IF($M312="نعم",0,N($J312))))</f>
        <v>0</v>
      </c>
      <c r="AG312" s="57" t="n">
        <f aca="false">IF(OR($B312="",$E312="",$F312=""),0,MAX(0,MIN($F312,EOMONTH(DATE(cfg_FY,12,1),0))-MAX($E312,DATE(cfg_FY,12,1))+1)*(1-IF($M312="نعم",0,N($J312))))</f>
        <v>0</v>
      </c>
      <c r="AH312" s="57" t="n">
        <f aca="false">IF(OR(OR($B312="",$E312="",$F312=""),$L312&lt;&gt;"لا"),0,MAX(0,MIN($F312,EOMONTH(DATE(cfg_FY,1,1),0))-$E312+1))</f>
        <v>0</v>
      </c>
      <c r="AI312" s="57" t="n">
        <f aca="false">IF(OR(OR($B312="",$E312="",$F312=""),$L312&lt;&gt;"لا"),0,MAX(0,MIN($F312,EOMONTH(DATE(cfg_FY,2,1),0))-$E312+1))</f>
        <v>0</v>
      </c>
      <c r="AJ312" s="57" t="n">
        <f aca="false">IF(OR(OR($B312="",$E312="",$F312=""),$L312&lt;&gt;"لا"),0,MAX(0,MIN($F312,EOMONTH(DATE(cfg_FY,3,1),0))-$E312+1))</f>
        <v>0</v>
      </c>
      <c r="AK312" s="57" t="n">
        <f aca="false">IF(OR(OR($B312="",$E312="",$F312=""),$L312&lt;&gt;"لا"),0,MAX(0,MIN($F312,EOMONTH(DATE(cfg_FY,4,1),0))-$E312+1))</f>
        <v>0</v>
      </c>
      <c r="AL312" s="57" t="n">
        <f aca="false">IF(OR(OR($B312="",$E312="",$F312=""),$L312&lt;&gt;"لا"),0,MAX(0,MIN($F312,EOMONTH(DATE(cfg_FY,5,1),0))-$E312+1))</f>
        <v>0</v>
      </c>
      <c r="AM312" s="57" t="n">
        <f aca="false">IF(OR(OR($B312="",$E312="",$F312=""),$L312&lt;&gt;"لا"),0,MAX(0,MIN($F312,EOMONTH(DATE(cfg_FY,6,1),0))-$E312+1))</f>
        <v>0</v>
      </c>
      <c r="AN312" s="57" t="n">
        <f aca="false">IF(OR(OR($B312="",$E312="",$F312=""),$L312&lt;&gt;"لا"),0,MAX(0,MIN($F312,EOMONTH(DATE(cfg_FY,7,1),0))-$E312+1))</f>
        <v>0</v>
      </c>
      <c r="AO312" s="57" t="n">
        <f aca="false">IF(OR(OR($B312="",$E312="",$F312=""),$L312&lt;&gt;"لا"),0,MAX(0,MIN($F312,EOMONTH(DATE(cfg_FY,8,1),0))-$E312+1))</f>
        <v>0</v>
      </c>
      <c r="AP312" s="57" t="n">
        <f aca="false">IF(OR(OR($B312="",$E312="",$F312=""),$L312&lt;&gt;"لا"),0,MAX(0,MIN($F312,EOMONTH(DATE(cfg_FY,9,1),0))-$E312+1))</f>
        <v>0</v>
      </c>
      <c r="AQ312" s="57" t="n">
        <f aca="false">IF(OR(OR($B312="",$E312="",$F312=""),$L312&lt;&gt;"لا"),0,MAX(0,MIN($F312,EOMONTH(DATE(cfg_FY,10,1),0))-$E312+1))</f>
        <v>0</v>
      </c>
      <c r="AR312" s="57" t="n">
        <f aca="false">IF(OR(OR($B312="",$E312="",$F312=""),$L312&lt;&gt;"لا"),0,MAX(0,MIN($F312,EOMONTH(DATE(cfg_FY,11,1),0))-$E312+1))</f>
        <v>0</v>
      </c>
      <c r="AS312" s="57" t="n">
        <f aca="false">IF(OR(OR($B312="",$E312="",$F312=""),$L312&lt;&gt;"لا"),0,MAX(0,MIN($F312,EOMONTH(DATE(cfg_FY,12,1),0))-$E312+1))</f>
        <v>0</v>
      </c>
      <c r="AT312" s="57" t="n">
        <f aca="false">IF(OR(OR($B312="",$E312="",$F312=""),$K312&lt;&gt;"نعم",$M312="نعم"),0,MAX(0,MIN($F312,EOMONTH(DATE(cfg_FY,1,1),0))-MAX($E312,DATE(cfg_FY,1,1))+1))</f>
        <v>0</v>
      </c>
      <c r="AU312" s="57" t="n">
        <f aca="false">IF(OR(OR($B312="",$E312="",$F312=""),$K312&lt;&gt;"نعم",$M312="نعم"),0,MAX(0,MIN($F312,EOMONTH(DATE(cfg_FY,2,1),0))-MAX($E312,DATE(cfg_FY,2,1))+1))</f>
        <v>0</v>
      </c>
      <c r="AV312" s="57" t="n">
        <f aca="false">IF(OR(OR($B312="",$E312="",$F312=""),$K312&lt;&gt;"نعم",$M312="نعم"),0,MAX(0,MIN($F312,EOMONTH(DATE(cfg_FY,3,1),0))-MAX($E312,DATE(cfg_FY,3,1))+1))</f>
        <v>0</v>
      </c>
      <c r="AW312" s="57" t="n">
        <f aca="false">IF(OR(OR($B312="",$E312="",$F312=""),$K312&lt;&gt;"نعم",$M312="نعم"),0,MAX(0,MIN($F312,EOMONTH(DATE(cfg_FY,4,1),0))-MAX($E312,DATE(cfg_FY,4,1))+1))</f>
        <v>0</v>
      </c>
      <c r="AX312" s="57" t="n">
        <f aca="false">IF(OR(OR($B312="",$E312="",$F312=""),$K312&lt;&gt;"نعم",$M312="نعم"),0,MAX(0,MIN($F312,EOMONTH(DATE(cfg_FY,5,1),0))-MAX($E312,DATE(cfg_FY,5,1))+1))</f>
        <v>0</v>
      </c>
      <c r="AY312" s="57" t="n">
        <f aca="false">IF(OR(OR($B312="",$E312="",$F312=""),$K312&lt;&gt;"نعم",$M312="نعم"),0,MAX(0,MIN($F312,EOMONTH(DATE(cfg_FY,6,1),0))-MAX($E312,DATE(cfg_FY,6,1))+1))</f>
        <v>0</v>
      </c>
      <c r="AZ312" s="57" t="n">
        <f aca="false">IF(OR(OR($B312="",$E312="",$F312=""),$K312&lt;&gt;"نعم",$M312="نعم"),0,MAX(0,MIN($F312,EOMONTH(DATE(cfg_FY,7,1),0))-MAX($E312,DATE(cfg_FY,7,1))+1))</f>
        <v>0</v>
      </c>
      <c r="BA312" s="57" t="n">
        <f aca="false">IF(OR(OR($B312="",$E312="",$F312=""),$K312&lt;&gt;"نعم",$M312="نعم"),0,MAX(0,MIN($F312,EOMONTH(DATE(cfg_FY,8,1),0))-MAX($E312,DATE(cfg_FY,8,1))+1))</f>
        <v>0</v>
      </c>
      <c r="BB312" s="57" t="n">
        <f aca="false">IF(OR(OR($B312="",$E312="",$F312=""),$K312&lt;&gt;"نعم",$M312="نعم"),0,MAX(0,MIN($F312,EOMONTH(DATE(cfg_FY,9,1),0))-MAX($E312,DATE(cfg_FY,9,1))+1))</f>
        <v>0</v>
      </c>
      <c r="BC312" s="57" t="n">
        <f aca="false">IF(OR(OR($B312="",$E312="",$F312=""),$K312&lt;&gt;"نعم",$M312="نعم"),0,MAX(0,MIN($F312,EOMONTH(DATE(cfg_FY,10,1),0))-MAX($E312,DATE(cfg_FY,10,1))+1))</f>
        <v>0</v>
      </c>
      <c r="BD312" s="57" t="n">
        <f aca="false">IF(OR(OR($B312="",$E312="",$F312=""),$K312&lt;&gt;"نعم",$M312="نعم"),0,MAX(0,MIN($F312,EOMONTH(DATE(cfg_FY,11,1),0))-MAX($E312,DATE(cfg_FY,11,1))+1))</f>
        <v>0</v>
      </c>
      <c r="BE312" s="57" t="n">
        <f aca="false">IF(OR(OR($B312="",$E312="",$F312=""),$K312&lt;&gt;"نعم",$M312="نعم"),0,MAX(0,MIN($F312,EOMONTH(DATE(cfg_FY,12,1),0))-MAX($E312,DATE(cfg_FY,12,1))+1))</f>
        <v>0</v>
      </c>
    </row>
    <row r="313" customFormat="false" ht="15" hidden="false" customHeight="false" outlineLevel="0" collapsed="false">
      <c r="A313" s="100" t="str">
        <f aca="false">IF(B313="","",ROW()-5)</f>
        <v/>
      </c>
      <c r="B313" s="79"/>
      <c r="C313" s="102" t="str">
        <f aca="false">IF(B313="","",IFERROR(INDEX(الموظفون!$C$6:$C$105,MATCH(B313,الموظفون!$B$6:$B$105,0)),"✖ رقم غير موجود"))</f>
        <v/>
      </c>
      <c r="D313" s="79"/>
      <c r="E313" s="94"/>
      <c r="F313" s="94"/>
      <c r="G313" s="110" t="str">
        <f aca="false">IF(OR($B313="",$E313="",$F313=""),"",MAX(0,F313-E313+1))</f>
        <v/>
      </c>
      <c r="H313" s="111" t="str">
        <f aca="false">IF(D313="","",IFERROR(VLOOKUP(D313,cfg_LT,2,FALSE()),1))</f>
        <v/>
      </c>
      <c r="I313" s="82"/>
      <c r="J313" s="111" t="str">
        <f aca="false">IF(D313="","",IF(I313&lt;&gt;"",I313,H313))</f>
        <v/>
      </c>
      <c r="K313" s="102" t="str">
        <f aca="false">IF(D313="","",IFERROR(VLOOKUP($D313,cfg_LT,3,FALSE()),""))</f>
        <v/>
      </c>
      <c r="L313" s="102" t="str">
        <f aca="false">IF(D313="","",IFERROR(VLOOKUP($D313,cfg_LT,4,FALSE()),""))</f>
        <v/>
      </c>
      <c r="M313" s="102" t="str">
        <f aca="false">IF(D313="","",IFERROR(VLOOKUP($D313,cfg_LT,5,FALSE()),""))</f>
        <v/>
      </c>
      <c r="N313" s="101" t="n">
        <f aca="false">IF(OR(OR($B313="",$E313="",$F313=""),M313&lt;&gt;"نعم"),0,G313*J313*IFERROR(INDEX(الموظفون!$R$6:$R$105,MATCH(B313,الموظفون!$B$6:$B$105,0)),0)/cfg_DAYS_M)</f>
        <v>0</v>
      </c>
      <c r="O313" s="100" t="str">
        <f aca="false">IF(OR(OR($B313="",$E313="",$F313=""),M313&lt;&gt;"نعم"),"",IF(YEAR(E313)=cfg_FY,MONTH(E313),""))</f>
        <v/>
      </c>
      <c r="P313" s="102" t="str">
        <f aca="false">IF(B313="","",IF(OR(D313="",E313="",F313=""),"⚠ أكمل النوع والتواريخ",IF(F313&lt;E313,"✖ النهاية قبل البداية",IF(COUNTIFS($B$6:$B$505,B313,$E$6:$E$505,"&lt;="&amp;F313,$F$6:$F$505,"&gt;="&amp;E313)&gt;1,"⚠ تداخل مع سجل آخر",IF(E313&gt;cfg_VAL_DATE,"⏳ قادمة",IF(F313&lt;cfg_VAL_DATE,"✔ منتهية","✈ جارية في تاريخ التقرير"))))))</f>
        <v/>
      </c>
      <c r="Q313" s="79"/>
      <c r="R313" s="110" t="n">
        <f aca="false">IF(OR(OR($B313="",$E313="",$F313=""),L313&lt;&gt;"لا"),0,MAX(0,MIN(F313,cfg_Y_START-1)-E313+1))</f>
        <v>0</v>
      </c>
      <c r="S313" s="110" t="n">
        <f aca="false">IF(OR(OR($B313="",$E313="",$F313=""),L313&lt;&gt;"لا"),0,MAX(0,MIN(F313,cfg_VAL_DATE)-E313+1))</f>
        <v>0</v>
      </c>
      <c r="T313" s="110" t="n">
        <f aca="false">IF(OR(OR($B313="",$E313="",$F313=""),K313&lt;&gt;"نعم"),0,IF(M313="نعم",IF(AND(ISNUMBER(O313),N(O313)&lt;=cfg_VAL_M),G313,0),MAX(0,MIN(F313,cfg_VAL_DATE)-MAX(E313,cfg_Y_START)+1)))</f>
        <v>0</v>
      </c>
      <c r="V313" s="110" t="n">
        <f aca="false">IF(OR($B313="",$E313="",$F313=""),0,MAX(0,MIN($F313,EOMONTH(DATE(cfg_FY,1,1),0))-MAX($E313,DATE(cfg_FY,1,1))+1)*(1-IF($M313="نعم",0,N($J313))))</f>
        <v>0</v>
      </c>
      <c r="W313" s="110" t="n">
        <f aca="false">IF(OR($B313="",$E313="",$F313=""),0,MAX(0,MIN($F313,EOMONTH(DATE(cfg_FY,2,1),0))-MAX($E313,DATE(cfg_FY,2,1))+1)*(1-IF($M313="نعم",0,N($J313))))</f>
        <v>0</v>
      </c>
      <c r="X313" s="110" t="n">
        <f aca="false">IF(OR($B313="",$E313="",$F313=""),0,MAX(0,MIN($F313,EOMONTH(DATE(cfg_FY,3,1),0))-MAX($E313,DATE(cfg_FY,3,1))+1)*(1-IF($M313="نعم",0,N($J313))))</f>
        <v>0</v>
      </c>
      <c r="Y313" s="110" t="n">
        <f aca="false">IF(OR($B313="",$E313="",$F313=""),0,MAX(0,MIN($F313,EOMONTH(DATE(cfg_FY,4,1),0))-MAX($E313,DATE(cfg_FY,4,1))+1)*(1-IF($M313="نعم",0,N($J313))))</f>
        <v>0</v>
      </c>
      <c r="Z313" s="110" t="n">
        <f aca="false">IF(OR($B313="",$E313="",$F313=""),0,MAX(0,MIN($F313,EOMONTH(DATE(cfg_FY,5,1),0))-MAX($E313,DATE(cfg_FY,5,1))+1)*(1-IF($M313="نعم",0,N($J313))))</f>
        <v>0</v>
      </c>
      <c r="AA313" s="110" t="n">
        <f aca="false">IF(OR($B313="",$E313="",$F313=""),0,MAX(0,MIN($F313,EOMONTH(DATE(cfg_FY,6,1),0))-MAX($E313,DATE(cfg_FY,6,1))+1)*(1-IF($M313="نعم",0,N($J313))))</f>
        <v>0</v>
      </c>
      <c r="AB313" s="110" t="n">
        <f aca="false">IF(OR($B313="",$E313="",$F313=""),0,MAX(0,MIN($F313,EOMONTH(DATE(cfg_FY,7,1),0))-MAX($E313,DATE(cfg_FY,7,1))+1)*(1-IF($M313="نعم",0,N($J313))))</f>
        <v>0</v>
      </c>
      <c r="AC313" s="110" t="n">
        <f aca="false">IF(OR($B313="",$E313="",$F313=""),0,MAX(0,MIN($F313,EOMONTH(DATE(cfg_FY,8,1),0))-MAX($E313,DATE(cfg_FY,8,1))+1)*(1-IF($M313="نعم",0,N($J313))))</f>
        <v>0</v>
      </c>
      <c r="AD313" s="110" t="n">
        <f aca="false">IF(OR($B313="",$E313="",$F313=""),0,MAX(0,MIN($F313,EOMONTH(DATE(cfg_FY,9,1),0))-MAX($E313,DATE(cfg_FY,9,1))+1)*(1-IF($M313="نعم",0,N($J313))))</f>
        <v>0</v>
      </c>
      <c r="AE313" s="110" t="n">
        <f aca="false">IF(OR($B313="",$E313="",$F313=""),0,MAX(0,MIN($F313,EOMONTH(DATE(cfg_FY,10,1),0))-MAX($E313,DATE(cfg_FY,10,1))+1)*(1-IF($M313="نعم",0,N($J313))))</f>
        <v>0</v>
      </c>
      <c r="AF313" s="110" t="n">
        <f aca="false">IF(OR($B313="",$E313="",$F313=""),0,MAX(0,MIN($F313,EOMONTH(DATE(cfg_FY,11,1),0))-MAX($E313,DATE(cfg_FY,11,1))+1)*(1-IF($M313="نعم",0,N($J313))))</f>
        <v>0</v>
      </c>
      <c r="AG313" s="110" t="n">
        <f aca="false">IF(OR($B313="",$E313="",$F313=""),0,MAX(0,MIN($F313,EOMONTH(DATE(cfg_FY,12,1),0))-MAX($E313,DATE(cfg_FY,12,1))+1)*(1-IF($M313="نعم",0,N($J313))))</f>
        <v>0</v>
      </c>
      <c r="AH313" s="110" t="n">
        <f aca="false">IF(OR(OR($B313="",$E313="",$F313=""),$L313&lt;&gt;"لا"),0,MAX(0,MIN($F313,EOMONTH(DATE(cfg_FY,1,1),0))-$E313+1))</f>
        <v>0</v>
      </c>
      <c r="AI313" s="110" t="n">
        <f aca="false">IF(OR(OR($B313="",$E313="",$F313=""),$L313&lt;&gt;"لا"),0,MAX(0,MIN($F313,EOMONTH(DATE(cfg_FY,2,1),0))-$E313+1))</f>
        <v>0</v>
      </c>
      <c r="AJ313" s="110" t="n">
        <f aca="false">IF(OR(OR($B313="",$E313="",$F313=""),$L313&lt;&gt;"لا"),0,MAX(0,MIN($F313,EOMONTH(DATE(cfg_FY,3,1),0))-$E313+1))</f>
        <v>0</v>
      </c>
      <c r="AK313" s="110" t="n">
        <f aca="false">IF(OR(OR($B313="",$E313="",$F313=""),$L313&lt;&gt;"لا"),0,MAX(0,MIN($F313,EOMONTH(DATE(cfg_FY,4,1),0))-$E313+1))</f>
        <v>0</v>
      </c>
      <c r="AL313" s="110" t="n">
        <f aca="false">IF(OR(OR($B313="",$E313="",$F313=""),$L313&lt;&gt;"لا"),0,MAX(0,MIN($F313,EOMONTH(DATE(cfg_FY,5,1),0))-$E313+1))</f>
        <v>0</v>
      </c>
      <c r="AM313" s="110" t="n">
        <f aca="false">IF(OR(OR($B313="",$E313="",$F313=""),$L313&lt;&gt;"لا"),0,MAX(0,MIN($F313,EOMONTH(DATE(cfg_FY,6,1),0))-$E313+1))</f>
        <v>0</v>
      </c>
      <c r="AN313" s="110" t="n">
        <f aca="false">IF(OR(OR($B313="",$E313="",$F313=""),$L313&lt;&gt;"لا"),0,MAX(0,MIN($F313,EOMONTH(DATE(cfg_FY,7,1),0))-$E313+1))</f>
        <v>0</v>
      </c>
      <c r="AO313" s="110" t="n">
        <f aca="false">IF(OR(OR($B313="",$E313="",$F313=""),$L313&lt;&gt;"لا"),0,MAX(0,MIN($F313,EOMONTH(DATE(cfg_FY,8,1),0))-$E313+1))</f>
        <v>0</v>
      </c>
      <c r="AP313" s="110" t="n">
        <f aca="false">IF(OR(OR($B313="",$E313="",$F313=""),$L313&lt;&gt;"لا"),0,MAX(0,MIN($F313,EOMONTH(DATE(cfg_FY,9,1),0))-$E313+1))</f>
        <v>0</v>
      </c>
      <c r="AQ313" s="110" t="n">
        <f aca="false">IF(OR(OR($B313="",$E313="",$F313=""),$L313&lt;&gt;"لا"),0,MAX(0,MIN($F313,EOMONTH(DATE(cfg_FY,10,1),0))-$E313+1))</f>
        <v>0</v>
      </c>
      <c r="AR313" s="110" t="n">
        <f aca="false">IF(OR(OR($B313="",$E313="",$F313=""),$L313&lt;&gt;"لا"),0,MAX(0,MIN($F313,EOMONTH(DATE(cfg_FY,11,1),0))-$E313+1))</f>
        <v>0</v>
      </c>
      <c r="AS313" s="110" t="n">
        <f aca="false">IF(OR(OR($B313="",$E313="",$F313=""),$L313&lt;&gt;"لا"),0,MAX(0,MIN($F313,EOMONTH(DATE(cfg_FY,12,1),0))-$E313+1))</f>
        <v>0</v>
      </c>
      <c r="AT313" s="110" t="n">
        <f aca="false">IF(OR(OR($B313="",$E313="",$F313=""),$K313&lt;&gt;"نعم",$M313="نعم"),0,MAX(0,MIN($F313,EOMONTH(DATE(cfg_FY,1,1),0))-MAX($E313,DATE(cfg_FY,1,1))+1))</f>
        <v>0</v>
      </c>
      <c r="AU313" s="110" t="n">
        <f aca="false">IF(OR(OR($B313="",$E313="",$F313=""),$K313&lt;&gt;"نعم",$M313="نعم"),0,MAX(0,MIN($F313,EOMONTH(DATE(cfg_FY,2,1),0))-MAX($E313,DATE(cfg_FY,2,1))+1))</f>
        <v>0</v>
      </c>
      <c r="AV313" s="110" t="n">
        <f aca="false">IF(OR(OR($B313="",$E313="",$F313=""),$K313&lt;&gt;"نعم",$M313="نعم"),0,MAX(0,MIN($F313,EOMONTH(DATE(cfg_FY,3,1),0))-MAX($E313,DATE(cfg_FY,3,1))+1))</f>
        <v>0</v>
      </c>
      <c r="AW313" s="110" t="n">
        <f aca="false">IF(OR(OR($B313="",$E313="",$F313=""),$K313&lt;&gt;"نعم",$M313="نعم"),0,MAX(0,MIN($F313,EOMONTH(DATE(cfg_FY,4,1),0))-MAX($E313,DATE(cfg_FY,4,1))+1))</f>
        <v>0</v>
      </c>
      <c r="AX313" s="110" t="n">
        <f aca="false">IF(OR(OR($B313="",$E313="",$F313=""),$K313&lt;&gt;"نعم",$M313="نعم"),0,MAX(0,MIN($F313,EOMONTH(DATE(cfg_FY,5,1),0))-MAX($E313,DATE(cfg_FY,5,1))+1))</f>
        <v>0</v>
      </c>
      <c r="AY313" s="110" t="n">
        <f aca="false">IF(OR(OR($B313="",$E313="",$F313=""),$K313&lt;&gt;"نعم",$M313="نعم"),0,MAX(0,MIN($F313,EOMONTH(DATE(cfg_FY,6,1),0))-MAX($E313,DATE(cfg_FY,6,1))+1))</f>
        <v>0</v>
      </c>
      <c r="AZ313" s="110" t="n">
        <f aca="false">IF(OR(OR($B313="",$E313="",$F313=""),$K313&lt;&gt;"نعم",$M313="نعم"),0,MAX(0,MIN($F313,EOMONTH(DATE(cfg_FY,7,1),0))-MAX($E313,DATE(cfg_FY,7,1))+1))</f>
        <v>0</v>
      </c>
      <c r="BA313" s="110" t="n">
        <f aca="false">IF(OR(OR($B313="",$E313="",$F313=""),$K313&lt;&gt;"نعم",$M313="نعم"),0,MAX(0,MIN($F313,EOMONTH(DATE(cfg_FY,8,1),0))-MAX($E313,DATE(cfg_FY,8,1))+1))</f>
        <v>0</v>
      </c>
      <c r="BB313" s="110" t="n">
        <f aca="false">IF(OR(OR($B313="",$E313="",$F313=""),$K313&lt;&gt;"نعم",$M313="نعم"),0,MAX(0,MIN($F313,EOMONTH(DATE(cfg_FY,9,1),0))-MAX($E313,DATE(cfg_FY,9,1))+1))</f>
        <v>0</v>
      </c>
      <c r="BC313" s="110" t="n">
        <f aca="false">IF(OR(OR($B313="",$E313="",$F313=""),$K313&lt;&gt;"نعم",$M313="نعم"),0,MAX(0,MIN($F313,EOMONTH(DATE(cfg_FY,10,1),0))-MAX($E313,DATE(cfg_FY,10,1))+1))</f>
        <v>0</v>
      </c>
      <c r="BD313" s="110" t="n">
        <f aca="false">IF(OR(OR($B313="",$E313="",$F313=""),$K313&lt;&gt;"نعم",$M313="نعم"),0,MAX(0,MIN($F313,EOMONTH(DATE(cfg_FY,11,1),0))-MAX($E313,DATE(cfg_FY,11,1))+1))</f>
        <v>0</v>
      </c>
      <c r="BE313" s="110" t="n">
        <f aca="false">IF(OR(OR($B313="",$E313="",$F313=""),$K313&lt;&gt;"نعم",$M313="نعم"),0,MAX(0,MIN($F313,EOMONTH(DATE(cfg_FY,12,1),0))-MAX($E313,DATE(cfg_FY,12,1))+1))</f>
        <v>0</v>
      </c>
    </row>
    <row r="314" customFormat="false" ht="15" hidden="false" customHeight="false" outlineLevel="0" collapsed="false">
      <c r="A314" s="93" t="str">
        <f aca="false">IF(B314="","",ROW()-5)</f>
        <v/>
      </c>
      <c r="B314" s="79"/>
      <c r="C314" s="80" t="str">
        <f aca="false">IF(B314="","",IFERROR(INDEX(الموظفون!$C$6:$C$105,MATCH(B314,الموظفون!$B$6:$B$105,0)),"✖ رقم غير موجود"))</f>
        <v/>
      </c>
      <c r="D314" s="79"/>
      <c r="E314" s="94"/>
      <c r="F314" s="94"/>
      <c r="G314" s="57" t="str">
        <f aca="false">IF(OR($B314="",$E314="",$F314=""),"",MAX(0,F314-E314+1))</f>
        <v/>
      </c>
      <c r="H314" s="58" t="str">
        <f aca="false">IF(D314="","",IFERROR(VLOOKUP(D314,cfg_LT,2,FALSE()),1))</f>
        <v/>
      </c>
      <c r="I314" s="82"/>
      <c r="J314" s="58" t="str">
        <f aca="false">IF(D314="","",IF(I314&lt;&gt;"",I314,H314))</f>
        <v/>
      </c>
      <c r="K314" s="80" t="str">
        <f aca="false">IF(D314="","",IFERROR(VLOOKUP($D314,cfg_LT,3,FALSE()),""))</f>
        <v/>
      </c>
      <c r="L314" s="80" t="str">
        <f aca="false">IF(D314="","",IFERROR(VLOOKUP($D314,cfg_LT,4,FALSE()),""))</f>
        <v/>
      </c>
      <c r="M314" s="80" t="str">
        <f aca="false">IF(D314="","",IFERROR(VLOOKUP($D314,cfg_LT,5,FALSE()),""))</f>
        <v/>
      </c>
      <c r="N314" s="97" t="n">
        <f aca="false">IF(OR(OR($B314="",$E314="",$F314=""),M314&lt;&gt;"نعم"),0,G314*J314*IFERROR(INDEX(الموظفون!$R$6:$R$105,MATCH(B314,الموظفون!$B$6:$B$105,0)),0)/cfg_DAYS_M)</f>
        <v>0</v>
      </c>
      <c r="O314" s="93" t="str">
        <f aca="false">IF(OR(OR($B314="",$E314="",$F314=""),M314&lt;&gt;"نعم"),"",IF(YEAR(E314)=cfg_FY,MONTH(E314),""))</f>
        <v/>
      </c>
      <c r="P314" s="80" t="str">
        <f aca="false">IF(B314="","",IF(OR(D314="",E314="",F314=""),"⚠ أكمل النوع والتواريخ",IF(F314&lt;E314,"✖ النهاية قبل البداية",IF(COUNTIFS($B$6:$B$505,B314,$E$6:$E$505,"&lt;="&amp;F314,$F$6:$F$505,"&gt;="&amp;E314)&gt;1,"⚠ تداخل مع سجل آخر",IF(E314&gt;cfg_VAL_DATE,"⏳ قادمة",IF(F314&lt;cfg_VAL_DATE,"✔ منتهية","✈ جارية في تاريخ التقرير"))))))</f>
        <v/>
      </c>
      <c r="Q314" s="79"/>
      <c r="R314" s="57" t="n">
        <f aca="false">IF(OR(OR($B314="",$E314="",$F314=""),L314&lt;&gt;"لا"),0,MAX(0,MIN(F314,cfg_Y_START-1)-E314+1))</f>
        <v>0</v>
      </c>
      <c r="S314" s="57" t="n">
        <f aca="false">IF(OR(OR($B314="",$E314="",$F314=""),L314&lt;&gt;"لا"),0,MAX(0,MIN(F314,cfg_VAL_DATE)-E314+1))</f>
        <v>0</v>
      </c>
      <c r="T314" s="57" t="n">
        <f aca="false">IF(OR(OR($B314="",$E314="",$F314=""),K314&lt;&gt;"نعم"),0,IF(M314="نعم",IF(AND(ISNUMBER(O314),N(O314)&lt;=cfg_VAL_M),G314,0),MAX(0,MIN(F314,cfg_VAL_DATE)-MAX(E314,cfg_Y_START)+1)))</f>
        <v>0</v>
      </c>
      <c r="V314" s="57" t="n">
        <f aca="false">IF(OR($B314="",$E314="",$F314=""),0,MAX(0,MIN($F314,EOMONTH(DATE(cfg_FY,1,1),0))-MAX($E314,DATE(cfg_FY,1,1))+1)*(1-IF($M314="نعم",0,N($J314))))</f>
        <v>0</v>
      </c>
      <c r="W314" s="57" t="n">
        <f aca="false">IF(OR($B314="",$E314="",$F314=""),0,MAX(0,MIN($F314,EOMONTH(DATE(cfg_FY,2,1),0))-MAX($E314,DATE(cfg_FY,2,1))+1)*(1-IF($M314="نعم",0,N($J314))))</f>
        <v>0</v>
      </c>
      <c r="X314" s="57" t="n">
        <f aca="false">IF(OR($B314="",$E314="",$F314=""),0,MAX(0,MIN($F314,EOMONTH(DATE(cfg_FY,3,1),0))-MAX($E314,DATE(cfg_FY,3,1))+1)*(1-IF($M314="نعم",0,N($J314))))</f>
        <v>0</v>
      </c>
      <c r="Y314" s="57" t="n">
        <f aca="false">IF(OR($B314="",$E314="",$F314=""),0,MAX(0,MIN($F314,EOMONTH(DATE(cfg_FY,4,1),0))-MAX($E314,DATE(cfg_FY,4,1))+1)*(1-IF($M314="نعم",0,N($J314))))</f>
        <v>0</v>
      </c>
      <c r="Z314" s="57" t="n">
        <f aca="false">IF(OR($B314="",$E314="",$F314=""),0,MAX(0,MIN($F314,EOMONTH(DATE(cfg_FY,5,1),0))-MAX($E314,DATE(cfg_FY,5,1))+1)*(1-IF($M314="نعم",0,N($J314))))</f>
        <v>0</v>
      </c>
      <c r="AA314" s="57" t="n">
        <f aca="false">IF(OR($B314="",$E314="",$F314=""),0,MAX(0,MIN($F314,EOMONTH(DATE(cfg_FY,6,1),0))-MAX($E314,DATE(cfg_FY,6,1))+1)*(1-IF($M314="نعم",0,N($J314))))</f>
        <v>0</v>
      </c>
      <c r="AB314" s="57" t="n">
        <f aca="false">IF(OR($B314="",$E314="",$F314=""),0,MAX(0,MIN($F314,EOMONTH(DATE(cfg_FY,7,1),0))-MAX($E314,DATE(cfg_FY,7,1))+1)*(1-IF($M314="نعم",0,N($J314))))</f>
        <v>0</v>
      </c>
      <c r="AC314" s="57" t="n">
        <f aca="false">IF(OR($B314="",$E314="",$F314=""),0,MAX(0,MIN($F314,EOMONTH(DATE(cfg_FY,8,1),0))-MAX($E314,DATE(cfg_FY,8,1))+1)*(1-IF($M314="نعم",0,N($J314))))</f>
        <v>0</v>
      </c>
      <c r="AD314" s="57" t="n">
        <f aca="false">IF(OR($B314="",$E314="",$F314=""),0,MAX(0,MIN($F314,EOMONTH(DATE(cfg_FY,9,1),0))-MAX($E314,DATE(cfg_FY,9,1))+1)*(1-IF($M314="نعم",0,N($J314))))</f>
        <v>0</v>
      </c>
      <c r="AE314" s="57" t="n">
        <f aca="false">IF(OR($B314="",$E314="",$F314=""),0,MAX(0,MIN($F314,EOMONTH(DATE(cfg_FY,10,1),0))-MAX($E314,DATE(cfg_FY,10,1))+1)*(1-IF($M314="نعم",0,N($J314))))</f>
        <v>0</v>
      </c>
      <c r="AF314" s="57" t="n">
        <f aca="false">IF(OR($B314="",$E314="",$F314=""),0,MAX(0,MIN($F314,EOMONTH(DATE(cfg_FY,11,1),0))-MAX($E314,DATE(cfg_FY,11,1))+1)*(1-IF($M314="نعم",0,N($J314))))</f>
        <v>0</v>
      </c>
      <c r="AG314" s="57" t="n">
        <f aca="false">IF(OR($B314="",$E314="",$F314=""),0,MAX(0,MIN($F314,EOMONTH(DATE(cfg_FY,12,1),0))-MAX($E314,DATE(cfg_FY,12,1))+1)*(1-IF($M314="نعم",0,N($J314))))</f>
        <v>0</v>
      </c>
      <c r="AH314" s="57" t="n">
        <f aca="false">IF(OR(OR($B314="",$E314="",$F314=""),$L314&lt;&gt;"لا"),0,MAX(0,MIN($F314,EOMONTH(DATE(cfg_FY,1,1),0))-$E314+1))</f>
        <v>0</v>
      </c>
      <c r="AI314" s="57" t="n">
        <f aca="false">IF(OR(OR($B314="",$E314="",$F314=""),$L314&lt;&gt;"لا"),0,MAX(0,MIN($F314,EOMONTH(DATE(cfg_FY,2,1),0))-$E314+1))</f>
        <v>0</v>
      </c>
      <c r="AJ314" s="57" t="n">
        <f aca="false">IF(OR(OR($B314="",$E314="",$F314=""),$L314&lt;&gt;"لا"),0,MAX(0,MIN($F314,EOMONTH(DATE(cfg_FY,3,1),0))-$E314+1))</f>
        <v>0</v>
      </c>
      <c r="AK314" s="57" t="n">
        <f aca="false">IF(OR(OR($B314="",$E314="",$F314=""),$L314&lt;&gt;"لا"),0,MAX(0,MIN($F314,EOMONTH(DATE(cfg_FY,4,1),0))-$E314+1))</f>
        <v>0</v>
      </c>
      <c r="AL314" s="57" t="n">
        <f aca="false">IF(OR(OR($B314="",$E314="",$F314=""),$L314&lt;&gt;"لا"),0,MAX(0,MIN($F314,EOMONTH(DATE(cfg_FY,5,1),0))-$E314+1))</f>
        <v>0</v>
      </c>
      <c r="AM314" s="57" t="n">
        <f aca="false">IF(OR(OR($B314="",$E314="",$F314=""),$L314&lt;&gt;"لا"),0,MAX(0,MIN($F314,EOMONTH(DATE(cfg_FY,6,1),0))-$E314+1))</f>
        <v>0</v>
      </c>
      <c r="AN314" s="57" t="n">
        <f aca="false">IF(OR(OR($B314="",$E314="",$F314=""),$L314&lt;&gt;"لا"),0,MAX(0,MIN($F314,EOMONTH(DATE(cfg_FY,7,1),0))-$E314+1))</f>
        <v>0</v>
      </c>
      <c r="AO314" s="57" t="n">
        <f aca="false">IF(OR(OR($B314="",$E314="",$F314=""),$L314&lt;&gt;"لا"),0,MAX(0,MIN($F314,EOMONTH(DATE(cfg_FY,8,1),0))-$E314+1))</f>
        <v>0</v>
      </c>
      <c r="AP314" s="57" t="n">
        <f aca="false">IF(OR(OR($B314="",$E314="",$F314=""),$L314&lt;&gt;"لا"),0,MAX(0,MIN($F314,EOMONTH(DATE(cfg_FY,9,1),0))-$E314+1))</f>
        <v>0</v>
      </c>
      <c r="AQ314" s="57" t="n">
        <f aca="false">IF(OR(OR($B314="",$E314="",$F314=""),$L314&lt;&gt;"لا"),0,MAX(0,MIN($F314,EOMONTH(DATE(cfg_FY,10,1),0))-$E314+1))</f>
        <v>0</v>
      </c>
      <c r="AR314" s="57" t="n">
        <f aca="false">IF(OR(OR($B314="",$E314="",$F314=""),$L314&lt;&gt;"لا"),0,MAX(0,MIN($F314,EOMONTH(DATE(cfg_FY,11,1),0))-$E314+1))</f>
        <v>0</v>
      </c>
      <c r="AS314" s="57" t="n">
        <f aca="false">IF(OR(OR($B314="",$E314="",$F314=""),$L314&lt;&gt;"لا"),0,MAX(0,MIN($F314,EOMONTH(DATE(cfg_FY,12,1),0))-$E314+1))</f>
        <v>0</v>
      </c>
      <c r="AT314" s="57" t="n">
        <f aca="false">IF(OR(OR($B314="",$E314="",$F314=""),$K314&lt;&gt;"نعم",$M314="نعم"),0,MAX(0,MIN($F314,EOMONTH(DATE(cfg_FY,1,1),0))-MAX($E314,DATE(cfg_FY,1,1))+1))</f>
        <v>0</v>
      </c>
      <c r="AU314" s="57" t="n">
        <f aca="false">IF(OR(OR($B314="",$E314="",$F314=""),$K314&lt;&gt;"نعم",$M314="نعم"),0,MAX(0,MIN($F314,EOMONTH(DATE(cfg_FY,2,1),0))-MAX($E314,DATE(cfg_FY,2,1))+1))</f>
        <v>0</v>
      </c>
      <c r="AV314" s="57" t="n">
        <f aca="false">IF(OR(OR($B314="",$E314="",$F314=""),$K314&lt;&gt;"نعم",$M314="نعم"),0,MAX(0,MIN($F314,EOMONTH(DATE(cfg_FY,3,1),0))-MAX($E314,DATE(cfg_FY,3,1))+1))</f>
        <v>0</v>
      </c>
      <c r="AW314" s="57" t="n">
        <f aca="false">IF(OR(OR($B314="",$E314="",$F314=""),$K314&lt;&gt;"نعم",$M314="نعم"),0,MAX(0,MIN($F314,EOMONTH(DATE(cfg_FY,4,1),0))-MAX($E314,DATE(cfg_FY,4,1))+1))</f>
        <v>0</v>
      </c>
      <c r="AX314" s="57" t="n">
        <f aca="false">IF(OR(OR($B314="",$E314="",$F314=""),$K314&lt;&gt;"نعم",$M314="نعم"),0,MAX(0,MIN($F314,EOMONTH(DATE(cfg_FY,5,1),0))-MAX($E314,DATE(cfg_FY,5,1))+1))</f>
        <v>0</v>
      </c>
      <c r="AY314" s="57" t="n">
        <f aca="false">IF(OR(OR($B314="",$E314="",$F314=""),$K314&lt;&gt;"نعم",$M314="نعم"),0,MAX(0,MIN($F314,EOMONTH(DATE(cfg_FY,6,1),0))-MAX($E314,DATE(cfg_FY,6,1))+1))</f>
        <v>0</v>
      </c>
      <c r="AZ314" s="57" t="n">
        <f aca="false">IF(OR(OR($B314="",$E314="",$F314=""),$K314&lt;&gt;"نعم",$M314="نعم"),0,MAX(0,MIN($F314,EOMONTH(DATE(cfg_FY,7,1),0))-MAX($E314,DATE(cfg_FY,7,1))+1))</f>
        <v>0</v>
      </c>
      <c r="BA314" s="57" t="n">
        <f aca="false">IF(OR(OR($B314="",$E314="",$F314=""),$K314&lt;&gt;"نعم",$M314="نعم"),0,MAX(0,MIN($F314,EOMONTH(DATE(cfg_FY,8,1),0))-MAX($E314,DATE(cfg_FY,8,1))+1))</f>
        <v>0</v>
      </c>
      <c r="BB314" s="57" t="n">
        <f aca="false">IF(OR(OR($B314="",$E314="",$F314=""),$K314&lt;&gt;"نعم",$M314="نعم"),0,MAX(0,MIN($F314,EOMONTH(DATE(cfg_FY,9,1),0))-MAX($E314,DATE(cfg_FY,9,1))+1))</f>
        <v>0</v>
      </c>
      <c r="BC314" s="57" t="n">
        <f aca="false">IF(OR(OR($B314="",$E314="",$F314=""),$K314&lt;&gt;"نعم",$M314="نعم"),0,MAX(0,MIN($F314,EOMONTH(DATE(cfg_FY,10,1),0))-MAX($E314,DATE(cfg_FY,10,1))+1))</f>
        <v>0</v>
      </c>
      <c r="BD314" s="57" t="n">
        <f aca="false">IF(OR(OR($B314="",$E314="",$F314=""),$K314&lt;&gt;"نعم",$M314="نعم"),0,MAX(0,MIN($F314,EOMONTH(DATE(cfg_FY,11,1),0))-MAX($E314,DATE(cfg_FY,11,1))+1))</f>
        <v>0</v>
      </c>
      <c r="BE314" s="57" t="n">
        <f aca="false">IF(OR(OR($B314="",$E314="",$F314=""),$K314&lt;&gt;"نعم",$M314="نعم"),0,MAX(0,MIN($F314,EOMONTH(DATE(cfg_FY,12,1),0))-MAX($E314,DATE(cfg_FY,12,1))+1))</f>
        <v>0</v>
      </c>
    </row>
    <row r="315" customFormat="false" ht="15" hidden="false" customHeight="false" outlineLevel="0" collapsed="false">
      <c r="A315" s="100" t="str">
        <f aca="false">IF(B315="","",ROW()-5)</f>
        <v/>
      </c>
      <c r="B315" s="79"/>
      <c r="C315" s="102" t="str">
        <f aca="false">IF(B315="","",IFERROR(INDEX(الموظفون!$C$6:$C$105,MATCH(B315,الموظفون!$B$6:$B$105,0)),"✖ رقم غير موجود"))</f>
        <v/>
      </c>
      <c r="D315" s="79"/>
      <c r="E315" s="94"/>
      <c r="F315" s="94"/>
      <c r="G315" s="110" t="str">
        <f aca="false">IF(OR($B315="",$E315="",$F315=""),"",MAX(0,F315-E315+1))</f>
        <v/>
      </c>
      <c r="H315" s="111" t="str">
        <f aca="false">IF(D315="","",IFERROR(VLOOKUP(D315,cfg_LT,2,FALSE()),1))</f>
        <v/>
      </c>
      <c r="I315" s="82"/>
      <c r="J315" s="111" t="str">
        <f aca="false">IF(D315="","",IF(I315&lt;&gt;"",I315,H315))</f>
        <v/>
      </c>
      <c r="K315" s="102" t="str">
        <f aca="false">IF(D315="","",IFERROR(VLOOKUP($D315,cfg_LT,3,FALSE()),""))</f>
        <v/>
      </c>
      <c r="L315" s="102" t="str">
        <f aca="false">IF(D315="","",IFERROR(VLOOKUP($D315,cfg_LT,4,FALSE()),""))</f>
        <v/>
      </c>
      <c r="M315" s="102" t="str">
        <f aca="false">IF(D315="","",IFERROR(VLOOKUP($D315,cfg_LT,5,FALSE()),""))</f>
        <v/>
      </c>
      <c r="N315" s="101" t="n">
        <f aca="false">IF(OR(OR($B315="",$E315="",$F315=""),M315&lt;&gt;"نعم"),0,G315*J315*IFERROR(INDEX(الموظفون!$R$6:$R$105,MATCH(B315,الموظفون!$B$6:$B$105,0)),0)/cfg_DAYS_M)</f>
        <v>0</v>
      </c>
      <c r="O315" s="100" t="str">
        <f aca="false">IF(OR(OR($B315="",$E315="",$F315=""),M315&lt;&gt;"نعم"),"",IF(YEAR(E315)=cfg_FY,MONTH(E315),""))</f>
        <v/>
      </c>
      <c r="P315" s="102" t="str">
        <f aca="false">IF(B315="","",IF(OR(D315="",E315="",F315=""),"⚠ أكمل النوع والتواريخ",IF(F315&lt;E315,"✖ النهاية قبل البداية",IF(COUNTIFS($B$6:$B$505,B315,$E$6:$E$505,"&lt;="&amp;F315,$F$6:$F$505,"&gt;="&amp;E315)&gt;1,"⚠ تداخل مع سجل آخر",IF(E315&gt;cfg_VAL_DATE,"⏳ قادمة",IF(F315&lt;cfg_VAL_DATE,"✔ منتهية","✈ جارية في تاريخ التقرير"))))))</f>
        <v/>
      </c>
      <c r="Q315" s="79"/>
      <c r="R315" s="110" t="n">
        <f aca="false">IF(OR(OR($B315="",$E315="",$F315=""),L315&lt;&gt;"لا"),0,MAX(0,MIN(F315,cfg_Y_START-1)-E315+1))</f>
        <v>0</v>
      </c>
      <c r="S315" s="110" t="n">
        <f aca="false">IF(OR(OR($B315="",$E315="",$F315=""),L315&lt;&gt;"لا"),0,MAX(0,MIN(F315,cfg_VAL_DATE)-E315+1))</f>
        <v>0</v>
      </c>
      <c r="T315" s="110" t="n">
        <f aca="false">IF(OR(OR($B315="",$E315="",$F315=""),K315&lt;&gt;"نعم"),0,IF(M315="نعم",IF(AND(ISNUMBER(O315),N(O315)&lt;=cfg_VAL_M),G315,0),MAX(0,MIN(F315,cfg_VAL_DATE)-MAX(E315,cfg_Y_START)+1)))</f>
        <v>0</v>
      </c>
      <c r="V315" s="110" t="n">
        <f aca="false">IF(OR($B315="",$E315="",$F315=""),0,MAX(0,MIN($F315,EOMONTH(DATE(cfg_FY,1,1),0))-MAX($E315,DATE(cfg_FY,1,1))+1)*(1-IF($M315="نعم",0,N($J315))))</f>
        <v>0</v>
      </c>
      <c r="W315" s="110" t="n">
        <f aca="false">IF(OR($B315="",$E315="",$F315=""),0,MAX(0,MIN($F315,EOMONTH(DATE(cfg_FY,2,1),0))-MAX($E315,DATE(cfg_FY,2,1))+1)*(1-IF($M315="نعم",0,N($J315))))</f>
        <v>0</v>
      </c>
      <c r="X315" s="110" t="n">
        <f aca="false">IF(OR($B315="",$E315="",$F315=""),0,MAX(0,MIN($F315,EOMONTH(DATE(cfg_FY,3,1),0))-MAX($E315,DATE(cfg_FY,3,1))+1)*(1-IF($M315="نعم",0,N($J315))))</f>
        <v>0</v>
      </c>
      <c r="Y315" s="110" t="n">
        <f aca="false">IF(OR($B315="",$E315="",$F315=""),0,MAX(0,MIN($F315,EOMONTH(DATE(cfg_FY,4,1),0))-MAX($E315,DATE(cfg_FY,4,1))+1)*(1-IF($M315="نعم",0,N($J315))))</f>
        <v>0</v>
      </c>
      <c r="Z315" s="110" t="n">
        <f aca="false">IF(OR($B315="",$E315="",$F315=""),0,MAX(0,MIN($F315,EOMONTH(DATE(cfg_FY,5,1),0))-MAX($E315,DATE(cfg_FY,5,1))+1)*(1-IF($M315="نعم",0,N($J315))))</f>
        <v>0</v>
      </c>
      <c r="AA315" s="110" t="n">
        <f aca="false">IF(OR($B315="",$E315="",$F315=""),0,MAX(0,MIN($F315,EOMONTH(DATE(cfg_FY,6,1),0))-MAX($E315,DATE(cfg_FY,6,1))+1)*(1-IF($M315="نعم",0,N($J315))))</f>
        <v>0</v>
      </c>
      <c r="AB315" s="110" t="n">
        <f aca="false">IF(OR($B315="",$E315="",$F315=""),0,MAX(0,MIN($F315,EOMONTH(DATE(cfg_FY,7,1),0))-MAX($E315,DATE(cfg_FY,7,1))+1)*(1-IF($M315="نعم",0,N($J315))))</f>
        <v>0</v>
      </c>
      <c r="AC315" s="110" t="n">
        <f aca="false">IF(OR($B315="",$E315="",$F315=""),0,MAX(0,MIN($F315,EOMONTH(DATE(cfg_FY,8,1),0))-MAX($E315,DATE(cfg_FY,8,1))+1)*(1-IF($M315="نعم",0,N($J315))))</f>
        <v>0</v>
      </c>
      <c r="AD315" s="110" t="n">
        <f aca="false">IF(OR($B315="",$E315="",$F315=""),0,MAX(0,MIN($F315,EOMONTH(DATE(cfg_FY,9,1),0))-MAX($E315,DATE(cfg_FY,9,1))+1)*(1-IF($M315="نعم",0,N($J315))))</f>
        <v>0</v>
      </c>
      <c r="AE315" s="110" t="n">
        <f aca="false">IF(OR($B315="",$E315="",$F315=""),0,MAX(0,MIN($F315,EOMONTH(DATE(cfg_FY,10,1),0))-MAX($E315,DATE(cfg_FY,10,1))+1)*(1-IF($M315="نعم",0,N($J315))))</f>
        <v>0</v>
      </c>
      <c r="AF315" s="110" t="n">
        <f aca="false">IF(OR($B315="",$E315="",$F315=""),0,MAX(0,MIN($F315,EOMONTH(DATE(cfg_FY,11,1),0))-MAX($E315,DATE(cfg_FY,11,1))+1)*(1-IF($M315="نعم",0,N($J315))))</f>
        <v>0</v>
      </c>
      <c r="AG315" s="110" t="n">
        <f aca="false">IF(OR($B315="",$E315="",$F315=""),0,MAX(0,MIN($F315,EOMONTH(DATE(cfg_FY,12,1),0))-MAX($E315,DATE(cfg_FY,12,1))+1)*(1-IF($M315="نعم",0,N($J315))))</f>
        <v>0</v>
      </c>
      <c r="AH315" s="110" t="n">
        <f aca="false">IF(OR(OR($B315="",$E315="",$F315=""),$L315&lt;&gt;"لا"),0,MAX(0,MIN($F315,EOMONTH(DATE(cfg_FY,1,1),0))-$E315+1))</f>
        <v>0</v>
      </c>
      <c r="AI315" s="110" t="n">
        <f aca="false">IF(OR(OR($B315="",$E315="",$F315=""),$L315&lt;&gt;"لا"),0,MAX(0,MIN($F315,EOMONTH(DATE(cfg_FY,2,1),0))-$E315+1))</f>
        <v>0</v>
      </c>
      <c r="AJ315" s="110" t="n">
        <f aca="false">IF(OR(OR($B315="",$E315="",$F315=""),$L315&lt;&gt;"لا"),0,MAX(0,MIN($F315,EOMONTH(DATE(cfg_FY,3,1),0))-$E315+1))</f>
        <v>0</v>
      </c>
      <c r="AK315" s="110" t="n">
        <f aca="false">IF(OR(OR($B315="",$E315="",$F315=""),$L315&lt;&gt;"لا"),0,MAX(0,MIN($F315,EOMONTH(DATE(cfg_FY,4,1),0))-$E315+1))</f>
        <v>0</v>
      </c>
      <c r="AL315" s="110" t="n">
        <f aca="false">IF(OR(OR($B315="",$E315="",$F315=""),$L315&lt;&gt;"لا"),0,MAX(0,MIN($F315,EOMONTH(DATE(cfg_FY,5,1),0))-$E315+1))</f>
        <v>0</v>
      </c>
      <c r="AM315" s="110" t="n">
        <f aca="false">IF(OR(OR($B315="",$E315="",$F315=""),$L315&lt;&gt;"لا"),0,MAX(0,MIN($F315,EOMONTH(DATE(cfg_FY,6,1),0))-$E315+1))</f>
        <v>0</v>
      </c>
      <c r="AN315" s="110" t="n">
        <f aca="false">IF(OR(OR($B315="",$E315="",$F315=""),$L315&lt;&gt;"لا"),0,MAX(0,MIN($F315,EOMONTH(DATE(cfg_FY,7,1),0))-$E315+1))</f>
        <v>0</v>
      </c>
      <c r="AO315" s="110" t="n">
        <f aca="false">IF(OR(OR($B315="",$E315="",$F315=""),$L315&lt;&gt;"لا"),0,MAX(0,MIN($F315,EOMONTH(DATE(cfg_FY,8,1),0))-$E315+1))</f>
        <v>0</v>
      </c>
      <c r="AP315" s="110" t="n">
        <f aca="false">IF(OR(OR($B315="",$E315="",$F315=""),$L315&lt;&gt;"لا"),0,MAX(0,MIN($F315,EOMONTH(DATE(cfg_FY,9,1),0))-$E315+1))</f>
        <v>0</v>
      </c>
      <c r="AQ315" s="110" t="n">
        <f aca="false">IF(OR(OR($B315="",$E315="",$F315=""),$L315&lt;&gt;"لا"),0,MAX(0,MIN($F315,EOMONTH(DATE(cfg_FY,10,1),0))-$E315+1))</f>
        <v>0</v>
      </c>
      <c r="AR315" s="110" t="n">
        <f aca="false">IF(OR(OR($B315="",$E315="",$F315=""),$L315&lt;&gt;"لا"),0,MAX(0,MIN($F315,EOMONTH(DATE(cfg_FY,11,1),0))-$E315+1))</f>
        <v>0</v>
      </c>
      <c r="AS315" s="110" t="n">
        <f aca="false">IF(OR(OR($B315="",$E315="",$F315=""),$L315&lt;&gt;"لا"),0,MAX(0,MIN($F315,EOMONTH(DATE(cfg_FY,12,1),0))-$E315+1))</f>
        <v>0</v>
      </c>
      <c r="AT315" s="110" t="n">
        <f aca="false">IF(OR(OR($B315="",$E315="",$F315=""),$K315&lt;&gt;"نعم",$M315="نعم"),0,MAX(0,MIN($F315,EOMONTH(DATE(cfg_FY,1,1),0))-MAX($E315,DATE(cfg_FY,1,1))+1))</f>
        <v>0</v>
      </c>
      <c r="AU315" s="110" t="n">
        <f aca="false">IF(OR(OR($B315="",$E315="",$F315=""),$K315&lt;&gt;"نعم",$M315="نعم"),0,MAX(0,MIN($F315,EOMONTH(DATE(cfg_FY,2,1),0))-MAX($E315,DATE(cfg_FY,2,1))+1))</f>
        <v>0</v>
      </c>
      <c r="AV315" s="110" t="n">
        <f aca="false">IF(OR(OR($B315="",$E315="",$F315=""),$K315&lt;&gt;"نعم",$M315="نعم"),0,MAX(0,MIN($F315,EOMONTH(DATE(cfg_FY,3,1),0))-MAX($E315,DATE(cfg_FY,3,1))+1))</f>
        <v>0</v>
      </c>
      <c r="AW315" s="110" t="n">
        <f aca="false">IF(OR(OR($B315="",$E315="",$F315=""),$K315&lt;&gt;"نعم",$M315="نعم"),0,MAX(0,MIN($F315,EOMONTH(DATE(cfg_FY,4,1),0))-MAX($E315,DATE(cfg_FY,4,1))+1))</f>
        <v>0</v>
      </c>
      <c r="AX315" s="110" t="n">
        <f aca="false">IF(OR(OR($B315="",$E315="",$F315=""),$K315&lt;&gt;"نعم",$M315="نعم"),0,MAX(0,MIN($F315,EOMONTH(DATE(cfg_FY,5,1),0))-MAX($E315,DATE(cfg_FY,5,1))+1))</f>
        <v>0</v>
      </c>
      <c r="AY315" s="110" t="n">
        <f aca="false">IF(OR(OR($B315="",$E315="",$F315=""),$K315&lt;&gt;"نعم",$M315="نعم"),0,MAX(0,MIN($F315,EOMONTH(DATE(cfg_FY,6,1),0))-MAX($E315,DATE(cfg_FY,6,1))+1))</f>
        <v>0</v>
      </c>
      <c r="AZ315" s="110" t="n">
        <f aca="false">IF(OR(OR($B315="",$E315="",$F315=""),$K315&lt;&gt;"نعم",$M315="نعم"),0,MAX(0,MIN($F315,EOMONTH(DATE(cfg_FY,7,1),0))-MAX($E315,DATE(cfg_FY,7,1))+1))</f>
        <v>0</v>
      </c>
      <c r="BA315" s="110" t="n">
        <f aca="false">IF(OR(OR($B315="",$E315="",$F315=""),$K315&lt;&gt;"نعم",$M315="نعم"),0,MAX(0,MIN($F315,EOMONTH(DATE(cfg_FY,8,1),0))-MAX($E315,DATE(cfg_FY,8,1))+1))</f>
        <v>0</v>
      </c>
      <c r="BB315" s="110" t="n">
        <f aca="false">IF(OR(OR($B315="",$E315="",$F315=""),$K315&lt;&gt;"نعم",$M315="نعم"),0,MAX(0,MIN($F315,EOMONTH(DATE(cfg_FY,9,1),0))-MAX($E315,DATE(cfg_FY,9,1))+1))</f>
        <v>0</v>
      </c>
      <c r="BC315" s="110" t="n">
        <f aca="false">IF(OR(OR($B315="",$E315="",$F315=""),$K315&lt;&gt;"نعم",$M315="نعم"),0,MAX(0,MIN($F315,EOMONTH(DATE(cfg_FY,10,1),0))-MAX($E315,DATE(cfg_FY,10,1))+1))</f>
        <v>0</v>
      </c>
      <c r="BD315" s="110" t="n">
        <f aca="false">IF(OR(OR($B315="",$E315="",$F315=""),$K315&lt;&gt;"نعم",$M315="نعم"),0,MAX(0,MIN($F315,EOMONTH(DATE(cfg_FY,11,1),0))-MAX($E315,DATE(cfg_FY,11,1))+1))</f>
        <v>0</v>
      </c>
      <c r="BE315" s="110" t="n">
        <f aca="false">IF(OR(OR($B315="",$E315="",$F315=""),$K315&lt;&gt;"نعم",$M315="نعم"),0,MAX(0,MIN($F315,EOMONTH(DATE(cfg_FY,12,1),0))-MAX($E315,DATE(cfg_FY,12,1))+1))</f>
        <v>0</v>
      </c>
    </row>
    <row r="316" customFormat="false" ht="15" hidden="false" customHeight="false" outlineLevel="0" collapsed="false">
      <c r="A316" s="93" t="str">
        <f aca="false">IF(B316="","",ROW()-5)</f>
        <v/>
      </c>
      <c r="B316" s="79"/>
      <c r="C316" s="80" t="str">
        <f aca="false">IF(B316="","",IFERROR(INDEX(الموظفون!$C$6:$C$105,MATCH(B316,الموظفون!$B$6:$B$105,0)),"✖ رقم غير موجود"))</f>
        <v/>
      </c>
      <c r="D316" s="79"/>
      <c r="E316" s="94"/>
      <c r="F316" s="94"/>
      <c r="G316" s="57" t="str">
        <f aca="false">IF(OR($B316="",$E316="",$F316=""),"",MAX(0,F316-E316+1))</f>
        <v/>
      </c>
      <c r="H316" s="58" t="str">
        <f aca="false">IF(D316="","",IFERROR(VLOOKUP(D316,cfg_LT,2,FALSE()),1))</f>
        <v/>
      </c>
      <c r="I316" s="82"/>
      <c r="J316" s="58" t="str">
        <f aca="false">IF(D316="","",IF(I316&lt;&gt;"",I316,H316))</f>
        <v/>
      </c>
      <c r="K316" s="80" t="str">
        <f aca="false">IF(D316="","",IFERROR(VLOOKUP($D316,cfg_LT,3,FALSE()),""))</f>
        <v/>
      </c>
      <c r="L316" s="80" t="str">
        <f aca="false">IF(D316="","",IFERROR(VLOOKUP($D316,cfg_LT,4,FALSE()),""))</f>
        <v/>
      </c>
      <c r="M316" s="80" t="str">
        <f aca="false">IF(D316="","",IFERROR(VLOOKUP($D316,cfg_LT,5,FALSE()),""))</f>
        <v/>
      </c>
      <c r="N316" s="97" t="n">
        <f aca="false">IF(OR(OR($B316="",$E316="",$F316=""),M316&lt;&gt;"نعم"),0,G316*J316*IFERROR(INDEX(الموظفون!$R$6:$R$105,MATCH(B316,الموظفون!$B$6:$B$105,0)),0)/cfg_DAYS_M)</f>
        <v>0</v>
      </c>
      <c r="O316" s="93" t="str">
        <f aca="false">IF(OR(OR($B316="",$E316="",$F316=""),M316&lt;&gt;"نعم"),"",IF(YEAR(E316)=cfg_FY,MONTH(E316),""))</f>
        <v/>
      </c>
      <c r="P316" s="80" t="str">
        <f aca="false">IF(B316="","",IF(OR(D316="",E316="",F316=""),"⚠ أكمل النوع والتواريخ",IF(F316&lt;E316,"✖ النهاية قبل البداية",IF(COUNTIFS($B$6:$B$505,B316,$E$6:$E$505,"&lt;="&amp;F316,$F$6:$F$505,"&gt;="&amp;E316)&gt;1,"⚠ تداخل مع سجل آخر",IF(E316&gt;cfg_VAL_DATE,"⏳ قادمة",IF(F316&lt;cfg_VAL_DATE,"✔ منتهية","✈ جارية في تاريخ التقرير"))))))</f>
        <v/>
      </c>
      <c r="Q316" s="79"/>
      <c r="R316" s="57" t="n">
        <f aca="false">IF(OR(OR($B316="",$E316="",$F316=""),L316&lt;&gt;"لا"),0,MAX(0,MIN(F316,cfg_Y_START-1)-E316+1))</f>
        <v>0</v>
      </c>
      <c r="S316" s="57" t="n">
        <f aca="false">IF(OR(OR($B316="",$E316="",$F316=""),L316&lt;&gt;"لا"),0,MAX(0,MIN(F316,cfg_VAL_DATE)-E316+1))</f>
        <v>0</v>
      </c>
      <c r="T316" s="57" t="n">
        <f aca="false">IF(OR(OR($B316="",$E316="",$F316=""),K316&lt;&gt;"نعم"),0,IF(M316="نعم",IF(AND(ISNUMBER(O316),N(O316)&lt;=cfg_VAL_M),G316,0),MAX(0,MIN(F316,cfg_VAL_DATE)-MAX(E316,cfg_Y_START)+1)))</f>
        <v>0</v>
      </c>
      <c r="V316" s="57" t="n">
        <f aca="false">IF(OR($B316="",$E316="",$F316=""),0,MAX(0,MIN($F316,EOMONTH(DATE(cfg_FY,1,1),0))-MAX($E316,DATE(cfg_FY,1,1))+1)*(1-IF($M316="نعم",0,N($J316))))</f>
        <v>0</v>
      </c>
      <c r="W316" s="57" t="n">
        <f aca="false">IF(OR($B316="",$E316="",$F316=""),0,MAX(0,MIN($F316,EOMONTH(DATE(cfg_FY,2,1),0))-MAX($E316,DATE(cfg_FY,2,1))+1)*(1-IF($M316="نعم",0,N($J316))))</f>
        <v>0</v>
      </c>
      <c r="X316" s="57" t="n">
        <f aca="false">IF(OR($B316="",$E316="",$F316=""),0,MAX(0,MIN($F316,EOMONTH(DATE(cfg_FY,3,1),0))-MAX($E316,DATE(cfg_FY,3,1))+1)*(1-IF($M316="نعم",0,N($J316))))</f>
        <v>0</v>
      </c>
      <c r="Y316" s="57" t="n">
        <f aca="false">IF(OR($B316="",$E316="",$F316=""),0,MAX(0,MIN($F316,EOMONTH(DATE(cfg_FY,4,1),0))-MAX($E316,DATE(cfg_FY,4,1))+1)*(1-IF($M316="نعم",0,N($J316))))</f>
        <v>0</v>
      </c>
      <c r="Z316" s="57" t="n">
        <f aca="false">IF(OR($B316="",$E316="",$F316=""),0,MAX(0,MIN($F316,EOMONTH(DATE(cfg_FY,5,1),0))-MAX($E316,DATE(cfg_FY,5,1))+1)*(1-IF($M316="نعم",0,N($J316))))</f>
        <v>0</v>
      </c>
      <c r="AA316" s="57" t="n">
        <f aca="false">IF(OR($B316="",$E316="",$F316=""),0,MAX(0,MIN($F316,EOMONTH(DATE(cfg_FY,6,1),0))-MAX($E316,DATE(cfg_FY,6,1))+1)*(1-IF($M316="نعم",0,N($J316))))</f>
        <v>0</v>
      </c>
      <c r="AB316" s="57" t="n">
        <f aca="false">IF(OR($B316="",$E316="",$F316=""),0,MAX(0,MIN($F316,EOMONTH(DATE(cfg_FY,7,1),0))-MAX($E316,DATE(cfg_FY,7,1))+1)*(1-IF($M316="نعم",0,N($J316))))</f>
        <v>0</v>
      </c>
      <c r="AC316" s="57" t="n">
        <f aca="false">IF(OR($B316="",$E316="",$F316=""),0,MAX(0,MIN($F316,EOMONTH(DATE(cfg_FY,8,1),0))-MAX($E316,DATE(cfg_FY,8,1))+1)*(1-IF($M316="نعم",0,N($J316))))</f>
        <v>0</v>
      </c>
      <c r="AD316" s="57" t="n">
        <f aca="false">IF(OR($B316="",$E316="",$F316=""),0,MAX(0,MIN($F316,EOMONTH(DATE(cfg_FY,9,1),0))-MAX($E316,DATE(cfg_FY,9,1))+1)*(1-IF($M316="نعم",0,N($J316))))</f>
        <v>0</v>
      </c>
      <c r="AE316" s="57" t="n">
        <f aca="false">IF(OR($B316="",$E316="",$F316=""),0,MAX(0,MIN($F316,EOMONTH(DATE(cfg_FY,10,1),0))-MAX($E316,DATE(cfg_FY,10,1))+1)*(1-IF($M316="نعم",0,N($J316))))</f>
        <v>0</v>
      </c>
      <c r="AF316" s="57" t="n">
        <f aca="false">IF(OR($B316="",$E316="",$F316=""),0,MAX(0,MIN($F316,EOMONTH(DATE(cfg_FY,11,1),0))-MAX($E316,DATE(cfg_FY,11,1))+1)*(1-IF($M316="نعم",0,N($J316))))</f>
        <v>0</v>
      </c>
      <c r="AG316" s="57" t="n">
        <f aca="false">IF(OR($B316="",$E316="",$F316=""),0,MAX(0,MIN($F316,EOMONTH(DATE(cfg_FY,12,1),0))-MAX($E316,DATE(cfg_FY,12,1))+1)*(1-IF($M316="نعم",0,N($J316))))</f>
        <v>0</v>
      </c>
      <c r="AH316" s="57" t="n">
        <f aca="false">IF(OR(OR($B316="",$E316="",$F316=""),$L316&lt;&gt;"لا"),0,MAX(0,MIN($F316,EOMONTH(DATE(cfg_FY,1,1),0))-$E316+1))</f>
        <v>0</v>
      </c>
      <c r="AI316" s="57" t="n">
        <f aca="false">IF(OR(OR($B316="",$E316="",$F316=""),$L316&lt;&gt;"لا"),0,MAX(0,MIN($F316,EOMONTH(DATE(cfg_FY,2,1),0))-$E316+1))</f>
        <v>0</v>
      </c>
      <c r="AJ316" s="57" t="n">
        <f aca="false">IF(OR(OR($B316="",$E316="",$F316=""),$L316&lt;&gt;"لا"),0,MAX(0,MIN($F316,EOMONTH(DATE(cfg_FY,3,1),0))-$E316+1))</f>
        <v>0</v>
      </c>
      <c r="AK316" s="57" t="n">
        <f aca="false">IF(OR(OR($B316="",$E316="",$F316=""),$L316&lt;&gt;"لا"),0,MAX(0,MIN($F316,EOMONTH(DATE(cfg_FY,4,1),0))-$E316+1))</f>
        <v>0</v>
      </c>
      <c r="AL316" s="57" t="n">
        <f aca="false">IF(OR(OR($B316="",$E316="",$F316=""),$L316&lt;&gt;"لا"),0,MAX(0,MIN($F316,EOMONTH(DATE(cfg_FY,5,1),0))-$E316+1))</f>
        <v>0</v>
      </c>
      <c r="AM316" s="57" t="n">
        <f aca="false">IF(OR(OR($B316="",$E316="",$F316=""),$L316&lt;&gt;"لا"),0,MAX(0,MIN($F316,EOMONTH(DATE(cfg_FY,6,1),0))-$E316+1))</f>
        <v>0</v>
      </c>
      <c r="AN316" s="57" t="n">
        <f aca="false">IF(OR(OR($B316="",$E316="",$F316=""),$L316&lt;&gt;"لا"),0,MAX(0,MIN($F316,EOMONTH(DATE(cfg_FY,7,1),0))-$E316+1))</f>
        <v>0</v>
      </c>
      <c r="AO316" s="57" t="n">
        <f aca="false">IF(OR(OR($B316="",$E316="",$F316=""),$L316&lt;&gt;"لا"),0,MAX(0,MIN($F316,EOMONTH(DATE(cfg_FY,8,1),0))-$E316+1))</f>
        <v>0</v>
      </c>
      <c r="AP316" s="57" t="n">
        <f aca="false">IF(OR(OR($B316="",$E316="",$F316=""),$L316&lt;&gt;"لا"),0,MAX(0,MIN($F316,EOMONTH(DATE(cfg_FY,9,1),0))-$E316+1))</f>
        <v>0</v>
      </c>
      <c r="AQ316" s="57" t="n">
        <f aca="false">IF(OR(OR($B316="",$E316="",$F316=""),$L316&lt;&gt;"لا"),0,MAX(0,MIN($F316,EOMONTH(DATE(cfg_FY,10,1),0))-$E316+1))</f>
        <v>0</v>
      </c>
      <c r="AR316" s="57" t="n">
        <f aca="false">IF(OR(OR($B316="",$E316="",$F316=""),$L316&lt;&gt;"لا"),0,MAX(0,MIN($F316,EOMONTH(DATE(cfg_FY,11,1),0))-$E316+1))</f>
        <v>0</v>
      </c>
      <c r="AS316" s="57" t="n">
        <f aca="false">IF(OR(OR($B316="",$E316="",$F316=""),$L316&lt;&gt;"لا"),0,MAX(0,MIN($F316,EOMONTH(DATE(cfg_FY,12,1),0))-$E316+1))</f>
        <v>0</v>
      </c>
      <c r="AT316" s="57" t="n">
        <f aca="false">IF(OR(OR($B316="",$E316="",$F316=""),$K316&lt;&gt;"نعم",$M316="نعم"),0,MAX(0,MIN($F316,EOMONTH(DATE(cfg_FY,1,1),0))-MAX($E316,DATE(cfg_FY,1,1))+1))</f>
        <v>0</v>
      </c>
      <c r="AU316" s="57" t="n">
        <f aca="false">IF(OR(OR($B316="",$E316="",$F316=""),$K316&lt;&gt;"نعم",$M316="نعم"),0,MAX(0,MIN($F316,EOMONTH(DATE(cfg_FY,2,1),0))-MAX($E316,DATE(cfg_FY,2,1))+1))</f>
        <v>0</v>
      </c>
      <c r="AV316" s="57" t="n">
        <f aca="false">IF(OR(OR($B316="",$E316="",$F316=""),$K316&lt;&gt;"نعم",$M316="نعم"),0,MAX(0,MIN($F316,EOMONTH(DATE(cfg_FY,3,1),0))-MAX($E316,DATE(cfg_FY,3,1))+1))</f>
        <v>0</v>
      </c>
      <c r="AW316" s="57" t="n">
        <f aca="false">IF(OR(OR($B316="",$E316="",$F316=""),$K316&lt;&gt;"نعم",$M316="نعم"),0,MAX(0,MIN($F316,EOMONTH(DATE(cfg_FY,4,1),0))-MAX($E316,DATE(cfg_FY,4,1))+1))</f>
        <v>0</v>
      </c>
      <c r="AX316" s="57" t="n">
        <f aca="false">IF(OR(OR($B316="",$E316="",$F316=""),$K316&lt;&gt;"نعم",$M316="نعم"),0,MAX(0,MIN($F316,EOMONTH(DATE(cfg_FY,5,1),0))-MAX($E316,DATE(cfg_FY,5,1))+1))</f>
        <v>0</v>
      </c>
      <c r="AY316" s="57" t="n">
        <f aca="false">IF(OR(OR($B316="",$E316="",$F316=""),$K316&lt;&gt;"نعم",$M316="نعم"),0,MAX(0,MIN($F316,EOMONTH(DATE(cfg_FY,6,1),0))-MAX($E316,DATE(cfg_FY,6,1))+1))</f>
        <v>0</v>
      </c>
      <c r="AZ316" s="57" t="n">
        <f aca="false">IF(OR(OR($B316="",$E316="",$F316=""),$K316&lt;&gt;"نعم",$M316="نعم"),0,MAX(0,MIN($F316,EOMONTH(DATE(cfg_FY,7,1),0))-MAX($E316,DATE(cfg_FY,7,1))+1))</f>
        <v>0</v>
      </c>
      <c r="BA316" s="57" t="n">
        <f aca="false">IF(OR(OR($B316="",$E316="",$F316=""),$K316&lt;&gt;"نعم",$M316="نعم"),0,MAX(0,MIN($F316,EOMONTH(DATE(cfg_FY,8,1),0))-MAX($E316,DATE(cfg_FY,8,1))+1))</f>
        <v>0</v>
      </c>
      <c r="BB316" s="57" t="n">
        <f aca="false">IF(OR(OR($B316="",$E316="",$F316=""),$K316&lt;&gt;"نعم",$M316="نعم"),0,MAX(0,MIN($F316,EOMONTH(DATE(cfg_FY,9,1),0))-MAX($E316,DATE(cfg_FY,9,1))+1))</f>
        <v>0</v>
      </c>
      <c r="BC316" s="57" t="n">
        <f aca="false">IF(OR(OR($B316="",$E316="",$F316=""),$K316&lt;&gt;"نعم",$M316="نعم"),0,MAX(0,MIN($F316,EOMONTH(DATE(cfg_FY,10,1),0))-MAX($E316,DATE(cfg_FY,10,1))+1))</f>
        <v>0</v>
      </c>
      <c r="BD316" s="57" t="n">
        <f aca="false">IF(OR(OR($B316="",$E316="",$F316=""),$K316&lt;&gt;"نعم",$M316="نعم"),0,MAX(0,MIN($F316,EOMONTH(DATE(cfg_FY,11,1),0))-MAX($E316,DATE(cfg_FY,11,1))+1))</f>
        <v>0</v>
      </c>
      <c r="BE316" s="57" t="n">
        <f aca="false">IF(OR(OR($B316="",$E316="",$F316=""),$K316&lt;&gt;"نعم",$M316="نعم"),0,MAX(0,MIN($F316,EOMONTH(DATE(cfg_FY,12,1),0))-MAX($E316,DATE(cfg_FY,12,1))+1))</f>
        <v>0</v>
      </c>
    </row>
    <row r="317" customFormat="false" ht="15" hidden="false" customHeight="false" outlineLevel="0" collapsed="false">
      <c r="A317" s="100" t="str">
        <f aca="false">IF(B317="","",ROW()-5)</f>
        <v/>
      </c>
      <c r="B317" s="79"/>
      <c r="C317" s="102" t="str">
        <f aca="false">IF(B317="","",IFERROR(INDEX(الموظفون!$C$6:$C$105,MATCH(B317,الموظفون!$B$6:$B$105,0)),"✖ رقم غير موجود"))</f>
        <v/>
      </c>
      <c r="D317" s="79"/>
      <c r="E317" s="94"/>
      <c r="F317" s="94"/>
      <c r="G317" s="110" t="str">
        <f aca="false">IF(OR($B317="",$E317="",$F317=""),"",MAX(0,F317-E317+1))</f>
        <v/>
      </c>
      <c r="H317" s="111" t="str">
        <f aca="false">IF(D317="","",IFERROR(VLOOKUP(D317,cfg_LT,2,FALSE()),1))</f>
        <v/>
      </c>
      <c r="I317" s="82"/>
      <c r="J317" s="111" t="str">
        <f aca="false">IF(D317="","",IF(I317&lt;&gt;"",I317,H317))</f>
        <v/>
      </c>
      <c r="K317" s="102" t="str">
        <f aca="false">IF(D317="","",IFERROR(VLOOKUP($D317,cfg_LT,3,FALSE()),""))</f>
        <v/>
      </c>
      <c r="L317" s="102" t="str">
        <f aca="false">IF(D317="","",IFERROR(VLOOKUP($D317,cfg_LT,4,FALSE()),""))</f>
        <v/>
      </c>
      <c r="M317" s="102" t="str">
        <f aca="false">IF(D317="","",IFERROR(VLOOKUP($D317,cfg_LT,5,FALSE()),""))</f>
        <v/>
      </c>
      <c r="N317" s="101" t="n">
        <f aca="false">IF(OR(OR($B317="",$E317="",$F317=""),M317&lt;&gt;"نعم"),0,G317*J317*IFERROR(INDEX(الموظفون!$R$6:$R$105,MATCH(B317,الموظفون!$B$6:$B$105,0)),0)/cfg_DAYS_M)</f>
        <v>0</v>
      </c>
      <c r="O317" s="100" t="str">
        <f aca="false">IF(OR(OR($B317="",$E317="",$F317=""),M317&lt;&gt;"نعم"),"",IF(YEAR(E317)=cfg_FY,MONTH(E317),""))</f>
        <v/>
      </c>
      <c r="P317" s="102" t="str">
        <f aca="false">IF(B317="","",IF(OR(D317="",E317="",F317=""),"⚠ أكمل النوع والتواريخ",IF(F317&lt;E317,"✖ النهاية قبل البداية",IF(COUNTIFS($B$6:$B$505,B317,$E$6:$E$505,"&lt;="&amp;F317,$F$6:$F$505,"&gt;="&amp;E317)&gt;1,"⚠ تداخل مع سجل آخر",IF(E317&gt;cfg_VAL_DATE,"⏳ قادمة",IF(F317&lt;cfg_VAL_DATE,"✔ منتهية","✈ جارية في تاريخ التقرير"))))))</f>
        <v/>
      </c>
      <c r="Q317" s="79"/>
      <c r="R317" s="110" t="n">
        <f aca="false">IF(OR(OR($B317="",$E317="",$F317=""),L317&lt;&gt;"لا"),0,MAX(0,MIN(F317,cfg_Y_START-1)-E317+1))</f>
        <v>0</v>
      </c>
      <c r="S317" s="110" t="n">
        <f aca="false">IF(OR(OR($B317="",$E317="",$F317=""),L317&lt;&gt;"لا"),0,MAX(0,MIN(F317,cfg_VAL_DATE)-E317+1))</f>
        <v>0</v>
      </c>
      <c r="T317" s="110" t="n">
        <f aca="false">IF(OR(OR($B317="",$E317="",$F317=""),K317&lt;&gt;"نعم"),0,IF(M317="نعم",IF(AND(ISNUMBER(O317),N(O317)&lt;=cfg_VAL_M),G317,0),MAX(0,MIN(F317,cfg_VAL_DATE)-MAX(E317,cfg_Y_START)+1)))</f>
        <v>0</v>
      </c>
      <c r="V317" s="110" t="n">
        <f aca="false">IF(OR($B317="",$E317="",$F317=""),0,MAX(0,MIN($F317,EOMONTH(DATE(cfg_FY,1,1),0))-MAX($E317,DATE(cfg_FY,1,1))+1)*(1-IF($M317="نعم",0,N($J317))))</f>
        <v>0</v>
      </c>
      <c r="W317" s="110" t="n">
        <f aca="false">IF(OR($B317="",$E317="",$F317=""),0,MAX(0,MIN($F317,EOMONTH(DATE(cfg_FY,2,1),0))-MAX($E317,DATE(cfg_FY,2,1))+1)*(1-IF($M317="نعم",0,N($J317))))</f>
        <v>0</v>
      </c>
      <c r="X317" s="110" t="n">
        <f aca="false">IF(OR($B317="",$E317="",$F317=""),0,MAX(0,MIN($F317,EOMONTH(DATE(cfg_FY,3,1),0))-MAX($E317,DATE(cfg_FY,3,1))+1)*(1-IF($M317="نعم",0,N($J317))))</f>
        <v>0</v>
      </c>
      <c r="Y317" s="110" t="n">
        <f aca="false">IF(OR($B317="",$E317="",$F317=""),0,MAX(0,MIN($F317,EOMONTH(DATE(cfg_FY,4,1),0))-MAX($E317,DATE(cfg_FY,4,1))+1)*(1-IF($M317="نعم",0,N($J317))))</f>
        <v>0</v>
      </c>
      <c r="Z317" s="110" t="n">
        <f aca="false">IF(OR($B317="",$E317="",$F317=""),0,MAX(0,MIN($F317,EOMONTH(DATE(cfg_FY,5,1),0))-MAX($E317,DATE(cfg_FY,5,1))+1)*(1-IF($M317="نعم",0,N($J317))))</f>
        <v>0</v>
      </c>
      <c r="AA317" s="110" t="n">
        <f aca="false">IF(OR($B317="",$E317="",$F317=""),0,MAX(0,MIN($F317,EOMONTH(DATE(cfg_FY,6,1),0))-MAX($E317,DATE(cfg_FY,6,1))+1)*(1-IF($M317="نعم",0,N($J317))))</f>
        <v>0</v>
      </c>
      <c r="AB317" s="110" t="n">
        <f aca="false">IF(OR($B317="",$E317="",$F317=""),0,MAX(0,MIN($F317,EOMONTH(DATE(cfg_FY,7,1),0))-MAX($E317,DATE(cfg_FY,7,1))+1)*(1-IF($M317="نعم",0,N($J317))))</f>
        <v>0</v>
      </c>
      <c r="AC317" s="110" t="n">
        <f aca="false">IF(OR($B317="",$E317="",$F317=""),0,MAX(0,MIN($F317,EOMONTH(DATE(cfg_FY,8,1),0))-MAX($E317,DATE(cfg_FY,8,1))+1)*(1-IF($M317="نعم",0,N($J317))))</f>
        <v>0</v>
      </c>
      <c r="AD317" s="110" t="n">
        <f aca="false">IF(OR($B317="",$E317="",$F317=""),0,MAX(0,MIN($F317,EOMONTH(DATE(cfg_FY,9,1),0))-MAX($E317,DATE(cfg_FY,9,1))+1)*(1-IF($M317="نعم",0,N($J317))))</f>
        <v>0</v>
      </c>
      <c r="AE317" s="110" t="n">
        <f aca="false">IF(OR($B317="",$E317="",$F317=""),0,MAX(0,MIN($F317,EOMONTH(DATE(cfg_FY,10,1),0))-MAX($E317,DATE(cfg_FY,10,1))+1)*(1-IF($M317="نعم",0,N($J317))))</f>
        <v>0</v>
      </c>
      <c r="AF317" s="110" t="n">
        <f aca="false">IF(OR($B317="",$E317="",$F317=""),0,MAX(0,MIN($F317,EOMONTH(DATE(cfg_FY,11,1),0))-MAX($E317,DATE(cfg_FY,11,1))+1)*(1-IF($M317="نعم",0,N($J317))))</f>
        <v>0</v>
      </c>
      <c r="AG317" s="110" t="n">
        <f aca="false">IF(OR($B317="",$E317="",$F317=""),0,MAX(0,MIN($F317,EOMONTH(DATE(cfg_FY,12,1),0))-MAX($E317,DATE(cfg_FY,12,1))+1)*(1-IF($M317="نعم",0,N($J317))))</f>
        <v>0</v>
      </c>
      <c r="AH317" s="110" t="n">
        <f aca="false">IF(OR(OR($B317="",$E317="",$F317=""),$L317&lt;&gt;"لا"),0,MAX(0,MIN($F317,EOMONTH(DATE(cfg_FY,1,1),0))-$E317+1))</f>
        <v>0</v>
      </c>
      <c r="AI317" s="110" t="n">
        <f aca="false">IF(OR(OR($B317="",$E317="",$F317=""),$L317&lt;&gt;"لا"),0,MAX(0,MIN($F317,EOMONTH(DATE(cfg_FY,2,1),0))-$E317+1))</f>
        <v>0</v>
      </c>
      <c r="AJ317" s="110" t="n">
        <f aca="false">IF(OR(OR($B317="",$E317="",$F317=""),$L317&lt;&gt;"لا"),0,MAX(0,MIN($F317,EOMONTH(DATE(cfg_FY,3,1),0))-$E317+1))</f>
        <v>0</v>
      </c>
      <c r="AK317" s="110" t="n">
        <f aca="false">IF(OR(OR($B317="",$E317="",$F317=""),$L317&lt;&gt;"لا"),0,MAX(0,MIN($F317,EOMONTH(DATE(cfg_FY,4,1),0))-$E317+1))</f>
        <v>0</v>
      </c>
      <c r="AL317" s="110" t="n">
        <f aca="false">IF(OR(OR($B317="",$E317="",$F317=""),$L317&lt;&gt;"لا"),0,MAX(0,MIN($F317,EOMONTH(DATE(cfg_FY,5,1),0))-$E317+1))</f>
        <v>0</v>
      </c>
      <c r="AM317" s="110" t="n">
        <f aca="false">IF(OR(OR($B317="",$E317="",$F317=""),$L317&lt;&gt;"لا"),0,MAX(0,MIN($F317,EOMONTH(DATE(cfg_FY,6,1),0))-$E317+1))</f>
        <v>0</v>
      </c>
      <c r="AN317" s="110" t="n">
        <f aca="false">IF(OR(OR($B317="",$E317="",$F317=""),$L317&lt;&gt;"لا"),0,MAX(0,MIN($F317,EOMONTH(DATE(cfg_FY,7,1),0))-$E317+1))</f>
        <v>0</v>
      </c>
      <c r="AO317" s="110" t="n">
        <f aca="false">IF(OR(OR($B317="",$E317="",$F317=""),$L317&lt;&gt;"لا"),0,MAX(0,MIN($F317,EOMONTH(DATE(cfg_FY,8,1),0))-$E317+1))</f>
        <v>0</v>
      </c>
      <c r="AP317" s="110" t="n">
        <f aca="false">IF(OR(OR($B317="",$E317="",$F317=""),$L317&lt;&gt;"لا"),0,MAX(0,MIN($F317,EOMONTH(DATE(cfg_FY,9,1),0))-$E317+1))</f>
        <v>0</v>
      </c>
      <c r="AQ317" s="110" t="n">
        <f aca="false">IF(OR(OR($B317="",$E317="",$F317=""),$L317&lt;&gt;"لا"),0,MAX(0,MIN($F317,EOMONTH(DATE(cfg_FY,10,1),0))-$E317+1))</f>
        <v>0</v>
      </c>
      <c r="AR317" s="110" t="n">
        <f aca="false">IF(OR(OR($B317="",$E317="",$F317=""),$L317&lt;&gt;"لا"),0,MAX(0,MIN($F317,EOMONTH(DATE(cfg_FY,11,1),0))-$E317+1))</f>
        <v>0</v>
      </c>
      <c r="AS317" s="110" t="n">
        <f aca="false">IF(OR(OR($B317="",$E317="",$F317=""),$L317&lt;&gt;"لا"),0,MAX(0,MIN($F317,EOMONTH(DATE(cfg_FY,12,1),0))-$E317+1))</f>
        <v>0</v>
      </c>
      <c r="AT317" s="110" t="n">
        <f aca="false">IF(OR(OR($B317="",$E317="",$F317=""),$K317&lt;&gt;"نعم",$M317="نعم"),0,MAX(0,MIN($F317,EOMONTH(DATE(cfg_FY,1,1),0))-MAX($E317,DATE(cfg_FY,1,1))+1))</f>
        <v>0</v>
      </c>
      <c r="AU317" s="110" t="n">
        <f aca="false">IF(OR(OR($B317="",$E317="",$F317=""),$K317&lt;&gt;"نعم",$M317="نعم"),0,MAX(0,MIN($F317,EOMONTH(DATE(cfg_FY,2,1),0))-MAX($E317,DATE(cfg_FY,2,1))+1))</f>
        <v>0</v>
      </c>
      <c r="AV317" s="110" t="n">
        <f aca="false">IF(OR(OR($B317="",$E317="",$F317=""),$K317&lt;&gt;"نعم",$M317="نعم"),0,MAX(0,MIN($F317,EOMONTH(DATE(cfg_FY,3,1),0))-MAX($E317,DATE(cfg_FY,3,1))+1))</f>
        <v>0</v>
      </c>
      <c r="AW317" s="110" t="n">
        <f aca="false">IF(OR(OR($B317="",$E317="",$F317=""),$K317&lt;&gt;"نعم",$M317="نعم"),0,MAX(0,MIN($F317,EOMONTH(DATE(cfg_FY,4,1),0))-MAX($E317,DATE(cfg_FY,4,1))+1))</f>
        <v>0</v>
      </c>
      <c r="AX317" s="110" t="n">
        <f aca="false">IF(OR(OR($B317="",$E317="",$F317=""),$K317&lt;&gt;"نعم",$M317="نعم"),0,MAX(0,MIN($F317,EOMONTH(DATE(cfg_FY,5,1),0))-MAX($E317,DATE(cfg_FY,5,1))+1))</f>
        <v>0</v>
      </c>
      <c r="AY317" s="110" t="n">
        <f aca="false">IF(OR(OR($B317="",$E317="",$F317=""),$K317&lt;&gt;"نعم",$M317="نعم"),0,MAX(0,MIN($F317,EOMONTH(DATE(cfg_FY,6,1),0))-MAX($E317,DATE(cfg_FY,6,1))+1))</f>
        <v>0</v>
      </c>
      <c r="AZ317" s="110" t="n">
        <f aca="false">IF(OR(OR($B317="",$E317="",$F317=""),$K317&lt;&gt;"نعم",$M317="نعم"),0,MAX(0,MIN($F317,EOMONTH(DATE(cfg_FY,7,1),0))-MAX($E317,DATE(cfg_FY,7,1))+1))</f>
        <v>0</v>
      </c>
      <c r="BA317" s="110" t="n">
        <f aca="false">IF(OR(OR($B317="",$E317="",$F317=""),$K317&lt;&gt;"نعم",$M317="نعم"),0,MAX(0,MIN($F317,EOMONTH(DATE(cfg_FY,8,1),0))-MAX($E317,DATE(cfg_FY,8,1))+1))</f>
        <v>0</v>
      </c>
      <c r="BB317" s="110" t="n">
        <f aca="false">IF(OR(OR($B317="",$E317="",$F317=""),$K317&lt;&gt;"نعم",$M317="نعم"),0,MAX(0,MIN($F317,EOMONTH(DATE(cfg_FY,9,1),0))-MAX($E317,DATE(cfg_FY,9,1))+1))</f>
        <v>0</v>
      </c>
      <c r="BC317" s="110" t="n">
        <f aca="false">IF(OR(OR($B317="",$E317="",$F317=""),$K317&lt;&gt;"نعم",$M317="نعم"),0,MAX(0,MIN($F317,EOMONTH(DATE(cfg_FY,10,1),0))-MAX($E317,DATE(cfg_FY,10,1))+1))</f>
        <v>0</v>
      </c>
      <c r="BD317" s="110" t="n">
        <f aca="false">IF(OR(OR($B317="",$E317="",$F317=""),$K317&lt;&gt;"نعم",$M317="نعم"),0,MAX(0,MIN($F317,EOMONTH(DATE(cfg_FY,11,1),0))-MAX($E317,DATE(cfg_FY,11,1))+1))</f>
        <v>0</v>
      </c>
      <c r="BE317" s="110" t="n">
        <f aca="false">IF(OR(OR($B317="",$E317="",$F317=""),$K317&lt;&gt;"نعم",$M317="نعم"),0,MAX(0,MIN($F317,EOMONTH(DATE(cfg_FY,12,1),0))-MAX($E317,DATE(cfg_FY,12,1))+1))</f>
        <v>0</v>
      </c>
    </row>
    <row r="318" customFormat="false" ht="15" hidden="false" customHeight="false" outlineLevel="0" collapsed="false">
      <c r="A318" s="93" t="str">
        <f aca="false">IF(B318="","",ROW()-5)</f>
        <v/>
      </c>
      <c r="B318" s="79"/>
      <c r="C318" s="80" t="str">
        <f aca="false">IF(B318="","",IFERROR(INDEX(الموظفون!$C$6:$C$105,MATCH(B318,الموظفون!$B$6:$B$105,0)),"✖ رقم غير موجود"))</f>
        <v/>
      </c>
      <c r="D318" s="79"/>
      <c r="E318" s="94"/>
      <c r="F318" s="94"/>
      <c r="G318" s="57" t="str">
        <f aca="false">IF(OR($B318="",$E318="",$F318=""),"",MAX(0,F318-E318+1))</f>
        <v/>
      </c>
      <c r="H318" s="58" t="str">
        <f aca="false">IF(D318="","",IFERROR(VLOOKUP(D318,cfg_LT,2,FALSE()),1))</f>
        <v/>
      </c>
      <c r="I318" s="82"/>
      <c r="J318" s="58" t="str">
        <f aca="false">IF(D318="","",IF(I318&lt;&gt;"",I318,H318))</f>
        <v/>
      </c>
      <c r="K318" s="80" t="str">
        <f aca="false">IF(D318="","",IFERROR(VLOOKUP($D318,cfg_LT,3,FALSE()),""))</f>
        <v/>
      </c>
      <c r="L318" s="80" t="str">
        <f aca="false">IF(D318="","",IFERROR(VLOOKUP($D318,cfg_LT,4,FALSE()),""))</f>
        <v/>
      </c>
      <c r="M318" s="80" t="str">
        <f aca="false">IF(D318="","",IFERROR(VLOOKUP($D318,cfg_LT,5,FALSE()),""))</f>
        <v/>
      </c>
      <c r="N318" s="97" t="n">
        <f aca="false">IF(OR(OR($B318="",$E318="",$F318=""),M318&lt;&gt;"نعم"),0,G318*J318*IFERROR(INDEX(الموظفون!$R$6:$R$105,MATCH(B318,الموظفون!$B$6:$B$105,0)),0)/cfg_DAYS_M)</f>
        <v>0</v>
      </c>
      <c r="O318" s="93" t="str">
        <f aca="false">IF(OR(OR($B318="",$E318="",$F318=""),M318&lt;&gt;"نعم"),"",IF(YEAR(E318)=cfg_FY,MONTH(E318),""))</f>
        <v/>
      </c>
      <c r="P318" s="80" t="str">
        <f aca="false">IF(B318="","",IF(OR(D318="",E318="",F318=""),"⚠ أكمل النوع والتواريخ",IF(F318&lt;E318,"✖ النهاية قبل البداية",IF(COUNTIFS($B$6:$B$505,B318,$E$6:$E$505,"&lt;="&amp;F318,$F$6:$F$505,"&gt;="&amp;E318)&gt;1,"⚠ تداخل مع سجل آخر",IF(E318&gt;cfg_VAL_DATE,"⏳ قادمة",IF(F318&lt;cfg_VAL_DATE,"✔ منتهية","✈ جارية في تاريخ التقرير"))))))</f>
        <v/>
      </c>
      <c r="Q318" s="79"/>
      <c r="R318" s="57" t="n">
        <f aca="false">IF(OR(OR($B318="",$E318="",$F318=""),L318&lt;&gt;"لا"),0,MAX(0,MIN(F318,cfg_Y_START-1)-E318+1))</f>
        <v>0</v>
      </c>
      <c r="S318" s="57" t="n">
        <f aca="false">IF(OR(OR($B318="",$E318="",$F318=""),L318&lt;&gt;"لا"),0,MAX(0,MIN(F318,cfg_VAL_DATE)-E318+1))</f>
        <v>0</v>
      </c>
      <c r="T318" s="57" t="n">
        <f aca="false">IF(OR(OR($B318="",$E318="",$F318=""),K318&lt;&gt;"نعم"),0,IF(M318="نعم",IF(AND(ISNUMBER(O318),N(O318)&lt;=cfg_VAL_M),G318,0),MAX(0,MIN(F318,cfg_VAL_DATE)-MAX(E318,cfg_Y_START)+1)))</f>
        <v>0</v>
      </c>
      <c r="V318" s="57" t="n">
        <f aca="false">IF(OR($B318="",$E318="",$F318=""),0,MAX(0,MIN($F318,EOMONTH(DATE(cfg_FY,1,1),0))-MAX($E318,DATE(cfg_FY,1,1))+1)*(1-IF($M318="نعم",0,N($J318))))</f>
        <v>0</v>
      </c>
      <c r="W318" s="57" t="n">
        <f aca="false">IF(OR($B318="",$E318="",$F318=""),0,MAX(0,MIN($F318,EOMONTH(DATE(cfg_FY,2,1),0))-MAX($E318,DATE(cfg_FY,2,1))+1)*(1-IF($M318="نعم",0,N($J318))))</f>
        <v>0</v>
      </c>
      <c r="X318" s="57" t="n">
        <f aca="false">IF(OR($B318="",$E318="",$F318=""),0,MAX(0,MIN($F318,EOMONTH(DATE(cfg_FY,3,1),0))-MAX($E318,DATE(cfg_FY,3,1))+1)*(1-IF($M318="نعم",0,N($J318))))</f>
        <v>0</v>
      </c>
      <c r="Y318" s="57" t="n">
        <f aca="false">IF(OR($B318="",$E318="",$F318=""),0,MAX(0,MIN($F318,EOMONTH(DATE(cfg_FY,4,1),0))-MAX($E318,DATE(cfg_FY,4,1))+1)*(1-IF($M318="نعم",0,N($J318))))</f>
        <v>0</v>
      </c>
      <c r="Z318" s="57" t="n">
        <f aca="false">IF(OR($B318="",$E318="",$F318=""),0,MAX(0,MIN($F318,EOMONTH(DATE(cfg_FY,5,1),0))-MAX($E318,DATE(cfg_FY,5,1))+1)*(1-IF($M318="نعم",0,N($J318))))</f>
        <v>0</v>
      </c>
      <c r="AA318" s="57" t="n">
        <f aca="false">IF(OR($B318="",$E318="",$F318=""),0,MAX(0,MIN($F318,EOMONTH(DATE(cfg_FY,6,1),0))-MAX($E318,DATE(cfg_FY,6,1))+1)*(1-IF($M318="نعم",0,N($J318))))</f>
        <v>0</v>
      </c>
      <c r="AB318" s="57" t="n">
        <f aca="false">IF(OR($B318="",$E318="",$F318=""),0,MAX(0,MIN($F318,EOMONTH(DATE(cfg_FY,7,1),0))-MAX($E318,DATE(cfg_FY,7,1))+1)*(1-IF($M318="نعم",0,N($J318))))</f>
        <v>0</v>
      </c>
      <c r="AC318" s="57" t="n">
        <f aca="false">IF(OR($B318="",$E318="",$F318=""),0,MAX(0,MIN($F318,EOMONTH(DATE(cfg_FY,8,1),0))-MAX($E318,DATE(cfg_FY,8,1))+1)*(1-IF($M318="نعم",0,N($J318))))</f>
        <v>0</v>
      </c>
      <c r="AD318" s="57" t="n">
        <f aca="false">IF(OR($B318="",$E318="",$F318=""),0,MAX(0,MIN($F318,EOMONTH(DATE(cfg_FY,9,1),0))-MAX($E318,DATE(cfg_FY,9,1))+1)*(1-IF($M318="نعم",0,N($J318))))</f>
        <v>0</v>
      </c>
      <c r="AE318" s="57" t="n">
        <f aca="false">IF(OR($B318="",$E318="",$F318=""),0,MAX(0,MIN($F318,EOMONTH(DATE(cfg_FY,10,1),0))-MAX($E318,DATE(cfg_FY,10,1))+1)*(1-IF($M318="نعم",0,N($J318))))</f>
        <v>0</v>
      </c>
      <c r="AF318" s="57" t="n">
        <f aca="false">IF(OR($B318="",$E318="",$F318=""),0,MAX(0,MIN($F318,EOMONTH(DATE(cfg_FY,11,1),0))-MAX($E318,DATE(cfg_FY,11,1))+1)*(1-IF($M318="نعم",0,N($J318))))</f>
        <v>0</v>
      </c>
      <c r="AG318" s="57" t="n">
        <f aca="false">IF(OR($B318="",$E318="",$F318=""),0,MAX(0,MIN($F318,EOMONTH(DATE(cfg_FY,12,1),0))-MAX($E318,DATE(cfg_FY,12,1))+1)*(1-IF($M318="نعم",0,N($J318))))</f>
        <v>0</v>
      </c>
      <c r="AH318" s="57" t="n">
        <f aca="false">IF(OR(OR($B318="",$E318="",$F318=""),$L318&lt;&gt;"لا"),0,MAX(0,MIN($F318,EOMONTH(DATE(cfg_FY,1,1),0))-$E318+1))</f>
        <v>0</v>
      </c>
      <c r="AI318" s="57" t="n">
        <f aca="false">IF(OR(OR($B318="",$E318="",$F318=""),$L318&lt;&gt;"لا"),0,MAX(0,MIN($F318,EOMONTH(DATE(cfg_FY,2,1),0))-$E318+1))</f>
        <v>0</v>
      </c>
      <c r="AJ318" s="57" t="n">
        <f aca="false">IF(OR(OR($B318="",$E318="",$F318=""),$L318&lt;&gt;"لا"),0,MAX(0,MIN($F318,EOMONTH(DATE(cfg_FY,3,1),0))-$E318+1))</f>
        <v>0</v>
      </c>
      <c r="AK318" s="57" t="n">
        <f aca="false">IF(OR(OR($B318="",$E318="",$F318=""),$L318&lt;&gt;"لا"),0,MAX(0,MIN($F318,EOMONTH(DATE(cfg_FY,4,1),0))-$E318+1))</f>
        <v>0</v>
      </c>
      <c r="AL318" s="57" t="n">
        <f aca="false">IF(OR(OR($B318="",$E318="",$F318=""),$L318&lt;&gt;"لا"),0,MAX(0,MIN($F318,EOMONTH(DATE(cfg_FY,5,1),0))-$E318+1))</f>
        <v>0</v>
      </c>
      <c r="AM318" s="57" t="n">
        <f aca="false">IF(OR(OR($B318="",$E318="",$F318=""),$L318&lt;&gt;"لا"),0,MAX(0,MIN($F318,EOMONTH(DATE(cfg_FY,6,1),0))-$E318+1))</f>
        <v>0</v>
      </c>
      <c r="AN318" s="57" t="n">
        <f aca="false">IF(OR(OR($B318="",$E318="",$F318=""),$L318&lt;&gt;"لا"),0,MAX(0,MIN($F318,EOMONTH(DATE(cfg_FY,7,1),0))-$E318+1))</f>
        <v>0</v>
      </c>
      <c r="AO318" s="57" t="n">
        <f aca="false">IF(OR(OR($B318="",$E318="",$F318=""),$L318&lt;&gt;"لا"),0,MAX(0,MIN($F318,EOMONTH(DATE(cfg_FY,8,1),0))-$E318+1))</f>
        <v>0</v>
      </c>
      <c r="AP318" s="57" t="n">
        <f aca="false">IF(OR(OR($B318="",$E318="",$F318=""),$L318&lt;&gt;"لا"),0,MAX(0,MIN($F318,EOMONTH(DATE(cfg_FY,9,1),0))-$E318+1))</f>
        <v>0</v>
      </c>
      <c r="AQ318" s="57" t="n">
        <f aca="false">IF(OR(OR($B318="",$E318="",$F318=""),$L318&lt;&gt;"لا"),0,MAX(0,MIN($F318,EOMONTH(DATE(cfg_FY,10,1),0))-$E318+1))</f>
        <v>0</v>
      </c>
      <c r="AR318" s="57" t="n">
        <f aca="false">IF(OR(OR($B318="",$E318="",$F318=""),$L318&lt;&gt;"لا"),0,MAX(0,MIN($F318,EOMONTH(DATE(cfg_FY,11,1),0))-$E318+1))</f>
        <v>0</v>
      </c>
      <c r="AS318" s="57" t="n">
        <f aca="false">IF(OR(OR($B318="",$E318="",$F318=""),$L318&lt;&gt;"لا"),0,MAX(0,MIN($F318,EOMONTH(DATE(cfg_FY,12,1),0))-$E318+1))</f>
        <v>0</v>
      </c>
      <c r="AT318" s="57" t="n">
        <f aca="false">IF(OR(OR($B318="",$E318="",$F318=""),$K318&lt;&gt;"نعم",$M318="نعم"),0,MAX(0,MIN($F318,EOMONTH(DATE(cfg_FY,1,1),0))-MAX($E318,DATE(cfg_FY,1,1))+1))</f>
        <v>0</v>
      </c>
      <c r="AU318" s="57" t="n">
        <f aca="false">IF(OR(OR($B318="",$E318="",$F318=""),$K318&lt;&gt;"نعم",$M318="نعم"),0,MAX(0,MIN($F318,EOMONTH(DATE(cfg_FY,2,1),0))-MAX($E318,DATE(cfg_FY,2,1))+1))</f>
        <v>0</v>
      </c>
      <c r="AV318" s="57" t="n">
        <f aca="false">IF(OR(OR($B318="",$E318="",$F318=""),$K318&lt;&gt;"نعم",$M318="نعم"),0,MAX(0,MIN($F318,EOMONTH(DATE(cfg_FY,3,1),0))-MAX($E318,DATE(cfg_FY,3,1))+1))</f>
        <v>0</v>
      </c>
      <c r="AW318" s="57" t="n">
        <f aca="false">IF(OR(OR($B318="",$E318="",$F318=""),$K318&lt;&gt;"نعم",$M318="نعم"),0,MAX(0,MIN($F318,EOMONTH(DATE(cfg_FY,4,1),0))-MAX($E318,DATE(cfg_FY,4,1))+1))</f>
        <v>0</v>
      </c>
      <c r="AX318" s="57" t="n">
        <f aca="false">IF(OR(OR($B318="",$E318="",$F318=""),$K318&lt;&gt;"نعم",$M318="نعم"),0,MAX(0,MIN($F318,EOMONTH(DATE(cfg_FY,5,1),0))-MAX($E318,DATE(cfg_FY,5,1))+1))</f>
        <v>0</v>
      </c>
      <c r="AY318" s="57" t="n">
        <f aca="false">IF(OR(OR($B318="",$E318="",$F318=""),$K318&lt;&gt;"نعم",$M318="نعم"),0,MAX(0,MIN($F318,EOMONTH(DATE(cfg_FY,6,1),0))-MAX($E318,DATE(cfg_FY,6,1))+1))</f>
        <v>0</v>
      </c>
      <c r="AZ318" s="57" t="n">
        <f aca="false">IF(OR(OR($B318="",$E318="",$F318=""),$K318&lt;&gt;"نعم",$M318="نعم"),0,MAX(0,MIN($F318,EOMONTH(DATE(cfg_FY,7,1),0))-MAX($E318,DATE(cfg_FY,7,1))+1))</f>
        <v>0</v>
      </c>
      <c r="BA318" s="57" t="n">
        <f aca="false">IF(OR(OR($B318="",$E318="",$F318=""),$K318&lt;&gt;"نعم",$M318="نعم"),0,MAX(0,MIN($F318,EOMONTH(DATE(cfg_FY,8,1),0))-MAX($E318,DATE(cfg_FY,8,1))+1))</f>
        <v>0</v>
      </c>
      <c r="BB318" s="57" t="n">
        <f aca="false">IF(OR(OR($B318="",$E318="",$F318=""),$K318&lt;&gt;"نعم",$M318="نعم"),0,MAX(0,MIN($F318,EOMONTH(DATE(cfg_FY,9,1),0))-MAX($E318,DATE(cfg_FY,9,1))+1))</f>
        <v>0</v>
      </c>
      <c r="BC318" s="57" t="n">
        <f aca="false">IF(OR(OR($B318="",$E318="",$F318=""),$K318&lt;&gt;"نعم",$M318="نعم"),0,MAX(0,MIN($F318,EOMONTH(DATE(cfg_FY,10,1),0))-MAX($E318,DATE(cfg_FY,10,1))+1))</f>
        <v>0</v>
      </c>
      <c r="BD318" s="57" t="n">
        <f aca="false">IF(OR(OR($B318="",$E318="",$F318=""),$K318&lt;&gt;"نعم",$M318="نعم"),0,MAX(0,MIN($F318,EOMONTH(DATE(cfg_FY,11,1),0))-MAX($E318,DATE(cfg_FY,11,1))+1))</f>
        <v>0</v>
      </c>
      <c r="BE318" s="57" t="n">
        <f aca="false">IF(OR(OR($B318="",$E318="",$F318=""),$K318&lt;&gt;"نعم",$M318="نعم"),0,MAX(0,MIN($F318,EOMONTH(DATE(cfg_FY,12,1),0))-MAX($E318,DATE(cfg_FY,12,1))+1))</f>
        <v>0</v>
      </c>
    </row>
    <row r="319" customFormat="false" ht="15" hidden="false" customHeight="false" outlineLevel="0" collapsed="false">
      <c r="A319" s="100" t="str">
        <f aca="false">IF(B319="","",ROW()-5)</f>
        <v/>
      </c>
      <c r="B319" s="79"/>
      <c r="C319" s="102" t="str">
        <f aca="false">IF(B319="","",IFERROR(INDEX(الموظفون!$C$6:$C$105,MATCH(B319,الموظفون!$B$6:$B$105,0)),"✖ رقم غير موجود"))</f>
        <v/>
      </c>
      <c r="D319" s="79"/>
      <c r="E319" s="94"/>
      <c r="F319" s="94"/>
      <c r="G319" s="110" t="str">
        <f aca="false">IF(OR($B319="",$E319="",$F319=""),"",MAX(0,F319-E319+1))</f>
        <v/>
      </c>
      <c r="H319" s="111" t="str">
        <f aca="false">IF(D319="","",IFERROR(VLOOKUP(D319,cfg_LT,2,FALSE()),1))</f>
        <v/>
      </c>
      <c r="I319" s="82"/>
      <c r="J319" s="111" t="str">
        <f aca="false">IF(D319="","",IF(I319&lt;&gt;"",I319,H319))</f>
        <v/>
      </c>
      <c r="K319" s="102" t="str">
        <f aca="false">IF(D319="","",IFERROR(VLOOKUP($D319,cfg_LT,3,FALSE()),""))</f>
        <v/>
      </c>
      <c r="L319" s="102" t="str">
        <f aca="false">IF(D319="","",IFERROR(VLOOKUP($D319,cfg_LT,4,FALSE()),""))</f>
        <v/>
      </c>
      <c r="M319" s="102" t="str">
        <f aca="false">IF(D319="","",IFERROR(VLOOKUP($D319,cfg_LT,5,FALSE()),""))</f>
        <v/>
      </c>
      <c r="N319" s="101" t="n">
        <f aca="false">IF(OR(OR($B319="",$E319="",$F319=""),M319&lt;&gt;"نعم"),0,G319*J319*IFERROR(INDEX(الموظفون!$R$6:$R$105,MATCH(B319,الموظفون!$B$6:$B$105,0)),0)/cfg_DAYS_M)</f>
        <v>0</v>
      </c>
      <c r="O319" s="100" t="str">
        <f aca="false">IF(OR(OR($B319="",$E319="",$F319=""),M319&lt;&gt;"نعم"),"",IF(YEAR(E319)=cfg_FY,MONTH(E319),""))</f>
        <v/>
      </c>
      <c r="P319" s="102" t="str">
        <f aca="false">IF(B319="","",IF(OR(D319="",E319="",F319=""),"⚠ أكمل النوع والتواريخ",IF(F319&lt;E319,"✖ النهاية قبل البداية",IF(COUNTIFS($B$6:$B$505,B319,$E$6:$E$505,"&lt;="&amp;F319,$F$6:$F$505,"&gt;="&amp;E319)&gt;1,"⚠ تداخل مع سجل آخر",IF(E319&gt;cfg_VAL_DATE,"⏳ قادمة",IF(F319&lt;cfg_VAL_DATE,"✔ منتهية","✈ جارية في تاريخ التقرير"))))))</f>
        <v/>
      </c>
      <c r="Q319" s="79"/>
      <c r="R319" s="110" t="n">
        <f aca="false">IF(OR(OR($B319="",$E319="",$F319=""),L319&lt;&gt;"لا"),0,MAX(0,MIN(F319,cfg_Y_START-1)-E319+1))</f>
        <v>0</v>
      </c>
      <c r="S319" s="110" t="n">
        <f aca="false">IF(OR(OR($B319="",$E319="",$F319=""),L319&lt;&gt;"لا"),0,MAX(0,MIN(F319,cfg_VAL_DATE)-E319+1))</f>
        <v>0</v>
      </c>
      <c r="T319" s="110" t="n">
        <f aca="false">IF(OR(OR($B319="",$E319="",$F319=""),K319&lt;&gt;"نعم"),0,IF(M319="نعم",IF(AND(ISNUMBER(O319),N(O319)&lt;=cfg_VAL_M),G319,0),MAX(0,MIN(F319,cfg_VAL_DATE)-MAX(E319,cfg_Y_START)+1)))</f>
        <v>0</v>
      </c>
      <c r="V319" s="110" t="n">
        <f aca="false">IF(OR($B319="",$E319="",$F319=""),0,MAX(0,MIN($F319,EOMONTH(DATE(cfg_FY,1,1),0))-MAX($E319,DATE(cfg_FY,1,1))+1)*(1-IF($M319="نعم",0,N($J319))))</f>
        <v>0</v>
      </c>
      <c r="W319" s="110" t="n">
        <f aca="false">IF(OR($B319="",$E319="",$F319=""),0,MAX(0,MIN($F319,EOMONTH(DATE(cfg_FY,2,1),0))-MAX($E319,DATE(cfg_FY,2,1))+1)*(1-IF($M319="نعم",0,N($J319))))</f>
        <v>0</v>
      </c>
      <c r="X319" s="110" t="n">
        <f aca="false">IF(OR($B319="",$E319="",$F319=""),0,MAX(0,MIN($F319,EOMONTH(DATE(cfg_FY,3,1),0))-MAX($E319,DATE(cfg_FY,3,1))+1)*(1-IF($M319="نعم",0,N($J319))))</f>
        <v>0</v>
      </c>
      <c r="Y319" s="110" t="n">
        <f aca="false">IF(OR($B319="",$E319="",$F319=""),0,MAX(0,MIN($F319,EOMONTH(DATE(cfg_FY,4,1),0))-MAX($E319,DATE(cfg_FY,4,1))+1)*(1-IF($M319="نعم",0,N($J319))))</f>
        <v>0</v>
      </c>
      <c r="Z319" s="110" t="n">
        <f aca="false">IF(OR($B319="",$E319="",$F319=""),0,MAX(0,MIN($F319,EOMONTH(DATE(cfg_FY,5,1),0))-MAX($E319,DATE(cfg_FY,5,1))+1)*(1-IF($M319="نعم",0,N($J319))))</f>
        <v>0</v>
      </c>
      <c r="AA319" s="110" t="n">
        <f aca="false">IF(OR($B319="",$E319="",$F319=""),0,MAX(0,MIN($F319,EOMONTH(DATE(cfg_FY,6,1),0))-MAX($E319,DATE(cfg_FY,6,1))+1)*(1-IF($M319="نعم",0,N($J319))))</f>
        <v>0</v>
      </c>
      <c r="AB319" s="110" t="n">
        <f aca="false">IF(OR($B319="",$E319="",$F319=""),0,MAX(0,MIN($F319,EOMONTH(DATE(cfg_FY,7,1),0))-MAX($E319,DATE(cfg_FY,7,1))+1)*(1-IF($M319="نعم",0,N($J319))))</f>
        <v>0</v>
      </c>
      <c r="AC319" s="110" t="n">
        <f aca="false">IF(OR($B319="",$E319="",$F319=""),0,MAX(0,MIN($F319,EOMONTH(DATE(cfg_FY,8,1),0))-MAX($E319,DATE(cfg_FY,8,1))+1)*(1-IF($M319="نعم",0,N($J319))))</f>
        <v>0</v>
      </c>
      <c r="AD319" s="110" t="n">
        <f aca="false">IF(OR($B319="",$E319="",$F319=""),0,MAX(0,MIN($F319,EOMONTH(DATE(cfg_FY,9,1),0))-MAX($E319,DATE(cfg_FY,9,1))+1)*(1-IF($M319="نعم",0,N($J319))))</f>
        <v>0</v>
      </c>
      <c r="AE319" s="110" t="n">
        <f aca="false">IF(OR($B319="",$E319="",$F319=""),0,MAX(0,MIN($F319,EOMONTH(DATE(cfg_FY,10,1),0))-MAX($E319,DATE(cfg_FY,10,1))+1)*(1-IF($M319="نعم",0,N($J319))))</f>
        <v>0</v>
      </c>
      <c r="AF319" s="110" t="n">
        <f aca="false">IF(OR($B319="",$E319="",$F319=""),0,MAX(0,MIN($F319,EOMONTH(DATE(cfg_FY,11,1),0))-MAX($E319,DATE(cfg_FY,11,1))+1)*(1-IF($M319="نعم",0,N($J319))))</f>
        <v>0</v>
      </c>
      <c r="AG319" s="110" t="n">
        <f aca="false">IF(OR($B319="",$E319="",$F319=""),0,MAX(0,MIN($F319,EOMONTH(DATE(cfg_FY,12,1),0))-MAX($E319,DATE(cfg_FY,12,1))+1)*(1-IF($M319="نعم",0,N($J319))))</f>
        <v>0</v>
      </c>
      <c r="AH319" s="110" t="n">
        <f aca="false">IF(OR(OR($B319="",$E319="",$F319=""),$L319&lt;&gt;"لا"),0,MAX(0,MIN($F319,EOMONTH(DATE(cfg_FY,1,1),0))-$E319+1))</f>
        <v>0</v>
      </c>
      <c r="AI319" s="110" t="n">
        <f aca="false">IF(OR(OR($B319="",$E319="",$F319=""),$L319&lt;&gt;"لا"),0,MAX(0,MIN($F319,EOMONTH(DATE(cfg_FY,2,1),0))-$E319+1))</f>
        <v>0</v>
      </c>
      <c r="AJ319" s="110" t="n">
        <f aca="false">IF(OR(OR($B319="",$E319="",$F319=""),$L319&lt;&gt;"لا"),0,MAX(0,MIN($F319,EOMONTH(DATE(cfg_FY,3,1),0))-$E319+1))</f>
        <v>0</v>
      </c>
      <c r="AK319" s="110" t="n">
        <f aca="false">IF(OR(OR($B319="",$E319="",$F319=""),$L319&lt;&gt;"لا"),0,MAX(0,MIN($F319,EOMONTH(DATE(cfg_FY,4,1),0))-$E319+1))</f>
        <v>0</v>
      </c>
      <c r="AL319" s="110" t="n">
        <f aca="false">IF(OR(OR($B319="",$E319="",$F319=""),$L319&lt;&gt;"لا"),0,MAX(0,MIN($F319,EOMONTH(DATE(cfg_FY,5,1),0))-$E319+1))</f>
        <v>0</v>
      </c>
      <c r="AM319" s="110" t="n">
        <f aca="false">IF(OR(OR($B319="",$E319="",$F319=""),$L319&lt;&gt;"لا"),0,MAX(0,MIN($F319,EOMONTH(DATE(cfg_FY,6,1),0))-$E319+1))</f>
        <v>0</v>
      </c>
      <c r="AN319" s="110" t="n">
        <f aca="false">IF(OR(OR($B319="",$E319="",$F319=""),$L319&lt;&gt;"لا"),0,MAX(0,MIN($F319,EOMONTH(DATE(cfg_FY,7,1),0))-$E319+1))</f>
        <v>0</v>
      </c>
      <c r="AO319" s="110" t="n">
        <f aca="false">IF(OR(OR($B319="",$E319="",$F319=""),$L319&lt;&gt;"لا"),0,MAX(0,MIN($F319,EOMONTH(DATE(cfg_FY,8,1),0))-$E319+1))</f>
        <v>0</v>
      </c>
      <c r="AP319" s="110" t="n">
        <f aca="false">IF(OR(OR($B319="",$E319="",$F319=""),$L319&lt;&gt;"لا"),0,MAX(0,MIN($F319,EOMONTH(DATE(cfg_FY,9,1),0))-$E319+1))</f>
        <v>0</v>
      </c>
      <c r="AQ319" s="110" t="n">
        <f aca="false">IF(OR(OR($B319="",$E319="",$F319=""),$L319&lt;&gt;"لا"),0,MAX(0,MIN($F319,EOMONTH(DATE(cfg_FY,10,1),0))-$E319+1))</f>
        <v>0</v>
      </c>
      <c r="AR319" s="110" t="n">
        <f aca="false">IF(OR(OR($B319="",$E319="",$F319=""),$L319&lt;&gt;"لا"),0,MAX(0,MIN($F319,EOMONTH(DATE(cfg_FY,11,1),0))-$E319+1))</f>
        <v>0</v>
      </c>
      <c r="AS319" s="110" t="n">
        <f aca="false">IF(OR(OR($B319="",$E319="",$F319=""),$L319&lt;&gt;"لا"),0,MAX(0,MIN($F319,EOMONTH(DATE(cfg_FY,12,1),0))-$E319+1))</f>
        <v>0</v>
      </c>
      <c r="AT319" s="110" t="n">
        <f aca="false">IF(OR(OR($B319="",$E319="",$F319=""),$K319&lt;&gt;"نعم",$M319="نعم"),0,MAX(0,MIN($F319,EOMONTH(DATE(cfg_FY,1,1),0))-MAX($E319,DATE(cfg_FY,1,1))+1))</f>
        <v>0</v>
      </c>
      <c r="AU319" s="110" t="n">
        <f aca="false">IF(OR(OR($B319="",$E319="",$F319=""),$K319&lt;&gt;"نعم",$M319="نعم"),0,MAX(0,MIN($F319,EOMONTH(DATE(cfg_FY,2,1),0))-MAX($E319,DATE(cfg_FY,2,1))+1))</f>
        <v>0</v>
      </c>
      <c r="AV319" s="110" t="n">
        <f aca="false">IF(OR(OR($B319="",$E319="",$F319=""),$K319&lt;&gt;"نعم",$M319="نعم"),0,MAX(0,MIN($F319,EOMONTH(DATE(cfg_FY,3,1),0))-MAX($E319,DATE(cfg_FY,3,1))+1))</f>
        <v>0</v>
      </c>
      <c r="AW319" s="110" t="n">
        <f aca="false">IF(OR(OR($B319="",$E319="",$F319=""),$K319&lt;&gt;"نعم",$M319="نعم"),0,MAX(0,MIN($F319,EOMONTH(DATE(cfg_FY,4,1),0))-MAX($E319,DATE(cfg_FY,4,1))+1))</f>
        <v>0</v>
      </c>
      <c r="AX319" s="110" t="n">
        <f aca="false">IF(OR(OR($B319="",$E319="",$F319=""),$K319&lt;&gt;"نعم",$M319="نعم"),0,MAX(0,MIN($F319,EOMONTH(DATE(cfg_FY,5,1),0))-MAX($E319,DATE(cfg_FY,5,1))+1))</f>
        <v>0</v>
      </c>
      <c r="AY319" s="110" t="n">
        <f aca="false">IF(OR(OR($B319="",$E319="",$F319=""),$K319&lt;&gt;"نعم",$M319="نعم"),0,MAX(0,MIN($F319,EOMONTH(DATE(cfg_FY,6,1),0))-MAX($E319,DATE(cfg_FY,6,1))+1))</f>
        <v>0</v>
      </c>
      <c r="AZ319" s="110" t="n">
        <f aca="false">IF(OR(OR($B319="",$E319="",$F319=""),$K319&lt;&gt;"نعم",$M319="نعم"),0,MAX(0,MIN($F319,EOMONTH(DATE(cfg_FY,7,1),0))-MAX($E319,DATE(cfg_FY,7,1))+1))</f>
        <v>0</v>
      </c>
      <c r="BA319" s="110" t="n">
        <f aca="false">IF(OR(OR($B319="",$E319="",$F319=""),$K319&lt;&gt;"نعم",$M319="نعم"),0,MAX(0,MIN($F319,EOMONTH(DATE(cfg_FY,8,1),0))-MAX($E319,DATE(cfg_FY,8,1))+1))</f>
        <v>0</v>
      </c>
      <c r="BB319" s="110" t="n">
        <f aca="false">IF(OR(OR($B319="",$E319="",$F319=""),$K319&lt;&gt;"نعم",$M319="نعم"),0,MAX(0,MIN($F319,EOMONTH(DATE(cfg_FY,9,1),0))-MAX($E319,DATE(cfg_FY,9,1))+1))</f>
        <v>0</v>
      </c>
      <c r="BC319" s="110" t="n">
        <f aca="false">IF(OR(OR($B319="",$E319="",$F319=""),$K319&lt;&gt;"نعم",$M319="نعم"),0,MAX(0,MIN($F319,EOMONTH(DATE(cfg_FY,10,1),0))-MAX($E319,DATE(cfg_FY,10,1))+1))</f>
        <v>0</v>
      </c>
      <c r="BD319" s="110" t="n">
        <f aca="false">IF(OR(OR($B319="",$E319="",$F319=""),$K319&lt;&gt;"نعم",$M319="نعم"),0,MAX(0,MIN($F319,EOMONTH(DATE(cfg_FY,11,1),0))-MAX($E319,DATE(cfg_FY,11,1))+1))</f>
        <v>0</v>
      </c>
      <c r="BE319" s="110" t="n">
        <f aca="false">IF(OR(OR($B319="",$E319="",$F319=""),$K319&lt;&gt;"نعم",$M319="نعم"),0,MAX(0,MIN($F319,EOMONTH(DATE(cfg_FY,12,1),0))-MAX($E319,DATE(cfg_FY,12,1))+1))</f>
        <v>0</v>
      </c>
    </row>
    <row r="320" customFormat="false" ht="15" hidden="false" customHeight="false" outlineLevel="0" collapsed="false">
      <c r="A320" s="93" t="str">
        <f aca="false">IF(B320="","",ROW()-5)</f>
        <v/>
      </c>
      <c r="B320" s="79"/>
      <c r="C320" s="80" t="str">
        <f aca="false">IF(B320="","",IFERROR(INDEX(الموظفون!$C$6:$C$105,MATCH(B320,الموظفون!$B$6:$B$105,0)),"✖ رقم غير موجود"))</f>
        <v/>
      </c>
      <c r="D320" s="79"/>
      <c r="E320" s="94"/>
      <c r="F320" s="94"/>
      <c r="G320" s="57" t="str">
        <f aca="false">IF(OR($B320="",$E320="",$F320=""),"",MAX(0,F320-E320+1))</f>
        <v/>
      </c>
      <c r="H320" s="58" t="str">
        <f aca="false">IF(D320="","",IFERROR(VLOOKUP(D320,cfg_LT,2,FALSE()),1))</f>
        <v/>
      </c>
      <c r="I320" s="82"/>
      <c r="J320" s="58" t="str">
        <f aca="false">IF(D320="","",IF(I320&lt;&gt;"",I320,H320))</f>
        <v/>
      </c>
      <c r="K320" s="80" t="str">
        <f aca="false">IF(D320="","",IFERROR(VLOOKUP($D320,cfg_LT,3,FALSE()),""))</f>
        <v/>
      </c>
      <c r="L320" s="80" t="str">
        <f aca="false">IF(D320="","",IFERROR(VLOOKUP($D320,cfg_LT,4,FALSE()),""))</f>
        <v/>
      </c>
      <c r="M320" s="80" t="str">
        <f aca="false">IF(D320="","",IFERROR(VLOOKUP($D320,cfg_LT,5,FALSE()),""))</f>
        <v/>
      </c>
      <c r="N320" s="97" t="n">
        <f aca="false">IF(OR(OR($B320="",$E320="",$F320=""),M320&lt;&gt;"نعم"),0,G320*J320*IFERROR(INDEX(الموظفون!$R$6:$R$105,MATCH(B320,الموظفون!$B$6:$B$105,0)),0)/cfg_DAYS_M)</f>
        <v>0</v>
      </c>
      <c r="O320" s="93" t="str">
        <f aca="false">IF(OR(OR($B320="",$E320="",$F320=""),M320&lt;&gt;"نعم"),"",IF(YEAR(E320)=cfg_FY,MONTH(E320),""))</f>
        <v/>
      </c>
      <c r="P320" s="80" t="str">
        <f aca="false">IF(B320="","",IF(OR(D320="",E320="",F320=""),"⚠ أكمل النوع والتواريخ",IF(F320&lt;E320,"✖ النهاية قبل البداية",IF(COUNTIFS($B$6:$B$505,B320,$E$6:$E$505,"&lt;="&amp;F320,$F$6:$F$505,"&gt;="&amp;E320)&gt;1,"⚠ تداخل مع سجل آخر",IF(E320&gt;cfg_VAL_DATE,"⏳ قادمة",IF(F320&lt;cfg_VAL_DATE,"✔ منتهية","✈ جارية في تاريخ التقرير"))))))</f>
        <v/>
      </c>
      <c r="Q320" s="79"/>
      <c r="R320" s="57" t="n">
        <f aca="false">IF(OR(OR($B320="",$E320="",$F320=""),L320&lt;&gt;"لا"),0,MAX(0,MIN(F320,cfg_Y_START-1)-E320+1))</f>
        <v>0</v>
      </c>
      <c r="S320" s="57" t="n">
        <f aca="false">IF(OR(OR($B320="",$E320="",$F320=""),L320&lt;&gt;"لا"),0,MAX(0,MIN(F320,cfg_VAL_DATE)-E320+1))</f>
        <v>0</v>
      </c>
      <c r="T320" s="57" t="n">
        <f aca="false">IF(OR(OR($B320="",$E320="",$F320=""),K320&lt;&gt;"نعم"),0,IF(M320="نعم",IF(AND(ISNUMBER(O320),N(O320)&lt;=cfg_VAL_M),G320,0),MAX(0,MIN(F320,cfg_VAL_DATE)-MAX(E320,cfg_Y_START)+1)))</f>
        <v>0</v>
      </c>
      <c r="V320" s="57" t="n">
        <f aca="false">IF(OR($B320="",$E320="",$F320=""),0,MAX(0,MIN($F320,EOMONTH(DATE(cfg_FY,1,1),0))-MAX($E320,DATE(cfg_FY,1,1))+1)*(1-IF($M320="نعم",0,N($J320))))</f>
        <v>0</v>
      </c>
      <c r="W320" s="57" t="n">
        <f aca="false">IF(OR($B320="",$E320="",$F320=""),0,MAX(0,MIN($F320,EOMONTH(DATE(cfg_FY,2,1),0))-MAX($E320,DATE(cfg_FY,2,1))+1)*(1-IF($M320="نعم",0,N($J320))))</f>
        <v>0</v>
      </c>
      <c r="X320" s="57" t="n">
        <f aca="false">IF(OR($B320="",$E320="",$F320=""),0,MAX(0,MIN($F320,EOMONTH(DATE(cfg_FY,3,1),0))-MAX($E320,DATE(cfg_FY,3,1))+1)*(1-IF($M320="نعم",0,N($J320))))</f>
        <v>0</v>
      </c>
      <c r="Y320" s="57" t="n">
        <f aca="false">IF(OR($B320="",$E320="",$F320=""),0,MAX(0,MIN($F320,EOMONTH(DATE(cfg_FY,4,1),0))-MAX($E320,DATE(cfg_FY,4,1))+1)*(1-IF($M320="نعم",0,N($J320))))</f>
        <v>0</v>
      </c>
      <c r="Z320" s="57" t="n">
        <f aca="false">IF(OR($B320="",$E320="",$F320=""),0,MAX(0,MIN($F320,EOMONTH(DATE(cfg_FY,5,1),0))-MAX($E320,DATE(cfg_FY,5,1))+1)*(1-IF($M320="نعم",0,N($J320))))</f>
        <v>0</v>
      </c>
      <c r="AA320" s="57" t="n">
        <f aca="false">IF(OR($B320="",$E320="",$F320=""),0,MAX(0,MIN($F320,EOMONTH(DATE(cfg_FY,6,1),0))-MAX($E320,DATE(cfg_FY,6,1))+1)*(1-IF($M320="نعم",0,N($J320))))</f>
        <v>0</v>
      </c>
      <c r="AB320" s="57" t="n">
        <f aca="false">IF(OR($B320="",$E320="",$F320=""),0,MAX(0,MIN($F320,EOMONTH(DATE(cfg_FY,7,1),0))-MAX($E320,DATE(cfg_FY,7,1))+1)*(1-IF($M320="نعم",0,N($J320))))</f>
        <v>0</v>
      </c>
      <c r="AC320" s="57" t="n">
        <f aca="false">IF(OR($B320="",$E320="",$F320=""),0,MAX(0,MIN($F320,EOMONTH(DATE(cfg_FY,8,1),0))-MAX($E320,DATE(cfg_FY,8,1))+1)*(1-IF($M320="نعم",0,N($J320))))</f>
        <v>0</v>
      </c>
      <c r="AD320" s="57" t="n">
        <f aca="false">IF(OR($B320="",$E320="",$F320=""),0,MAX(0,MIN($F320,EOMONTH(DATE(cfg_FY,9,1),0))-MAX($E320,DATE(cfg_FY,9,1))+1)*(1-IF($M320="نعم",0,N($J320))))</f>
        <v>0</v>
      </c>
      <c r="AE320" s="57" t="n">
        <f aca="false">IF(OR($B320="",$E320="",$F320=""),0,MAX(0,MIN($F320,EOMONTH(DATE(cfg_FY,10,1),0))-MAX($E320,DATE(cfg_FY,10,1))+1)*(1-IF($M320="نعم",0,N($J320))))</f>
        <v>0</v>
      </c>
      <c r="AF320" s="57" t="n">
        <f aca="false">IF(OR($B320="",$E320="",$F320=""),0,MAX(0,MIN($F320,EOMONTH(DATE(cfg_FY,11,1),0))-MAX($E320,DATE(cfg_FY,11,1))+1)*(1-IF($M320="نعم",0,N($J320))))</f>
        <v>0</v>
      </c>
      <c r="AG320" s="57" t="n">
        <f aca="false">IF(OR($B320="",$E320="",$F320=""),0,MAX(0,MIN($F320,EOMONTH(DATE(cfg_FY,12,1),0))-MAX($E320,DATE(cfg_FY,12,1))+1)*(1-IF($M320="نعم",0,N($J320))))</f>
        <v>0</v>
      </c>
      <c r="AH320" s="57" t="n">
        <f aca="false">IF(OR(OR($B320="",$E320="",$F320=""),$L320&lt;&gt;"لا"),0,MAX(0,MIN($F320,EOMONTH(DATE(cfg_FY,1,1),0))-$E320+1))</f>
        <v>0</v>
      </c>
      <c r="AI320" s="57" t="n">
        <f aca="false">IF(OR(OR($B320="",$E320="",$F320=""),$L320&lt;&gt;"لا"),0,MAX(0,MIN($F320,EOMONTH(DATE(cfg_FY,2,1),0))-$E320+1))</f>
        <v>0</v>
      </c>
      <c r="AJ320" s="57" t="n">
        <f aca="false">IF(OR(OR($B320="",$E320="",$F320=""),$L320&lt;&gt;"لا"),0,MAX(0,MIN($F320,EOMONTH(DATE(cfg_FY,3,1),0))-$E320+1))</f>
        <v>0</v>
      </c>
      <c r="AK320" s="57" t="n">
        <f aca="false">IF(OR(OR($B320="",$E320="",$F320=""),$L320&lt;&gt;"لا"),0,MAX(0,MIN($F320,EOMONTH(DATE(cfg_FY,4,1),0))-$E320+1))</f>
        <v>0</v>
      </c>
      <c r="AL320" s="57" t="n">
        <f aca="false">IF(OR(OR($B320="",$E320="",$F320=""),$L320&lt;&gt;"لا"),0,MAX(0,MIN($F320,EOMONTH(DATE(cfg_FY,5,1),0))-$E320+1))</f>
        <v>0</v>
      </c>
      <c r="AM320" s="57" t="n">
        <f aca="false">IF(OR(OR($B320="",$E320="",$F320=""),$L320&lt;&gt;"لا"),0,MAX(0,MIN($F320,EOMONTH(DATE(cfg_FY,6,1),0))-$E320+1))</f>
        <v>0</v>
      </c>
      <c r="AN320" s="57" t="n">
        <f aca="false">IF(OR(OR($B320="",$E320="",$F320=""),$L320&lt;&gt;"لا"),0,MAX(0,MIN($F320,EOMONTH(DATE(cfg_FY,7,1),0))-$E320+1))</f>
        <v>0</v>
      </c>
      <c r="AO320" s="57" t="n">
        <f aca="false">IF(OR(OR($B320="",$E320="",$F320=""),$L320&lt;&gt;"لا"),0,MAX(0,MIN($F320,EOMONTH(DATE(cfg_FY,8,1),0))-$E320+1))</f>
        <v>0</v>
      </c>
      <c r="AP320" s="57" t="n">
        <f aca="false">IF(OR(OR($B320="",$E320="",$F320=""),$L320&lt;&gt;"لا"),0,MAX(0,MIN($F320,EOMONTH(DATE(cfg_FY,9,1),0))-$E320+1))</f>
        <v>0</v>
      </c>
      <c r="AQ320" s="57" t="n">
        <f aca="false">IF(OR(OR($B320="",$E320="",$F320=""),$L320&lt;&gt;"لا"),0,MAX(0,MIN($F320,EOMONTH(DATE(cfg_FY,10,1),0))-$E320+1))</f>
        <v>0</v>
      </c>
      <c r="AR320" s="57" t="n">
        <f aca="false">IF(OR(OR($B320="",$E320="",$F320=""),$L320&lt;&gt;"لا"),0,MAX(0,MIN($F320,EOMONTH(DATE(cfg_FY,11,1),0))-$E320+1))</f>
        <v>0</v>
      </c>
      <c r="AS320" s="57" t="n">
        <f aca="false">IF(OR(OR($B320="",$E320="",$F320=""),$L320&lt;&gt;"لا"),0,MAX(0,MIN($F320,EOMONTH(DATE(cfg_FY,12,1),0))-$E320+1))</f>
        <v>0</v>
      </c>
      <c r="AT320" s="57" t="n">
        <f aca="false">IF(OR(OR($B320="",$E320="",$F320=""),$K320&lt;&gt;"نعم",$M320="نعم"),0,MAX(0,MIN($F320,EOMONTH(DATE(cfg_FY,1,1),0))-MAX($E320,DATE(cfg_FY,1,1))+1))</f>
        <v>0</v>
      </c>
      <c r="AU320" s="57" t="n">
        <f aca="false">IF(OR(OR($B320="",$E320="",$F320=""),$K320&lt;&gt;"نعم",$M320="نعم"),0,MAX(0,MIN($F320,EOMONTH(DATE(cfg_FY,2,1),0))-MAX($E320,DATE(cfg_FY,2,1))+1))</f>
        <v>0</v>
      </c>
      <c r="AV320" s="57" t="n">
        <f aca="false">IF(OR(OR($B320="",$E320="",$F320=""),$K320&lt;&gt;"نعم",$M320="نعم"),0,MAX(0,MIN($F320,EOMONTH(DATE(cfg_FY,3,1),0))-MAX($E320,DATE(cfg_FY,3,1))+1))</f>
        <v>0</v>
      </c>
      <c r="AW320" s="57" t="n">
        <f aca="false">IF(OR(OR($B320="",$E320="",$F320=""),$K320&lt;&gt;"نعم",$M320="نعم"),0,MAX(0,MIN($F320,EOMONTH(DATE(cfg_FY,4,1),0))-MAX($E320,DATE(cfg_FY,4,1))+1))</f>
        <v>0</v>
      </c>
      <c r="AX320" s="57" t="n">
        <f aca="false">IF(OR(OR($B320="",$E320="",$F320=""),$K320&lt;&gt;"نعم",$M320="نعم"),0,MAX(0,MIN($F320,EOMONTH(DATE(cfg_FY,5,1),0))-MAX($E320,DATE(cfg_FY,5,1))+1))</f>
        <v>0</v>
      </c>
      <c r="AY320" s="57" t="n">
        <f aca="false">IF(OR(OR($B320="",$E320="",$F320=""),$K320&lt;&gt;"نعم",$M320="نعم"),0,MAX(0,MIN($F320,EOMONTH(DATE(cfg_FY,6,1),0))-MAX($E320,DATE(cfg_FY,6,1))+1))</f>
        <v>0</v>
      </c>
      <c r="AZ320" s="57" t="n">
        <f aca="false">IF(OR(OR($B320="",$E320="",$F320=""),$K320&lt;&gt;"نعم",$M320="نعم"),0,MAX(0,MIN($F320,EOMONTH(DATE(cfg_FY,7,1),0))-MAX($E320,DATE(cfg_FY,7,1))+1))</f>
        <v>0</v>
      </c>
      <c r="BA320" s="57" t="n">
        <f aca="false">IF(OR(OR($B320="",$E320="",$F320=""),$K320&lt;&gt;"نعم",$M320="نعم"),0,MAX(0,MIN($F320,EOMONTH(DATE(cfg_FY,8,1),0))-MAX($E320,DATE(cfg_FY,8,1))+1))</f>
        <v>0</v>
      </c>
      <c r="BB320" s="57" t="n">
        <f aca="false">IF(OR(OR($B320="",$E320="",$F320=""),$K320&lt;&gt;"نعم",$M320="نعم"),0,MAX(0,MIN($F320,EOMONTH(DATE(cfg_FY,9,1),0))-MAX($E320,DATE(cfg_FY,9,1))+1))</f>
        <v>0</v>
      </c>
      <c r="BC320" s="57" t="n">
        <f aca="false">IF(OR(OR($B320="",$E320="",$F320=""),$K320&lt;&gt;"نعم",$M320="نعم"),0,MAX(0,MIN($F320,EOMONTH(DATE(cfg_FY,10,1),0))-MAX($E320,DATE(cfg_FY,10,1))+1))</f>
        <v>0</v>
      </c>
      <c r="BD320" s="57" t="n">
        <f aca="false">IF(OR(OR($B320="",$E320="",$F320=""),$K320&lt;&gt;"نعم",$M320="نعم"),0,MAX(0,MIN($F320,EOMONTH(DATE(cfg_FY,11,1),0))-MAX($E320,DATE(cfg_FY,11,1))+1))</f>
        <v>0</v>
      </c>
      <c r="BE320" s="57" t="n">
        <f aca="false">IF(OR(OR($B320="",$E320="",$F320=""),$K320&lt;&gt;"نعم",$M320="نعم"),0,MAX(0,MIN($F320,EOMONTH(DATE(cfg_FY,12,1),0))-MAX($E320,DATE(cfg_FY,12,1))+1))</f>
        <v>0</v>
      </c>
    </row>
    <row r="321" customFormat="false" ht="15" hidden="false" customHeight="false" outlineLevel="0" collapsed="false">
      <c r="A321" s="100" t="str">
        <f aca="false">IF(B321="","",ROW()-5)</f>
        <v/>
      </c>
      <c r="B321" s="79"/>
      <c r="C321" s="102" t="str">
        <f aca="false">IF(B321="","",IFERROR(INDEX(الموظفون!$C$6:$C$105,MATCH(B321,الموظفون!$B$6:$B$105,0)),"✖ رقم غير موجود"))</f>
        <v/>
      </c>
      <c r="D321" s="79"/>
      <c r="E321" s="94"/>
      <c r="F321" s="94"/>
      <c r="G321" s="110" t="str">
        <f aca="false">IF(OR($B321="",$E321="",$F321=""),"",MAX(0,F321-E321+1))</f>
        <v/>
      </c>
      <c r="H321" s="111" t="str">
        <f aca="false">IF(D321="","",IFERROR(VLOOKUP(D321,cfg_LT,2,FALSE()),1))</f>
        <v/>
      </c>
      <c r="I321" s="82"/>
      <c r="J321" s="111" t="str">
        <f aca="false">IF(D321="","",IF(I321&lt;&gt;"",I321,H321))</f>
        <v/>
      </c>
      <c r="K321" s="102" t="str">
        <f aca="false">IF(D321="","",IFERROR(VLOOKUP($D321,cfg_LT,3,FALSE()),""))</f>
        <v/>
      </c>
      <c r="L321" s="102" t="str">
        <f aca="false">IF(D321="","",IFERROR(VLOOKUP($D321,cfg_LT,4,FALSE()),""))</f>
        <v/>
      </c>
      <c r="M321" s="102" t="str">
        <f aca="false">IF(D321="","",IFERROR(VLOOKUP($D321,cfg_LT,5,FALSE()),""))</f>
        <v/>
      </c>
      <c r="N321" s="101" t="n">
        <f aca="false">IF(OR(OR($B321="",$E321="",$F321=""),M321&lt;&gt;"نعم"),0,G321*J321*IFERROR(INDEX(الموظفون!$R$6:$R$105,MATCH(B321,الموظفون!$B$6:$B$105,0)),0)/cfg_DAYS_M)</f>
        <v>0</v>
      </c>
      <c r="O321" s="100" t="str">
        <f aca="false">IF(OR(OR($B321="",$E321="",$F321=""),M321&lt;&gt;"نعم"),"",IF(YEAR(E321)=cfg_FY,MONTH(E321),""))</f>
        <v/>
      </c>
      <c r="P321" s="102" t="str">
        <f aca="false">IF(B321="","",IF(OR(D321="",E321="",F321=""),"⚠ أكمل النوع والتواريخ",IF(F321&lt;E321,"✖ النهاية قبل البداية",IF(COUNTIFS($B$6:$B$505,B321,$E$6:$E$505,"&lt;="&amp;F321,$F$6:$F$505,"&gt;="&amp;E321)&gt;1,"⚠ تداخل مع سجل آخر",IF(E321&gt;cfg_VAL_DATE,"⏳ قادمة",IF(F321&lt;cfg_VAL_DATE,"✔ منتهية","✈ جارية في تاريخ التقرير"))))))</f>
        <v/>
      </c>
      <c r="Q321" s="79"/>
      <c r="R321" s="110" t="n">
        <f aca="false">IF(OR(OR($B321="",$E321="",$F321=""),L321&lt;&gt;"لا"),0,MAX(0,MIN(F321,cfg_Y_START-1)-E321+1))</f>
        <v>0</v>
      </c>
      <c r="S321" s="110" t="n">
        <f aca="false">IF(OR(OR($B321="",$E321="",$F321=""),L321&lt;&gt;"لا"),0,MAX(0,MIN(F321,cfg_VAL_DATE)-E321+1))</f>
        <v>0</v>
      </c>
      <c r="T321" s="110" t="n">
        <f aca="false">IF(OR(OR($B321="",$E321="",$F321=""),K321&lt;&gt;"نعم"),0,IF(M321="نعم",IF(AND(ISNUMBER(O321),N(O321)&lt;=cfg_VAL_M),G321,0),MAX(0,MIN(F321,cfg_VAL_DATE)-MAX(E321,cfg_Y_START)+1)))</f>
        <v>0</v>
      </c>
      <c r="V321" s="110" t="n">
        <f aca="false">IF(OR($B321="",$E321="",$F321=""),0,MAX(0,MIN($F321,EOMONTH(DATE(cfg_FY,1,1),0))-MAX($E321,DATE(cfg_FY,1,1))+1)*(1-IF($M321="نعم",0,N($J321))))</f>
        <v>0</v>
      </c>
      <c r="W321" s="110" t="n">
        <f aca="false">IF(OR($B321="",$E321="",$F321=""),0,MAX(0,MIN($F321,EOMONTH(DATE(cfg_FY,2,1),0))-MAX($E321,DATE(cfg_FY,2,1))+1)*(1-IF($M321="نعم",0,N($J321))))</f>
        <v>0</v>
      </c>
      <c r="X321" s="110" t="n">
        <f aca="false">IF(OR($B321="",$E321="",$F321=""),0,MAX(0,MIN($F321,EOMONTH(DATE(cfg_FY,3,1),0))-MAX($E321,DATE(cfg_FY,3,1))+1)*(1-IF($M321="نعم",0,N($J321))))</f>
        <v>0</v>
      </c>
      <c r="Y321" s="110" t="n">
        <f aca="false">IF(OR($B321="",$E321="",$F321=""),0,MAX(0,MIN($F321,EOMONTH(DATE(cfg_FY,4,1),0))-MAX($E321,DATE(cfg_FY,4,1))+1)*(1-IF($M321="نعم",0,N($J321))))</f>
        <v>0</v>
      </c>
      <c r="Z321" s="110" t="n">
        <f aca="false">IF(OR($B321="",$E321="",$F321=""),0,MAX(0,MIN($F321,EOMONTH(DATE(cfg_FY,5,1),0))-MAX($E321,DATE(cfg_FY,5,1))+1)*(1-IF($M321="نعم",0,N($J321))))</f>
        <v>0</v>
      </c>
      <c r="AA321" s="110" t="n">
        <f aca="false">IF(OR($B321="",$E321="",$F321=""),0,MAX(0,MIN($F321,EOMONTH(DATE(cfg_FY,6,1),0))-MAX($E321,DATE(cfg_FY,6,1))+1)*(1-IF($M321="نعم",0,N($J321))))</f>
        <v>0</v>
      </c>
      <c r="AB321" s="110" t="n">
        <f aca="false">IF(OR($B321="",$E321="",$F321=""),0,MAX(0,MIN($F321,EOMONTH(DATE(cfg_FY,7,1),0))-MAX($E321,DATE(cfg_FY,7,1))+1)*(1-IF($M321="نعم",0,N($J321))))</f>
        <v>0</v>
      </c>
      <c r="AC321" s="110" t="n">
        <f aca="false">IF(OR($B321="",$E321="",$F321=""),0,MAX(0,MIN($F321,EOMONTH(DATE(cfg_FY,8,1),0))-MAX($E321,DATE(cfg_FY,8,1))+1)*(1-IF($M321="نعم",0,N($J321))))</f>
        <v>0</v>
      </c>
      <c r="AD321" s="110" t="n">
        <f aca="false">IF(OR($B321="",$E321="",$F321=""),0,MAX(0,MIN($F321,EOMONTH(DATE(cfg_FY,9,1),0))-MAX($E321,DATE(cfg_FY,9,1))+1)*(1-IF($M321="نعم",0,N($J321))))</f>
        <v>0</v>
      </c>
      <c r="AE321" s="110" t="n">
        <f aca="false">IF(OR($B321="",$E321="",$F321=""),0,MAX(0,MIN($F321,EOMONTH(DATE(cfg_FY,10,1),0))-MAX($E321,DATE(cfg_FY,10,1))+1)*(1-IF($M321="نعم",0,N($J321))))</f>
        <v>0</v>
      </c>
      <c r="AF321" s="110" t="n">
        <f aca="false">IF(OR($B321="",$E321="",$F321=""),0,MAX(0,MIN($F321,EOMONTH(DATE(cfg_FY,11,1),0))-MAX($E321,DATE(cfg_FY,11,1))+1)*(1-IF($M321="نعم",0,N($J321))))</f>
        <v>0</v>
      </c>
      <c r="AG321" s="110" t="n">
        <f aca="false">IF(OR($B321="",$E321="",$F321=""),0,MAX(0,MIN($F321,EOMONTH(DATE(cfg_FY,12,1),0))-MAX($E321,DATE(cfg_FY,12,1))+1)*(1-IF($M321="نعم",0,N($J321))))</f>
        <v>0</v>
      </c>
      <c r="AH321" s="110" t="n">
        <f aca="false">IF(OR(OR($B321="",$E321="",$F321=""),$L321&lt;&gt;"لا"),0,MAX(0,MIN($F321,EOMONTH(DATE(cfg_FY,1,1),0))-$E321+1))</f>
        <v>0</v>
      </c>
      <c r="AI321" s="110" t="n">
        <f aca="false">IF(OR(OR($B321="",$E321="",$F321=""),$L321&lt;&gt;"لا"),0,MAX(0,MIN($F321,EOMONTH(DATE(cfg_FY,2,1),0))-$E321+1))</f>
        <v>0</v>
      </c>
      <c r="AJ321" s="110" t="n">
        <f aca="false">IF(OR(OR($B321="",$E321="",$F321=""),$L321&lt;&gt;"لا"),0,MAX(0,MIN($F321,EOMONTH(DATE(cfg_FY,3,1),0))-$E321+1))</f>
        <v>0</v>
      </c>
      <c r="AK321" s="110" t="n">
        <f aca="false">IF(OR(OR($B321="",$E321="",$F321=""),$L321&lt;&gt;"لا"),0,MAX(0,MIN($F321,EOMONTH(DATE(cfg_FY,4,1),0))-$E321+1))</f>
        <v>0</v>
      </c>
      <c r="AL321" s="110" t="n">
        <f aca="false">IF(OR(OR($B321="",$E321="",$F321=""),$L321&lt;&gt;"لا"),0,MAX(0,MIN($F321,EOMONTH(DATE(cfg_FY,5,1),0))-$E321+1))</f>
        <v>0</v>
      </c>
      <c r="AM321" s="110" t="n">
        <f aca="false">IF(OR(OR($B321="",$E321="",$F321=""),$L321&lt;&gt;"لا"),0,MAX(0,MIN($F321,EOMONTH(DATE(cfg_FY,6,1),0))-$E321+1))</f>
        <v>0</v>
      </c>
      <c r="AN321" s="110" t="n">
        <f aca="false">IF(OR(OR($B321="",$E321="",$F321=""),$L321&lt;&gt;"لا"),0,MAX(0,MIN($F321,EOMONTH(DATE(cfg_FY,7,1),0))-$E321+1))</f>
        <v>0</v>
      </c>
      <c r="AO321" s="110" t="n">
        <f aca="false">IF(OR(OR($B321="",$E321="",$F321=""),$L321&lt;&gt;"لا"),0,MAX(0,MIN($F321,EOMONTH(DATE(cfg_FY,8,1),0))-$E321+1))</f>
        <v>0</v>
      </c>
      <c r="AP321" s="110" t="n">
        <f aca="false">IF(OR(OR($B321="",$E321="",$F321=""),$L321&lt;&gt;"لا"),0,MAX(0,MIN($F321,EOMONTH(DATE(cfg_FY,9,1),0))-$E321+1))</f>
        <v>0</v>
      </c>
      <c r="AQ321" s="110" t="n">
        <f aca="false">IF(OR(OR($B321="",$E321="",$F321=""),$L321&lt;&gt;"لا"),0,MAX(0,MIN($F321,EOMONTH(DATE(cfg_FY,10,1),0))-$E321+1))</f>
        <v>0</v>
      </c>
      <c r="AR321" s="110" t="n">
        <f aca="false">IF(OR(OR($B321="",$E321="",$F321=""),$L321&lt;&gt;"لا"),0,MAX(0,MIN($F321,EOMONTH(DATE(cfg_FY,11,1),0))-$E321+1))</f>
        <v>0</v>
      </c>
      <c r="AS321" s="110" t="n">
        <f aca="false">IF(OR(OR($B321="",$E321="",$F321=""),$L321&lt;&gt;"لا"),0,MAX(0,MIN($F321,EOMONTH(DATE(cfg_FY,12,1),0))-$E321+1))</f>
        <v>0</v>
      </c>
      <c r="AT321" s="110" t="n">
        <f aca="false">IF(OR(OR($B321="",$E321="",$F321=""),$K321&lt;&gt;"نعم",$M321="نعم"),0,MAX(0,MIN($F321,EOMONTH(DATE(cfg_FY,1,1),0))-MAX($E321,DATE(cfg_FY,1,1))+1))</f>
        <v>0</v>
      </c>
      <c r="AU321" s="110" t="n">
        <f aca="false">IF(OR(OR($B321="",$E321="",$F321=""),$K321&lt;&gt;"نعم",$M321="نعم"),0,MAX(0,MIN($F321,EOMONTH(DATE(cfg_FY,2,1),0))-MAX($E321,DATE(cfg_FY,2,1))+1))</f>
        <v>0</v>
      </c>
      <c r="AV321" s="110" t="n">
        <f aca="false">IF(OR(OR($B321="",$E321="",$F321=""),$K321&lt;&gt;"نعم",$M321="نعم"),0,MAX(0,MIN($F321,EOMONTH(DATE(cfg_FY,3,1),0))-MAX($E321,DATE(cfg_FY,3,1))+1))</f>
        <v>0</v>
      </c>
      <c r="AW321" s="110" t="n">
        <f aca="false">IF(OR(OR($B321="",$E321="",$F321=""),$K321&lt;&gt;"نعم",$M321="نعم"),0,MAX(0,MIN($F321,EOMONTH(DATE(cfg_FY,4,1),0))-MAX($E321,DATE(cfg_FY,4,1))+1))</f>
        <v>0</v>
      </c>
      <c r="AX321" s="110" t="n">
        <f aca="false">IF(OR(OR($B321="",$E321="",$F321=""),$K321&lt;&gt;"نعم",$M321="نعم"),0,MAX(0,MIN($F321,EOMONTH(DATE(cfg_FY,5,1),0))-MAX($E321,DATE(cfg_FY,5,1))+1))</f>
        <v>0</v>
      </c>
      <c r="AY321" s="110" t="n">
        <f aca="false">IF(OR(OR($B321="",$E321="",$F321=""),$K321&lt;&gt;"نعم",$M321="نعم"),0,MAX(0,MIN($F321,EOMONTH(DATE(cfg_FY,6,1),0))-MAX($E321,DATE(cfg_FY,6,1))+1))</f>
        <v>0</v>
      </c>
      <c r="AZ321" s="110" t="n">
        <f aca="false">IF(OR(OR($B321="",$E321="",$F321=""),$K321&lt;&gt;"نعم",$M321="نعم"),0,MAX(0,MIN($F321,EOMONTH(DATE(cfg_FY,7,1),0))-MAX($E321,DATE(cfg_FY,7,1))+1))</f>
        <v>0</v>
      </c>
      <c r="BA321" s="110" t="n">
        <f aca="false">IF(OR(OR($B321="",$E321="",$F321=""),$K321&lt;&gt;"نعم",$M321="نعم"),0,MAX(0,MIN($F321,EOMONTH(DATE(cfg_FY,8,1),0))-MAX($E321,DATE(cfg_FY,8,1))+1))</f>
        <v>0</v>
      </c>
      <c r="BB321" s="110" t="n">
        <f aca="false">IF(OR(OR($B321="",$E321="",$F321=""),$K321&lt;&gt;"نعم",$M321="نعم"),0,MAX(0,MIN($F321,EOMONTH(DATE(cfg_FY,9,1),0))-MAX($E321,DATE(cfg_FY,9,1))+1))</f>
        <v>0</v>
      </c>
      <c r="BC321" s="110" t="n">
        <f aca="false">IF(OR(OR($B321="",$E321="",$F321=""),$K321&lt;&gt;"نعم",$M321="نعم"),0,MAX(0,MIN($F321,EOMONTH(DATE(cfg_FY,10,1),0))-MAX($E321,DATE(cfg_FY,10,1))+1))</f>
        <v>0</v>
      </c>
      <c r="BD321" s="110" t="n">
        <f aca="false">IF(OR(OR($B321="",$E321="",$F321=""),$K321&lt;&gt;"نعم",$M321="نعم"),0,MAX(0,MIN($F321,EOMONTH(DATE(cfg_FY,11,1),0))-MAX($E321,DATE(cfg_FY,11,1))+1))</f>
        <v>0</v>
      </c>
      <c r="BE321" s="110" t="n">
        <f aca="false">IF(OR(OR($B321="",$E321="",$F321=""),$K321&lt;&gt;"نعم",$M321="نعم"),0,MAX(0,MIN($F321,EOMONTH(DATE(cfg_FY,12,1),0))-MAX($E321,DATE(cfg_FY,12,1))+1))</f>
        <v>0</v>
      </c>
    </row>
    <row r="322" customFormat="false" ht="15" hidden="false" customHeight="false" outlineLevel="0" collapsed="false">
      <c r="A322" s="93" t="str">
        <f aca="false">IF(B322="","",ROW()-5)</f>
        <v/>
      </c>
      <c r="B322" s="79"/>
      <c r="C322" s="80" t="str">
        <f aca="false">IF(B322="","",IFERROR(INDEX(الموظفون!$C$6:$C$105,MATCH(B322,الموظفون!$B$6:$B$105,0)),"✖ رقم غير موجود"))</f>
        <v/>
      </c>
      <c r="D322" s="79"/>
      <c r="E322" s="94"/>
      <c r="F322" s="94"/>
      <c r="G322" s="57" t="str">
        <f aca="false">IF(OR($B322="",$E322="",$F322=""),"",MAX(0,F322-E322+1))</f>
        <v/>
      </c>
      <c r="H322" s="58" t="str">
        <f aca="false">IF(D322="","",IFERROR(VLOOKUP(D322,cfg_LT,2,FALSE()),1))</f>
        <v/>
      </c>
      <c r="I322" s="82"/>
      <c r="J322" s="58" t="str">
        <f aca="false">IF(D322="","",IF(I322&lt;&gt;"",I322,H322))</f>
        <v/>
      </c>
      <c r="K322" s="80" t="str">
        <f aca="false">IF(D322="","",IFERROR(VLOOKUP($D322,cfg_LT,3,FALSE()),""))</f>
        <v/>
      </c>
      <c r="L322" s="80" t="str">
        <f aca="false">IF(D322="","",IFERROR(VLOOKUP($D322,cfg_LT,4,FALSE()),""))</f>
        <v/>
      </c>
      <c r="M322" s="80" t="str">
        <f aca="false">IF(D322="","",IFERROR(VLOOKUP($D322,cfg_LT,5,FALSE()),""))</f>
        <v/>
      </c>
      <c r="N322" s="97" t="n">
        <f aca="false">IF(OR(OR($B322="",$E322="",$F322=""),M322&lt;&gt;"نعم"),0,G322*J322*IFERROR(INDEX(الموظفون!$R$6:$R$105,MATCH(B322,الموظفون!$B$6:$B$105,0)),0)/cfg_DAYS_M)</f>
        <v>0</v>
      </c>
      <c r="O322" s="93" t="str">
        <f aca="false">IF(OR(OR($B322="",$E322="",$F322=""),M322&lt;&gt;"نعم"),"",IF(YEAR(E322)=cfg_FY,MONTH(E322),""))</f>
        <v/>
      </c>
      <c r="P322" s="80" t="str">
        <f aca="false">IF(B322="","",IF(OR(D322="",E322="",F322=""),"⚠ أكمل النوع والتواريخ",IF(F322&lt;E322,"✖ النهاية قبل البداية",IF(COUNTIFS($B$6:$B$505,B322,$E$6:$E$505,"&lt;="&amp;F322,$F$6:$F$505,"&gt;="&amp;E322)&gt;1,"⚠ تداخل مع سجل آخر",IF(E322&gt;cfg_VAL_DATE,"⏳ قادمة",IF(F322&lt;cfg_VAL_DATE,"✔ منتهية","✈ جارية في تاريخ التقرير"))))))</f>
        <v/>
      </c>
      <c r="Q322" s="79"/>
      <c r="R322" s="57" t="n">
        <f aca="false">IF(OR(OR($B322="",$E322="",$F322=""),L322&lt;&gt;"لا"),0,MAX(0,MIN(F322,cfg_Y_START-1)-E322+1))</f>
        <v>0</v>
      </c>
      <c r="S322" s="57" t="n">
        <f aca="false">IF(OR(OR($B322="",$E322="",$F322=""),L322&lt;&gt;"لا"),0,MAX(0,MIN(F322,cfg_VAL_DATE)-E322+1))</f>
        <v>0</v>
      </c>
      <c r="T322" s="57" t="n">
        <f aca="false">IF(OR(OR($B322="",$E322="",$F322=""),K322&lt;&gt;"نعم"),0,IF(M322="نعم",IF(AND(ISNUMBER(O322),N(O322)&lt;=cfg_VAL_M),G322,0),MAX(0,MIN(F322,cfg_VAL_DATE)-MAX(E322,cfg_Y_START)+1)))</f>
        <v>0</v>
      </c>
      <c r="V322" s="57" t="n">
        <f aca="false">IF(OR($B322="",$E322="",$F322=""),0,MAX(0,MIN($F322,EOMONTH(DATE(cfg_FY,1,1),0))-MAX($E322,DATE(cfg_FY,1,1))+1)*(1-IF($M322="نعم",0,N($J322))))</f>
        <v>0</v>
      </c>
      <c r="W322" s="57" t="n">
        <f aca="false">IF(OR($B322="",$E322="",$F322=""),0,MAX(0,MIN($F322,EOMONTH(DATE(cfg_FY,2,1),0))-MAX($E322,DATE(cfg_FY,2,1))+1)*(1-IF($M322="نعم",0,N($J322))))</f>
        <v>0</v>
      </c>
      <c r="X322" s="57" t="n">
        <f aca="false">IF(OR($B322="",$E322="",$F322=""),0,MAX(0,MIN($F322,EOMONTH(DATE(cfg_FY,3,1),0))-MAX($E322,DATE(cfg_FY,3,1))+1)*(1-IF($M322="نعم",0,N($J322))))</f>
        <v>0</v>
      </c>
      <c r="Y322" s="57" t="n">
        <f aca="false">IF(OR($B322="",$E322="",$F322=""),0,MAX(0,MIN($F322,EOMONTH(DATE(cfg_FY,4,1),0))-MAX($E322,DATE(cfg_FY,4,1))+1)*(1-IF($M322="نعم",0,N($J322))))</f>
        <v>0</v>
      </c>
      <c r="Z322" s="57" t="n">
        <f aca="false">IF(OR($B322="",$E322="",$F322=""),0,MAX(0,MIN($F322,EOMONTH(DATE(cfg_FY,5,1),0))-MAX($E322,DATE(cfg_FY,5,1))+1)*(1-IF($M322="نعم",0,N($J322))))</f>
        <v>0</v>
      </c>
      <c r="AA322" s="57" t="n">
        <f aca="false">IF(OR($B322="",$E322="",$F322=""),0,MAX(0,MIN($F322,EOMONTH(DATE(cfg_FY,6,1),0))-MAX($E322,DATE(cfg_FY,6,1))+1)*(1-IF($M322="نعم",0,N($J322))))</f>
        <v>0</v>
      </c>
      <c r="AB322" s="57" t="n">
        <f aca="false">IF(OR($B322="",$E322="",$F322=""),0,MAX(0,MIN($F322,EOMONTH(DATE(cfg_FY,7,1),0))-MAX($E322,DATE(cfg_FY,7,1))+1)*(1-IF($M322="نعم",0,N($J322))))</f>
        <v>0</v>
      </c>
      <c r="AC322" s="57" t="n">
        <f aca="false">IF(OR($B322="",$E322="",$F322=""),0,MAX(0,MIN($F322,EOMONTH(DATE(cfg_FY,8,1),0))-MAX($E322,DATE(cfg_FY,8,1))+1)*(1-IF($M322="نعم",0,N($J322))))</f>
        <v>0</v>
      </c>
      <c r="AD322" s="57" t="n">
        <f aca="false">IF(OR($B322="",$E322="",$F322=""),0,MAX(0,MIN($F322,EOMONTH(DATE(cfg_FY,9,1),0))-MAX($E322,DATE(cfg_FY,9,1))+1)*(1-IF($M322="نعم",0,N($J322))))</f>
        <v>0</v>
      </c>
      <c r="AE322" s="57" t="n">
        <f aca="false">IF(OR($B322="",$E322="",$F322=""),0,MAX(0,MIN($F322,EOMONTH(DATE(cfg_FY,10,1),0))-MAX($E322,DATE(cfg_FY,10,1))+1)*(1-IF($M322="نعم",0,N($J322))))</f>
        <v>0</v>
      </c>
      <c r="AF322" s="57" t="n">
        <f aca="false">IF(OR($B322="",$E322="",$F322=""),0,MAX(0,MIN($F322,EOMONTH(DATE(cfg_FY,11,1),0))-MAX($E322,DATE(cfg_FY,11,1))+1)*(1-IF($M322="نعم",0,N($J322))))</f>
        <v>0</v>
      </c>
      <c r="AG322" s="57" t="n">
        <f aca="false">IF(OR($B322="",$E322="",$F322=""),0,MAX(0,MIN($F322,EOMONTH(DATE(cfg_FY,12,1),0))-MAX($E322,DATE(cfg_FY,12,1))+1)*(1-IF($M322="نعم",0,N($J322))))</f>
        <v>0</v>
      </c>
      <c r="AH322" s="57" t="n">
        <f aca="false">IF(OR(OR($B322="",$E322="",$F322=""),$L322&lt;&gt;"لا"),0,MAX(0,MIN($F322,EOMONTH(DATE(cfg_FY,1,1),0))-$E322+1))</f>
        <v>0</v>
      </c>
      <c r="AI322" s="57" t="n">
        <f aca="false">IF(OR(OR($B322="",$E322="",$F322=""),$L322&lt;&gt;"لا"),0,MAX(0,MIN($F322,EOMONTH(DATE(cfg_FY,2,1),0))-$E322+1))</f>
        <v>0</v>
      </c>
      <c r="AJ322" s="57" t="n">
        <f aca="false">IF(OR(OR($B322="",$E322="",$F322=""),$L322&lt;&gt;"لا"),0,MAX(0,MIN($F322,EOMONTH(DATE(cfg_FY,3,1),0))-$E322+1))</f>
        <v>0</v>
      </c>
      <c r="AK322" s="57" t="n">
        <f aca="false">IF(OR(OR($B322="",$E322="",$F322=""),$L322&lt;&gt;"لا"),0,MAX(0,MIN($F322,EOMONTH(DATE(cfg_FY,4,1),0))-$E322+1))</f>
        <v>0</v>
      </c>
      <c r="AL322" s="57" t="n">
        <f aca="false">IF(OR(OR($B322="",$E322="",$F322=""),$L322&lt;&gt;"لا"),0,MAX(0,MIN($F322,EOMONTH(DATE(cfg_FY,5,1),0))-$E322+1))</f>
        <v>0</v>
      </c>
      <c r="AM322" s="57" t="n">
        <f aca="false">IF(OR(OR($B322="",$E322="",$F322=""),$L322&lt;&gt;"لا"),0,MAX(0,MIN($F322,EOMONTH(DATE(cfg_FY,6,1),0))-$E322+1))</f>
        <v>0</v>
      </c>
      <c r="AN322" s="57" t="n">
        <f aca="false">IF(OR(OR($B322="",$E322="",$F322=""),$L322&lt;&gt;"لا"),0,MAX(0,MIN($F322,EOMONTH(DATE(cfg_FY,7,1),0))-$E322+1))</f>
        <v>0</v>
      </c>
      <c r="AO322" s="57" t="n">
        <f aca="false">IF(OR(OR($B322="",$E322="",$F322=""),$L322&lt;&gt;"لا"),0,MAX(0,MIN($F322,EOMONTH(DATE(cfg_FY,8,1),0))-$E322+1))</f>
        <v>0</v>
      </c>
      <c r="AP322" s="57" t="n">
        <f aca="false">IF(OR(OR($B322="",$E322="",$F322=""),$L322&lt;&gt;"لا"),0,MAX(0,MIN($F322,EOMONTH(DATE(cfg_FY,9,1),0))-$E322+1))</f>
        <v>0</v>
      </c>
      <c r="AQ322" s="57" t="n">
        <f aca="false">IF(OR(OR($B322="",$E322="",$F322=""),$L322&lt;&gt;"لا"),0,MAX(0,MIN($F322,EOMONTH(DATE(cfg_FY,10,1),0))-$E322+1))</f>
        <v>0</v>
      </c>
      <c r="AR322" s="57" t="n">
        <f aca="false">IF(OR(OR($B322="",$E322="",$F322=""),$L322&lt;&gt;"لا"),0,MAX(0,MIN($F322,EOMONTH(DATE(cfg_FY,11,1),0))-$E322+1))</f>
        <v>0</v>
      </c>
      <c r="AS322" s="57" t="n">
        <f aca="false">IF(OR(OR($B322="",$E322="",$F322=""),$L322&lt;&gt;"لا"),0,MAX(0,MIN($F322,EOMONTH(DATE(cfg_FY,12,1),0))-$E322+1))</f>
        <v>0</v>
      </c>
      <c r="AT322" s="57" t="n">
        <f aca="false">IF(OR(OR($B322="",$E322="",$F322=""),$K322&lt;&gt;"نعم",$M322="نعم"),0,MAX(0,MIN($F322,EOMONTH(DATE(cfg_FY,1,1),0))-MAX($E322,DATE(cfg_FY,1,1))+1))</f>
        <v>0</v>
      </c>
      <c r="AU322" s="57" t="n">
        <f aca="false">IF(OR(OR($B322="",$E322="",$F322=""),$K322&lt;&gt;"نعم",$M322="نعم"),0,MAX(0,MIN($F322,EOMONTH(DATE(cfg_FY,2,1),0))-MAX($E322,DATE(cfg_FY,2,1))+1))</f>
        <v>0</v>
      </c>
      <c r="AV322" s="57" t="n">
        <f aca="false">IF(OR(OR($B322="",$E322="",$F322=""),$K322&lt;&gt;"نعم",$M322="نعم"),0,MAX(0,MIN($F322,EOMONTH(DATE(cfg_FY,3,1),0))-MAX($E322,DATE(cfg_FY,3,1))+1))</f>
        <v>0</v>
      </c>
      <c r="AW322" s="57" t="n">
        <f aca="false">IF(OR(OR($B322="",$E322="",$F322=""),$K322&lt;&gt;"نعم",$M322="نعم"),0,MAX(0,MIN($F322,EOMONTH(DATE(cfg_FY,4,1),0))-MAX($E322,DATE(cfg_FY,4,1))+1))</f>
        <v>0</v>
      </c>
      <c r="AX322" s="57" t="n">
        <f aca="false">IF(OR(OR($B322="",$E322="",$F322=""),$K322&lt;&gt;"نعم",$M322="نعم"),0,MAX(0,MIN($F322,EOMONTH(DATE(cfg_FY,5,1),0))-MAX($E322,DATE(cfg_FY,5,1))+1))</f>
        <v>0</v>
      </c>
      <c r="AY322" s="57" t="n">
        <f aca="false">IF(OR(OR($B322="",$E322="",$F322=""),$K322&lt;&gt;"نعم",$M322="نعم"),0,MAX(0,MIN($F322,EOMONTH(DATE(cfg_FY,6,1),0))-MAX($E322,DATE(cfg_FY,6,1))+1))</f>
        <v>0</v>
      </c>
      <c r="AZ322" s="57" t="n">
        <f aca="false">IF(OR(OR($B322="",$E322="",$F322=""),$K322&lt;&gt;"نعم",$M322="نعم"),0,MAX(0,MIN($F322,EOMONTH(DATE(cfg_FY,7,1),0))-MAX($E322,DATE(cfg_FY,7,1))+1))</f>
        <v>0</v>
      </c>
      <c r="BA322" s="57" t="n">
        <f aca="false">IF(OR(OR($B322="",$E322="",$F322=""),$K322&lt;&gt;"نعم",$M322="نعم"),0,MAX(0,MIN($F322,EOMONTH(DATE(cfg_FY,8,1),0))-MAX($E322,DATE(cfg_FY,8,1))+1))</f>
        <v>0</v>
      </c>
      <c r="BB322" s="57" t="n">
        <f aca="false">IF(OR(OR($B322="",$E322="",$F322=""),$K322&lt;&gt;"نعم",$M322="نعم"),0,MAX(0,MIN($F322,EOMONTH(DATE(cfg_FY,9,1),0))-MAX($E322,DATE(cfg_FY,9,1))+1))</f>
        <v>0</v>
      </c>
      <c r="BC322" s="57" t="n">
        <f aca="false">IF(OR(OR($B322="",$E322="",$F322=""),$K322&lt;&gt;"نعم",$M322="نعم"),0,MAX(0,MIN($F322,EOMONTH(DATE(cfg_FY,10,1),0))-MAX($E322,DATE(cfg_FY,10,1))+1))</f>
        <v>0</v>
      </c>
      <c r="BD322" s="57" t="n">
        <f aca="false">IF(OR(OR($B322="",$E322="",$F322=""),$K322&lt;&gt;"نعم",$M322="نعم"),0,MAX(0,MIN($F322,EOMONTH(DATE(cfg_FY,11,1),0))-MAX($E322,DATE(cfg_FY,11,1))+1))</f>
        <v>0</v>
      </c>
      <c r="BE322" s="57" t="n">
        <f aca="false">IF(OR(OR($B322="",$E322="",$F322=""),$K322&lt;&gt;"نعم",$M322="نعم"),0,MAX(0,MIN($F322,EOMONTH(DATE(cfg_FY,12,1),0))-MAX($E322,DATE(cfg_FY,12,1))+1))</f>
        <v>0</v>
      </c>
    </row>
    <row r="323" customFormat="false" ht="15" hidden="false" customHeight="false" outlineLevel="0" collapsed="false">
      <c r="A323" s="100" t="str">
        <f aca="false">IF(B323="","",ROW()-5)</f>
        <v/>
      </c>
      <c r="B323" s="79"/>
      <c r="C323" s="102" t="str">
        <f aca="false">IF(B323="","",IFERROR(INDEX(الموظفون!$C$6:$C$105,MATCH(B323,الموظفون!$B$6:$B$105,0)),"✖ رقم غير موجود"))</f>
        <v/>
      </c>
      <c r="D323" s="79"/>
      <c r="E323" s="94"/>
      <c r="F323" s="94"/>
      <c r="G323" s="110" t="str">
        <f aca="false">IF(OR($B323="",$E323="",$F323=""),"",MAX(0,F323-E323+1))</f>
        <v/>
      </c>
      <c r="H323" s="111" t="str">
        <f aca="false">IF(D323="","",IFERROR(VLOOKUP(D323,cfg_LT,2,FALSE()),1))</f>
        <v/>
      </c>
      <c r="I323" s="82"/>
      <c r="J323" s="111" t="str">
        <f aca="false">IF(D323="","",IF(I323&lt;&gt;"",I323,H323))</f>
        <v/>
      </c>
      <c r="K323" s="102" t="str">
        <f aca="false">IF(D323="","",IFERROR(VLOOKUP($D323,cfg_LT,3,FALSE()),""))</f>
        <v/>
      </c>
      <c r="L323" s="102" t="str">
        <f aca="false">IF(D323="","",IFERROR(VLOOKUP($D323,cfg_LT,4,FALSE()),""))</f>
        <v/>
      </c>
      <c r="M323" s="102" t="str">
        <f aca="false">IF(D323="","",IFERROR(VLOOKUP($D323,cfg_LT,5,FALSE()),""))</f>
        <v/>
      </c>
      <c r="N323" s="101" t="n">
        <f aca="false">IF(OR(OR($B323="",$E323="",$F323=""),M323&lt;&gt;"نعم"),0,G323*J323*IFERROR(INDEX(الموظفون!$R$6:$R$105,MATCH(B323,الموظفون!$B$6:$B$105,0)),0)/cfg_DAYS_M)</f>
        <v>0</v>
      </c>
      <c r="O323" s="100" t="str">
        <f aca="false">IF(OR(OR($B323="",$E323="",$F323=""),M323&lt;&gt;"نعم"),"",IF(YEAR(E323)=cfg_FY,MONTH(E323),""))</f>
        <v/>
      </c>
      <c r="P323" s="102" t="str">
        <f aca="false">IF(B323="","",IF(OR(D323="",E323="",F323=""),"⚠ أكمل النوع والتواريخ",IF(F323&lt;E323,"✖ النهاية قبل البداية",IF(COUNTIFS($B$6:$B$505,B323,$E$6:$E$505,"&lt;="&amp;F323,$F$6:$F$505,"&gt;="&amp;E323)&gt;1,"⚠ تداخل مع سجل آخر",IF(E323&gt;cfg_VAL_DATE,"⏳ قادمة",IF(F323&lt;cfg_VAL_DATE,"✔ منتهية","✈ جارية في تاريخ التقرير"))))))</f>
        <v/>
      </c>
      <c r="Q323" s="79"/>
      <c r="R323" s="110" t="n">
        <f aca="false">IF(OR(OR($B323="",$E323="",$F323=""),L323&lt;&gt;"لا"),0,MAX(0,MIN(F323,cfg_Y_START-1)-E323+1))</f>
        <v>0</v>
      </c>
      <c r="S323" s="110" t="n">
        <f aca="false">IF(OR(OR($B323="",$E323="",$F323=""),L323&lt;&gt;"لا"),0,MAX(0,MIN(F323,cfg_VAL_DATE)-E323+1))</f>
        <v>0</v>
      </c>
      <c r="T323" s="110" t="n">
        <f aca="false">IF(OR(OR($B323="",$E323="",$F323=""),K323&lt;&gt;"نعم"),0,IF(M323="نعم",IF(AND(ISNUMBER(O323),N(O323)&lt;=cfg_VAL_M),G323,0),MAX(0,MIN(F323,cfg_VAL_DATE)-MAX(E323,cfg_Y_START)+1)))</f>
        <v>0</v>
      </c>
      <c r="V323" s="110" t="n">
        <f aca="false">IF(OR($B323="",$E323="",$F323=""),0,MAX(0,MIN($F323,EOMONTH(DATE(cfg_FY,1,1),0))-MAX($E323,DATE(cfg_FY,1,1))+1)*(1-IF($M323="نعم",0,N($J323))))</f>
        <v>0</v>
      </c>
      <c r="W323" s="110" t="n">
        <f aca="false">IF(OR($B323="",$E323="",$F323=""),0,MAX(0,MIN($F323,EOMONTH(DATE(cfg_FY,2,1),0))-MAX($E323,DATE(cfg_FY,2,1))+1)*(1-IF($M323="نعم",0,N($J323))))</f>
        <v>0</v>
      </c>
      <c r="X323" s="110" t="n">
        <f aca="false">IF(OR($B323="",$E323="",$F323=""),0,MAX(0,MIN($F323,EOMONTH(DATE(cfg_FY,3,1),0))-MAX($E323,DATE(cfg_FY,3,1))+1)*(1-IF($M323="نعم",0,N($J323))))</f>
        <v>0</v>
      </c>
      <c r="Y323" s="110" t="n">
        <f aca="false">IF(OR($B323="",$E323="",$F323=""),0,MAX(0,MIN($F323,EOMONTH(DATE(cfg_FY,4,1),0))-MAX($E323,DATE(cfg_FY,4,1))+1)*(1-IF($M323="نعم",0,N($J323))))</f>
        <v>0</v>
      </c>
      <c r="Z323" s="110" t="n">
        <f aca="false">IF(OR($B323="",$E323="",$F323=""),0,MAX(0,MIN($F323,EOMONTH(DATE(cfg_FY,5,1),0))-MAX($E323,DATE(cfg_FY,5,1))+1)*(1-IF($M323="نعم",0,N($J323))))</f>
        <v>0</v>
      </c>
      <c r="AA323" s="110" t="n">
        <f aca="false">IF(OR($B323="",$E323="",$F323=""),0,MAX(0,MIN($F323,EOMONTH(DATE(cfg_FY,6,1),0))-MAX($E323,DATE(cfg_FY,6,1))+1)*(1-IF($M323="نعم",0,N($J323))))</f>
        <v>0</v>
      </c>
      <c r="AB323" s="110" t="n">
        <f aca="false">IF(OR($B323="",$E323="",$F323=""),0,MAX(0,MIN($F323,EOMONTH(DATE(cfg_FY,7,1),0))-MAX($E323,DATE(cfg_FY,7,1))+1)*(1-IF($M323="نعم",0,N($J323))))</f>
        <v>0</v>
      </c>
      <c r="AC323" s="110" t="n">
        <f aca="false">IF(OR($B323="",$E323="",$F323=""),0,MAX(0,MIN($F323,EOMONTH(DATE(cfg_FY,8,1),0))-MAX($E323,DATE(cfg_FY,8,1))+1)*(1-IF($M323="نعم",0,N($J323))))</f>
        <v>0</v>
      </c>
      <c r="AD323" s="110" t="n">
        <f aca="false">IF(OR($B323="",$E323="",$F323=""),0,MAX(0,MIN($F323,EOMONTH(DATE(cfg_FY,9,1),0))-MAX($E323,DATE(cfg_FY,9,1))+1)*(1-IF($M323="نعم",0,N($J323))))</f>
        <v>0</v>
      </c>
      <c r="AE323" s="110" t="n">
        <f aca="false">IF(OR($B323="",$E323="",$F323=""),0,MAX(0,MIN($F323,EOMONTH(DATE(cfg_FY,10,1),0))-MAX($E323,DATE(cfg_FY,10,1))+1)*(1-IF($M323="نعم",0,N($J323))))</f>
        <v>0</v>
      </c>
      <c r="AF323" s="110" t="n">
        <f aca="false">IF(OR($B323="",$E323="",$F323=""),0,MAX(0,MIN($F323,EOMONTH(DATE(cfg_FY,11,1),0))-MAX($E323,DATE(cfg_FY,11,1))+1)*(1-IF($M323="نعم",0,N($J323))))</f>
        <v>0</v>
      </c>
      <c r="AG323" s="110" t="n">
        <f aca="false">IF(OR($B323="",$E323="",$F323=""),0,MAX(0,MIN($F323,EOMONTH(DATE(cfg_FY,12,1),0))-MAX($E323,DATE(cfg_FY,12,1))+1)*(1-IF($M323="نعم",0,N($J323))))</f>
        <v>0</v>
      </c>
      <c r="AH323" s="110" t="n">
        <f aca="false">IF(OR(OR($B323="",$E323="",$F323=""),$L323&lt;&gt;"لا"),0,MAX(0,MIN($F323,EOMONTH(DATE(cfg_FY,1,1),0))-$E323+1))</f>
        <v>0</v>
      </c>
      <c r="AI323" s="110" t="n">
        <f aca="false">IF(OR(OR($B323="",$E323="",$F323=""),$L323&lt;&gt;"لا"),0,MAX(0,MIN($F323,EOMONTH(DATE(cfg_FY,2,1),0))-$E323+1))</f>
        <v>0</v>
      </c>
      <c r="AJ323" s="110" t="n">
        <f aca="false">IF(OR(OR($B323="",$E323="",$F323=""),$L323&lt;&gt;"لا"),0,MAX(0,MIN($F323,EOMONTH(DATE(cfg_FY,3,1),0))-$E323+1))</f>
        <v>0</v>
      </c>
      <c r="AK323" s="110" t="n">
        <f aca="false">IF(OR(OR($B323="",$E323="",$F323=""),$L323&lt;&gt;"لا"),0,MAX(0,MIN($F323,EOMONTH(DATE(cfg_FY,4,1),0))-$E323+1))</f>
        <v>0</v>
      </c>
      <c r="AL323" s="110" t="n">
        <f aca="false">IF(OR(OR($B323="",$E323="",$F323=""),$L323&lt;&gt;"لا"),0,MAX(0,MIN($F323,EOMONTH(DATE(cfg_FY,5,1),0))-$E323+1))</f>
        <v>0</v>
      </c>
      <c r="AM323" s="110" t="n">
        <f aca="false">IF(OR(OR($B323="",$E323="",$F323=""),$L323&lt;&gt;"لا"),0,MAX(0,MIN($F323,EOMONTH(DATE(cfg_FY,6,1),0))-$E323+1))</f>
        <v>0</v>
      </c>
      <c r="AN323" s="110" t="n">
        <f aca="false">IF(OR(OR($B323="",$E323="",$F323=""),$L323&lt;&gt;"لا"),0,MAX(0,MIN($F323,EOMONTH(DATE(cfg_FY,7,1),0))-$E323+1))</f>
        <v>0</v>
      </c>
      <c r="AO323" s="110" t="n">
        <f aca="false">IF(OR(OR($B323="",$E323="",$F323=""),$L323&lt;&gt;"لا"),0,MAX(0,MIN($F323,EOMONTH(DATE(cfg_FY,8,1),0))-$E323+1))</f>
        <v>0</v>
      </c>
      <c r="AP323" s="110" t="n">
        <f aca="false">IF(OR(OR($B323="",$E323="",$F323=""),$L323&lt;&gt;"لا"),0,MAX(0,MIN($F323,EOMONTH(DATE(cfg_FY,9,1),0))-$E323+1))</f>
        <v>0</v>
      </c>
      <c r="AQ323" s="110" t="n">
        <f aca="false">IF(OR(OR($B323="",$E323="",$F323=""),$L323&lt;&gt;"لا"),0,MAX(0,MIN($F323,EOMONTH(DATE(cfg_FY,10,1),0))-$E323+1))</f>
        <v>0</v>
      </c>
      <c r="AR323" s="110" t="n">
        <f aca="false">IF(OR(OR($B323="",$E323="",$F323=""),$L323&lt;&gt;"لا"),0,MAX(0,MIN($F323,EOMONTH(DATE(cfg_FY,11,1),0))-$E323+1))</f>
        <v>0</v>
      </c>
      <c r="AS323" s="110" t="n">
        <f aca="false">IF(OR(OR($B323="",$E323="",$F323=""),$L323&lt;&gt;"لا"),0,MAX(0,MIN($F323,EOMONTH(DATE(cfg_FY,12,1),0))-$E323+1))</f>
        <v>0</v>
      </c>
      <c r="AT323" s="110" t="n">
        <f aca="false">IF(OR(OR($B323="",$E323="",$F323=""),$K323&lt;&gt;"نعم",$M323="نعم"),0,MAX(0,MIN($F323,EOMONTH(DATE(cfg_FY,1,1),0))-MAX($E323,DATE(cfg_FY,1,1))+1))</f>
        <v>0</v>
      </c>
      <c r="AU323" s="110" t="n">
        <f aca="false">IF(OR(OR($B323="",$E323="",$F323=""),$K323&lt;&gt;"نعم",$M323="نعم"),0,MAX(0,MIN($F323,EOMONTH(DATE(cfg_FY,2,1),0))-MAX($E323,DATE(cfg_FY,2,1))+1))</f>
        <v>0</v>
      </c>
      <c r="AV323" s="110" t="n">
        <f aca="false">IF(OR(OR($B323="",$E323="",$F323=""),$K323&lt;&gt;"نعم",$M323="نعم"),0,MAX(0,MIN($F323,EOMONTH(DATE(cfg_FY,3,1),0))-MAX($E323,DATE(cfg_FY,3,1))+1))</f>
        <v>0</v>
      </c>
      <c r="AW323" s="110" t="n">
        <f aca="false">IF(OR(OR($B323="",$E323="",$F323=""),$K323&lt;&gt;"نعم",$M323="نعم"),0,MAX(0,MIN($F323,EOMONTH(DATE(cfg_FY,4,1),0))-MAX($E323,DATE(cfg_FY,4,1))+1))</f>
        <v>0</v>
      </c>
      <c r="AX323" s="110" t="n">
        <f aca="false">IF(OR(OR($B323="",$E323="",$F323=""),$K323&lt;&gt;"نعم",$M323="نعم"),0,MAX(0,MIN($F323,EOMONTH(DATE(cfg_FY,5,1),0))-MAX($E323,DATE(cfg_FY,5,1))+1))</f>
        <v>0</v>
      </c>
      <c r="AY323" s="110" t="n">
        <f aca="false">IF(OR(OR($B323="",$E323="",$F323=""),$K323&lt;&gt;"نعم",$M323="نعم"),0,MAX(0,MIN($F323,EOMONTH(DATE(cfg_FY,6,1),0))-MAX($E323,DATE(cfg_FY,6,1))+1))</f>
        <v>0</v>
      </c>
      <c r="AZ323" s="110" t="n">
        <f aca="false">IF(OR(OR($B323="",$E323="",$F323=""),$K323&lt;&gt;"نعم",$M323="نعم"),0,MAX(0,MIN($F323,EOMONTH(DATE(cfg_FY,7,1),0))-MAX($E323,DATE(cfg_FY,7,1))+1))</f>
        <v>0</v>
      </c>
      <c r="BA323" s="110" t="n">
        <f aca="false">IF(OR(OR($B323="",$E323="",$F323=""),$K323&lt;&gt;"نعم",$M323="نعم"),0,MAX(0,MIN($F323,EOMONTH(DATE(cfg_FY,8,1),0))-MAX($E323,DATE(cfg_FY,8,1))+1))</f>
        <v>0</v>
      </c>
      <c r="BB323" s="110" t="n">
        <f aca="false">IF(OR(OR($B323="",$E323="",$F323=""),$K323&lt;&gt;"نعم",$M323="نعم"),0,MAX(0,MIN($F323,EOMONTH(DATE(cfg_FY,9,1),0))-MAX($E323,DATE(cfg_FY,9,1))+1))</f>
        <v>0</v>
      </c>
      <c r="BC323" s="110" t="n">
        <f aca="false">IF(OR(OR($B323="",$E323="",$F323=""),$K323&lt;&gt;"نعم",$M323="نعم"),0,MAX(0,MIN($F323,EOMONTH(DATE(cfg_FY,10,1),0))-MAX($E323,DATE(cfg_FY,10,1))+1))</f>
        <v>0</v>
      </c>
      <c r="BD323" s="110" t="n">
        <f aca="false">IF(OR(OR($B323="",$E323="",$F323=""),$K323&lt;&gt;"نعم",$M323="نعم"),0,MAX(0,MIN($F323,EOMONTH(DATE(cfg_FY,11,1),0))-MAX($E323,DATE(cfg_FY,11,1))+1))</f>
        <v>0</v>
      </c>
      <c r="BE323" s="110" t="n">
        <f aca="false">IF(OR(OR($B323="",$E323="",$F323=""),$K323&lt;&gt;"نعم",$M323="نعم"),0,MAX(0,MIN($F323,EOMONTH(DATE(cfg_FY,12,1),0))-MAX($E323,DATE(cfg_FY,12,1))+1))</f>
        <v>0</v>
      </c>
    </row>
    <row r="324" customFormat="false" ht="15" hidden="false" customHeight="false" outlineLevel="0" collapsed="false">
      <c r="A324" s="93" t="str">
        <f aca="false">IF(B324="","",ROW()-5)</f>
        <v/>
      </c>
      <c r="B324" s="79"/>
      <c r="C324" s="80" t="str">
        <f aca="false">IF(B324="","",IFERROR(INDEX(الموظفون!$C$6:$C$105,MATCH(B324,الموظفون!$B$6:$B$105,0)),"✖ رقم غير موجود"))</f>
        <v/>
      </c>
      <c r="D324" s="79"/>
      <c r="E324" s="94"/>
      <c r="F324" s="94"/>
      <c r="G324" s="57" t="str">
        <f aca="false">IF(OR($B324="",$E324="",$F324=""),"",MAX(0,F324-E324+1))</f>
        <v/>
      </c>
      <c r="H324" s="58" t="str">
        <f aca="false">IF(D324="","",IFERROR(VLOOKUP(D324,cfg_LT,2,FALSE()),1))</f>
        <v/>
      </c>
      <c r="I324" s="82"/>
      <c r="J324" s="58" t="str">
        <f aca="false">IF(D324="","",IF(I324&lt;&gt;"",I324,H324))</f>
        <v/>
      </c>
      <c r="K324" s="80" t="str">
        <f aca="false">IF(D324="","",IFERROR(VLOOKUP($D324,cfg_LT,3,FALSE()),""))</f>
        <v/>
      </c>
      <c r="L324" s="80" t="str">
        <f aca="false">IF(D324="","",IFERROR(VLOOKUP($D324,cfg_LT,4,FALSE()),""))</f>
        <v/>
      </c>
      <c r="M324" s="80" t="str">
        <f aca="false">IF(D324="","",IFERROR(VLOOKUP($D324,cfg_LT,5,FALSE()),""))</f>
        <v/>
      </c>
      <c r="N324" s="97" t="n">
        <f aca="false">IF(OR(OR($B324="",$E324="",$F324=""),M324&lt;&gt;"نعم"),0,G324*J324*IFERROR(INDEX(الموظفون!$R$6:$R$105,MATCH(B324,الموظفون!$B$6:$B$105,0)),0)/cfg_DAYS_M)</f>
        <v>0</v>
      </c>
      <c r="O324" s="93" t="str">
        <f aca="false">IF(OR(OR($B324="",$E324="",$F324=""),M324&lt;&gt;"نعم"),"",IF(YEAR(E324)=cfg_FY,MONTH(E324),""))</f>
        <v/>
      </c>
      <c r="P324" s="80" t="str">
        <f aca="false">IF(B324="","",IF(OR(D324="",E324="",F324=""),"⚠ أكمل النوع والتواريخ",IF(F324&lt;E324,"✖ النهاية قبل البداية",IF(COUNTIFS($B$6:$B$505,B324,$E$6:$E$505,"&lt;="&amp;F324,$F$6:$F$505,"&gt;="&amp;E324)&gt;1,"⚠ تداخل مع سجل آخر",IF(E324&gt;cfg_VAL_DATE,"⏳ قادمة",IF(F324&lt;cfg_VAL_DATE,"✔ منتهية","✈ جارية في تاريخ التقرير"))))))</f>
        <v/>
      </c>
      <c r="Q324" s="79"/>
      <c r="R324" s="57" t="n">
        <f aca="false">IF(OR(OR($B324="",$E324="",$F324=""),L324&lt;&gt;"لا"),0,MAX(0,MIN(F324,cfg_Y_START-1)-E324+1))</f>
        <v>0</v>
      </c>
      <c r="S324" s="57" t="n">
        <f aca="false">IF(OR(OR($B324="",$E324="",$F324=""),L324&lt;&gt;"لا"),0,MAX(0,MIN(F324,cfg_VAL_DATE)-E324+1))</f>
        <v>0</v>
      </c>
      <c r="T324" s="57" t="n">
        <f aca="false">IF(OR(OR($B324="",$E324="",$F324=""),K324&lt;&gt;"نعم"),0,IF(M324="نعم",IF(AND(ISNUMBER(O324),N(O324)&lt;=cfg_VAL_M),G324,0),MAX(0,MIN(F324,cfg_VAL_DATE)-MAX(E324,cfg_Y_START)+1)))</f>
        <v>0</v>
      </c>
      <c r="V324" s="57" t="n">
        <f aca="false">IF(OR($B324="",$E324="",$F324=""),0,MAX(0,MIN($F324,EOMONTH(DATE(cfg_FY,1,1),0))-MAX($E324,DATE(cfg_FY,1,1))+1)*(1-IF($M324="نعم",0,N($J324))))</f>
        <v>0</v>
      </c>
      <c r="W324" s="57" t="n">
        <f aca="false">IF(OR($B324="",$E324="",$F324=""),0,MAX(0,MIN($F324,EOMONTH(DATE(cfg_FY,2,1),0))-MAX($E324,DATE(cfg_FY,2,1))+1)*(1-IF($M324="نعم",0,N($J324))))</f>
        <v>0</v>
      </c>
      <c r="X324" s="57" t="n">
        <f aca="false">IF(OR($B324="",$E324="",$F324=""),0,MAX(0,MIN($F324,EOMONTH(DATE(cfg_FY,3,1),0))-MAX($E324,DATE(cfg_FY,3,1))+1)*(1-IF($M324="نعم",0,N($J324))))</f>
        <v>0</v>
      </c>
      <c r="Y324" s="57" t="n">
        <f aca="false">IF(OR($B324="",$E324="",$F324=""),0,MAX(0,MIN($F324,EOMONTH(DATE(cfg_FY,4,1),0))-MAX($E324,DATE(cfg_FY,4,1))+1)*(1-IF($M324="نعم",0,N($J324))))</f>
        <v>0</v>
      </c>
      <c r="Z324" s="57" t="n">
        <f aca="false">IF(OR($B324="",$E324="",$F324=""),0,MAX(0,MIN($F324,EOMONTH(DATE(cfg_FY,5,1),0))-MAX($E324,DATE(cfg_FY,5,1))+1)*(1-IF($M324="نعم",0,N($J324))))</f>
        <v>0</v>
      </c>
      <c r="AA324" s="57" t="n">
        <f aca="false">IF(OR($B324="",$E324="",$F324=""),0,MAX(0,MIN($F324,EOMONTH(DATE(cfg_FY,6,1),0))-MAX($E324,DATE(cfg_FY,6,1))+1)*(1-IF($M324="نعم",0,N($J324))))</f>
        <v>0</v>
      </c>
      <c r="AB324" s="57" t="n">
        <f aca="false">IF(OR($B324="",$E324="",$F324=""),0,MAX(0,MIN($F324,EOMONTH(DATE(cfg_FY,7,1),0))-MAX($E324,DATE(cfg_FY,7,1))+1)*(1-IF($M324="نعم",0,N($J324))))</f>
        <v>0</v>
      </c>
      <c r="AC324" s="57" t="n">
        <f aca="false">IF(OR($B324="",$E324="",$F324=""),0,MAX(0,MIN($F324,EOMONTH(DATE(cfg_FY,8,1),0))-MAX($E324,DATE(cfg_FY,8,1))+1)*(1-IF($M324="نعم",0,N($J324))))</f>
        <v>0</v>
      </c>
      <c r="AD324" s="57" t="n">
        <f aca="false">IF(OR($B324="",$E324="",$F324=""),0,MAX(0,MIN($F324,EOMONTH(DATE(cfg_FY,9,1),0))-MAX($E324,DATE(cfg_FY,9,1))+1)*(1-IF($M324="نعم",0,N($J324))))</f>
        <v>0</v>
      </c>
      <c r="AE324" s="57" t="n">
        <f aca="false">IF(OR($B324="",$E324="",$F324=""),0,MAX(0,MIN($F324,EOMONTH(DATE(cfg_FY,10,1),0))-MAX($E324,DATE(cfg_FY,10,1))+1)*(1-IF($M324="نعم",0,N($J324))))</f>
        <v>0</v>
      </c>
      <c r="AF324" s="57" t="n">
        <f aca="false">IF(OR($B324="",$E324="",$F324=""),0,MAX(0,MIN($F324,EOMONTH(DATE(cfg_FY,11,1),0))-MAX($E324,DATE(cfg_FY,11,1))+1)*(1-IF($M324="نعم",0,N($J324))))</f>
        <v>0</v>
      </c>
      <c r="AG324" s="57" t="n">
        <f aca="false">IF(OR($B324="",$E324="",$F324=""),0,MAX(0,MIN($F324,EOMONTH(DATE(cfg_FY,12,1),0))-MAX($E324,DATE(cfg_FY,12,1))+1)*(1-IF($M324="نعم",0,N($J324))))</f>
        <v>0</v>
      </c>
      <c r="AH324" s="57" t="n">
        <f aca="false">IF(OR(OR($B324="",$E324="",$F324=""),$L324&lt;&gt;"لا"),0,MAX(0,MIN($F324,EOMONTH(DATE(cfg_FY,1,1),0))-$E324+1))</f>
        <v>0</v>
      </c>
      <c r="AI324" s="57" t="n">
        <f aca="false">IF(OR(OR($B324="",$E324="",$F324=""),$L324&lt;&gt;"لا"),0,MAX(0,MIN($F324,EOMONTH(DATE(cfg_FY,2,1),0))-$E324+1))</f>
        <v>0</v>
      </c>
      <c r="AJ324" s="57" t="n">
        <f aca="false">IF(OR(OR($B324="",$E324="",$F324=""),$L324&lt;&gt;"لا"),0,MAX(0,MIN($F324,EOMONTH(DATE(cfg_FY,3,1),0))-$E324+1))</f>
        <v>0</v>
      </c>
      <c r="AK324" s="57" t="n">
        <f aca="false">IF(OR(OR($B324="",$E324="",$F324=""),$L324&lt;&gt;"لا"),0,MAX(0,MIN($F324,EOMONTH(DATE(cfg_FY,4,1),0))-$E324+1))</f>
        <v>0</v>
      </c>
      <c r="AL324" s="57" t="n">
        <f aca="false">IF(OR(OR($B324="",$E324="",$F324=""),$L324&lt;&gt;"لا"),0,MAX(0,MIN($F324,EOMONTH(DATE(cfg_FY,5,1),0))-$E324+1))</f>
        <v>0</v>
      </c>
      <c r="AM324" s="57" t="n">
        <f aca="false">IF(OR(OR($B324="",$E324="",$F324=""),$L324&lt;&gt;"لا"),0,MAX(0,MIN($F324,EOMONTH(DATE(cfg_FY,6,1),0))-$E324+1))</f>
        <v>0</v>
      </c>
      <c r="AN324" s="57" t="n">
        <f aca="false">IF(OR(OR($B324="",$E324="",$F324=""),$L324&lt;&gt;"لا"),0,MAX(0,MIN($F324,EOMONTH(DATE(cfg_FY,7,1),0))-$E324+1))</f>
        <v>0</v>
      </c>
      <c r="AO324" s="57" t="n">
        <f aca="false">IF(OR(OR($B324="",$E324="",$F324=""),$L324&lt;&gt;"لا"),0,MAX(0,MIN($F324,EOMONTH(DATE(cfg_FY,8,1),0))-$E324+1))</f>
        <v>0</v>
      </c>
      <c r="AP324" s="57" t="n">
        <f aca="false">IF(OR(OR($B324="",$E324="",$F324=""),$L324&lt;&gt;"لا"),0,MAX(0,MIN($F324,EOMONTH(DATE(cfg_FY,9,1),0))-$E324+1))</f>
        <v>0</v>
      </c>
      <c r="AQ324" s="57" t="n">
        <f aca="false">IF(OR(OR($B324="",$E324="",$F324=""),$L324&lt;&gt;"لا"),0,MAX(0,MIN($F324,EOMONTH(DATE(cfg_FY,10,1),0))-$E324+1))</f>
        <v>0</v>
      </c>
      <c r="AR324" s="57" t="n">
        <f aca="false">IF(OR(OR($B324="",$E324="",$F324=""),$L324&lt;&gt;"لا"),0,MAX(0,MIN($F324,EOMONTH(DATE(cfg_FY,11,1),0))-$E324+1))</f>
        <v>0</v>
      </c>
      <c r="AS324" s="57" t="n">
        <f aca="false">IF(OR(OR($B324="",$E324="",$F324=""),$L324&lt;&gt;"لا"),0,MAX(0,MIN($F324,EOMONTH(DATE(cfg_FY,12,1),0))-$E324+1))</f>
        <v>0</v>
      </c>
      <c r="AT324" s="57" t="n">
        <f aca="false">IF(OR(OR($B324="",$E324="",$F324=""),$K324&lt;&gt;"نعم",$M324="نعم"),0,MAX(0,MIN($F324,EOMONTH(DATE(cfg_FY,1,1),0))-MAX($E324,DATE(cfg_FY,1,1))+1))</f>
        <v>0</v>
      </c>
      <c r="AU324" s="57" t="n">
        <f aca="false">IF(OR(OR($B324="",$E324="",$F324=""),$K324&lt;&gt;"نعم",$M324="نعم"),0,MAX(0,MIN($F324,EOMONTH(DATE(cfg_FY,2,1),0))-MAX($E324,DATE(cfg_FY,2,1))+1))</f>
        <v>0</v>
      </c>
      <c r="AV324" s="57" t="n">
        <f aca="false">IF(OR(OR($B324="",$E324="",$F324=""),$K324&lt;&gt;"نعم",$M324="نعم"),0,MAX(0,MIN($F324,EOMONTH(DATE(cfg_FY,3,1),0))-MAX($E324,DATE(cfg_FY,3,1))+1))</f>
        <v>0</v>
      </c>
      <c r="AW324" s="57" t="n">
        <f aca="false">IF(OR(OR($B324="",$E324="",$F324=""),$K324&lt;&gt;"نعم",$M324="نعم"),0,MAX(0,MIN($F324,EOMONTH(DATE(cfg_FY,4,1),0))-MAX($E324,DATE(cfg_FY,4,1))+1))</f>
        <v>0</v>
      </c>
      <c r="AX324" s="57" t="n">
        <f aca="false">IF(OR(OR($B324="",$E324="",$F324=""),$K324&lt;&gt;"نعم",$M324="نعم"),0,MAX(0,MIN($F324,EOMONTH(DATE(cfg_FY,5,1),0))-MAX($E324,DATE(cfg_FY,5,1))+1))</f>
        <v>0</v>
      </c>
      <c r="AY324" s="57" t="n">
        <f aca="false">IF(OR(OR($B324="",$E324="",$F324=""),$K324&lt;&gt;"نعم",$M324="نعم"),0,MAX(0,MIN($F324,EOMONTH(DATE(cfg_FY,6,1),0))-MAX($E324,DATE(cfg_FY,6,1))+1))</f>
        <v>0</v>
      </c>
      <c r="AZ324" s="57" t="n">
        <f aca="false">IF(OR(OR($B324="",$E324="",$F324=""),$K324&lt;&gt;"نعم",$M324="نعم"),0,MAX(0,MIN($F324,EOMONTH(DATE(cfg_FY,7,1),0))-MAX($E324,DATE(cfg_FY,7,1))+1))</f>
        <v>0</v>
      </c>
      <c r="BA324" s="57" t="n">
        <f aca="false">IF(OR(OR($B324="",$E324="",$F324=""),$K324&lt;&gt;"نعم",$M324="نعم"),0,MAX(0,MIN($F324,EOMONTH(DATE(cfg_FY,8,1),0))-MAX($E324,DATE(cfg_FY,8,1))+1))</f>
        <v>0</v>
      </c>
      <c r="BB324" s="57" t="n">
        <f aca="false">IF(OR(OR($B324="",$E324="",$F324=""),$K324&lt;&gt;"نعم",$M324="نعم"),0,MAX(0,MIN($F324,EOMONTH(DATE(cfg_FY,9,1),0))-MAX($E324,DATE(cfg_FY,9,1))+1))</f>
        <v>0</v>
      </c>
      <c r="BC324" s="57" t="n">
        <f aca="false">IF(OR(OR($B324="",$E324="",$F324=""),$K324&lt;&gt;"نعم",$M324="نعم"),0,MAX(0,MIN($F324,EOMONTH(DATE(cfg_FY,10,1),0))-MAX($E324,DATE(cfg_FY,10,1))+1))</f>
        <v>0</v>
      </c>
      <c r="BD324" s="57" t="n">
        <f aca="false">IF(OR(OR($B324="",$E324="",$F324=""),$K324&lt;&gt;"نعم",$M324="نعم"),0,MAX(0,MIN($F324,EOMONTH(DATE(cfg_FY,11,1),0))-MAX($E324,DATE(cfg_FY,11,1))+1))</f>
        <v>0</v>
      </c>
      <c r="BE324" s="57" t="n">
        <f aca="false">IF(OR(OR($B324="",$E324="",$F324=""),$K324&lt;&gt;"نعم",$M324="نعم"),0,MAX(0,MIN($F324,EOMONTH(DATE(cfg_FY,12,1),0))-MAX($E324,DATE(cfg_FY,12,1))+1))</f>
        <v>0</v>
      </c>
    </row>
    <row r="325" customFormat="false" ht="15" hidden="false" customHeight="false" outlineLevel="0" collapsed="false">
      <c r="A325" s="100" t="str">
        <f aca="false">IF(B325="","",ROW()-5)</f>
        <v/>
      </c>
      <c r="B325" s="79"/>
      <c r="C325" s="102" t="str">
        <f aca="false">IF(B325="","",IFERROR(INDEX(الموظفون!$C$6:$C$105,MATCH(B325,الموظفون!$B$6:$B$105,0)),"✖ رقم غير موجود"))</f>
        <v/>
      </c>
      <c r="D325" s="79"/>
      <c r="E325" s="94"/>
      <c r="F325" s="94"/>
      <c r="G325" s="110" t="str">
        <f aca="false">IF(OR($B325="",$E325="",$F325=""),"",MAX(0,F325-E325+1))</f>
        <v/>
      </c>
      <c r="H325" s="111" t="str">
        <f aca="false">IF(D325="","",IFERROR(VLOOKUP(D325,cfg_LT,2,FALSE()),1))</f>
        <v/>
      </c>
      <c r="I325" s="82"/>
      <c r="J325" s="111" t="str">
        <f aca="false">IF(D325="","",IF(I325&lt;&gt;"",I325,H325))</f>
        <v/>
      </c>
      <c r="K325" s="102" t="str">
        <f aca="false">IF(D325="","",IFERROR(VLOOKUP($D325,cfg_LT,3,FALSE()),""))</f>
        <v/>
      </c>
      <c r="L325" s="102" t="str">
        <f aca="false">IF(D325="","",IFERROR(VLOOKUP($D325,cfg_LT,4,FALSE()),""))</f>
        <v/>
      </c>
      <c r="M325" s="102" t="str">
        <f aca="false">IF(D325="","",IFERROR(VLOOKUP($D325,cfg_LT,5,FALSE()),""))</f>
        <v/>
      </c>
      <c r="N325" s="101" t="n">
        <f aca="false">IF(OR(OR($B325="",$E325="",$F325=""),M325&lt;&gt;"نعم"),0,G325*J325*IFERROR(INDEX(الموظفون!$R$6:$R$105,MATCH(B325,الموظفون!$B$6:$B$105,0)),0)/cfg_DAYS_M)</f>
        <v>0</v>
      </c>
      <c r="O325" s="100" t="str">
        <f aca="false">IF(OR(OR($B325="",$E325="",$F325=""),M325&lt;&gt;"نعم"),"",IF(YEAR(E325)=cfg_FY,MONTH(E325),""))</f>
        <v/>
      </c>
      <c r="P325" s="102" t="str">
        <f aca="false">IF(B325="","",IF(OR(D325="",E325="",F325=""),"⚠ أكمل النوع والتواريخ",IF(F325&lt;E325,"✖ النهاية قبل البداية",IF(COUNTIFS($B$6:$B$505,B325,$E$6:$E$505,"&lt;="&amp;F325,$F$6:$F$505,"&gt;="&amp;E325)&gt;1,"⚠ تداخل مع سجل آخر",IF(E325&gt;cfg_VAL_DATE,"⏳ قادمة",IF(F325&lt;cfg_VAL_DATE,"✔ منتهية","✈ جارية في تاريخ التقرير"))))))</f>
        <v/>
      </c>
      <c r="Q325" s="79"/>
      <c r="R325" s="110" t="n">
        <f aca="false">IF(OR(OR($B325="",$E325="",$F325=""),L325&lt;&gt;"لا"),0,MAX(0,MIN(F325,cfg_Y_START-1)-E325+1))</f>
        <v>0</v>
      </c>
      <c r="S325" s="110" t="n">
        <f aca="false">IF(OR(OR($B325="",$E325="",$F325=""),L325&lt;&gt;"لا"),0,MAX(0,MIN(F325,cfg_VAL_DATE)-E325+1))</f>
        <v>0</v>
      </c>
      <c r="T325" s="110" t="n">
        <f aca="false">IF(OR(OR($B325="",$E325="",$F325=""),K325&lt;&gt;"نعم"),0,IF(M325="نعم",IF(AND(ISNUMBER(O325),N(O325)&lt;=cfg_VAL_M),G325,0),MAX(0,MIN(F325,cfg_VAL_DATE)-MAX(E325,cfg_Y_START)+1)))</f>
        <v>0</v>
      </c>
      <c r="V325" s="110" t="n">
        <f aca="false">IF(OR($B325="",$E325="",$F325=""),0,MAX(0,MIN($F325,EOMONTH(DATE(cfg_FY,1,1),0))-MAX($E325,DATE(cfg_FY,1,1))+1)*(1-IF($M325="نعم",0,N($J325))))</f>
        <v>0</v>
      </c>
      <c r="W325" s="110" t="n">
        <f aca="false">IF(OR($B325="",$E325="",$F325=""),0,MAX(0,MIN($F325,EOMONTH(DATE(cfg_FY,2,1),0))-MAX($E325,DATE(cfg_FY,2,1))+1)*(1-IF($M325="نعم",0,N($J325))))</f>
        <v>0</v>
      </c>
      <c r="X325" s="110" t="n">
        <f aca="false">IF(OR($B325="",$E325="",$F325=""),0,MAX(0,MIN($F325,EOMONTH(DATE(cfg_FY,3,1),0))-MAX($E325,DATE(cfg_FY,3,1))+1)*(1-IF($M325="نعم",0,N($J325))))</f>
        <v>0</v>
      </c>
      <c r="Y325" s="110" t="n">
        <f aca="false">IF(OR($B325="",$E325="",$F325=""),0,MAX(0,MIN($F325,EOMONTH(DATE(cfg_FY,4,1),0))-MAX($E325,DATE(cfg_FY,4,1))+1)*(1-IF($M325="نعم",0,N($J325))))</f>
        <v>0</v>
      </c>
      <c r="Z325" s="110" t="n">
        <f aca="false">IF(OR($B325="",$E325="",$F325=""),0,MAX(0,MIN($F325,EOMONTH(DATE(cfg_FY,5,1),0))-MAX($E325,DATE(cfg_FY,5,1))+1)*(1-IF($M325="نعم",0,N($J325))))</f>
        <v>0</v>
      </c>
      <c r="AA325" s="110" t="n">
        <f aca="false">IF(OR($B325="",$E325="",$F325=""),0,MAX(0,MIN($F325,EOMONTH(DATE(cfg_FY,6,1),0))-MAX($E325,DATE(cfg_FY,6,1))+1)*(1-IF($M325="نعم",0,N($J325))))</f>
        <v>0</v>
      </c>
      <c r="AB325" s="110" t="n">
        <f aca="false">IF(OR($B325="",$E325="",$F325=""),0,MAX(0,MIN($F325,EOMONTH(DATE(cfg_FY,7,1),0))-MAX($E325,DATE(cfg_FY,7,1))+1)*(1-IF($M325="نعم",0,N($J325))))</f>
        <v>0</v>
      </c>
      <c r="AC325" s="110" t="n">
        <f aca="false">IF(OR($B325="",$E325="",$F325=""),0,MAX(0,MIN($F325,EOMONTH(DATE(cfg_FY,8,1),0))-MAX($E325,DATE(cfg_FY,8,1))+1)*(1-IF($M325="نعم",0,N($J325))))</f>
        <v>0</v>
      </c>
      <c r="AD325" s="110" t="n">
        <f aca="false">IF(OR($B325="",$E325="",$F325=""),0,MAX(0,MIN($F325,EOMONTH(DATE(cfg_FY,9,1),0))-MAX($E325,DATE(cfg_FY,9,1))+1)*(1-IF($M325="نعم",0,N($J325))))</f>
        <v>0</v>
      </c>
      <c r="AE325" s="110" t="n">
        <f aca="false">IF(OR($B325="",$E325="",$F325=""),0,MAX(0,MIN($F325,EOMONTH(DATE(cfg_FY,10,1),0))-MAX($E325,DATE(cfg_FY,10,1))+1)*(1-IF($M325="نعم",0,N($J325))))</f>
        <v>0</v>
      </c>
      <c r="AF325" s="110" t="n">
        <f aca="false">IF(OR($B325="",$E325="",$F325=""),0,MAX(0,MIN($F325,EOMONTH(DATE(cfg_FY,11,1),0))-MAX($E325,DATE(cfg_FY,11,1))+1)*(1-IF($M325="نعم",0,N($J325))))</f>
        <v>0</v>
      </c>
      <c r="AG325" s="110" t="n">
        <f aca="false">IF(OR($B325="",$E325="",$F325=""),0,MAX(0,MIN($F325,EOMONTH(DATE(cfg_FY,12,1),0))-MAX($E325,DATE(cfg_FY,12,1))+1)*(1-IF($M325="نعم",0,N($J325))))</f>
        <v>0</v>
      </c>
      <c r="AH325" s="110" t="n">
        <f aca="false">IF(OR(OR($B325="",$E325="",$F325=""),$L325&lt;&gt;"لا"),0,MAX(0,MIN($F325,EOMONTH(DATE(cfg_FY,1,1),0))-$E325+1))</f>
        <v>0</v>
      </c>
      <c r="AI325" s="110" t="n">
        <f aca="false">IF(OR(OR($B325="",$E325="",$F325=""),$L325&lt;&gt;"لا"),0,MAX(0,MIN($F325,EOMONTH(DATE(cfg_FY,2,1),0))-$E325+1))</f>
        <v>0</v>
      </c>
      <c r="AJ325" s="110" t="n">
        <f aca="false">IF(OR(OR($B325="",$E325="",$F325=""),$L325&lt;&gt;"لا"),0,MAX(0,MIN($F325,EOMONTH(DATE(cfg_FY,3,1),0))-$E325+1))</f>
        <v>0</v>
      </c>
      <c r="AK325" s="110" t="n">
        <f aca="false">IF(OR(OR($B325="",$E325="",$F325=""),$L325&lt;&gt;"لا"),0,MAX(0,MIN($F325,EOMONTH(DATE(cfg_FY,4,1),0))-$E325+1))</f>
        <v>0</v>
      </c>
      <c r="AL325" s="110" t="n">
        <f aca="false">IF(OR(OR($B325="",$E325="",$F325=""),$L325&lt;&gt;"لا"),0,MAX(0,MIN($F325,EOMONTH(DATE(cfg_FY,5,1),0))-$E325+1))</f>
        <v>0</v>
      </c>
      <c r="AM325" s="110" t="n">
        <f aca="false">IF(OR(OR($B325="",$E325="",$F325=""),$L325&lt;&gt;"لا"),0,MAX(0,MIN($F325,EOMONTH(DATE(cfg_FY,6,1),0))-$E325+1))</f>
        <v>0</v>
      </c>
      <c r="AN325" s="110" t="n">
        <f aca="false">IF(OR(OR($B325="",$E325="",$F325=""),$L325&lt;&gt;"لا"),0,MAX(0,MIN($F325,EOMONTH(DATE(cfg_FY,7,1),0))-$E325+1))</f>
        <v>0</v>
      </c>
      <c r="AO325" s="110" t="n">
        <f aca="false">IF(OR(OR($B325="",$E325="",$F325=""),$L325&lt;&gt;"لا"),0,MAX(0,MIN($F325,EOMONTH(DATE(cfg_FY,8,1),0))-$E325+1))</f>
        <v>0</v>
      </c>
      <c r="AP325" s="110" t="n">
        <f aca="false">IF(OR(OR($B325="",$E325="",$F325=""),$L325&lt;&gt;"لا"),0,MAX(0,MIN($F325,EOMONTH(DATE(cfg_FY,9,1),0))-$E325+1))</f>
        <v>0</v>
      </c>
      <c r="AQ325" s="110" t="n">
        <f aca="false">IF(OR(OR($B325="",$E325="",$F325=""),$L325&lt;&gt;"لا"),0,MAX(0,MIN($F325,EOMONTH(DATE(cfg_FY,10,1),0))-$E325+1))</f>
        <v>0</v>
      </c>
      <c r="AR325" s="110" t="n">
        <f aca="false">IF(OR(OR($B325="",$E325="",$F325=""),$L325&lt;&gt;"لا"),0,MAX(0,MIN($F325,EOMONTH(DATE(cfg_FY,11,1),0))-$E325+1))</f>
        <v>0</v>
      </c>
      <c r="AS325" s="110" t="n">
        <f aca="false">IF(OR(OR($B325="",$E325="",$F325=""),$L325&lt;&gt;"لا"),0,MAX(0,MIN($F325,EOMONTH(DATE(cfg_FY,12,1),0))-$E325+1))</f>
        <v>0</v>
      </c>
      <c r="AT325" s="110" t="n">
        <f aca="false">IF(OR(OR($B325="",$E325="",$F325=""),$K325&lt;&gt;"نعم",$M325="نعم"),0,MAX(0,MIN($F325,EOMONTH(DATE(cfg_FY,1,1),0))-MAX($E325,DATE(cfg_FY,1,1))+1))</f>
        <v>0</v>
      </c>
      <c r="AU325" s="110" t="n">
        <f aca="false">IF(OR(OR($B325="",$E325="",$F325=""),$K325&lt;&gt;"نعم",$M325="نعم"),0,MAX(0,MIN($F325,EOMONTH(DATE(cfg_FY,2,1),0))-MAX($E325,DATE(cfg_FY,2,1))+1))</f>
        <v>0</v>
      </c>
      <c r="AV325" s="110" t="n">
        <f aca="false">IF(OR(OR($B325="",$E325="",$F325=""),$K325&lt;&gt;"نعم",$M325="نعم"),0,MAX(0,MIN($F325,EOMONTH(DATE(cfg_FY,3,1),0))-MAX($E325,DATE(cfg_FY,3,1))+1))</f>
        <v>0</v>
      </c>
      <c r="AW325" s="110" t="n">
        <f aca="false">IF(OR(OR($B325="",$E325="",$F325=""),$K325&lt;&gt;"نعم",$M325="نعم"),0,MAX(0,MIN($F325,EOMONTH(DATE(cfg_FY,4,1),0))-MAX($E325,DATE(cfg_FY,4,1))+1))</f>
        <v>0</v>
      </c>
      <c r="AX325" s="110" t="n">
        <f aca="false">IF(OR(OR($B325="",$E325="",$F325=""),$K325&lt;&gt;"نعم",$M325="نعم"),0,MAX(0,MIN($F325,EOMONTH(DATE(cfg_FY,5,1),0))-MAX($E325,DATE(cfg_FY,5,1))+1))</f>
        <v>0</v>
      </c>
      <c r="AY325" s="110" t="n">
        <f aca="false">IF(OR(OR($B325="",$E325="",$F325=""),$K325&lt;&gt;"نعم",$M325="نعم"),0,MAX(0,MIN($F325,EOMONTH(DATE(cfg_FY,6,1),0))-MAX($E325,DATE(cfg_FY,6,1))+1))</f>
        <v>0</v>
      </c>
      <c r="AZ325" s="110" t="n">
        <f aca="false">IF(OR(OR($B325="",$E325="",$F325=""),$K325&lt;&gt;"نعم",$M325="نعم"),0,MAX(0,MIN($F325,EOMONTH(DATE(cfg_FY,7,1),0))-MAX($E325,DATE(cfg_FY,7,1))+1))</f>
        <v>0</v>
      </c>
      <c r="BA325" s="110" t="n">
        <f aca="false">IF(OR(OR($B325="",$E325="",$F325=""),$K325&lt;&gt;"نعم",$M325="نعم"),0,MAX(0,MIN($F325,EOMONTH(DATE(cfg_FY,8,1),0))-MAX($E325,DATE(cfg_FY,8,1))+1))</f>
        <v>0</v>
      </c>
      <c r="BB325" s="110" t="n">
        <f aca="false">IF(OR(OR($B325="",$E325="",$F325=""),$K325&lt;&gt;"نعم",$M325="نعم"),0,MAX(0,MIN($F325,EOMONTH(DATE(cfg_FY,9,1),0))-MAX($E325,DATE(cfg_FY,9,1))+1))</f>
        <v>0</v>
      </c>
      <c r="BC325" s="110" t="n">
        <f aca="false">IF(OR(OR($B325="",$E325="",$F325=""),$K325&lt;&gt;"نعم",$M325="نعم"),0,MAX(0,MIN($F325,EOMONTH(DATE(cfg_FY,10,1),0))-MAX($E325,DATE(cfg_FY,10,1))+1))</f>
        <v>0</v>
      </c>
      <c r="BD325" s="110" t="n">
        <f aca="false">IF(OR(OR($B325="",$E325="",$F325=""),$K325&lt;&gt;"نعم",$M325="نعم"),0,MAX(0,MIN($F325,EOMONTH(DATE(cfg_FY,11,1),0))-MAX($E325,DATE(cfg_FY,11,1))+1))</f>
        <v>0</v>
      </c>
      <c r="BE325" s="110" t="n">
        <f aca="false">IF(OR(OR($B325="",$E325="",$F325=""),$K325&lt;&gt;"نعم",$M325="نعم"),0,MAX(0,MIN($F325,EOMONTH(DATE(cfg_FY,12,1),0))-MAX($E325,DATE(cfg_FY,12,1))+1))</f>
        <v>0</v>
      </c>
    </row>
    <row r="326" customFormat="false" ht="15" hidden="false" customHeight="false" outlineLevel="0" collapsed="false">
      <c r="A326" s="93" t="str">
        <f aca="false">IF(B326="","",ROW()-5)</f>
        <v/>
      </c>
      <c r="B326" s="79"/>
      <c r="C326" s="80" t="str">
        <f aca="false">IF(B326="","",IFERROR(INDEX(الموظفون!$C$6:$C$105,MATCH(B326,الموظفون!$B$6:$B$105,0)),"✖ رقم غير موجود"))</f>
        <v/>
      </c>
      <c r="D326" s="79"/>
      <c r="E326" s="94"/>
      <c r="F326" s="94"/>
      <c r="G326" s="57" t="str">
        <f aca="false">IF(OR($B326="",$E326="",$F326=""),"",MAX(0,F326-E326+1))</f>
        <v/>
      </c>
      <c r="H326" s="58" t="str">
        <f aca="false">IF(D326="","",IFERROR(VLOOKUP(D326,cfg_LT,2,FALSE()),1))</f>
        <v/>
      </c>
      <c r="I326" s="82"/>
      <c r="J326" s="58" t="str">
        <f aca="false">IF(D326="","",IF(I326&lt;&gt;"",I326,H326))</f>
        <v/>
      </c>
      <c r="K326" s="80" t="str">
        <f aca="false">IF(D326="","",IFERROR(VLOOKUP($D326,cfg_LT,3,FALSE()),""))</f>
        <v/>
      </c>
      <c r="L326" s="80" t="str">
        <f aca="false">IF(D326="","",IFERROR(VLOOKUP($D326,cfg_LT,4,FALSE()),""))</f>
        <v/>
      </c>
      <c r="M326" s="80" t="str">
        <f aca="false">IF(D326="","",IFERROR(VLOOKUP($D326,cfg_LT,5,FALSE()),""))</f>
        <v/>
      </c>
      <c r="N326" s="97" t="n">
        <f aca="false">IF(OR(OR($B326="",$E326="",$F326=""),M326&lt;&gt;"نعم"),0,G326*J326*IFERROR(INDEX(الموظفون!$R$6:$R$105,MATCH(B326,الموظفون!$B$6:$B$105,0)),0)/cfg_DAYS_M)</f>
        <v>0</v>
      </c>
      <c r="O326" s="93" t="str">
        <f aca="false">IF(OR(OR($B326="",$E326="",$F326=""),M326&lt;&gt;"نعم"),"",IF(YEAR(E326)=cfg_FY,MONTH(E326),""))</f>
        <v/>
      </c>
      <c r="P326" s="80" t="str">
        <f aca="false">IF(B326="","",IF(OR(D326="",E326="",F326=""),"⚠ أكمل النوع والتواريخ",IF(F326&lt;E326,"✖ النهاية قبل البداية",IF(COUNTIFS($B$6:$B$505,B326,$E$6:$E$505,"&lt;="&amp;F326,$F$6:$F$505,"&gt;="&amp;E326)&gt;1,"⚠ تداخل مع سجل آخر",IF(E326&gt;cfg_VAL_DATE,"⏳ قادمة",IF(F326&lt;cfg_VAL_DATE,"✔ منتهية","✈ جارية في تاريخ التقرير"))))))</f>
        <v/>
      </c>
      <c r="Q326" s="79"/>
      <c r="R326" s="57" t="n">
        <f aca="false">IF(OR(OR($B326="",$E326="",$F326=""),L326&lt;&gt;"لا"),0,MAX(0,MIN(F326,cfg_Y_START-1)-E326+1))</f>
        <v>0</v>
      </c>
      <c r="S326" s="57" t="n">
        <f aca="false">IF(OR(OR($B326="",$E326="",$F326=""),L326&lt;&gt;"لا"),0,MAX(0,MIN(F326,cfg_VAL_DATE)-E326+1))</f>
        <v>0</v>
      </c>
      <c r="T326" s="57" t="n">
        <f aca="false">IF(OR(OR($B326="",$E326="",$F326=""),K326&lt;&gt;"نعم"),0,IF(M326="نعم",IF(AND(ISNUMBER(O326),N(O326)&lt;=cfg_VAL_M),G326,0),MAX(0,MIN(F326,cfg_VAL_DATE)-MAX(E326,cfg_Y_START)+1)))</f>
        <v>0</v>
      </c>
      <c r="V326" s="57" t="n">
        <f aca="false">IF(OR($B326="",$E326="",$F326=""),0,MAX(0,MIN($F326,EOMONTH(DATE(cfg_FY,1,1),0))-MAX($E326,DATE(cfg_FY,1,1))+1)*(1-IF($M326="نعم",0,N($J326))))</f>
        <v>0</v>
      </c>
      <c r="W326" s="57" t="n">
        <f aca="false">IF(OR($B326="",$E326="",$F326=""),0,MAX(0,MIN($F326,EOMONTH(DATE(cfg_FY,2,1),0))-MAX($E326,DATE(cfg_FY,2,1))+1)*(1-IF($M326="نعم",0,N($J326))))</f>
        <v>0</v>
      </c>
      <c r="X326" s="57" t="n">
        <f aca="false">IF(OR($B326="",$E326="",$F326=""),0,MAX(0,MIN($F326,EOMONTH(DATE(cfg_FY,3,1),0))-MAX($E326,DATE(cfg_FY,3,1))+1)*(1-IF($M326="نعم",0,N($J326))))</f>
        <v>0</v>
      </c>
      <c r="Y326" s="57" t="n">
        <f aca="false">IF(OR($B326="",$E326="",$F326=""),0,MAX(0,MIN($F326,EOMONTH(DATE(cfg_FY,4,1),0))-MAX($E326,DATE(cfg_FY,4,1))+1)*(1-IF($M326="نعم",0,N($J326))))</f>
        <v>0</v>
      </c>
      <c r="Z326" s="57" t="n">
        <f aca="false">IF(OR($B326="",$E326="",$F326=""),0,MAX(0,MIN($F326,EOMONTH(DATE(cfg_FY,5,1),0))-MAX($E326,DATE(cfg_FY,5,1))+1)*(1-IF($M326="نعم",0,N($J326))))</f>
        <v>0</v>
      </c>
      <c r="AA326" s="57" t="n">
        <f aca="false">IF(OR($B326="",$E326="",$F326=""),0,MAX(0,MIN($F326,EOMONTH(DATE(cfg_FY,6,1),0))-MAX($E326,DATE(cfg_FY,6,1))+1)*(1-IF($M326="نعم",0,N($J326))))</f>
        <v>0</v>
      </c>
      <c r="AB326" s="57" t="n">
        <f aca="false">IF(OR($B326="",$E326="",$F326=""),0,MAX(0,MIN($F326,EOMONTH(DATE(cfg_FY,7,1),0))-MAX($E326,DATE(cfg_FY,7,1))+1)*(1-IF($M326="نعم",0,N($J326))))</f>
        <v>0</v>
      </c>
      <c r="AC326" s="57" t="n">
        <f aca="false">IF(OR($B326="",$E326="",$F326=""),0,MAX(0,MIN($F326,EOMONTH(DATE(cfg_FY,8,1),0))-MAX($E326,DATE(cfg_FY,8,1))+1)*(1-IF($M326="نعم",0,N($J326))))</f>
        <v>0</v>
      </c>
      <c r="AD326" s="57" t="n">
        <f aca="false">IF(OR($B326="",$E326="",$F326=""),0,MAX(0,MIN($F326,EOMONTH(DATE(cfg_FY,9,1),0))-MAX($E326,DATE(cfg_FY,9,1))+1)*(1-IF($M326="نعم",0,N($J326))))</f>
        <v>0</v>
      </c>
      <c r="AE326" s="57" t="n">
        <f aca="false">IF(OR($B326="",$E326="",$F326=""),0,MAX(0,MIN($F326,EOMONTH(DATE(cfg_FY,10,1),0))-MAX($E326,DATE(cfg_FY,10,1))+1)*(1-IF($M326="نعم",0,N($J326))))</f>
        <v>0</v>
      </c>
      <c r="AF326" s="57" t="n">
        <f aca="false">IF(OR($B326="",$E326="",$F326=""),0,MAX(0,MIN($F326,EOMONTH(DATE(cfg_FY,11,1),0))-MAX($E326,DATE(cfg_FY,11,1))+1)*(1-IF($M326="نعم",0,N($J326))))</f>
        <v>0</v>
      </c>
      <c r="AG326" s="57" t="n">
        <f aca="false">IF(OR($B326="",$E326="",$F326=""),0,MAX(0,MIN($F326,EOMONTH(DATE(cfg_FY,12,1),0))-MAX($E326,DATE(cfg_FY,12,1))+1)*(1-IF($M326="نعم",0,N($J326))))</f>
        <v>0</v>
      </c>
      <c r="AH326" s="57" t="n">
        <f aca="false">IF(OR(OR($B326="",$E326="",$F326=""),$L326&lt;&gt;"لا"),0,MAX(0,MIN($F326,EOMONTH(DATE(cfg_FY,1,1),0))-$E326+1))</f>
        <v>0</v>
      </c>
      <c r="AI326" s="57" t="n">
        <f aca="false">IF(OR(OR($B326="",$E326="",$F326=""),$L326&lt;&gt;"لا"),0,MAX(0,MIN($F326,EOMONTH(DATE(cfg_FY,2,1),0))-$E326+1))</f>
        <v>0</v>
      </c>
      <c r="AJ326" s="57" t="n">
        <f aca="false">IF(OR(OR($B326="",$E326="",$F326=""),$L326&lt;&gt;"لا"),0,MAX(0,MIN($F326,EOMONTH(DATE(cfg_FY,3,1),0))-$E326+1))</f>
        <v>0</v>
      </c>
      <c r="AK326" s="57" t="n">
        <f aca="false">IF(OR(OR($B326="",$E326="",$F326=""),$L326&lt;&gt;"لا"),0,MAX(0,MIN($F326,EOMONTH(DATE(cfg_FY,4,1),0))-$E326+1))</f>
        <v>0</v>
      </c>
      <c r="AL326" s="57" t="n">
        <f aca="false">IF(OR(OR($B326="",$E326="",$F326=""),$L326&lt;&gt;"لا"),0,MAX(0,MIN($F326,EOMONTH(DATE(cfg_FY,5,1),0))-$E326+1))</f>
        <v>0</v>
      </c>
      <c r="AM326" s="57" t="n">
        <f aca="false">IF(OR(OR($B326="",$E326="",$F326=""),$L326&lt;&gt;"لا"),0,MAX(0,MIN($F326,EOMONTH(DATE(cfg_FY,6,1),0))-$E326+1))</f>
        <v>0</v>
      </c>
      <c r="AN326" s="57" t="n">
        <f aca="false">IF(OR(OR($B326="",$E326="",$F326=""),$L326&lt;&gt;"لا"),0,MAX(0,MIN($F326,EOMONTH(DATE(cfg_FY,7,1),0))-$E326+1))</f>
        <v>0</v>
      </c>
      <c r="AO326" s="57" t="n">
        <f aca="false">IF(OR(OR($B326="",$E326="",$F326=""),$L326&lt;&gt;"لا"),0,MAX(0,MIN($F326,EOMONTH(DATE(cfg_FY,8,1),0))-$E326+1))</f>
        <v>0</v>
      </c>
      <c r="AP326" s="57" t="n">
        <f aca="false">IF(OR(OR($B326="",$E326="",$F326=""),$L326&lt;&gt;"لا"),0,MAX(0,MIN($F326,EOMONTH(DATE(cfg_FY,9,1),0))-$E326+1))</f>
        <v>0</v>
      </c>
      <c r="AQ326" s="57" t="n">
        <f aca="false">IF(OR(OR($B326="",$E326="",$F326=""),$L326&lt;&gt;"لا"),0,MAX(0,MIN($F326,EOMONTH(DATE(cfg_FY,10,1),0))-$E326+1))</f>
        <v>0</v>
      </c>
      <c r="AR326" s="57" t="n">
        <f aca="false">IF(OR(OR($B326="",$E326="",$F326=""),$L326&lt;&gt;"لا"),0,MAX(0,MIN($F326,EOMONTH(DATE(cfg_FY,11,1),0))-$E326+1))</f>
        <v>0</v>
      </c>
      <c r="AS326" s="57" t="n">
        <f aca="false">IF(OR(OR($B326="",$E326="",$F326=""),$L326&lt;&gt;"لا"),0,MAX(0,MIN($F326,EOMONTH(DATE(cfg_FY,12,1),0))-$E326+1))</f>
        <v>0</v>
      </c>
      <c r="AT326" s="57" t="n">
        <f aca="false">IF(OR(OR($B326="",$E326="",$F326=""),$K326&lt;&gt;"نعم",$M326="نعم"),0,MAX(0,MIN($F326,EOMONTH(DATE(cfg_FY,1,1),0))-MAX($E326,DATE(cfg_FY,1,1))+1))</f>
        <v>0</v>
      </c>
      <c r="AU326" s="57" t="n">
        <f aca="false">IF(OR(OR($B326="",$E326="",$F326=""),$K326&lt;&gt;"نعم",$M326="نعم"),0,MAX(0,MIN($F326,EOMONTH(DATE(cfg_FY,2,1),0))-MAX($E326,DATE(cfg_FY,2,1))+1))</f>
        <v>0</v>
      </c>
      <c r="AV326" s="57" t="n">
        <f aca="false">IF(OR(OR($B326="",$E326="",$F326=""),$K326&lt;&gt;"نعم",$M326="نعم"),0,MAX(0,MIN($F326,EOMONTH(DATE(cfg_FY,3,1),0))-MAX($E326,DATE(cfg_FY,3,1))+1))</f>
        <v>0</v>
      </c>
      <c r="AW326" s="57" t="n">
        <f aca="false">IF(OR(OR($B326="",$E326="",$F326=""),$K326&lt;&gt;"نعم",$M326="نعم"),0,MAX(0,MIN($F326,EOMONTH(DATE(cfg_FY,4,1),0))-MAX($E326,DATE(cfg_FY,4,1))+1))</f>
        <v>0</v>
      </c>
      <c r="AX326" s="57" t="n">
        <f aca="false">IF(OR(OR($B326="",$E326="",$F326=""),$K326&lt;&gt;"نعم",$M326="نعم"),0,MAX(0,MIN($F326,EOMONTH(DATE(cfg_FY,5,1),0))-MAX($E326,DATE(cfg_FY,5,1))+1))</f>
        <v>0</v>
      </c>
      <c r="AY326" s="57" t="n">
        <f aca="false">IF(OR(OR($B326="",$E326="",$F326=""),$K326&lt;&gt;"نعم",$M326="نعم"),0,MAX(0,MIN($F326,EOMONTH(DATE(cfg_FY,6,1),0))-MAX($E326,DATE(cfg_FY,6,1))+1))</f>
        <v>0</v>
      </c>
      <c r="AZ326" s="57" t="n">
        <f aca="false">IF(OR(OR($B326="",$E326="",$F326=""),$K326&lt;&gt;"نعم",$M326="نعم"),0,MAX(0,MIN($F326,EOMONTH(DATE(cfg_FY,7,1),0))-MAX($E326,DATE(cfg_FY,7,1))+1))</f>
        <v>0</v>
      </c>
      <c r="BA326" s="57" t="n">
        <f aca="false">IF(OR(OR($B326="",$E326="",$F326=""),$K326&lt;&gt;"نعم",$M326="نعم"),0,MAX(0,MIN($F326,EOMONTH(DATE(cfg_FY,8,1),0))-MAX($E326,DATE(cfg_FY,8,1))+1))</f>
        <v>0</v>
      </c>
      <c r="BB326" s="57" t="n">
        <f aca="false">IF(OR(OR($B326="",$E326="",$F326=""),$K326&lt;&gt;"نعم",$M326="نعم"),0,MAX(0,MIN($F326,EOMONTH(DATE(cfg_FY,9,1),0))-MAX($E326,DATE(cfg_FY,9,1))+1))</f>
        <v>0</v>
      </c>
      <c r="BC326" s="57" t="n">
        <f aca="false">IF(OR(OR($B326="",$E326="",$F326=""),$K326&lt;&gt;"نعم",$M326="نعم"),0,MAX(0,MIN($F326,EOMONTH(DATE(cfg_FY,10,1),0))-MAX($E326,DATE(cfg_FY,10,1))+1))</f>
        <v>0</v>
      </c>
      <c r="BD326" s="57" t="n">
        <f aca="false">IF(OR(OR($B326="",$E326="",$F326=""),$K326&lt;&gt;"نعم",$M326="نعم"),0,MAX(0,MIN($F326,EOMONTH(DATE(cfg_FY,11,1),0))-MAX($E326,DATE(cfg_FY,11,1))+1))</f>
        <v>0</v>
      </c>
      <c r="BE326" s="57" t="n">
        <f aca="false">IF(OR(OR($B326="",$E326="",$F326=""),$K326&lt;&gt;"نعم",$M326="نعم"),0,MAX(0,MIN($F326,EOMONTH(DATE(cfg_FY,12,1),0))-MAX($E326,DATE(cfg_FY,12,1))+1))</f>
        <v>0</v>
      </c>
    </row>
    <row r="327" customFormat="false" ht="15" hidden="false" customHeight="false" outlineLevel="0" collapsed="false">
      <c r="A327" s="100" t="str">
        <f aca="false">IF(B327="","",ROW()-5)</f>
        <v/>
      </c>
      <c r="B327" s="79"/>
      <c r="C327" s="102" t="str">
        <f aca="false">IF(B327="","",IFERROR(INDEX(الموظفون!$C$6:$C$105,MATCH(B327,الموظفون!$B$6:$B$105,0)),"✖ رقم غير موجود"))</f>
        <v/>
      </c>
      <c r="D327" s="79"/>
      <c r="E327" s="94"/>
      <c r="F327" s="94"/>
      <c r="G327" s="110" t="str">
        <f aca="false">IF(OR($B327="",$E327="",$F327=""),"",MAX(0,F327-E327+1))</f>
        <v/>
      </c>
      <c r="H327" s="111" t="str">
        <f aca="false">IF(D327="","",IFERROR(VLOOKUP(D327,cfg_LT,2,FALSE()),1))</f>
        <v/>
      </c>
      <c r="I327" s="82"/>
      <c r="J327" s="111" t="str">
        <f aca="false">IF(D327="","",IF(I327&lt;&gt;"",I327,H327))</f>
        <v/>
      </c>
      <c r="K327" s="102" t="str">
        <f aca="false">IF(D327="","",IFERROR(VLOOKUP($D327,cfg_LT,3,FALSE()),""))</f>
        <v/>
      </c>
      <c r="L327" s="102" t="str">
        <f aca="false">IF(D327="","",IFERROR(VLOOKUP($D327,cfg_LT,4,FALSE()),""))</f>
        <v/>
      </c>
      <c r="M327" s="102" t="str">
        <f aca="false">IF(D327="","",IFERROR(VLOOKUP($D327,cfg_LT,5,FALSE()),""))</f>
        <v/>
      </c>
      <c r="N327" s="101" t="n">
        <f aca="false">IF(OR(OR($B327="",$E327="",$F327=""),M327&lt;&gt;"نعم"),0,G327*J327*IFERROR(INDEX(الموظفون!$R$6:$R$105,MATCH(B327,الموظفون!$B$6:$B$105,0)),0)/cfg_DAYS_M)</f>
        <v>0</v>
      </c>
      <c r="O327" s="100" t="str">
        <f aca="false">IF(OR(OR($B327="",$E327="",$F327=""),M327&lt;&gt;"نعم"),"",IF(YEAR(E327)=cfg_FY,MONTH(E327),""))</f>
        <v/>
      </c>
      <c r="P327" s="102" t="str">
        <f aca="false">IF(B327="","",IF(OR(D327="",E327="",F327=""),"⚠ أكمل النوع والتواريخ",IF(F327&lt;E327,"✖ النهاية قبل البداية",IF(COUNTIFS($B$6:$B$505,B327,$E$6:$E$505,"&lt;="&amp;F327,$F$6:$F$505,"&gt;="&amp;E327)&gt;1,"⚠ تداخل مع سجل آخر",IF(E327&gt;cfg_VAL_DATE,"⏳ قادمة",IF(F327&lt;cfg_VAL_DATE,"✔ منتهية","✈ جارية في تاريخ التقرير"))))))</f>
        <v/>
      </c>
      <c r="Q327" s="79"/>
      <c r="R327" s="110" t="n">
        <f aca="false">IF(OR(OR($B327="",$E327="",$F327=""),L327&lt;&gt;"لا"),0,MAX(0,MIN(F327,cfg_Y_START-1)-E327+1))</f>
        <v>0</v>
      </c>
      <c r="S327" s="110" t="n">
        <f aca="false">IF(OR(OR($B327="",$E327="",$F327=""),L327&lt;&gt;"لا"),0,MAX(0,MIN(F327,cfg_VAL_DATE)-E327+1))</f>
        <v>0</v>
      </c>
      <c r="T327" s="110" t="n">
        <f aca="false">IF(OR(OR($B327="",$E327="",$F327=""),K327&lt;&gt;"نعم"),0,IF(M327="نعم",IF(AND(ISNUMBER(O327),N(O327)&lt;=cfg_VAL_M),G327,0),MAX(0,MIN(F327,cfg_VAL_DATE)-MAX(E327,cfg_Y_START)+1)))</f>
        <v>0</v>
      </c>
      <c r="V327" s="110" t="n">
        <f aca="false">IF(OR($B327="",$E327="",$F327=""),0,MAX(0,MIN($F327,EOMONTH(DATE(cfg_FY,1,1),0))-MAX($E327,DATE(cfg_FY,1,1))+1)*(1-IF($M327="نعم",0,N($J327))))</f>
        <v>0</v>
      </c>
      <c r="W327" s="110" t="n">
        <f aca="false">IF(OR($B327="",$E327="",$F327=""),0,MAX(0,MIN($F327,EOMONTH(DATE(cfg_FY,2,1),0))-MAX($E327,DATE(cfg_FY,2,1))+1)*(1-IF($M327="نعم",0,N($J327))))</f>
        <v>0</v>
      </c>
      <c r="X327" s="110" t="n">
        <f aca="false">IF(OR($B327="",$E327="",$F327=""),0,MAX(0,MIN($F327,EOMONTH(DATE(cfg_FY,3,1),0))-MAX($E327,DATE(cfg_FY,3,1))+1)*(1-IF($M327="نعم",0,N($J327))))</f>
        <v>0</v>
      </c>
      <c r="Y327" s="110" t="n">
        <f aca="false">IF(OR($B327="",$E327="",$F327=""),0,MAX(0,MIN($F327,EOMONTH(DATE(cfg_FY,4,1),0))-MAX($E327,DATE(cfg_FY,4,1))+1)*(1-IF($M327="نعم",0,N($J327))))</f>
        <v>0</v>
      </c>
      <c r="Z327" s="110" t="n">
        <f aca="false">IF(OR($B327="",$E327="",$F327=""),0,MAX(0,MIN($F327,EOMONTH(DATE(cfg_FY,5,1),0))-MAX($E327,DATE(cfg_FY,5,1))+1)*(1-IF($M327="نعم",0,N($J327))))</f>
        <v>0</v>
      </c>
      <c r="AA327" s="110" t="n">
        <f aca="false">IF(OR($B327="",$E327="",$F327=""),0,MAX(0,MIN($F327,EOMONTH(DATE(cfg_FY,6,1),0))-MAX($E327,DATE(cfg_FY,6,1))+1)*(1-IF($M327="نعم",0,N($J327))))</f>
        <v>0</v>
      </c>
      <c r="AB327" s="110" t="n">
        <f aca="false">IF(OR($B327="",$E327="",$F327=""),0,MAX(0,MIN($F327,EOMONTH(DATE(cfg_FY,7,1),0))-MAX($E327,DATE(cfg_FY,7,1))+1)*(1-IF($M327="نعم",0,N($J327))))</f>
        <v>0</v>
      </c>
      <c r="AC327" s="110" t="n">
        <f aca="false">IF(OR($B327="",$E327="",$F327=""),0,MAX(0,MIN($F327,EOMONTH(DATE(cfg_FY,8,1),0))-MAX($E327,DATE(cfg_FY,8,1))+1)*(1-IF($M327="نعم",0,N($J327))))</f>
        <v>0</v>
      </c>
      <c r="AD327" s="110" t="n">
        <f aca="false">IF(OR($B327="",$E327="",$F327=""),0,MAX(0,MIN($F327,EOMONTH(DATE(cfg_FY,9,1),0))-MAX($E327,DATE(cfg_FY,9,1))+1)*(1-IF($M327="نعم",0,N($J327))))</f>
        <v>0</v>
      </c>
      <c r="AE327" s="110" t="n">
        <f aca="false">IF(OR($B327="",$E327="",$F327=""),0,MAX(0,MIN($F327,EOMONTH(DATE(cfg_FY,10,1),0))-MAX($E327,DATE(cfg_FY,10,1))+1)*(1-IF($M327="نعم",0,N($J327))))</f>
        <v>0</v>
      </c>
      <c r="AF327" s="110" t="n">
        <f aca="false">IF(OR($B327="",$E327="",$F327=""),0,MAX(0,MIN($F327,EOMONTH(DATE(cfg_FY,11,1),0))-MAX($E327,DATE(cfg_FY,11,1))+1)*(1-IF($M327="نعم",0,N($J327))))</f>
        <v>0</v>
      </c>
      <c r="AG327" s="110" t="n">
        <f aca="false">IF(OR($B327="",$E327="",$F327=""),0,MAX(0,MIN($F327,EOMONTH(DATE(cfg_FY,12,1),0))-MAX($E327,DATE(cfg_FY,12,1))+1)*(1-IF($M327="نعم",0,N($J327))))</f>
        <v>0</v>
      </c>
      <c r="AH327" s="110" t="n">
        <f aca="false">IF(OR(OR($B327="",$E327="",$F327=""),$L327&lt;&gt;"لا"),0,MAX(0,MIN($F327,EOMONTH(DATE(cfg_FY,1,1),0))-$E327+1))</f>
        <v>0</v>
      </c>
      <c r="AI327" s="110" t="n">
        <f aca="false">IF(OR(OR($B327="",$E327="",$F327=""),$L327&lt;&gt;"لا"),0,MAX(0,MIN($F327,EOMONTH(DATE(cfg_FY,2,1),0))-$E327+1))</f>
        <v>0</v>
      </c>
      <c r="AJ327" s="110" t="n">
        <f aca="false">IF(OR(OR($B327="",$E327="",$F327=""),$L327&lt;&gt;"لا"),0,MAX(0,MIN($F327,EOMONTH(DATE(cfg_FY,3,1),0))-$E327+1))</f>
        <v>0</v>
      </c>
      <c r="AK327" s="110" t="n">
        <f aca="false">IF(OR(OR($B327="",$E327="",$F327=""),$L327&lt;&gt;"لا"),0,MAX(0,MIN($F327,EOMONTH(DATE(cfg_FY,4,1),0))-$E327+1))</f>
        <v>0</v>
      </c>
      <c r="AL327" s="110" t="n">
        <f aca="false">IF(OR(OR($B327="",$E327="",$F327=""),$L327&lt;&gt;"لا"),0,MAX(0,MIN($F327,EOMONTH(DATE(cfg_FY,5,1),0))-$E327+1))</f>
        <v>0</v>
      </c>
      <c r="AM327" s="110" t="n">
        <f aca="false">IF(OR(OR($B327="",$E327="",$F327=""),$L327&lt;&gt;"لا"),0,MAX(0,MIN($F327,EOMONTH(DATE(cfg_FY,6,1),0))-$E327+1))</f>
        <v>0</v>
      </c>
      <c r="AN327" s="110" t="n">
        <f aca="false">IF(OR(OR($B327="",$E327="",$F327=""),$L327&lt;&gt;"لا"),0,MAX(0,MIN($F327,EOMONTH(DATE(cfg_FY,7,1),0))-$E327+1))</f>
        <v>0</v>
      </c>
      <c r="AO327" s="110" t="n">
        <f aca="false">IF(OR(OR($B327="",$E327="",$F327=""),$L327&lt;&gt;"لا"),0,MAX(0,MIN($F327,EOMONTH(DATE(cfg_FY,8,1),0))-$E327+1))</f>
        <v>0</v>
      </c>
      <c r="AP327" s="110" t="n">
        <f aca="false">IF(OR(OR($B327="",$E327="",$F327=""),$L327&lt;&gt;"لا"),0,MAX(0,MIN($F327,EOMONTH(DATE(cfg_FY,9,1),0))-$E327+1))</f>
        <v>0</v>
      </c>
      <c r="AQ327" s="110" t="n">
        <f aca="false">IF(OR(OR($B327="",$E327="",$F327=""),$L327&lt;&gt;"لا"),0,MAX(0,MIN($F327,EOMONTH(DATE(cfg_FY,10,1),0))-$E327+1))</f>
        <v>0</v>
      </c>
      <c r="AR327" s="110" t="n">
        <f aca="false">IF(OR(OR($B327="",$E327="",$F327=""),$L327&lt;&gt;"لا"),0,MAX(0,MIN($F327,EOMONTH(DATE(cfg_FY,11,1),0))-$E327+1))</f>
        <v>0</v>
      </c>
      <c r="AS327" s="110" t="n">
        <f aca="false">IF(OR(OR($B327="",$E327="",$F327=""),$L327&lt;&gt;"لا"),0,MAX(0,MIN($F327,EOMONTH(DATE(cfg_FY,12,1),0))-$E327+1))</f>
        <v>0</v>
      </c>
      <c r="AT327" s="110" t="n">
        <f aca="false">IF(OR(OR($B327="",$E327="",$F327=""),$K327&lt;&gt;"نعم",$M327="نعم"),0,MAX(0,MIN($F327,EOMONTH(DATE(cfg_FY,1,1),0))-MAX($E327,DATE(cfg_FY,1,1))+1))</f>
        <v>0</v>
      </c>
      <c r="AU327" s="110" t="n">
        <f aca="false">IF(OR(OR($B327="",$E327="",$F327=""),$K327&lt;&gt;"نعم",$M327="نعم"),0,MAX(0,MIN($F327,EOMONTH(DATE(cfg_FY,2,1),0))-MAX($E327,DATE(cfg_FY,2,1))+1))</f>
        <v>0</v>
      </c>
      <c r="AV327" s="110" t="n">
        <f aca="false">IF(OR(OR($B327="",$E327="",$F327=""),$K327&lt;&gt;"نعم",$M327="نعم"),0,MAX(0,MIN($F327,EOMONTH(DATE(cfg_FY,3,1),0))-MAX($E327,DATE(cfg_FY,3,1))+1))</f>
        <v>0</v>
      </c>
      <c r="AW327" s="110" t="n">
        <f aca="false">IF(OR(OR($B327="",$E327="",$F327=""),$K327&lt;&gt;"نعم",$M327="نعم"),0,MAX(0,MIN($F327,EOMONTH(DATE(cfg_FY,4,1),0))-MAX($E327,DATE(cfg_FY,4,1))+1))</f>
        <v>0</v>
      </c>
      <c r="AX327" s="110" t="n">
        <f aca="false">IF(OR(OR($B327="",$E327="",$F327=""),$K327&lt;&gt;"نعم",$M327="نعم"),0,MAX(0,MIN($F327,EOMONTH(DATE(cfg_FY,5,1),0))-MAX($E327,DATE(cfg_FY,5,1))+1))</f>
        <v>0</v>
      </c>
      <c r="AY327" s="110" t="n">
        <f aca="false">IF(OR(OR($B327="",$E327="",$F327=""),$K327&lt;&gt;"نعم",$M327="نعم"),0,MAX(0,MIN($F327,EOMONTH(DATE(cfg_FY,6,1),0))-MAX($E327,DATE(cfg_FY,6,1))+1))</f>
        <v>0</v>
      </c>
      <c r="AZ327" s="110" t="n">
        <f aca="false">IF(OR(OR($B327="",$E327="",$F327=""),$K327&lt;&gt;"نعم",$M327="نعم"),0,MAX(0,MIN($F327,EOMONTH(DATE(cfg_FY,7,1),0))-MAX($E327,DATE(cfg_FY,7,1))+1))</f>
        <v>0</v>
      </c>
      <c r="BA327" s="110" t="n">
        <f aca="false">IF(OR(OR($B327="",$E327="",$F327=""),$K327&lt;&gt;"نعم",$M327="نعم"),0,MAX(0,MIN($F327,EOMONTH(DATE(cfg_FY,8,1),0))-MAX($E327,DATE(cfg_FY,8,1))+1))</f>
        <v>0</v>
      </c>
      <c r="BB327" s="110" t="n">
        <f aca="false">IF(OR(OR($B327="",$E327="",$F327=""),$K327&lt;&gt;"نعم",$M327="نعم"),0,MAX(0,MIN($F327,EOMONTH(DATE(cfg_FY,9,1),0))-MAX($E327,DATE(cfg_FY,9,1))+1))</f>
        <v>0</v>
      </c>
      <c r="BC327" s="110" t="n">
        <f aca="false">IF(OR(OR($B327="",$E327="",$F327=""),$K327&lt;&gt;"نعم",$M327="نعم"),0,MAX(0,MIN($F327,EOMONTH(DATE(cfg_FY,10,1),0))-MAX($E327,DATE(cfg_FY,10,1))+1))</f>
        <v>0</v>
      </c>
      <c r="BD327" s="110" t="n">
        <f aca="false">IF(OR(OR($B327="",$E327="",$F327=""),$K327&lt;&gt;"نعم",$M327="نعم"),0,MAX(0,MIN($F327,EOMONTH(DATE(cfg_FY,11,1),0))-MAX($E327,DATE(cfg_FY,11,1))+1))</f>
        <v>0</v>
      </c>
      <c r="BE327" s="110" t="n">
        <f aca="false">IF(OR(OR($B327="",$E327="",$F327=""),$K327&lt;&gt;"نعم",$M327="نعم"),0,MAX(0,MIN($F327,EOMONTH(DATE(cfg_FY,12,1),0))-MAX($E327,DATE(cfg_FY,12,1))+1))</f>
        <v>0</v>
      </c>
    </row>
    <row r="328" customFormat="false" ht="15" hidden="false" customHeight="false" outlineLevel="0" collapsed="false">
      <c r="A328" s="93" t="str">
        <f aca="false">IF(B328="","",ROW()-5)</f>
        <v/>
      </c>
      <c r="B328" s="79"/>
      <c r="C328" s="80" t="str">
        <f aca="false">IF(B328="","",IFERROR(INDEX(الموظفون!$C$6:$C$105,MATCH(B328,الموظفون!$B$6:$B$105,0)),"✖ رقم غير موجود"))</f>
        <v/>
      </c>
      <c r="D328" s="79"/>
      <c r="E328" s="94"/>
      <c r="F328" s="94"/>
      <c r="G328" s="57" t="str">
        <f aca="false">IF(OR($B328="",$E328="",$F328=""),"",MAX(0,F328-E328+1))</f>
        <v/>
      </c>
      <c r="H328" s="58" t="str">
        <f aca="false">IF(D328="","",IFERROR(VLOOKUP(D328,cfg_LT,2,FALSE()),1))</f>
        <v/>
      </c>
      <c r="I328" s="82"/>
      <c r="J328" s="58" t="str">
        <f aca="false">IF(D328="","",IF(I328&lt;&gt;"",I328,H328))</f>
        <v/>
      </c>
      <c r="K328" s="80" t="str">
        <f aca="false">IF(D328="","",IFERROR(VLOOKUP($D328,cfg_LT,3,FALSE()),""))</f>
        <v/>
      </c>
      <c r="L328" s="80" t="str">
        <f aca="false">IF(D328="","",IFERROR(VLOOKUP($D328,cfg_LT,4,FALSE()),""))</f>
        <v/>
      </c>
      <c r="M328" s="80" t="str">
        <f aca="false">IF(D328="","",IFERROR(VLOOKUP($D328,cfg_LT,5,FALSE()),""))</f>
        <v/>
      </c>
      <c r="N328" s="97" t="n">
        <f aca="false">IF(OR(OR($B328="",$E328="",$F328=""),M328&lt;&gt;"نعم"),0,G328*J328*IFERROR(INDEX(الموظفون!$R$6:$R$105,MATCH(B328,الموظفون!$B$6:$B$105,0)),0)/cfg_DAYS_M)</f>
        <v>0</v>
      </c>
      <c r="O328" s="93" t="str">
        <f aca="false">IF(OR(OR($B328="",$E328="",$F328=""),M328&lt;&gt;"نعم"),"",IF(YEAR(E328)=cfg_FY,MONTH(E328),""))</f>
        <v/>
      </c>
      <c r="P328" s="80" t="str">
        <f aca="false">IF(B328="","",IF(OR(D328="",E328="",F328=""),"⚠ أكمل النوع والتواريخ",IF(F328&lt;E328,"✖ النهاية قبل البداية",IF(COUNTIFS($B$6:$B$505,B328,$E$6:$E$505,"&lt;="&amp;F328,$F$6:$F$505,"&gt;="&amp;E328)&gt;1,"⚠ تداخل مع سجل آخر",IF(E328&gt;cfg_VAL_DATE,"⏳ قادمة",IF(F328&lt;cfg_VAL_DATE,"✔ منتهية","✈ جارية في تاريخ التقرير"))))))</f>
        <v/>
      </c>
      <c r="Q328" s="79"/>
      <c r="R328" s="57" t="n">
        <f aca="false">IF(OR(OR($B328="",$E328="",$F328=""),L328&lt;&gt;"لا"),0,MAX(0,MIN(F328,cfg_Y_START-1)-E328+1))</f>
        <v>0</v>
      </c>
      <c r="S328" s="57" t="n">
        <f aca="false">IF(OR(OR($B328="",$E328="",$F328=""),L328&lt;&gt;"لا"),0,MAX(0,MIN(F328,cfg_VAL_DATE)-E328+1))</f>
        <v>0</v>
      </c>
      <c r="T328" s="57" t="n">
        <f aca="false">IF(OR(OR($B328="",$E328="",$F328=""),K328&lt;&gt;"نعم"),0,IF(M328="نعم",IF(AND(ISNUMBER(O328),N(O328)&lt;=cfg_VAL_M),G328,0),MAX(0,MIN(F328,cfg_VAL_DATE)-MAX(E328,cfg_Y_START)+1)))</f>
        <v>0</v>
      </c>
      <c r="V328" s="57" t="n">
        <f aca="false">IF(OR($B328="",$E328="",$F328=""),0,MAX(0,MIN($F328,EOMONTH(DATE(cfg_FY,1,1),0))-MAX($E328,DATE(cfg_FY,1,1))+1)*(1-IF($M328="نعم",0,N($J328))))</f>
        <v>0</v>
      </c>
      <c r="W328" s="57" t="n">
        <f aca="false">IF(OR($B328="",$E328="",$F328=""),0,MAX(0,MIN($F328,EOMONTH(DATE(cfg_FY,2,1),0))-MAX($E328,DATE(cfg_FY,2,1))+1)*(1-IF($M328="نعم",0,N($J328))))</f>
        <v>0</v>
      </c>
      <c r="X328" s="57" t="n">
        <f aca="false">IF(OR($B328="",$E328="",$F328=""),0,MAX(0,MIN($F328,EOMONTH(DATE(cfg_FY,3,1),0))-MAX($E328,DATE(cfg_FY,3,1))+1)*(1-IF($M328="نعم",0,N($J328))))</f>
        <v>0</v>
      </c>
      <c r="Y328" s="57" t="n">
        <f aca="false">IF(OR($B328="",$E328="",$F328=""),0,MAX(0,MIN($F328,EOMONTH(DATE(cfg_FY,4,1),0))-MAX($E328,DATE(cfg_FY,4,1))+1)*(1-IF($M328="نعم",0,N($J328))))</f>
        <v>0</v>
      </c>
      <c r="Z328" s="57" t="n">
        <f aca="false">IF(OR($B328="",$E328="",$F328=""),0,MAX(0,MIN($F328,EOMONTH(DATE(cfg_FY,5,1),0))-MAX($E328,DATE(cfg_FY,5,1))+1)*(1-IF($M328="نعم",0,N($J328))))</f>
        <v>0</v>
      </c>
      <c r="AA328" s="57" t="n">
        <f aca="false">IF(OR($B328="",$E328="",$F328=""),0,MAX(0,MIN($F328,EOMONTH(DATE(cfg_FY,6,1),0))-MAX($E328,DATE(cfg_FY,6,1))+1)*(1-IF($M328="نعم",0,N($J328))))</f>
        <v>0</v>
      </c>
      <c r="AB328" s="57" t="n">
        <f aca="false">IF(OR($B328="",$E328="",$F328=""),0,MAX(0,MIN($F328,EOMONTH(DATE(cfg_FY,7,1),0))-MAX($E328,DATE(cfg_FY,7,1))+1)*(1-IF($M328="نعم",0,N($J328))))</f>
        <v>0</v>
      </c>
      <c r="AC328" s="57" t="n">
        <f aca="false">IF(OR($B328="",$E328="",$F328=""),0,MAX(0,MIN($F328,EOMONTH(DATE(cfg_FY,8,1),0))-MAX($E328,DATE(cfg_FY,8,1))+1)*(1-IF($M328="نعم",0,N($J328))))</f>
        <v>0</v>
      </c>
      <c r="AD328" s="57" t="n">
        <f aca="false">IF(OR($B328="",$E328="",$F328=""),0,MAX(0,MIN($F328,EOMONTH(DATE(cfg_FY,9,1),0))-MAX($E328,DATE(cfg_FY,9,1))+1)*(1-IF($M328="نعم",0,N($J328))))</f>
        <v>0</v>
      </c>
      <c r="AE328" s="57" t="n">
        <f aca="false">IF(OR($B328="",$E328="",$F328=""),0,MAX(0,MIN($F328,EOMONTH(DATE(cfg_FY,10,1),0))-MAX($E328,DATE(cfg_FY,10,1))+1)*(1-IF($M328="نعم",0,N($J328))))</f>
        <v>0</v>
      </c>
      <c r="AF328" s="57" t="n">
        <f aca="false">IF(OR($B328="",$E328="",$F328=""),0,MAX(0,MIN($F328,EOMONTH(DATE(cfg_FY,11,1),0))-MAX($E328,DATE(cfg_FY,11,1))+1)*(1-IF($M328="نعم",0,N($J328))))</f>
        <v>0</v>
      </c>
      <c r="AG328" s="57" t="n">
        <f aca="false">IF(OR($B328="",$E328="",$F328=""),0,MAX(0,MIN($F328,EOMONTH(DATE(cfg_FY,12,1),0))-MAX($E328,DATE(cfg_FY,12,1))+1)*(1-IF($M328="نعم",0,N($J328))))</f>
        <v>0</v>
      </c>
      <c r="AH328" s="57" t="n">
        <f aca="false">IF(OR(OR($B328="",$E328="",$F328=""),$L328&lt;&gt;"لا"),0,MAX(0,MIN($F328,EOMONTH(DATE(cfg_FY,1,1),0))-$E328+1))</f>
        <v>0</v>
      </c>
      <c r="AI328" s="57" t="n">
        <f aca="false">IF(OR(OR($B328="",$E328="",$F328=""),$L328&lt;&gt;"لا"),0,MAX(0,MIN($F328,EOMONTH(DATE(cfg_FY,2,1),0))-$E328+1))</f>
        <v>0</v>
      </c>
      <c r="AJ328" s="57" t="n">
        <f aca="false">IF(OR(OR($B328="",$E328="",$F328=""),$L328&lt;&gt;"لا"),0,MAX(0,MIN($F328,EOMONTH(DATE(cfg_FY,3,1),0))-$E328+1))</f>
        <v>0</v>
      </c>
      <c r="AK328" s="57" t="n">
        <f aca="false">IF(OR(OR($B328="",$E328="",$F328=""),$L328&lt;&gt;"لا"),0,MAX(0,MIN($F328,EOMONTH(DATE(cfg_FY,4,1),0))-$E328+1))</f>
        <v>0</v>
      </c>
      <c r="AL328" s="57" t="n">
        <f aca="false">IF(OR(OR($B328="",$E328="",$F328=""),$L328&lt;&gt;"لا"),0,MAX(0,MIN($F328,EOMONTH(DATE(cfg_FY,5,1),0))-$E328+1))</f>
        <v>0</v>
      </c>
      <c r="AM328" s="57" t="n">
        <f aca="false">IF(OR(OR($B328="",$E328="",$F328=""),$L328&lt;&gt;"لا"),0,MAX(0,MIN($F328,EOMONTH(DATE(cfg_FY,6,1),0))-$E328+1))</f>
        <v>0</v>
      </c>
      <c r="AN328" s="57" t="n">
        <f aca="false">IF(OR(OR($B328="",$E328="",$F328=""),$L328&lt;&gt;"لا"),0,MAX(0,MIN($F328,EOMONTH(DATE(cfg_FY,7,1),0))-$E328+1))</f>
        <v>0</v>
      </c>
      <c r="AO328" s="57" t="n">
        <f aca="false">IF(OR(OR($B328="",$E328="",$F328=""),$L328&lt;&gt;"لا"),0,MAX(0,MIN($F328,EOMONTH(DATE(cfg_FY,8,1),0))-$E328+1))</f>
        <v>0</v>
      </c>
      <c r="AP328" s="57" t="n">
        <f aca="false">IF(OR(OR($B328="",$E328="",$F328=""),$L328&lt;&gt;"لا"),0,MAX(0,MIN($F328,EOMONTH(DATE(cfg_FY,9,1),0))-$E328+1))</f>
        <v>0</v>
      </c>
      <c r="AQ328" s="57" t="n">
        <f aca="false">IF(OR(OR($B328="",$E328="",$F328=""),$L328&lt;&gt;"لا"),0,MAX(0,MIN($F328,EOMONTH(DATE(cfg_FY,10,1),0))-$E328+1))</f>
        <v>0</v>
      </c>
      <c r="AR328" s="57" t="n">
        <f aca="false">IF(OR(OR($B328="",$E328="",$F328=""),$L328&lt;&gt;"لا"),0,MAX(0,MIN($F328,EOMONTH(DATE(cfg_FY,11,1),0))-$E328+1))</f>
        <v>0</v>
      </c>
      <c r="AS328" s="57" t="n">
        <f aca="false">IF(OR(OR($B328="",$E328="",$F328=""),$L328&lt;&gt;"لا"),0,MAX(0,MIN($F328,EOMONTH(DATE(cfg_FY,12,1),0))-$E328+1))</f>
        <v>0</v>
      </c>
      <c r="AT328" s="57" t="n">
        <f aca="false">IF(OR(OR($B328="",$E328="",$F328=""),$K328&lt;&gt;"نعم",$M328="نعم"),0,MAX(0,MIN($F328,EOMONTH(DATE(cfg_FY,1,1),0))-MAX($E328,DATE(cfg_FY,1,1))+1))</f>
        <v>0</v>
      </c>
      <c r="AU328" s="57" t="n">
        <f aca="false">IF(OR(OR($B328="",$E328="",$F328=""),$K328&lt;&gt;"نعم",$M328="نعم"),0,MAX(0,MIN($F328,EOMONTH(DATE(cfg_FY,2,1),0))-MAX($E328,DATE(cfg_FY,2,1))+1))</f>
        <v>0</v>
      </c>
      <c r="AV328" s="57" t="n">
        <f aca="false">IF(OR(OR($B328="",$E328="",$F328=""),$K328&lt;&gt;"نعم",$M328="نعم"),0,MAX(0,MIN($F328,EOMONTH(DATE(cfg_FY,3,1),0))-MAX($E328,DATE(cfg_FY,3,1))+1))</f>
        <v>0</v>
      </c>
      <c r="AW328" s="57" t="n">
        <f aca="false">IF(OR(OR($B328="",$E328="",$F328=""),$K328&lt;&gt;"نعم",$M328="نعم"),0,MAX(0,MIN($F328,EOMONTH(DATE(cfg_FY,4,1),0))-MAX($E328,DATE(cfg_FY,4,1))+1))</f>
        <v>0</v>
      </c>
      <c r="AX328" s="57" t="n">
        <f aca="false">IF(OR(OR($B328="",$E328="",$F328=""),$K328&lt;&gt;"نعم",$M328="نعم"),0,MAX(0,MIN($F328,EOMONTH(DATE(cfg_FY,5,1),0))-MAX($E328,DATE(cfg_FY,5,1))+1))</f>
        <v>0</v>
      </c>
      <c r="AY328" s="57" t="n">
        <f aca="false">IF(OR(OR($B328="",$E328="",$F328=""),$K328&lt;&gt;"نعم",$M328="نعم"),0,MAX(0,MIN($F328,EOMONTH(DATE(cfg_FY,6,1),0))-MAX($E328,DATE(cfg_FY,6,1))+1))</f>
        <v>0</v>
      </c>
      <c r="AZ328" s="57" t="n">
        <f aca="false">IF(OR(OR($B328="",$E328="",$F328=""),$K328&lt;&gt;"نعم",$M328="نعم"),0,MAX(0,MIN($F328,EOMONTH(DATE(cfg_FY,7,1),0))-MAX($E328,DATE(cfg_FY,7,1))+1))</f>
        <v>0</v>
      </c>
      <c r="BA328" s="57" t="n">
        <f aca="false">IF(OR(OR($B328="",$E328="",$F328=""),$K328&lt;&gt;"نعم",$M328="نعم"),0,MAX(0,MIN($F328,EOMONTH(DATE(cfg_FY,8,1),0))-MAX($E328,DATE(cfg_FY,8,1))+1))</f>
        <v>0</v>
      </c>
      <c r="BB328" s="57" t="n">
        <f aca="false">IF(OR(OR($B328="",$E328="",$F328=""),$K328&lt;&gt;"نعم",$M328="نعم"),0,MAX(0,MIN($F328,EOMONTH(DATE(cfg_FY,9,1),0))-MAX($E328,DATE(cfg_FY,9,1))+1))</f>
        <v>0</v>
      </c>
      <c r="BC328" s="57" t="n">
        <f aca="false">IF(OR(OR($B328="",$E328="",$F328=""),$K328&lt;&gt;"نعم",$M328="نعم"),0,MAX(0,MIN($F328,EOMONTH(DATE(cfg_FY,10,1),0))-MAX($E328,DATE(cfg_FY,10,1))+1))</f>
        <v>0</v>
      </c>
      <c r="BD328" s="57" t="n">
        <f aca="false">IF(OR(OR($B328="",$E328="",$F328=""),$K328&lt;&gt;"نعم",$M328="نعم"),0,MAX(0,MIN($F328,EOMONTH(DATE(cfg_FY,11,1),0))-MAX($E328,DATE(cfg_FY,11,1))+1))</f>
        <v>0</v>
      </c>
      <c r="BE328" s="57" t="n">
        <f aca="false">IF(OR(OR($B328="",$E328="",$F328=""),$K328&lt;&gt;"نعم",$M328="نعم"),0,MAX(0,MIN($F328,EOMONTH(DATE(cfg_FY,12,1),0))-MAX($E328,DATE(cfg_FY,12,1))+1))</f>
        <v>0</v>
      </c>
    </row>
    <row r="329" customFormat="false" ht="15" hidden="false" customHeight="false" outlineLevel="0" collapsed="false">
      <c r="A329" s="100" t="str">
        <f aca="false">IF(B329="","",ROW()-5)</f>
        <v/>
      </c>
      <c r="B329" s="79"/>
      <c r="C329" s="102" t="str">
        <f aca="false">IF(B329="","",IFERROR(INDEX(الموظفون!$C$6:$C$105,MATCH(B329,الموظفون!$B$6:$B$105,0)),"✖ رقم غير موجود"))</f>
        <v/>
      </c>
      <c r="D329" s="79"/>
      <c r="E329" s="94"/>
      <c r="F329" s="94"/>
      <c r="G329" s="110" t="str">
        <f aca="false">IF(OR($B329="",$E329="",$F329=""),"",MAX(0,F329-E329+1))</f>
        <v/>
      </c>
      <c r="H329" s="111" t="str">
        <f aca="false">IF(D329="","",IFERROR(VLOOKUP(D329,cfg_LT,2,FALSE()),1))</f>
        <v/>
      </c>
      <c r="I329" s="82"/>
      <c r="J329" s="111" t="str">
        <f aca="false">IF(D329="","",IF(I329&lt;&gt;"",I329,H329))</f>
        <v/>
      </c>
      <c r="K329" s="102" t="str">
        <f aca="false">IF(D329="","",IFERROR(VLOOKUP($D329,cfg_LT,3,FALSE()),""))</f>
        <v/>
      </c>
      <c r="L329" s="102" t="str">
        <f aca="false">IF(D329="","",IFERROR(VLOOKUP($D329,cfg_LT,4,FALSE()),""))</f>
        <v/>
      </c>
      <c r="M329" s="102" t="str">
        <f aca="false">IF(D329="","",IFERROR(VLOOKUP($D329,cfg_LT,5,FALSE()),""))</f>
        <v/>
      </c>
      <c r="N329" s="101" t="n">
        <f aca="false">IF(OR(OR($B329="",$E329="",$F329=""),M329&lt;&gt;"نعم"),0,G329*J329*IFERROR(INDEX(الموظفون!$R$6:$R$105,MATCH(B329,الموظفون!$B$6:$B$105,0)),0)/cfg_DAYS_M)</f>
        <v>0</v>
      </c>
      <c r="O329" s="100" t="str">
        <f aca="false">IF(OR(OR($B329="",$E329="",$F329=""),M329&lt;&gt;"نعم"),"",IF(YEAR(E329)=cfg_FY,MONTH(E329),""))</f>
        <v/>
      </c>
      <c r="P329" s="102" t="str">
        <f aca="false">IF(B329="","",IF(OR(D329="",E329="",F329=""),"⚠ أكمل النوع والتواريخ",IF(F329&lt;E329,"✖ النهاية قبل البداية",IF(COUNTIFS($B$6:$B$505,B329,$E$6:$E$505,"&lt;="&amp;F329,$F$6:$F$505,"&gt;="&amp;E329)&gt;1,"⚠ تداخل مع سجل آخر",IF(E329&gt;cfg_VAL_DATE,"⏳ قادمة",IF(F329&lt;cfg_VAL_DATE,"✔ منتهية","✈ جارية في تاريخ التقرير"))))))</f>
        <v/>
      </c>
      <c r="Q329" s="79"/>
      <c r="R329" s="110" t="n">
        <f aca="false">IF(OR(OR($B329="",$E329="",$F329=""),L329&lt;&gt;"لا"),0,MAX(0,MIN(F329,cfg_Y_START-1)-E329+1))</f>
        <v>0</v>
      </c>
      <c r="S329" s="110" t="n">
        <f aca="false">IF(OR(OR($B329="",$E329="",$F329=""),L329&lt;&gt;"لا"),0,MAX(0,MIN(F329,cfg_VAL_DATE)-E329+1))</f>
        <v>0</v>
      </c>
      <c r="T329" s="110" t="n">
        <f aca="false">IF(OR(OR($B329="",$E329="",$F329=""),K329&lt;&gt;"نعم"),0,IF(M329="نعم",IF(AND(ISNUMBER(O329),N(O329)&lt;=cfg_VAL_M),G329,0),MAX(0,MIN(F329,cfg_VAL_DATE)-MAX(E329,cfg_Y_START)+1)))</f>
        <v>0</v>
      </c>
      <c r="V329" s="110" t="n">
        <f aca="false">IF(OR($B329="",$E329="",$F329=""),0,MAX(0,MIN($F329,EOMONTH(DATE(cfg_FY,1,1),0))-MAX($E329,DATE(cfg_FY,1,1))+1)*(1-IF($M329="نعم",0,N($J329))))</f>
        <v>0</v>
      </c>
      <c r="W329" s="110" t="n">
        <f aca="false">IF(OR($B329="",$E329="",$F329=""),0,MAX(0,MIN($F329,EOMONTH(DATE(cfg_FY,2,1),0))-MAX($E329,DATE(cfg_FY,2,1))+1)*(1-IF($M329="نعم",0,N($J329))))</f>
        <v>0</v>
      </c>
      <c r="X329" s="110" t="n">
        <f aca="false">IF(OR($B329="",$E329="",$F329=""),0,MAX(0,MIN($F329,EOMONTH(DATE(cfg_FY,3,1),0))-MAX($E329,DATE(cfg_FY,3,1))+1)*(1-IF($M329="نعم",0,N($J329))))</f>
        <v>0</v>
      </c>
      <c r="Y329" s="110" t="n">
        <f aca="false">IF(OR($B329="",$E329="",$F329=""),0,MAX(0,MIN($F329,EOMONTH(DATE(cfg_FY,4,1),0))-MAX($E329,DATE(cfg_FY,4,1))+1)*(1-IF($M329="نعم",0,N($J329))))</f>
        <v>0</v>
      </c>
      <c r="Z329" s="110" t="n">
        <f aca="false">IF(OR($B329="",$E329="",$F329=""),0,MAX(0,MIN($F329,EOMONTH(DATE(cfg_FY,5,1),0))-MAX($E329,DATE(cfg_FY,5,1))+1)*(1-IF($M329="نعم",0,N($J329))))</f>
        <v>0</v>
      </c>
      <c r="AA329" s="110" t="n">
        <f aca="false">IF(OR($B329="",$E329="",$F329=""),0,MAX(0,MIN($F329,EOMONTH(DATE(cfg_FY,6,1),0))-MAX($E329,DATE(cfg_FY,6,1))+1)*(1-IF($M329="نعم",0,N($J329))))</f>
        <v>0</v>
      </c>
      <c r="AB329" s="110" t="n">
        <f aca="false">IF(OR($B329="",$E329="",$F329=""),0,MAX(0,MIN($F329,EOMONTH(DATE(cfg_FY,7,1),0))-MAX($E329,DATE(cfg_FY,7,1))+1)*(1-IF($M329="نعم",0,N($J329))))</f>
        <v>0</v>
      </c>
      <c r="AC329" s="110" t="n">
        <f aca="false">IF(OR($B329="",$E329="",$F329=""),0,MAX(0,MIN($F329,EOMONTH(DATE(cfg_FY,8,1),0))-MAX($E329,DATE(cfg_FY,8,1))+1)*(1-IF($M329="نعم",0,N($J329))))</f>
        <v>0</v>
      </c>
      <c r="AD329" s="110" t="n">
        <f aca="false">IF(OR($B329="",$E329="",$F329=""),0,MAX(0,MIN($F329,EOMONTH(DATE(cfg_FY,9,1),0))-MAX($E329,DATE(cfg_FY,9,1))+1)*(1-IF($M329="نعم",0,N($J329))))</f>
        <v>0</v>
      </c>
      <c r="AE329" s="110" t="n">
        <f aca="false">IF(OR($B329="",$E329="",$F329=""),0,MAX(0,MIN($F329,EOMONTH(DATE(cfg_FY,10,1),0))-MAX($E329,DATE(cfg_FY,10,1))+1)*(1-IF($M329="نعم",0,N($J329))))</f>
        <v>0</v>
      </c>
      <c r="AF329" s="110" t="n">
        <f aca="false">IF(OR($B329="",$E329="",$F329=""),0,MAX(0,MIN($F329,EOMONTH(DATE(cfg_FY,11,1),0))-MAX($E329,DATE(cfg_FY,11,1))+1)*(1-IF($M329="نعم",0,N($J329))))</f>
        <v>0</v>
      </c>
      <c r="AG329" s="110" t="n">
        <f aca="false">IF(OR($B329="",$E329="",$F329=""),0,MAX(0,MIN($F329,EOMONTH(DATE(cfg_FY,12,1),0))-MAX($E329,DATE(cfg_FY,12,1))+1)*(1-IF($M329="نعم",0,N($J329))))</f>
        <v>0</v>
      </c>
      <c r="AH329" s="110" t="n">
        <f aca="false">IF(OR(OR($B329="",$E329="",$F329=""),$L329&lt;&gt;"لا"),0,MAX(0,MIN($F329,EOMONTH(DATE(cfg_FY,1,1),0))-$E329+1))</f>
        <v>0</v>
      </c>
      <c r="AI329" s="110" t="n">
        <f aca="false">IF(OR(OR($B329="",$E329="",$F329=""),$L329&lt;&gt;"لا"),0,MAX(0,MIN($F329,EOMONTH(DATE(cfg_FY,2,1),0))-$E329+1))</f>
        <v>0</v>
      </c>
      <c r="AJ329" s="110" t="n">
        <f aca="false">IF(OR(OR($B329="",$E329="",$F329=""),$L329&lt;&gt;"لا"),0,MAX(0,MIN($F329,EOMONTH(DATE(cfg_FY,3,1),0))-$E329+1))</f>
        <v>0</v>
      </c>
      <c r="AK329" s="110" t="n">
        <f aca="false">IF(OR(OR($B329="",$E329="",$F329=""),$L329&lt;&gt;"لا"),0,MAX(0,MIN($F329,EOMONTH(DATE(cfg_FY,4,1),0))-$E329+1))</f>
        <v>0</v>
      </c>
      <c r="AL329" s="110" t="n">
        <f aca="false">IF(OR(OR($B329="",$E329="",$F329=""),$L329&lt;&gt;"لا"),0,MAX(0,MIN($F329,EOMONTH(DATE(cfg_FY,5,1),0))-$E329+1))</f>
        <v>0</v>
      </c>
      <c r="AM329" s="110" t="n">
        <f aca="false">IF(OR(OR($B329="",$E329="",$F329=""),$L329&lt;&gt;"لا"),0,MAX(0,MIN($F329,EOMONTH(DATE(cfg_FY,6,1),0))-$E329+1))</f>
        <v>0</v>
      </c>
      <c r="AN329" s="110" t="n">
        <f aca="false">IF(OR(OR($B329="",$E329="",$F329=""),$L329&lt;&gt;"لا"),0,MAX(0,MIN($F329,EOMONTH(DATE(cfg_FY,7,1),0))-$E329+1))</f>
        <v>0</v>
      </c>
      <c r="AO329" s="110" t="n">
        <f aca="false">IF(OR(OR($B329="",$E329="",$F329=""),$L329&lt;&gt;"لا"),0,MAX(0,MIN($F329,EOMONTH(DATE(cfg_FY,8,1),0))-$E329+1))</f>
        <v>0</v>
      </c>
      <c r="AP329" s="110" t="n">
        <f aca="false">IF(OR(OR($B329="",$E329="",$F329=""),$L329&lt;&gt;"لا"),0,MAX(0,MIN($F329,EOMONTH(DATE(cfg_FY,9,1),0))-$E329+1))</f>
        <v>0</v>
      </c>
      <c r="AQ329" s="110" t="n">
        <f aca="false">IF(OR(OR($B329="",$E329="",$F329=""),$L329&lt;&gt;"لا"),0,MAX(0,MIN($F329,EOMONTH(DATE(cfg_FY,10,1),0))-$E329+1))</f>
        <v>0</v>
      </c>
      <c r="AR329" s="110" t="n">
        <f aca="false">IF(OR(OR($B329="",$E329="",$F329=""),$L329&lt;&gt;"لا"),0,MAX(0,MIN($F329,EOMONTH(DATE(cfg_FY,11,1),0))-$E329+1))</f>
        <v>0</v>
      </c>
      <c r="AS329" s="110" t="n">
        <f aca="false">IF(OR(OR($B329="",$E329="",$F329=""),$L329&lt;&gt;"لا"),0,MAX(0,MIN($F329,EOMONTH(DATE(cfg_FY,12,1),0))-$E329+1))</f>
        <v>0</v>
      </c>
      <c r="AT329" s="110" t="n">
        <f aca="false">IF(OR(OR($B329="",$E329="",$F329=""),$K329&lt;&gt;"نعم",$M329="نعم"),0,MAX(0,MIN($F329,EOMONTH(DATE(cfg_FY,1,1),0))-MAX($E329,DATE(cfg_FY,1,1))+1))</f>
        <v>0</v>
      </c>
      <c r="AU329" s="110" t="n">
        <f aca="false">IF(OR(OR($B329="",$E329="",$F329=""),$K329&lt;&gt;"نعم",$M329="نعم"),0,MAX(0,MIN($F329,EOMONTH(DATE(cfg_FY,2,1),0))-MAX($E329,DATE(cfg_FY,2,1))+1))</f>
        <v>0</v>
      </c>
      <c r="AV329" s="110" t="n">
        <f aca="false">IF(OR(OR($B329="",$E329="",$F329=""),$K329&lt;&gt;"نعم",$M329="نعم"),0,MAX(0,MIN($F329,EOMONTH(DATE(cfg_FY,3,1),0))-MAX($E329,DATE(cfg_FY,3,1))+1))</f>
        <v>0</v>
      </c>
      <c r="AW329" s="110" t="n">
        <f aca="false">IF(OR(OR($B329="",$E329="",$F329=""),$K329&lt;&gt;"نعم",$M329="نعم"),0,MAX(0,MIN($F329,EOMONTH(DATE(cfg_FY,4,1),0))-MAX($E329,DATE(cfg_FY,4,1))+1))</f>
        <v>0</v>
      </c>
      <c r="AX329" s="110" t="n">
        <f aca="false">IF(OR(OR($B329="",$E329="",$F329=""),$K329&lt;&gt;"نعم",$M329="نعم"),0,MAX(0,MIN($F329,EOMONTH(DATE(cfg_FY,5,1),0))-MAX($E329,DATE(cfg_FY,5,1))+1))</f>
        <v>0</v>
      </c>
      <c r="AY329" s="110" t="n">
        <f aca="false">IF(OR(OR($B329="",$E329="",$F329=""),$K329&lt;&gt;"نعم",$M329="نعم"),0,MAX(0,MIN($F329,EOMONTH(DATE(cfg_FY,6,1),0))-MAX($E329,DATE(cfg_FY,6,1))+1))</f>
        <v>0</v>
      </c>
      <c r="AZ329" s="110" t="n">
        <f aca="false">IF(OR(OR($B329="",$E329="",$F329=""),$K329&lt;&gt;"نعم",$M329="نعم"),0,MAX(0,MIN($F329,EOMONTH(DATE(cfg_FY,7,1),0))-MAX($E329,DATE(cfg_FY,7,1))+1))</f>
        <v>0</v>
      </c>
      <c r="BA329" s="110" t="n">
        <f aca="false">IF(OR(OR($B329="",$E329="",$F329=""),$K329&lt;&gt;"نعم",$M329="نعم"),0,MAX(0,MIN($F329,EOMONTH(DATE(cfg_FY,8,1),0))-MAX($E329,DATE(cfg_FY,8,1))+1))</f>
        <v>0</v>
      </c>
      <c r="BB329" s="110" t="n">
        <f aca="false">IF(OR(OR($B329="",$E329="",$F329=""),$K329&lt;&gt;"نعم",$M329="نعم"),0,MAX(0,MIN($F329,EOMONTH(DATE(cfg_FY,9,1),0))-MAX($E329,DATE(cfg_FY,9,1))+1))</f>
        <v>0</v>
      </c>
      <c r="BC329" s="110" t="n">
        <f aca="false">IF(OR(OR($B329="",$E329="",$F329=""),$K329&lt;&gt;"نعم",$M329="نعم"),0,MAX(0,MIN($F329,EOMONTH(DATE(cfg_FY,10,1),0))-MAX($E329,DATE(cfg_FY,10,1))+1))</f>
        <v>0</v>
      </c>
      <c r="BD329" s="110" t="n">
        <f aca="false">IF(OR(OR($B329="",$E329="",$F329=""),$K329&lt;&gt;"نعم",$M329="نعم"),0,MAX(0,MIN($F329,EOMONTH(DATE(cfg_FY,11,1),0))-MAX($E329,DATE(cfg_FY,11,1))+1))</f>
        <v>0</v>
      </c>
      <c r="BE329" s="110" t="n">
        <f aca="false">IF(OR(OR($B329="",$E329="",$F329=""),$K329&lt;&gt;"نعم",$M329="نعم"),0,MAX(0,MIN($F329,EOMONTH(DATE(cfg_FY,12,1),0))-MAX($E329,DATE(cfg_FY,12,1))+1))</f>
        <v>0</v>
      </c>
    </row>
    <row r="330" customFormat="false" ht="15" hidden="false" customHeight="false" outlineLevel="0" collapsed="false">
      <c r="A330" s="93" t="str">
        <f aca="false">IF(B330="","",ROW()-5)</f>
        <v/>
      </c>
      <c r="B330" s="79"/>
      <c r="C330" s="80" t="str">
        <f aca="false">IF(B330="","",IFERROR(INDEX(الموظفون!$C$6:$C$105,MATCH(B330,الموظفون!$B$6:$B$105,0)),"✖ رقم غير موجود"))</f>
        <v/>
      </c>
      <c r="D330" s="79"/>
      <c r="E330" s="94"/>
      <c r="F330" s="94"/>
      <c r="G330" s="57" t="str">
        <f aca="false">IF(OR($B330="",$E330="",$F330=""),"",MAX(0,F330-E330+1))</f>
        <v/>
      </c>
      <c r="H330" s="58" t="str">
        <f aca="false">IF(D330="","",IFERROR(VLOOKUP(D330,cfg_LT,2,FALSE()),1))</f>
        <v/>
      </c>
      <c r="I330" s="82"/>
      <c r="J330" s="58" t="str">
        <f aca="false">IF(D330="","",IF(I330&lt;&gt;"",I330,H330))</f>
        <v/>
      </c>
      <c r="K330" s="80" t="str">
        <f aca="false">IF(D330="","",IFERROR(VLOOKUP($D330,cfg_LT,3,FALSE()),""))</f>
        <v/>
      </c>
      <c r="L330" s="80" t="str">
        <f aca="false">IF(D330="","",IFERROR(VLOOKUP($D330,cfg_LT,4,FALSE()),""))</f>
        <v/>
      </c>
      <c r="M330" s="80" t="str">
        <f aca="false">IF(D330="","",IFERROR(VLOOKUP($D330,cfg_LT,5,FALSE()),""))</f>
        <v/>
      </c>
      <c r="N330" s="97" t="n">
        <f aca="false">IF(OR(OR($B330="",$E330="",$F330=""),M330&lt;&gt;"نعم"),0,G330*J330*IFERROR(INDEX(الموظفون!$R$6:$R$105,MATCH(B330,الموظفون!$B$6:$B$105,0)),0)/cfg_DAYS_M)</f>
        <v>0</v>
      </c>
      <c r="O330" s="93" t="str">
        <f aca="false">IF(OR(OR($B330="",$E330="",$F330=""),M330&lt;&gt;"نعم"),"",IF(YEAR(E330)=cfg_FY,MONTH(E330),""))</f>
        <v/>
      </c>
      <c r="P330" s="80" t="str">
        <f aca="false">IF(B330="","",IF(OR(D330="",E330="",F330=""),"⚠ أكمل النوع والتواريخ",IF(F330&lt;E330,"✖ النهاية قبل البداية",IF(COUNTIFS($B$6:$B$505,B330,$E$6:$E$505,"&lt;="&amp;F330,$F$6:$F$505,"&gt;="&amp;E330)&gt;1,"⚠ تداخل مع سجل آخر",IF(E330&gt;cfg_VAL_DATE,"⏳ قادمة",IF(F330&lt;cfg_VAL_DATE,"✔ منتهية","✈ جارية في تاريخ التقرير"))))))</f>
        <v/>
      </c>
      <c r="Q330" s="79"/>
      <c r="R330" s="57" t="n">
        <f aca="false">IF(OR(OR($B330="",$E330="",$F330=""),L330&lt;&gt;"لا"),0,MAX(0,MIN(F330,cfg_Y_START-1)-E330+1))</f>
        <v>0</v>
      </c>
      <c r="S330" s="57" t="n">
        <f aca="false">IF(OR(OR($B330="",$E330="",$F330=""),L330&lt;&gt;"لا"),0,MAX(0,MIN(F330,cfg_VAL_DATE)-E330+1))</f>
        <v>0</v>
      </c>
      <c r="T330" s="57" t="n">
        <f aca="false">IF(OR(OR($B330="",$E330="",$F330=""),K330&lt;&gt;"نعم"),0,IF(M330="نعم",IF(AND(ISNUMBER(O330),N(O330)&lt;=cfg_VAL_M),G330,0),MAX(0,MIN(F330,cfg_VAL_DATE)-MAX(E330,cfg_Y_START)+1)))</f>
        <v>0</v>
      </c>
      <c r="V330" s="57" t="n">
        <f aca="false">IF(OR($B330="",$E330="",$F330=""),0,MAX(0,MIN($F330,EOMONTH(DATE(cfg_FY,1,1),0))-MAX($E330,DATE(cfg_FY,1,1))+1)*(1-IF($M330="نعم",0,N($J330))))</f>
        <v>0</v>
      </c>
      <c r="W330" s="57" t="n">
        <f aca="false">IF(OR($B330="",$E330="",$F330=""),0,MAX(0,MIN($F330,EOMONTH(DATE(cfg_FY,2,1),0))-MAX($E330,DATE(cfg_FY,2,1))+1)*(1-IF($M330="نعم",0,N($J330))))</f>
        <v>0</v>
      </c>
      <c r="X330" s="57" t="n">
        <f aca="false">IF(OR($B330="",$E330="",$F330=""),0,MAX(0,MIN($F330,EOMONTH(DATE(cfg_FY,3,1),0))-MAX($E330,DATE(cfg_FY,3,1))+1)*(1-IF($M330="نعم",0,N($J330))))</f>
        <v>0</v>
      </c>
      <c r="Y330" s="57" t="n">
        <f aca="false">IF(OR($B330="",$E330="",$F330=""),0,MAX(0,MIN($F330,EOMONTH(DATE(cfg_FY,4,1),0))-MAX($E330,DATE(cfg_FY,4,1))+1)*(1-IF($M330="نعم",0,N($J330))))</f>
        <v>0</v>
      </c>
      <c r="Z330" s="57" t="n">
        <f aca="false">IF(OR($B330="",$E330="",$F330=""),0,MAX(0,MIN($F330,EOMONTH(DATE(cfg_FY,5,1),0))-MAX($E330,DATE(cfg_FY,5,1))+1)*(1-IF($M330="نعم",0,N($J330))))</f>
        <v>0</v>
      </c>
      <c r="AA330" s="57" t="n">
        <f aca="false">IF(OR($B330="",$E330="",$F330=""),0,MAX(0,MIN($F330,EOMONTH(DATE(cfg_FY,6,1),0))-MAX($E330,DATE(cfg_FY,6,1))+1)*(1-IF($M330="نعم",0,N($J330))))</f>
        <v>0</v>
      </c>
      <c r="AB330" s="57" t="n">
        <f aca="false">IF(OR($B330="",$E330="",$F330=""),0,MAX(0,MIN($F330,EOMONTH(DATE(cfg_FY,7,1),0))-MAX($E330,DATE(cfg_FY,7,1))+1)*(1-IF($M330="نعم",0,N($J330))))</f>
        <v>0</v>
      </c>
      <c r="AC330" s="57" t="n">
        <f aca="false">IF(OR($B330="",$E330="",$F330=""),0,MAX(0,MIN($F330,EOMONTH(DATE(cfg_FY,8,1),0))-MAX($E330,DATE(cfg_FY,8,1))+1)*(1-IF($M330="نعم",0,N($J330))))</f>
        <v>0</v>
      </c>
      <c r="AD330" s="57" t="n">
        <f aca="false">IF(OR($B330="",$E330="",$F330=""),0,MAX(0,MIN($F330,EOMONTH(DATE(cfg_FY,9,1),0))-MAX($E330,DATE(cfg_FY,9,1))+1)*(1-IF($M330="نعم",0,N($J330))))</f>
        <v>0</v>
      </c>
      <c r="AE330" s="57" t="n">
        <f aca="false">IF(OR($B330="",$E330="",$F330=""),0,MAX(0,MIN($F330,EOMONTH(DATE(cfg_FY,10,1),0))-MAX($E330,DATE(cfg_FY,10,1))+1)*(1-IF($M330="نعم",0,N($J330))))</f>
        <v>0</v>
      </c>
      <c r="AF330" s="57" t="n">
        <f aca="false">IF(OR($B330="",$E330="",$F330=""),0,MAX(0,MIN($F330,EOMONTH(DATE(cfg_FY,11,1),0))-MAX($E330,DATE(cfg_FY,11,1))+1)*(1-IF($M330="نعم",0,N($J330))))</f>
        <v>0</v>
      </c>
      <c r="AG330" s="57" t="n">
        <f aca="false">IF(OR($B330="",$E330="",$F330=""),0,MAX(0,MIN($F330,EOMONTH(DATE(cfg_FY,12,1),0))-MAX($E330,DATE(cfg_FY,12,1))+1)*(1-IF($M330="نعم",0,N($J330))))</f>
        <v>0</v>
      </c>
      <c r="AH330" s="57" t="n">
        <f aca="false">IF(OR(OR($B330="",$E330="",$F330=""),$L330&lt;&gt;"لا"),0,MAX(0,MIN($F330,EOMONTH(DATE(cfg_FY,1,1),0))-$E330+1))</f>
        <v>0</v>
      </c>
      <c r="AI330" s="57" t="n">
        <f aca="false">IF(OR(OR($B330="",$E330="",$F330=""),$L330&lt;&gt;"لا"),0,MAX(0,MIN($F330,EOMONTH(DATE(cfg_FY,2,1),0))-$E330+1))</f>
        <v>0</v>
      </c>
      <c r="AJ330" s="57" t="n">
        <f aca="false">IF(OR(OR($B330="",$E330="",$F330=""),$L330&lt;&gt;"لا"),0,MAX(0,MIN($F330,EOMONTH(DATE(cfg_FY,3,1),0))-$E330+1))</f>
        <v>0</v>
      </c>
      <c r="AK330" s="57" t="n">
        <f aca="false">IF(OR(OR($B330="",$E330="",$F330=""),$L330&lt;&gt;"لا"),0,MAX(0,MIN($F330,EOMONTH(DATE(cfg_FY,4,1),0))-$E330+1))</f>
        <v>0</v>
      </c>
      <c r="AL330" s="57" t="n">
        <f aca="false">IF(OR(OR($B330="",$E330="",$F330=""),$L330&lt;&gt;"لا"),0,MAX(0,MIN($F330,EOMONTH(DATE(cfg_FY,5,1),0))-$E330+1))</f>
        <v>0</v>
      </c>
      <c r="AM330" s="57" t="n">
        <f aca="false">IF(OR(OR($B330="",$E330="",$F330=""),$L330&lt;&gt;"لا"),0,MAX(0,MIN($F330,EOMONTH(DATE(cfg_FY,6,1),0))-$E330+1))</f>
        <v>0</v>
      </c>
      <c r="AN330" s="57" t="n">
        <f aca="false">IF(OR(OR($B330="",$E330="",$F330=""),$L330&lt;&gt;"لا"),0,MAX(0,MIN($F330,EOMONTH(DATE(cfg_FY,7,1),0))-$E330+1))</f>
        <v>0</v>
      </c>
      <c r="AO330" s="57" t="n">
        <f aca="false">IF(OR(OR($B330="",$E330="",$F330=""),$L330&lt;&gt;"لا"),0,MAX(0,MIN($F330,EOMONTH(DATE(cfg_FY,8,1),0))-$E330+1))</f>
        <v>0</v>
      </c>
      <c r="AP330" s="57" t="n">
        <f aca="false">IF(OR(OR($B330="",$E330="",$F330=""),$L330&lt;&gt;"لا"),0,MAX(0,MIN($F330,EOMONTH(DATE(cfg_FY,9,1),0))-$E330+1))</f>
        <v>0</v>
      </c>
      <c r="AQ330" s="57" t="n">
        <f aca="false">IF(OR(OR($B330="",$E330="",$F330=""),$L330&lt;&gt;"لا"),0,MAX(0,MIN($F330,EOMONTH(DATE(cfg_FY,10,1),0))-$E330+1))</f>
        <v>0</v>
      </c>
      <c r="AR330" s="57" t="n">
        <f aca="false">IF(OR(OR($B330="",$E330="",$F330=""),$L330&lt;&gt;"لا"),0,MAX(0,MIN($F330,EOMONTH(DATE(cfg_FY,11,1),0))-$E330+1))</f>
        <v>0</v>
      </c>
      <c r="AS330" s="57" t="n">
        <f aca="false">IF(OR(OR($B330="",$E330="",$F330=""),$L330&lt;&gt;"لا"),0,MAX(0,MIN($F330,EOMONTH(DATE(cfg_FY,12,1),0))-$E330+1))</f>
        <v>0</v>
      </c>
      <c r="AT330" s="57" t="n">
        <f aca="false">IF(OR(OR($B330="",$E330="",$F330=""),$K330&lt;&gt;"نعم",$M330="نعم"),0,MAX(0,MIN($F330,EOMONTH(DATE(cfg_FY,1,1),0))-MAX($E330,DATE(cfg_FY,1,1))+1))</f>
        <v>0</v>
      </c>
      <c r="AU330" s="57" t="n">
        <f aca="false">IF(OR(OR($B330="",$E330="",$F330=""),$K330&lt;&gt;"نعم",$M330="نعم"),0,MAX(0,MIN($F330,EOMONTH(DATE(cfg_FY,2,1),0))-MAX($E330,DATE(cfg_FY,2,1))+1))</f>
        <v>0</v>
      </c>
      <c r="AV330" s="57" t="n">
        <f aca="false">IF(OR(OR($B330="",$E330="",$F330=""),$K330&lt;&gt;"نعم",$M330="نعم"),0,MAX(0,MIN($F330,EOMONTH(DATE(cfg_FY,3,1),0))-MAX($E330,DATE(cfg_FY,3,1))+1))</f>
        <v>0</v>
      </c>
      <c r="AW330" s="57" t="n">
        <f aca="false">IF(OR(OR($B330="",$E330="",$F330=""),$K330&lt;&gt;"نعم",$M330="نعم"),0,MAX(0,MIN($F330,EOMONTH(DATE(cfg_FY,4,1),0))-MAX($E330,DATE(cfg_FY,4,1))+1))</f>
        <v>0</v>
      </c>
      <c r="AX330" s="57" t="n">
        <f aca="false">IF(OR(OR($B330="",$E330="",$F330=""),$K330&lt;&gt;"نعم",$M330="نعم"),0,MAX(0,MIN($F330,EOMONTH(DATE(cfg_FY,5,1),0))-MAX($E330,DATE(cfg_FY,5,1))+1))</f>
        <v>0</v>
      </c>
      <c r="AY330" s="57" t="n">
        <f aca="false">IF(OR(OR($B330="",$E330="",$F330=""),$K330&lt;&gt;"نعم",$M330="نعم"),0,MAX(0,MIN($F330,EOMONTH(DATE(cfg_FY,6,1),0))-MAX($E330,DATE(cfg_FY,6,1))+1))</f>
        <v>0</v>
      </c>
      <c r="AZ330" s="57" t="n">
        <f aca="false">IF(OR(OR($B330="",$E330="",$F330=""),$K330&lt;&gt;"نعم",$M330="نعم"),0,MAX(0,MIN($F330,EOMONTH(DATE(cfg_FY,7,1),0))-MAX($E330,DATE(cfg_FY,7,1))+1))</f>
        <v>0</v>
      </c>
      <c r="BA330" s="57" t="n">
        <f aca="false">IF(OR(OR($B330="",$E330="",$F330=""),$K330&lt;&gt;"نعم",$M330="نعم"),0,MAX(0,MIN($F330,EOMONTH(DATE(cfg_FY,8,1),0))-MAX($E330,DATE(cfg_FY,8,1))+1))</f>
        <v>0</v>
      </c>
      <c r="BB330" s="57" t="n">
        <f aca="false">IF(OR(OR($B330="",$E330="",$F330=""),$K330&lt;&gt;"نعم",$M330="نعم"),0,MAX(0,MIN($F330,EOMONTH(DATE(cfg_FY,9,1),0))-MAX($E330,DATE(cfg_FY,9,1))+1))</f>
        <v>0</v>
      </c>
      <c r="BC330" s="57" t="n">
        <f aca="false">IF(OR(OR($B330="",$E330="",$F330=""),$K330&lt;&gt;"نعم",$M330="نعم"),0,MAX(0,MIN($F330,EOMONTH(DATE(cfg_FY,10,1),0))-MAX($E330,DATE(cfg_FY,10,1))+1))</f>
        <v>0</v>
      </c>
      <c r="BD330" s="57" t="n">
        <f aca="false">IF(OR(OR($B330="",$E330="",$F330=""),$K330&lt;&gt;"نعم",$M330="نعم"),0,MAX(0,MIN($F330,EOMONTH(DATE(cfg_FY,11,1),0))-MAX($E330,DATE(cfg_FY,11,1))+1))</f>
        <v>0</v>
      </c>
      <c r="BE330" s="57" t="n">
        <f aca="false">IF(OR(OR($B330="",$E330="",$F330=""),$K330&lt;&gt;"نعم",$M330="نعم"),0,MAX(0,MIN($F330,EOMONTH(DATE(cfg_FY,12,1),0))-MAX($E330,DATE(cfg_FY,12,1))+1))</f>
        <v>0</v>
      </c>
    </row>
    <row r="331" customFormat="false" ht="15" hidden="false" customHeight="false" outlineLevel="0" collapsed="false">
      <c r="A331" s="100" t="str">
        <f aca="false">IF(B331="","",ROW()-5)</f>
        <v/>
      </c>
      <c r="B331" s="79"/>
      <c r="C331" s="102" t="str">
        <f aca="false">IF(B331="","",IFERROR(INDEX(الموظفون!$C$6:$C$105,MATCH(B331,الموظفون!$B$6:$B$105,0)),"✖ رقم غير موجود"))</f>
        <v/>
      </c>
      <c r="D331" s="79"/>
      <c r="E331" s="94"/>
      <c r="F331" s="94"/>
      <c r="G331" s="110" t="str">
        <f aca="false">IF(OR($B331="",$E331="",$F331=""),"",MAX(0,F331-E331+1))</f>
        <v/>
      </c>
      <c r="H331" s="111" t="str">
        <f aca="false">IF(D331="","",IFERROR(VLOOKUP(D331,cfg_LT,2,FALSE()),1))</f>
        <v/>
      </c>
      <c r="I331" s="82"/>
      <c r="J331" s="111" t="str">
        <f aca="false">IF(D331="","",IF(I331&lt;&gt;"",I331,H331))</f>
        <v/>
      </c>
      <c r="K331" s="102" t="str">
        <f aca="false">IF(D331="","",IFERROR(VLOOKUP($D331,cfg_LT,3,FALSE()),""))</f>
        <v/>
      </c>
      <c r="L331" s="102" t="str">
        <f aca="false">IF(D331="","",IFERROR(VLOOKUP($D331,cfg_LT,4,FALSE()),""))</f>
        <v/>
      </c>
      <c r="M331" s="102" t="str">
        <f aca="false">IF(D331="","",IFERROR(VLOOKUP($D331,cfg_LT,5,FALSE()),""))</f>
        <v/>
      </c>
      <c r="N331" s="101" t="n">
        <f aca="false">IF(OR(OR($B331="",$E331="",$F331=""),M331&lt;&gt;"نعم"),0,G331*J331*IFERROR(INDEX(الموظفون!$R$6:$R$105,MATCH(B331,الموظفون!$B$6:$B$105,0)),0)/cfg_DAYS_M)</f>
        <v>0</v>
      </c>
      <c r="O331" s="100" t="str">
        <f aca="false">IF(OR(OR($B331="",$E331="",$F331=""),M331&lt;&gt;"نعم"),"",IF(YEAR(E331)=cfg_FY,MONTH(E331),""))</f>
        <v/>
      </c>
      <c r="P331" s="102" t="str">
        <f aca="false">IF(B331="","",IF(OR(D331="",E331="",F331=""),"⚠ أكمل النوع والتواريخ",IF(F331&lt;E331,"✖ النهاية قبل البداية",IF(COUNTIFS($B$6:$B$505,B331,$E$6:$E$505,"&lt;="&amp;F331,$F$6:$F$505,"&gt;="&amp;E331)&gt;1,"⚠ تداخل مع سجل آخر",IF(E331&gt;cfg_VAL_DATE,"⏳ قادمة",IF(F331&lt;cfg_VAL_DATE,"✔ منتهية","✈ جارية في تاريخ التقرير"))))))</f>
        <v/>
      </c>
      <c r="Q331" s="79"/>
      <c r="R331" s="110" t="n">
        <f aca="false">IF(OR(OR($B331="",$E331="",$F331=""),L331&lt;&gt;"لا"),0,MAX(0,MIN(F331,cfg_Y_START-1)-E331+1))</f>
        <v>0</v>
      </c>
      <c r="S331" s="110" t="n">
        <f aca="false">IF(OR(OR($B331="",$E331="",$F331=""),L331&lt;&gt;"لا"),0,MAX(0,MIN(F331,cfg_VAL_DATE)-E331+1))</f>
        <v>0</v>
      </c>
      <c r="T331" s="110" t="n">
        <f aca="false">IF(OR(OR($B331="",$E331="",$F331=""),K331&lt;&gt;"نعم"),0,IF(M331="نعم",IF(AND(ISNUMBER(O331),N(O331)&lt;=cfg_VAL_M),G331,0),MAX(0,MIN(F331,cfg_VAL_DATE)-MAX(E331,cfg_Y_START)+1)))</f>
        <v>0</v>
      </c>
      <c r="V331" s="110" t="n">
        <f aca="false">IF(OR($B331="",$E331="",$F331=""),0,MAX(0,MIN($F331,EOMONTH(DATE(cfg_FY,1,1),0))-MAX($E331,DATE(cfg_FY,1,1))+1)*(1-IF($M331="نعم",0,N($J331))))</f>
        <v>0</v>
      </c>
      <c r="W331" s="110" t="n">
        <f aca="false">IF(OR($B331="",$E331="",$F331=""),0,MAX(0,MIN($F331,EOMONTH(DATE(cfg_FY,2,1),0))-MAX($E331,DATE(cfg_FY,2,1))+1)*(1-IF($M331="نعم",0,N($J331))))</f>
        <v>0</v>
      </c>
      <c r="X331" s="110" t="n">
        <f aca="false">IF(OR($B331="",$E331="",$F331=""),0,MAX(0,MIN($F331,EOMONTH(DATE(cfg_FY,3,1),0))-MAX($E331,DATE(cfg_FY,3,1))+1)*(1-IF($M331="نعم",0,N($J331))))</f>
        <v>0</v>
      </c>
      <c r="Y331" s="110" t="n">
        <f aca="false">IF(OR($B331="",$E331="",$F331=""),0,MAX(0,MIN($F331,EOMONTH(DATE(cfg_FY,4,1),0))-MAX($E331,DATE(cfg_FY,4,1))+1)*(1-IF($M331="نعم",0,N($J331))))</f>
        <v>0</v>
      </c>
      <c r="Z331" s="110" t="n">
        <f aca="false">IF(OR($B331="",$E331="",$F331=""),0,MAX(0,MIN($F331,EOMONTH(DATE(cfg_FY,5,1),0))-MAX($E331,DATE(cfg_FY,5,1))+1)*(1-IF($M331="نعم",0,N($J331))))</f>
        <v>0</v>
      </c>
      <c r="AA331" s="110" t="n">
        <f aca="false">IF(OR($B331="",$E331="",$F331=""),0,MAX(0,MIN($F331,EOMONTH(DATE(cfg_FY,6,1),0))-MAX($E331,DATE(cfg_FY,6,1))+1)*(1-IF($M331="نعم",0,N($J331))))</f>
        <v>0</v>
      </c>
      <c r="AB331" s="110" t="n">
        <f aca="false">IF(OR($B331="",$E331="",$F331=""),0,MAX(0,MIN($F331,EOMONTH(DATE(cfg_FY,7,1),0))-MAX($E331,DATE(cfg_FY,7,1))+1)*(1-IF($M331="نعم",0,N($J331))))</f>
        <v>0</v>
      </c>
      <c r="AC331" s="110" t="n">
        <f aca="false">IF(OR($B331="",$E331="",$F331=""),0,MAX(0,MIN($F331,EOMONTH(DATE(cfg_FY,8,1),0))-MAX($E331,DATE(cfg_FY,8,1))+1)*(1-IF($M331="نعم",0,N($J331))))</f>
        <v>0</v>
      </c>
      <c r="AD331" s="110" t="n">
        <f aca="false">IF(OR($B331="",$E331="",$F331=""),0,MAX(0,MIN($F331,EOMONTH(DATE(cfg_FY,9,1),0))-MAX($E331,DATE(cfg_FY,9,1))+1)*(1-IF($M331="نعم",0,N($J331))))</f>
        <v>0</v>
      </c>
      <c r="AE331" s="110" t="n">
        <f aca="false">IF(OR($B331="",$E331="",$F331=""),0,MAX(0,MIN($F331,EOMONTH(DATE(cfg_FY,10,1),0))-MAX($E331,DATE(cfg_FY,10,1))+1)*(1-IF($M331="نعم",0,N($J331))))</f>
        <v>0</v>
      </c>
      <c r="AF331" s="110" t="n">
        <f aca="false">IF(OR($B331="",$E331="",$F331=""),0,MAX(0,MIN($F331,EOMONTH(DATE(cfg_FY,11,1),0))-MAX($E331,DATE(cfg_FY,11,1))+1)*(1-IF($M331="نعم",0,N($J331))))</f>
        <v>0</v>
      </c>
      <c r="AG331" s="110" t="n">
        <f aca="false">IF(OR($B331="",$E331="",$F331=""),0,MAX(0,MIN($F331,EOMONTH(DATE(cfg_FY,12,1),0))-MAX($E331,DATE(cfg_FY,12,1))+1)*(1-IF($M331="نعم",0,N($J331))))</f>
        <v>0</v>
      </c>
      <c r="AH331" s="110" t="n">
        <f aca="false">IF(OR(OR($B331="",$E331="",$F331=""),$L331&lt;&gt;"لا"),0,MAX(0,MIN($F331,EOMONTH(DATE(cfg_FY,1,1),0))-$E331+1))</f>
        <v>0</v>
      </c>
      <c r="AI331" s="110" t="n">
        <f aca="false">IF(OR(OR($B331="",$E331="",$F331=""),$L331&lt;&gt;"لا"),0,MAX(0,MIN($F331,EOMONTH(DATE(cfg_FY,2,1),0))-$E331+1))</f>
        <v>0</v>
      </c>
      <c r="AJ331" s="110" t="n">
        <f aca="false">IF(OR(OR($B331="",$E331="",$F331=""),$L331&lt;&gt;"لا"),0,MAX(0,MIN($F331,EOMONTH(DATE(cfg_FY,3,1),0))-$E331+1))</f>
        <v>0</v>
      </c>
      <c r="AK331" s="110" t="n">
        <f aca="false">IF(OR(OR($B331="",$E331="",$F331=""),$L331&lt;&gt;"لا"),0,MAX(0,MIN($F331,EOMONTH(DATE(cfg_FY,4,1),0))-$E331+1))</f>
        <v>0</v>
      </c>
      <c r="AL331" s="110" t="n">
        <f aca="false">IF(OR(OR($B331="",$E331="",$F331=""),$L331&lt;&gt;"لا"),0,MAX(0,MIN($F331,EOMONTH(DATE(cfg_FY,5,1),0))-$E331+1))</f>
        <v>0</v>
      </c>
      <c r="AM331" s="110" t="n">
        <f aca="false">IF(OR(OR($B331="",$E331="",$F331=""),$L331&lt;&gt;"لا"),0,MAX(0,MIN($F331,EOMONTH(DATE(cfg_FY,6,1),0))-$E331+1))</f>
        <v>0</v>
      </c>
      <c r="AN331" s="110" t="n">
        <f aca="false">IF(OR(OR($B331="",$E331="",$F331=""),$L331&lt;&gt;"لا"),0,MAX(0,MIN($F331,EOMONTH(DATE(cfg_FY,7,1),0))-$E331+1))</f>
        <v>0</v>
      </c>
      <c r="AO331" s="110" t="n">
        <f aca="false">IF(OR(OR($B331="",$E331="",$F331=""),$L331&lt;&gt;"لا"),0,MAX(0,MIN($F331,EOMONTH(DATE(cfg_FY,8,1),0))-$E331+1))</f>
        <v>0</v>
      </c>
      <c r="AP331" s="110" t="n">
        <f aca="false">IF(OR(OR($B331="",$E331="",$F331=""),$L331&lt;&gt;"لا"),0,MAX(0,MIN($F331,EOMONTH(DATE(cfg_FY,9,1),0))-$E331+1))</f>
        <v>0</v>
      </c>
      <c r="AQ331" s="110" t="n">
        <f aca="false">IF(OR(OR($B331="",$E331="",$F331=""),$L331&lt;&gt;"لا"),0,MAX(0,MIN($F331,EOMONTH(DATE(cfg_FY,10,1),0))-$E331+1))</f>
        <v>0</v>
      </c>
      <c r="AR331" s="110" t="n">
        <f aca="false">IF(OR(OR($B331="",$E331="",$F331=""),$L331&lt;&gt;"لا"),0,MAX(0,MIN($F331,EOMONTH(DATE(cfg_FY,11,1),0))-$E331+1))</f>
        <v>0</v>
      </c>
      <c r="AS331" s="110" t="n">
        <f aca="false">IF(OR(OR($B331="",$E331="",$F331=""),$L331&lt;&gt;"لا"),0,MAX(0,MIN($F331,EOMONTH(DATE(cfg_FY,12,1),0))-$E331+1))</f>
        <v>0</v>
      </c>
      <c r="AT331" s="110" t="n">
        <f aca="false">IF(OR(OR($B331="",$E331="",$F331=""),$K331&lt;&gt;"نعم",$M331="نعم"),0,MAX(0,MIN($F331,EOMONTH(DATE(cfg_FY,1,1),0))-MAX($E331,DATE(cfg_FY,1,1))+1))</f>
        <v>0</v>
      </c>
      <c r="AU331" s="110" t="n">
        <f aca="false">IF(OR(OR($B331="",$E331="",$F331=""),$K331&lt;&gt;"نعم",$M331="نعم"),0,MAX(0,MIN($F331,EOMONTH(DATE(cfg_FY,2,1),0))-MAX($E331,DATE(cfg_FY,2,1))+1))</f>
        <v>0</v>
      </c>
      <c r="AV331" s="110" t="n">
        <f aca="false">IF(OR(OR($B331="",$E331="",$F331=""),$K331&lt;&gt;"نعم",$M331="نعم"),0,MAX(0,MIN($F331,EOMONTH(DATE(cfg_FY,3,1),0))-MAX($E331,DATE(cfg_FY,3,1))+1))</f>
        <v>0</v>
      </c>
      <c r="AW331" s="110" t="n">
        <f aca="false">IF(OR(OR($B331="",$E331="",$F331=""),$K331&lt;&gt;"نعم",$M331="نعم"),0,MAX(0,MIN($F331,EOMONTH(DATE(cfg_FY,4,1),0))-MAX($E331,DATE(cfg_FY,4,1))+1))</f>
        <v>0</v>
      </c>
      <c r="AX331" s="110" t="n">
        <f aca="false">IF(OR(OR($B331="",$E331="",$F331=""),$K331&lt;&gt;"نعم",$M331="نعم"),0,MAX(0,MIN($F331,EOMONTH(DATE(cfg_FY,5,1),0))-MAX($E331,DATE(cfg_FY,5,1))+1))</f>
        <v>0</v>
      </c>
      <c r="AY331" s="110" t="n">
        <f aca="false">IF(OR(OR($B331="",$E331="",$F331=""),$K331&lt;&gt;"نعم",$M331="نعم"),0,MAX(0,MIN($F331,EOMONTH(DATE(cfg_FY,6,1),0))-MAX($E331,DATE(cfg_FY,6,1))+1))</f>
        <v>0</v>
      </c>
      <c r="AZ331" s="110" t="n">
        <f aca="false">IF(OR(OR($B331="",$E331="",$F331=""),$K331&lt;&gt;"نعم",$M331="نعم"),0,MAX(0,MIN($F331,EOMONTH(DATE(cfg_FY,7,1),0))-MAX($E331,DATE(cfg_FY,7,1))+1))</f>
        <v>0</v>
      </c>
      <c r="BA331" s="110" t="n">
        <f aca="false">IF(OR(OR($B331="",$E331="",$F331=""),$K331&lt;&gt;"نعم",$M331="نعم"),0,MAX(0,MIN($F331,EOMONTH(DATE(cfg_FY,8,1),0))-MAX($E331,DATE(cfg_FY,8,1))+1))</f>
        <v>0</v>
      </c>
      <c r="BB331" s="110" t="n">
        <f aca="false">IF(OR(OR($B331="",$E331="",$F331=""),$K331&lt;&gt;"نعم",$M331="نعم"),0,MAX(0,MIN($F331,EOMONTH(DATE(cfg_FY,9,1),0))-MAX($E331,DATE(cfg_FY,9,1))+1))</f>
        <v>0</v>
      </c>
      <c r="BC331" s="110" t="n">
        <f aca="false">IF(OR(OR($B331="",$E331="",$F331=""),$K331&lt;&gt;"نعم",$M331="نعم"),0,MAX(0,MIN($F331,EOMONTH(DATE(cfg_FY,10,1),0))-MAX($E331,DATE(cfg_FY,10,1))+1))</f>
        <v>0</v>
      </c>
      <c r="BD331" s="110" t="n">
        <f aca="false">IF(OR(OR($B331="",$E331="",$F331=""),$K331&lt;&gt;"نعم",$M331="نعم"),0,MAX(0,MIN($F331,EOMONTH(DATE(cfg_FY,11,1),0))-MAX($E331,DATE(cfg_FY,11,1))+1))</f>
        <v>0</v>
      </c>
      <c r="BE331" s="110" t="n">
        <f aca="false">IF(OR(OR($B331="",$E331="",$F331=""),$K331&lt;&gt;"نعم",$M331="نعم"),0,MAX(0,MIN($F331,EOMONTH(DATE(cfg_FY,12,1),0))-MAX($E331,DATE(cfg_FY,12,1))+1))</f>
        <v>0</v>
      </c>
    </row>
    <row r="332" customFormat="false" ht="15" hidden="false" customHeight="false" outlineLevel="0" collapsed="false">
      <c r="A332" s="93" t="str">
        <f aca="false">IF(B332="","",ROW()-5)</f>
        <v/>
      </c>
      <c r="B332" s="79"/>
      <c r="C332" s="80" t="str">
        <f aca="false">IF(B332="","",IFERROR(INDEX(الموظفون!$C$6:$C$105,MATCH(B332,الموظفون!$B$6:$B$105,0)),"✖ رقم غير موجود"))</f>
        <v/>
      </c>
      <c r="D332" s="79"/>
      <c r="E332" s="94"/>
      <c r="F332" s="94"/>
      <c r="G332" s="57" t="str">
        <f aca="false">IF(OR($B332="",$E332="",$F332=""),"",MAX(0,F332-E332+1))</f>
        <v/>
      </c>
      <c r="H332" s="58" t="str">
        <f aca="false">IF(D332="","",IFERROR(VLOOKUP(D332,cfg_LT,2,FALSE()),1))</f>
        <v/>
      </c>
      <c r="I332" s="82"/>
      <c r="J332" s="58" t="str">
        <f aca="false">IF(D332="","",IF(I332&lt;&gt;"",I332,H332))</f>
        <v/>
      </c>
      <c r="K332" s="80" t="str">
        <f aca="false">IF(D332="","",IFERROR(VLOOKUP($D332,cfg_LT,3,FALSE()),""))</f>
        <v/>
      </c>
      <c r="L332" s="80" t="str">
        <f aca="false">IF(D332="","",IFERROR(VLOOKUP($D332,cfg_LT,4,FALSE()),""))</f>
        <v/>
      </c>
      <c r="M332" s="80" t="str">
        <f aca="false">IF(D332="","",IFERROR(VLOOKUP($D332,cfg_LT,5,FALSE()),""))</f>
        <v/>
      </c>
      <c r="N332" s="97" t="n">
        <f aca="false">IF(OR(OR($B332="",$E332="",$F332=""),M332&lt;&gt;"نعم"),0,G332*J332*IFERROR(INDEX(الموظفون!$R$6:$R$105,MATCH(B332,الموظفون!$B$6:$B$105,0)),0)/cfg_DAYS_M)</f>
        <v>0</v>
      </c>
      <c r="O332" s="93" t="str">
        <f aca="false">IF(OR(OR($B332="",$E332="",$F332=""),M332&lt;&gt;"نعم"),"",IF(YEAR(E332)=cfg_FY,MONTH(E332),""))</f>
        <v/>
      </c>
      <c r="P332" s="80" t="str">
        <f aca="false">IF(B332="","",IF(OR(D332="",E332="",F332=""),"⚠ أكمل النوع والتواريخ",IF(F332&lt;E332,"✖ النهاية قبل البداية",IF(COUNTIFS($B$6:$B$505,B332,$E$6:$E$505,"&lt;="&amp;F332,$F$6:$F$505,"&gt;="&amp;E332)&gt;1,"⚠ تداخل مع سجل آخر",IF(E332&gt;cfg_VAL_DATE,"⏳ قادمة",IF(F332&lt;cfg_VAL_DATE,"✔ منتهية","✈ جارية في تاريخ التقرير"))))))</f>
        <v/>
      </c>
      <c r="Q332" s="79"/>
      <c r="R332" s="57" t="n">
        <f aca="false">IF(OR(OR($B332="",$E332="",$F332=""),L332&lt;&gt;"لا"),0,MAX(0,MIN(F332,cfg_Y_START-1)-E332+1))</f>
        <v>0</v>
      </c>
      <c r="S332" s="57" t="n">
        <f aca="false">IF(OR(OR($B332="",$E332="",$F332=""),L332&lt;&gt;"لا"),0,MAX(0,MIN(F332,cfg_VAL_DATE)-E332+1))</f>
        <v>0</v>
      </c>
      <c r="T332" s="57" t="n">
        <f aca="false">IF(OR(OR($B332="",$E332="",$F332=""),K332&lt;&gt;"نعم"),0,IF(M332="نعم",IF(AND(ISNUMBER(O332),N(O332)&lt;=cfg_VAL_M),G332,0),MAX(0,MIN(F332,cfg_VAL_DATE)-MAX(E332,cfg_Y_START)+1)))</f>
        <v>0</v>
      </c>
      <c r="V332" s="57" t="n">
        <f aca="false">IF(OR($B332="",$E332="",$F332=""),0,MAX(0,MIN($F332,EOMONTH(DATE(cfg_FY,1,1),0))-MAX($E332,DATE(cfg_FY,1,1))+1)*(1-IF($M332="نعم",0,N($J332))))</f>
        <v>0</v>
      </c>
      <c r="W332" s="57" t="n">
        <f aca="false">IF(OR($B332="",$E332="",$F332=""),0,MAX(0,MIN($F332,EOMONTH(DATE(cfg_FY,2,1),0))-MAX($E332,DATE(cfg_FY,2,1))+1)*(1-IF($M332="نعم",0,N($J332))))</f>
        <v>0</v>
      </c>
      <c r="X332" s="57" t="n">
        <f aca="false">IF(OR($B332="",$E332="",$F332=""),0,MAX(0,MIN($F332,EOMONTH(DATE(cfg_FY,3,1),0))-MAX($E332,DATE(cfg_FY,3,1))+1)*(1-IF($M332="نعم",0,N($J332))))</f>
        <v>0</v>
      </c>
      <c r="Y332" s="57" t="n">
        <f aca="false">IF(OR($B332="",$E332="",$F332=""),0,MAX(0,MIN($F332,EOMONTH(DATE(cfg_FY,4,1),0))-MAX($E332,DATE(cfg_FY,4,1))+1)*(1-IF($M332="نعم",0,N($J332))))</f>
        <v>0</v>
      </c>
      <c r="Z332" s="57" t="n">
        <f aca="false">IF(OR($B332="",$E332="",$F332=""),0,MAX(0,MIN($F332,EOMONTH(DATE(cfg_FY,5,1),0))-MAX($E332,DATE(cfg_FY,5,1))+1)*(1-IF($M332="نعم",0,N($J332))))</f>
        <v>0</v>
      </c>
      <c r="AA332" s="57" t="n">
        <f aca="false">IF(OR($B332="",$E332="",$F332=""),0,MAX(0,MIN($F332,EOMONTH(DATE(cfg_FY,6,1),0))-MAX($E332,DATE(cfg_FY,6,1))+1)*(1-IF($M332="نعم",0,N($J332))))</f>
        <v>0</v>
      </c>
      <c r="AB332" s="57" t="n">
        <f aca="false">IF(OR($B332="",$E332="",$F332=""),0,MAX(0,MIN($F332,EOMONTH(DATE(cfg_FY,7,1),0))-MAX($E332,DATE(cfg_FY,7,1))+1)*(1-IF($M332="نعم",0,N($J332))))</f>
        <v>0</v>
      </c>
      <c r="AC332" s="57" t="n">
        <f aca="false">IF(OR($B332="",$E332="",$F332=""),0,MAX(0,MIN($F332,EOMONTH(DATE(cfg_FY,8,1),0))-MAX($E332,DATE(cfg_FY,8,1))+1)*(1-IF($M332="نعم",0,N($J332))))</f>
        <v>0</v>
      </c>
      <c r="AD332" s="57" t="n">
        <f aca="false">IF(OR($B332="",$E332="",$F332=""),0,MAX(0,MIN($F332,EOMONTH(DATE(cfg_FY,9,1),0))-MAX($E332,DATE(cfg_FY,9,1))+1)*(1-IF($M332="نعم",0,N($J332))))</f>
        <v>0</v>
      </c>
      <c r="AE332" s="57" t="n">
        <f aca="false">IF(OR($B332="",$E332="",$F332=""),0,MAX(0,MIN($F332,EOMONTH(DATE(cfg_FY,10,1),0))-MAX($E332,DATE(cfg_FY,10,1))+1)*(1-IF($M332="نعم",0,N($J332))))</f>
        <v>0</v>
      </c>
      <c r="AF332" s="57" t="n">
        <f aca="false">IF(OR($B332="",$E332="",$F332=""),0,MAX(0,MIN($F332,EOMONTH(DATE(cfg_FY,11,1),0))-MAX($E332,DATE(cfg_FY,11,1))+1)*(1-IF($M332="نعم",0,N($J332))))</f>
        <v>0</v>
      </c>
      <c r="AG332" s="57" t="n">
        <f aca="false">IF(OR($B332="",$E332="",$F332=""),0,MAX(0,MIN($F332,EOMONTH(DATE(cfg_FY,12,1),0))-MAX($E332,DATE(cfg_FY,12,1))+1)*(1-IF($M332="نعم",0,N($J332))))</f>
        <v>0</v>
      </c>
      <c r="AH332" s="57" t="n">
        <f aca="false">IF(OR(OR($B332="",$E332="",$F332=""),$L332&lt;&gt;"لا"),0,MAX(0,MIN($F332,EOMONTH(DATE(cfg_FY,1,1),0))-$E332+1))</f>
        <v>0</v>
      </c>
      <c r="AI332" s="57" t="n">
        <f aca="false">IF(OR(OR($B332="",$E332="",$F332=""),$L332&lt;&gt;"لا"),0,MAX(0,MIN($F332,EOMONTH(DATE(cfg_FY,2,1),0))-$E332+1))</f>
        <v>0</v>
      </c>
      <c r="AJ332" s="57" t="n">
        <f aca="false">IF(OR(OR($B332="",$E332="",$F332=""),$L332&lt;&gt;"لا"),0,MAX(0,MIN($F332,EOMONTH(DATE(cfg_FY,3,1),0))-$E332+1))</f>
        <v>0</v>
      </c>
      <c r="AK332" s="57" t="n">
        <f aca="false">IF(OR(OR($B332="",$E332="",$F332=""),$L332&lt;&gt;"لا"),0,MAX(0,MIN($F332,EOMONTH(DATE(cfg_FY,4,1),0))-$E332+1))</f>
        <v>0</v>
      </c>
      <c r="AL332" s="57" t="n">
        <f aca="false">IF(OR(OR($B332="",$E332="",$F332=""),$L332&lt;&gt;"لا"),0,MAX(0,MIN($F332,EOMONTH(DATE(cfg_FY,5,1),0))-$E332+1))</f>
        <v>0</v>
      </c>
      <c r="AM332" s="57" t="n">
        <f aca="false">IF(OR(OR($B332="",$E332="",$F332=""),$L332&lt;&gt;"لا"),0,MAX(0,MIN($F332,EOMONTH(DATE(cfg_FY,6,1),0))-$E332+1))</f>
        <v>0</v>
      </c>
      <c r="AN332" s="57" t="n">
        <f aca="false">IF(OR(OR($B332="",$E332="",$F332=""),$L332&lt;&gt;"لا"),0,MAX(0,MIN($F332,EOMONTH(DATE(cfg_FY,7,1),0))-$E332+1))</f>
        <v>0</v>
      </c>
      <c r="AO332" s="57" t="n">
        <f aca="false">IF(OR(OR($B332="",$E332="",$F332=""),$L332&lt;&gt;"لا"),0,MAX(0,MIN($F332,EOMONTH(DATE(cfg_FY,8,1),0))-$E332+1))</f>
        <v>0</v>
      </c>
      <c r="AP332" s="57" t="n">
        <f aca="false">IF(OR(OR($B332="",$E332="",$F332=""),$L332&lt;&gt;"لا"),0,MAX(0,MIN($F332,EOMONTH(DATE(cfg_FY,9,1),0))-$E332+1))</f>
        <v>0</v>
      </c>
      <c r="AQ332" s="57" t="n">
        <f aca="false">IF(OR(OR($B332="",$E332="",$F332=""),$L332&lt;&gt;"لا"),0,MAX(0,MIN($F332,EOMONTH(DATE(cfg_FY,10,1),0))-$E332+1))</f>
        <v>0</v>
      </c>
      <c r="AR332" s="57" t="n">
        <f aca="false">IF(OR(OR($B332="",$E332="",$F332=""),$L332&lt;&gt;"لا"),0,MAX(0,MIN($F332,EOMONTH(DATE(cfg_FY,11,1),0))-$E332+1))</f>
        <v>0</v>
      </c>
      <c r="AS332" s="57" t="n">
        <f aca="false">IF(OR(OR($B332="",$E332="",$F332=""),$L332&lt;&gt;"لا"),0,MAX(0,MIN($F332,EOMONTH(DATE(cfg_FY,12,1),0))-$E332+1))</f>
        <v>0</v>
      </c>
      <c r="AT332" s="57" t="n">
        <f aca="false">IF(OR(OR($B332="",$E332="",$F332=""),$K332&lt;&gt;"نعم",$M332="نعم"),0,MAX(0,MIN($F332,EOMONTH(DATE(cfg_FY,1,1),0))-MAX($E332,DATE(cfg_FY,1,1))+1))</f>
        <v>0</v>
      </c>
      <c r="AU332" s="57" t="n">
        <f aca="false">IF(OR(OR($B332="",$E332="",$F332=""),$K332&lt;&gt;"نعم",$M332="نعم"),0,MAX(0,MIN($F332,EOMONTH(DATE(cfg_FY,2,1),0))-MAX($E332,DATE(cfg_FY,2,1))+1))</f>
        <v>0</v>
      </c>
      <c r="AV332" s="57" t="n">
        <f aca="false">IF(OR(OR($B332="",$E332="",$F332=""),$K332&lt;&gt;"نعم",$M332="نعم"),0,MAX(0,MIN($F332,EOMONTH(DATE(cfg_FY,3,1),0))-MAX($E332,DATE(cfg_FY,3,1))+1))</f>
        <v>0</v>
      </c>
      <c r="AW332" s="57" t="n">
        <f aca="false">IF(OR(OR($B332="",$E332="",$F332=""),$K332&lt;&gt;"نعم",$M332="نعم"),0,MAX(0,MIN($F332,EOMONTH(DATE(cfg_FY,4,1),0))-MAX($E332,DATE(cfg_FY,4,1))+1))</f>
        <v>0</v>
      </c>
      <c r="AX332" s="57" t="n">
        <f aca="false">IF(OR(OR($B332="",$E332="",$F332=""),$K332&lt;&gt;"نعم",$M332="نعم"),0,MAX(0,MIN($F332,EOMONTH(DATE(cfg_FY,5,1),0))-MAX($E332,DATE(cfg_FY,5,1))+1))</f>
        <v>0</v>
      </c>
      <c r="AY332" s="57" t="n">
        <f aca="false">IF(OR(OR($B332="",$E332="",$F332=""),$K332&lt;&gt;"نعم",$M332="نعم"),0,MAX(0,MIN($F332,EOMONTH(DATE(cfg_FY,6,1),0))-MAX($E332,DATE(cfg_FY,6,1))+1))</f>
        <v>0</v>
      </c>
      <c r="AZ332" s="57" t="n">
        <f aca="false">IF(OR(OR($B332="",$E332="",$F332=""),$K332&lt;&gt;"نعم",$M332="نعم"),0,MAX(0,MIN($F332,EOMONTH(DATE(cfg_FY,7,1),0))-MAX($E332,DATE(cfg_FY,7,1))+1))</f>
        <v>0</v>
      </c>
      <c r="BA332" s="57" t="n">
        <f aca="false">IF(OR(OR($B332="",$E332="",$F332=""),$K332&lt;&gt;"نعم",$M332="نعم"),0,MAX(0,MIN($F332,EOMONTH(DATE(cfg_FY,8,1),0))-MAX($E332,DATE(cfg_FY,8,1))+1))</f>
        <v>0</v>
      </c>
      <c r="BB332" s="57" t="n">
        <f aca="false">IF(OR(OR($B332="",$E332="",$F332=""),$K332&lt;&gt;"نعم",$M332="نعم"),0,MAX(0,MIN($F332,EOMONTH(DATE(cfg_FY,9,1),0))-MAX($E332,DATE(cfg_FY,9,1))+1))</f>
        <v>0</v>
      </c>
      <c r="BC332" s="57" t="n">
        <f aca="false">IF(OR(OR($B332="",$E332="",$F332=""),$K332&lt;&gt;"نعم",$M332="نعم"),0,MAX(0,MIN($F332,EOMONTH(DATE(cfg_FY,10,1),0))-MAX($E332,DATE(cfg_FY,10,1))+1))</f>
        <v>0</v>
      </c>
      <c r="BD332" s="57" t="n">
        <f aca="false">IF(OR(OR($B332="",$E332="",$F332=""),$K332&lt;&gt;"نعم",$M332="نعم"),0,MAX(0,MIN($F332,EOMONTH(DATE(cfg_FY,11,1),0))-MAX($E332,DATE(cfg_FY,11,1))+1))</f>
        <v>0</v>
      </c>
      <c r="BE332" s="57" t="n">
        <f aca="false">IF(OR(OR($B332="",$E332="",$F332=""),$K332&lt;&gt;"نعم",$M332="نعم"),0,MAX(0,MIN($F332,EOMONTH(DATE(cfg_FY,12,1),0))-MAX($E332,DATE(cfg_FY,12,1))+1))</f>
        <v>0</v>
      </c>
    </row>
    <row r="333" customFormat="false" ht="15" hidden="false" customHeight="false" outlineLevel="0" collapsed="false">
      <c r="A333" s="100" t="str">
        <f aca="false">IF(B333="","",ROW()-5)</f>
        <v/>
      </c>
      <c r="B333" s="79"/>
      <c r="C333" s="102" t="str">
        <f aca="false">IF(B333="","",IFERROR(INDEX(الموظفون!$C$6:$C$105,MATCH(B333,الموظفون!$B$6:$B$105,0)),"✖ رقم غير موجود"))</f>
        <v/>
      </c>
      <c r="D333" s="79"/>
      <c r="E333" s="94"/>
      <c r="F333" s="94"/>
      <c r="G333" s="110" t="str">
        <f aca="false">IF(OR($B333="",$E333="",$F333=""),"",MAX(0,F333-E333+1))</f>
        <v/>
      </c>
      <c r="H333" s="111" t="str">
        <f aca="false">IF(D333="","",IFERROR(VLOOKUP(D333,cfg_LT,2,FALSE()),1))</f>
        <v/>
      </c>
      <c r="I333" s="82"/>
      <c r="J333" s="111" t="str">
        <f aca="false">IF(D333="","",IF(I333&lt;&gt;"",I333,H333))</f>
        <v/>
      </c>
      <c r="K333" s="102" t="str">
        <f aca="false">IF(D333="","",IFERROR(VLOOKUP($D333,cfg_LT,3,FALSE()),""))</f>
        <v/>
      </c>
      <c r="L333" s="102" t="str">
        <f aca="false">IF(D333="","",IFERROR(VLOOKUP($D333,cfg_LT,4,FALSE()),""))</f>
        <v/>
      </c>
      <c r="M333" s="102" t="str">
        <f aca="false">IF(D333="","",IFERROR(VLOOKUP($D333,cfg_LT,5,FALSE()),""))</f>
        <v/>
      </c>
      <c r="N333" s="101" t="n">
        <f aca="false">IF(OR(OR($B333="",$E333="",$F333=""),M333&lt;&gt;"نعم"),0,G333*J333*IFERROR(INDEX(الموظفون!$R$6:$R$105,MATCH(B333,الموظفون!$B$6:$B$105,0)),0)/cfg_DAYS_M)</f>
        <v>0</v>
      </c>
      <c r="O333" s="100" t="str">
        <f aca="false">IF(OR(OR($B333="",$E333="",$F333=""),M333&lt;&gt;"نعم"),"",IF(YEAR(E333)=cfg_FY,MONTH(E333),""))</f>
        <v/>
      </c>
      <c r="P333" s="102" t="str">
        <f aca="false">IF(B333="","",IF(OR(D333="",E333="",F333=""),"⚠ أكمل النوع والتواريخ",IF(F333&lt;E333,"✖ النهاية قبل البداية",IF(COUNTIFS($B$6:$B$505,B333,$E$6:$E$505,"&lt;="&amp;F333,$F$6:$F$505,"&gt;="&amp;E333)&gt;1,"⚠ تداخل مع سجل آخر",IF(E333&gt;cfg_VAL_DATE,"⏳ قادمة",IF(F333&lt;cfg_VAL_DATE,"✔ منتهية","✈ جارية في تاريخ التقرير"))))))</f>
        <v/>
      </c>
      <c r="Q333" s="79"/>
      <c r="R333" s="110" t="n">
        <f aca="false">IF(OR(OR($B333="",$E333="",$F333=""),L333&lt;&gt;"لا"),0,MAX(0,MIN(F333,cfg_Y_START-1)-E333+1))</f>
        <v>0</v>
      </c>
      <c r="S333" s="110" t="n">
        <f aca="false">IF(OR(OR($B333="",$E333="",$F333=""),L333&lt;&gt;"لا"),0,MAX(0,MIN(F333,cfg_VAL_DATE)-E333+1))</f>
        <v>0</v>
      </c>
      <c r="T333" s="110" t="n">
        <f aca="false">IF(OR(OR($B333="",$E333="",$F333=""),K333&lt;&gt;"نعم"),0,IF(M333="نعم",IF(AND(ISNUMBER(O333),N(O333)&lt;=cfg_VAL_M),G333,0),MAX(0,MIN(F333,cfg_VAL_DATE)-MAX(E333,cfg_Y_START)+1)))</f>
        <v>0</v>
      </c>
      <c r="V333" s="110" t="n">
        <f aca="false">IF(OR($B333="",$E333="",$F333=""),0,MAX(0,MIN($F333,EOMONTH(DATE(cfg_FY,1,1),0))-MAX($E333,DATE(cfg_FY,1,1))+1)*(1-IF($M333="نعم",0,N($J333))))</f>
        <v>0</v>
      </c>
      <c r="W333" s="110" t="n">
        <f aca="false">IF(OR($B333="",$E333="",$F333=""),0,MAX(0,MIN($F333,EOMONTH(DATE(cfg_FY,2,1),0))-MAX($E333,DATE(cfg_FY,2,1))+1)*(1-IF($M333="نعم",0,N($J333))))</f>
        <v>0</v>
      </c>
      <c r="X333" s="110" t="n">
        <f aca="false">IF(OR($B333="",$E333="",$F333=""),0,MAX(0,MIN($F333,EOMONTH(DATE(cfg_FY,3,1),0))-MAX($E333,DATE(cfg_FY,3,1))+1)*(1-IF($M333="نعم",0,N($J333))))</f>
        <v>0</v>
      </c>
      <c r="Y333" s="110" t="n">
        <f aca="false">IF(OR($B333="",$E333="",$F333=""),0,MAX(0,MIN($F333,EOMONTH(DATE(cfg_FY,4,1),0))-MAX($E333,DATE(cfg_FY,4,1))+1)*(1-IF($M333="نعم",0,N($J333))))</f>
        <v>0</v>
      </c>
      <c r="Z333" s="110" t="n">
        <f aca="false">IF(OR($B333="",$E333="",$F333=""),0,MAX(0,MIN($F333,EOMONTH(DATE(cfg_FY,5,1),0))-MAX($E333,DATE(cfg_FY,5,1))+1)*(1-IF($M333="نعم",0,N($J333))))</f>
        <v>0</v>
      </c>
      <c r="AA333" s="110" t="n">
        <f aca="false">IF(OR($B333="",$E333="",$F333=""),0,MAX(0,MIN($F333,EOMONTH(DATE(cfg_FY,6,1),0))-MAX($E333,DATE(cfg_FY,6,1))+1)*(1-IF($M333="نعم",0,N($J333))))</f>
        <v>0</v>
      </c>
      <c r="AB333" s="110" t="n">
        <f aca="false">IF(OR($B333="",$E333="",$F333=""),0,MAX(0,MIN($F333,EOMONTH(DATE(cfg_FY,7,1),0))-MAX($E333,DATE(cfg_FY,7,1))+1)*(1-IF($M333="نعم",0,N($J333))))</f>
        <v>0</v>
      </c>
      <c r="AC333" s="110" t="n">
        <f aca="false">IF(OR($B333="",$E333="",$F333=""),0,MAX(0,MIN($F333,EOMONTH(DATE(cfg_FY,8,1),0))-MAX($E333,DATE(cfg_FY,8,1))+1)*(1-IF($M333="نعم",0,N($J333))))</f>
        <v>0</v>
      </c>
      <c r="AD333" s="110" t="n">
        <f aca="false">IF(OR($B333="",$E333="",$F333=""),0,MAX(0,MIN($F333,EOMONTH(DATE(cfg_FY,9,1),0))-MAX($E333,DATE(cfg_FY,9,1))+1)*(1-IF($M333="نعم",0,N($J333))))</f>
        <v>0</v>
      </c>
      <c r="AE333" s="110" t="n">
        <f aca="false">IF(OR($B333="",$E333="",$F333=""),0,MAX(0,MIN($F333,EOMONTH(DATE(cfg_FY,10,1),0))-MAX($E333,DATE(cfg_FY,10,1))+1)*(1-IF($M333="نعم",0,N($J333))))</f>
        <v>0</v>
      </c>
      <c r="AF333" s="110" t="n">
        <f aca="false">IF(OR($B333="",$E333="",$F333=""),0,MAX(0,MIN($F333,EOMONTH(DATE(cfg_FY,11,1),0))-MAX($E333,DATE(cfg_FY,11,1))+1)*(1-IF($M333="نعم",0,N($J333))))</f>
        <v>0</v>
      </c>
      <c r="AG333" s="110" t="n">
        <f aca="false">IF(OR($B333="",$E333="",$F333=""),0,MAX(0,MIN($F333,EOMONTH(DATE(cfg_FY,12,1),0))-MAX($E333,DATE(cfg_FY,12,1))+1)*(1-IF($M333="نعم",0,N($J333))))</f>
        <v>0</v>
      </c>
      <c r="AH333" s="110" t="n">
        <f aca="false">IF(OR(OR($B333="",$E333="",$F333=""),$L333&lt;&gt;"لا"),0,MAX(0,MIN($F333,EOMONTH(DATE(cfg_FY,1,1),0))-$E333+1))</f>
        <v>0</v>
      </c>
      <c r="AI333" s="110" t="n">
        <f aca="false">IF(OR(OR($B333="",$E333="",$F333=""),$L333&lt;&gt;"لا"),0,MAX(0,MIN($F333,EOMONTH(DATE(cfg_FY,2,1),0))-$E333+1))</f>
        <v>0</v>
      </c>
      <c r="AJ333" s="110" t="n">
        <f aca="false">IF(OR(OR($B333="",$E333="",$F333=""),$L333&lt;&gt;"لا"),0,MAX(0,MIN($F333,EOMONTH(DATE(cfg_FY,3,1),0))-$E333+1))</f>
        <v>0</v>
      </c>
      <c r="AK333" s="110" t="n">
        <f aca="false">IF(OR(OR($B333="",$E333="",$F333=""),$L333&lt;&gt;"لا"),0,MAX(0,MIN($F333,EOMONTH(DATE(cfg_FY,4,1),0))-$E333+1))</f>
        <v>0</v>
      </c>
      <c r="AL333" s="110" t="n">
        <f aca="false">IF(OR(OR($B333="",$E333="",$F333=""),$L333&lt;&gt;"لا"),0,MAX(0,MIN($F333,EOMONTH(DATE(cfg_FY,5,1),0))-$E333+1))</f>
        <v>0</v>
      </c>
      <c r="AM333" s="110" t="n">
        <f aca="false">IF(OR(OR($B333="",$E333="",$F333=""),$L333&lt;&gt;"لا"),0,MAX(0,MIN($F333,EOMONTH(DATE(cfg_FY,6,1),0))-$E333+1))</f>
        <v>0</v>
      </c>
      <c r="AN333" s="110" t="n">
        <f aca="false">IF(OR(OR($B333="",$E333="",$F333=""),$L333&lt;&gt;"لا"),0,MAX(0,MIN($F333,EOMONTH(DATE(cfg_FY,7,1),0))-$E333+1))</f>
        <v>0</v>
      </c>
      <c r="AO333" s="110" t="n">
        <f aca="false">IF(OR(OR($B333="",$E333="",$F333=""),$L333&lt;&gt;"لا"),0,MAX(0,MIN($F333,EOMONTH(DATE(cfg_FY,8,1),0))-$E333+1))</f>
        <v>0</v>
      </c>
      <c r="AP333" s="110" t="n">
        <f aca="false">IF(OR(OR($B333="",$E333="",$F333=""),$L333&lt;&gt;"لا"),0,MAX(0,MIN($F333,EOMONTH(DATE(cfg_FY,9,1),0))-$E333+1))</f>
        <v>0</v>
      </c>
      <c r="AQ333" s="110" t="n">
        <f aca="false">IF(OR(OR($B333="",$E333="",$F333=""),$L333&lt;&gt;"لا"),0,MAX(0,MIN($F333,EOMONTH(DATE(cfg_FY,10,1),0))-$E333+1))</f>
        <v>0</v>
      </c>
      <c r="AR333" s="110" t="n">
        <f aca="false">IF(OR(OR($B333="",$E333="",$F333=""),$L333&lt;&gt;"لا"),0,MAX(0,MIN($F333,EOMONTH(DATE(cfg_FY,11,1),0))-$E333+1))</f>
        <v>0</v>
      </c>
      <c r="AS333" s="110" t="n">
        <f aca="false">IF(OR(OR($B333="",$E333="",$F333=""),$L333&lt;&gt;"لا"),0,MAX(0,MIN($F333,EOMONTH(DATE(cfg_FY,12,1),0))-$E333+1))</f>
        <v>0</v>
      </c>
      <c r="AT333" s="110" t="n">
        <f aca="false">IF(OR(OR($B333="",$E333="",$F333=""),$K333&lt;&gt;"نعم",$M333="نعم"),0,MAX(0,MIN($F333,EOMONTH(DATE(cfg_FY,1,1),0))-MAX($E333,DATE(cfg_FY,1,1))+1))</f>
        <v>0</v>
      </c>
      <c r="AU333" s="110" t="n">
        <f aca="false">IF(OR(OR($B333="",$E333="",$F333=""),$K333&lt;&gt;"نعم",$M333="نعم"),0,MAX(0,MIN($F333,EOMONTH(DATE(cfg_FY,2,1),0))-MAX($E333,DATE(cfg_FY,2,1))+1))</f>
        <v>0</v>
      </c>
      <c r="AV333" s="110" t="n">
        <f aca="false">IF(OR(OR($B333="",$E333="",$F333=""),$K333&lt;&gt;"نعم",$M333="نعم"),0,MAX(0,MIN($F333,EOMONTH(DATE(cfg_FY,3,1),0))-MAX($E333,DATE(cfg_FY,3,1))+1))</f>
        <v>0</v>
      </c>
      <c r="AW333" s="110" t="n">
        <f aca="false">IF(OR(OR($B333="",$E333="",$F333=""),$K333&lt;&gt;"نعم",$M333="نعم"),0,MAX(0,MIN($F333,EOMONTH(DATE(cfg_FY,4,1),0))-MAX($E333,DATE(cfg_FY,4,1))+1))</f>
        <v>0</v>
      </c>
      <c r="AX333" s="110" t="n">
        <f aca="false">IF(OR(OR($B333="",$E333="",$F333=""),$K333&lt;&gt;"نعم",$M333="نعم"),0,MAX(0,MIN($F333,EOMONTH(DATE(cfg_FY,5,1),0))-MAX($E333,DATE(cfg_FY,5,1))+1))</f>
        <v>0</v>
      </c>
      <c r="AY333" s="110" t="n">
        <f aca="false">IF(OR(OR($B333="",$E333="",$F333=""),$K333&lt;&gt;"نعم",$M333="نعم"),0,MAX(0,MIN($F333,EOMONTH(DATE(cfg_FY,6,1),0))-MAX($E333,DATE(cfg_FY,6,1))+1))</f>
        <v>0</v>
      </c>
      <c r="AZ333" s="110" t="n">
        <f aca="false">IF(OR(OR($B333="",$E333="",$F333=""),$K333&lt;&gt;"نعم",$M333="نعم"),0,MAX(0,MIN($F333,EOMONTH(DATE(cfg_FY,7,1),0))-MAX($E333,DATE(cfg_FY,7,1))+1))</f>
        <v>0</v>
      </c>
      <c r="BA333" s="110" t="n">
        <f aca="false">IF(OR(OR($B333="",$E333="",$F333=""),$K333&lt;&gt;"نعم",$M333="نعم"),0,MAX(0,MIN($F333,EOMONTH(DATE(cfg_FY,8,1),0))-MAX($E333,DATE(cfg_FY,8,1))+1))</f>
        <v>0</v>
      </c>
      <c r="BB333" s="110" t="n">
        <f aca="false">IF(OR(OR($B333="",$E333="",$F333=""),$K333&lt;&gt;"نعم",$M333="نعم"),0,MAX(0,MIN($F333,EOMONTH(DATE(cfg_FY,9,1),0))-MAX($E333,DATE(cfg_FY,9,1))+1))</f>
        <v>0</v>
      </c>
      <c r="BC333" s="110" t="n">
        <f aca="false">IF(OR(OR($B333="",$E333="",$F333=""),$K333&lt;&gt;"نعم",$M333="نعم"),0,MAX(0,MIN($F333,EOMONTH(DATE(cfg_FY,10,1),0))-MAX($E333,DATE(cfg_FY,10,1))+1))</f>
        <v>0</v>
      </c>
      <c r="BD333" s="110" t="n">
        <f aca="false">IF(OR(OR($B333="",$E333="",$F333=""),$K333&lt;&gt;"نعم",$M333="نعم"),0,MAX(0,MIN($F333,EOMONTH(DATE(cfg_FY,11,1),0))-MAX($E333,DATE(cfg_FY,11,1))+1))</f>
        <v>0</v>
      </c>
      <c r="BE333" s="110" t="n">
        <f aca="false">IF(OR(OR($B333="",$E333="",$F333=""),$K333&lt;&gt;"نعم",$M333="نعم"),0,MAX(0,MIN($F333,EOMONTH(DATE(cfg_FY,12,1),0))-MAX($E333,DATE(cfg_FY,12,1))+1))</f>
        <v>0</v>
      </c>
    </row>
    <row r="334" customFormat="false" ht="15" hidden="false" customHeight="false" outlineLevel="0" collapsed="false">
      <c r="A334" s="93" t="str">
        <f aca="false">IF(B334="","",ROW()-5)</f>
        <v/>
      </c>
      <c r="B334" s="79"/>
      <c r="C334" s="80" t="str">
        <f aca="false">IF(B334="","",IFERROR(INDEX(الموظفون!$C$6:$C$105,MATCH(B334,الموظفون!$B$6:$B$105,0)),"✖ رقم غير موجود"))</f>
        <v/>
      </c>
      <c r="D334" s="79"/>
      <c r="E334" s="94"/>
      <c r="F334" s="94"/>
      <c r="G334" s="57" t="str">
        <f aca="false">IF(OR($B334="",$E334="",$F334=""),"",MAX(0,F334-E334+1))</f>
        <v/>
      </c>
      <c r="H334" s="58" t="str">
        <f aca="false">IF(D334="","",IFERROR(VLOOKUP(D334,cfg_LT,2,FALSE()),1))</f>
        <v/>
      </c>
      <c r="I334" s="82"/>
      <c r="J334" s="58" t="str">
        <f aca="false">IF(D334="","",IF(I334&lt;&gt;"",I334,H334))</f>
        <v/>
      </c>
      <c r="K334" s="80" t="str">
        <f aca="false">IF(D334="","",IFERROR(VLOOKUP($D334,cfg_LT,3,FALSE()),""))</f>
        <v/>
      </c>
      <c r="L334" s="80" t="str">
        <f aca="false">IF(D334="","",IFERROR(VLOOKUP($D334,cfg_LT,4,FALSE()),""))</f>
        <v/>
      </c>
      <c r="M334" s="80" t="str">
        <f aca="false">IF(D334="","",IFERROR(VLOOKUP($D334,cfg_LT,5,FALSE()),""))</f>
        <v/>
      </c>
      <c r="N334" s="97" t="n">
        <f aca="false">IF(OR(OR($B334="",$E334="",$F334=""),M334&lt;&gt;"نعم"),0,G334*J334*IFERROR(INDEX(الموظفون!$R$6:$R$105,MATCH(B334,الموظفون!$B$6:$B$105,0)),0)/cfg_DAYS_M)</f>
        <v>0</v>
      </c>
      <c r="O334" s="93" t="str">
        <f aca="false">IF(OR(OR($B334="",$E334="",$F334=""),M334&lt;&gt;"نعم"),"",IF(YEAR(E334)=cfg_FY,MONTH(E334),""))</f>
        <v/>
      </c>
      <c r="P334" s="80" t="str">
        <f aca="false">IF(B334="","",IF(OR(D334="",E334="",F334=""),"⚠ أكمل النوع والتواريخ",IF(F334&lt;E334,"✖ النهاية قبل البداية",IF(COUNTIFS($B$6:$B$505,B334,$E$6:$E$505,"&lt;="&amp;F334,$F$6:$F$505,"&gt;="&amp;E334)&gt;1,"⚠ تداخل مع سجل آخر",IF(E334&gt;cfg_VAL_DATE,"⏳ قادمة",IF(F334&lt;cfg_VAL_DATE,"✔ منتهية","✈ جارية في تاريخ التقرير"))))))</f>
        <v/>
      </c>
      <c r="Q334" s="79"/>
      <c r="R334" s="57" t="n">
        <f aca="false">IF(OR(OR($B334="",$E334="",$F334=""),L334&lt;&gt;"لا"),0,MAX(0,MIN(F334,cfg_Y_START-1)-E334+1))</f>
        <v>0</v>
      </c>
      <c r="S334" s="57" t="n">
        <f aca="false">IF(OR(OR($B334="",$E334="",$F334=""),L334&lt;&gt;"لا"),0,MAX(0,MIN(F334,cfg_VAL_DATE)-E334+1))</f>
        <v>0</v>
      </c>
      <c r="T334" s="57" t="n">
        <f aca="false">IF(OR(OR($B334="",$E334="",$F334=""),K334&lt;&gt;"نعم"),0,IF(M334="نعم",IF(AND(ISNUMBER(O334),N(O334)&lt;=cfg_VAL_M),G334,0),MAX(0,MIN(F334,cfg_VAL_DATE)-MAX(E334,cfg_Y_START)+1)))</f>
        <v>0</v>
      </c>
      <c r="V334" s="57" t="n">
        <f aca="false">IF(OR($B334="",$E334="",$F334=""),0,MAX(0,MIN($F334,EOMONTH(DATE(cfg_FY,1,1),0))-MAX($E334,DATE(cfg_FY,1,1))+1)*(1-IF($M334="نعم",0,N($J334))))</f>
        <v>0</v>
      </c>
      <c r="W334" s="57" t="n">
        <f aca="false">IF(OR($B334="",$E334="",$F334=""),0,MAX(0,MIN($F334,EOMONTH(DATE(cfg_FY,2,1),0))-MAX($E334,DATE(cfg_FY,2,1))+1)*(1-IF($M334="نعم",0,N($J334))))</f>
        <v>0</v>
      </c>
      <c r="X334" s="57" t="n">
        <f aca="false">IF(OR($B334="",$E334="",$F334=""),0,MAX(0,MIN($F334,EOMONTH(DATE(cfg_FY,3,1),0))-MAX($E334,DATE(cfg_FY,3,1))+1)*(1-IF($M334="نعم",0,N($J334))))</f>
        <v>0</v>
      </c>
      <c r="Y334" s="57" t="n">
        <f aca="false">IF(OR($B334="",$E334="",$F334=""),0,MAX(0,MIN($F334,EOMONTH(DATE(cfg_FY,4,1),0))-MAX($E334,DATE(cfg_FY,4,1))+1)*(1-IF($M334="نعم",0,N($J334))))</f>
        <v>0</v>
      </c>
      <c r="Z334" s="57" t="n">
        <f aca="false">IF(OR($B334="",$E334="",$F334=""),0,MAX(0,MIN($F334,EOMONTH(DATE(cfg_FY,5,1),0))-MAX($E334,DATE(cfg_FY,5,1))+1)*(1-IF($M334="نعم",0,N($J334))))</f>
        <v>0</v>
      </c>
      <c r="AA334" s="57" t="n">
        <f aca="false">IF(OR($B334="",$E334="",$F334=""),0,MAX(0,MIN($F334,EOMONTH(DATE(cfg_FY,6,1),0))-MAX($E334,DATE(cfg_FY,6,1))+1)*(1-IF($M334="نعم",0,N($J334))))</f>
        <v>0</v>
      </c>
      <c r="AB334" s="57" t="n">
        <f aca="false">IF(OR($B334="",$E334="",$F334=""),0,MAX(0,MIN($F334,EOMONTH(DATE(cfg_FY,7,1),0))-MAX($E334,DATE(cfg_FY,7,1))+1)*(1-IF($M334="نعم",0,N($J334))))</f>
        <v>0</v>
      </c>
      <c r="AC334" s="57" t="n">
        <f aca="false">IF(OR($B334="",$E334="",$F334=""),0,MAX(0,MIN($F334,EOMONTH(DATE(cfg_FY,8,1),0))-MAX($E334,DATE(cfg_FY,8,1))+1)*(1-IF($M334="نعم",0,N($J334))))</f>
        <v>0</v>
      </c>
      <c r="AD334" s="57" t="n">
        <f aca="false">IF(OR($B334="",$E334="",$F334=""),0,MAX(0,MIN($F334,EOMONTH(DATE(cfg_FY,9,1),0))-MAX($E334,DATE(cfg_FY,9,1))+1)*(1-IF($M334="نعم",0,N($J334))))</f>
        <v>0</v>
      </c>
      <c r="AE334" s="57" t="n">
        <f aca="false">IF(OR($B334="",$E334="",$F334=""),0,MAX(0,MIN($F334,EOMONTH(DATE(cfg_FY,10,1),0))-MAX($E334,DATE(cfg_FY,10,1))+1)*(1-IF($M334="نعم",0,N($J334))))</f>
        <v>0</v>
      </c>
      <c r="AF334" s="57" t="n">
        <f aca="false">IF(OR($B334="",$E334="",$F334=""),0,MAX(0,MIN($F334,EOMONTH(DATE(cfg_FY,11,1),0))-MAX($E334,DATE(cfg_FY,11,1))+1)*(1-IF($M334="نعم",0,N($J334))))</f>
        <v>0</v>
      </c>
      <c r="AG334" s="57" t="n">
        <f aca="false">IF(OR($B334="",$E334="",$F334=""),0,MAX(0,MIN($F334,EOMONTH(DATE(cfg_FY,12,1),0))-MAX($E334,DATE(cfg_FY,12,1))+1)*(1-IF($M334="نعم",0,N($J334))))</f>
        <v>0</v>
      </c>
      <c r="AH334" s="57" t="n">
        <f aca="false">IF(OR(OR($B334="",$E334="",$F334=""),$L334&lt;&gt;"لا"),0,MAX(0,MIN($F334,EOMONTH(DATE(cfg_FY,1,1),0))-$E334+1))</f>
        <v>0</v>
      </c>
      <c r="AI334" s="57" t="n">
        <f aca="false">IF(OR(OR($B334="",$E334="",$F334=""),$L334&lt;&gt;"لا"),0,MAX(0,MIN($F334,EOMONTH(DATE(cfg_FY,2,1),0))-$E334+1))</f>
        <v>0</v>
      </c>
      <c r="AJ334" s="57" t="n">
        <f aca="false">IF(OR(OR($B334="",$E334="",$F334=""),$L334&lt;&gt;"لا"),0,MAX(0,MIN($F334,EOMONTH(DATE(cfg_FY,3,1),0))-$E334+1))</f>
        <v>0</v>
      </c>
      <c r="AK334" s="57" t="n">
        <f aca="false">IF(OR(OR($B334="",$E334="",$F334=""),$L334&lt;&gt;"لا"),0,MAX(0,MIN($F334,EOMONTH(DATE(cfg_FY,4,1),0))-$E334+1))</f>
        <v>0</v>
      </c>
      <c r="AL334" s="57" t="n">
        <f aca="false">IF(OR(OR($B334="",$E334="",$F334=""),$L334&lt;&gt;"لا"),0,MAX(0,MIN($F334,EOMONTH(DATE(cfg_FY,5,1),0))-$E334+1))</f>
        <v>0</v>
      </c>
      <c r="AM334" s="57" t="n">
        <f aca="false">IF(OR(OR($B334="",$E334="",$F334=""),$L334&lt;&gt;"لا"),0,MAX(0,MIN($F334,EOMONTH(DATE(cfg_FY,6,1),0))-$E334+1))</f>
        <v>0</v>
      </c>
      <c r="AN334" s="57" t="n">
        <f aca="false">IF(OR(OR($B334="",$E334="",$F334=""),$L334&lt;&gt;"لا"),0,MAX(0,MIN($F334,EOMONTH(DATE(cfg_FY,7,1),0))-$E334+1))</f>
        <v>0</v>
      </c>
      <c r="AO334" s="57" t="n">
        <f aca="false">IF(OR(OR($B334="",$E334="",$F334=""),$L334&lt;&gt;"لا"),0,MAX(0,MIN($F334,EOMONTH(DATE(cfg_FY,8,1),0))-$E334+1))</f>
        <v>0</v>
      </c>
      <c r="AP334" s="57" t="n">
        <f aca="false">IF(OR(OR($B334="",$E334="",$F334=""),$L334&lt;&gt;"لا"),0,MAX(0,MIN($F334,EOMONTH(DATE(cfg_FY,9,1),0))-$E334+1))</f>
        <v>0</v>
      </c>
      <c r="AQ334" s="57" t="n">
        <f aca="false">IF(OR(OR($B334="",$E334="",$F334=""),$L334&lt;&gt;"لا"),0,MAX(0,MIN($F334,EOMONTH(DATE(cfg_FY,10,1),0))-$E334+1))</f>
        <v>0</v>
      </c>
      <c r="AR334" s="57" t="n">
        <f aca="false">IF(OR(OR($B334="",$E334="",$F334=""),$L334&lt;&gt;"لا"),0,MAX(0,MIN($F334,EOMONTH(DATE(cfg_FY,11,1),0))-$E334+1))</f>
        <v>0</v>
      </c>
      <c r="AS334" s="57" t="n">
        <f aca="false">IF(OR(OR($B334="",$E334="",$F334=""),$L334&lt;&gt;"لا"),0,MAX(0,MIN($F334,EOMONTH(DATE(cfg_FY,12,1),0))-$E334+1))</f>
        <v>0</v>
      </c>
      <c r="AT334" s="57" t="n">
        <f aca="false">IF(OR(OR($B334="",$E334="",$F334=""),$K334&lt;&gt;"نعم",$M334="نعم"),0,MAX(0,MIN($F334,EOMONTH(DATE(cfg_FY,1,1),0))-MAX($E334,DATE(cfg_FY,1,1))+1))</f>
        <v>0</v>
      </c>
      <c r="AU334" s="57" t="n">
        <f aca="false">IF(OR(OR($B334="",$E334="",$F334=""),$K334&lt;&gt;"نعم",$M334="نعم"),0,MAX(0,MIN($F334,EOMONTH(DATE(cfg_FY,2,1),0))-MAX($E334,DATE(cfg_FY,2,1))+1))</f>
        <v>0</v>
      </c>
      <c r="AV334" s="57" t="n">
        <f aca="false">IF(OR(OR($B334="",$E334="",$F334=""),$K334&lt;&gt;"نعم",$M334="نعم"),0,MAX(0,MIN($F334,EOMONTH(DATE(cfg_FY,3,1),0))-MAX($E334,DATE(cfg_FY,3,1))+1))</f>
        <v>0</v>
      </c>
      <c r="AW334" s="57" t="n">
        <f aca="false">IF(OR(OR($B334="",$E334="",$F334=""),$K334&lt;&gt;"نعم",$M334="نعم"),0,MAX(0,MIN($F334,EOMONTH(DATE(cfg_FY,4,1),0))-MAX($E334,DATE(cfg_FY,4,1))+1))</f>
        <v>0</v>
      </c>
      <c r="AX334" s="57" t="n">
        <f aca="false">IF(OR(OR($B334="",$E334="",$F334=""),$K334&lt;&gt;"نعم",$M334="نعم"),0,MAX(0,MIN($F334,EOMONTH(DATE(cfg_FY,5,1),0))-MAX($E334,DATE(cfg_FY,5,1))+1))</f>
        <v>0</v>
      </c>
      <c r="AY334" s="57" t="n">
        <f aca="false">IF(OR(OR($B334="",$E334="",$F334=""),$K334&lt;&gt;"نعم",$M334="نعم"),0,MAX(0,MIN($F334,EOMONTH(DATE(cfg_FY,6,1),0))-MAX($E334,DATE(cfg_FY,6,1))+1))</f>
        <v>0</v>
      </c>
      <c r="AZ334" s="57" t="n">
        <f aca="false">IF(OR(OR($B334="",$E334="",$F334=""),$K334&lt;&gt;"نعم",$M334="نعم"),0,MAX(0,MIN($F334,EOMONTH(DATE(cfg_FY,7,1),0))-MAX($E334,DATE(cfg_FY,7,1))+1))</f>
        <v>0</v>
      </c>
      <c r="BA334" s="57" t="n">
        <f aca="false">IF(OR(OR($B334="",$E334="",$F334=""),$K334&lt;&gt;"نعم",$M334="نعم"),0,MAX(0,MIN($F334,EOMONTH(DATE(cfg_FY,8,1),0))-MAX($E334,DATE(cfg_FY,8,1))+1))</f>
        <v>0</v>
      </c>
      <c r="BB334" s="57" t="n">
        <f aca="false">IF(OR(OR($B334="",$E334="",$F334=""),$K334&lt;&gt;"نعم",$M334="نعم"),0,MAX(0,MIN($F334,EOMONTH(DATE(cfg_FY,9,1),0))-MAX($E334,DATE(cfg_FY,9,1))+1))</f>
        <v>0</v>
      </c>
      <c r="BC334" s="57" t="n">
        <f aca="false">IF(OR(OR($B334="",$E334="",$F334=""),$K334&lt;&gt;"نعم",$M334="نعم"),0,MAX(0,MIN($F334,EOMONTH(DATE(cfg_FY,10,1),0))-MAX($E334,DATE(cfg_FY,10,1))+1))</f>
        <v>0</v>
      </c>
      <c r="BD334" s="57" t="n">
        <f aca="false">IF(OR(OR($B334="",$E334="",$F334=""),$K334&lt;&gt;"نعم",$M334="نعم"),0,MAX(0,MIN($F334,EOMONTH(DATE(cfg_FY,11,1),0))-MAX($E334,DATE(cfg_FY,11,1))+1))</f>
        <v>0</v>
      </c>
      <c r="BE334" s="57" t="n">
        <f aca="false">IF(OR(OR($B334="",$E334="",$F334=""),$K334&lt;&gt;"نعم",$M334="نعم"),0,MAX(0,MIN($F334,EOMONTH(DATE(cfg_FY,12,1),0))-MAX($E334,DATE(cfg_FY,12,1))+1))</f>
        <v>0</v>
      </c>
    </row>
    <row r="335" customFormat="false" ht="15" hidden="false" customHeight="false" outlineLevel="0" collapsed="false">
      <c r="A335" s="100" t="str">
        <f aca="false">IF(B335="","",ROW()-5)</f>
        <v/>
      </c>
      <c r="B335" s="79"/>
      <c r="C335" s="102" t="str">
        <f aca="false">IF(B335="","",IFERROR(INDEX(الموظفون!$C$6:$C$105,MATCH(B335,الموظفون!$B$6:$B$105,0)),"✖ رقم غير موجود"))</f>
        <v/>
      </c>
      <c r="D335" s="79"/>
      <c r="E335" s="94"/>
      <c r="F335" s="94"/>
      <c r="G335" s="110" t="str">
        <f aca="false">IF(OR($B335="",$E335="",$F335=""),"",MAX(0,F335-E335+1))</f>
        <v/>
      </c>
      <c r="H335" s="111" t="str">
        <f aca="false">IF(D335="","",IFERROR(VLOOKUP(D335,cfg_LT,2,FALSE()),1))</f>
        <v/>
      </c>
      <c r="I335" s="82"/>
      <c r="J335" s="111" t="str">
        <f aca="false">IF(D335="","",IF(I335&lt;&gt;"",I335,H335))</f>
        <v/>
      </c>
      <c r="K335" s="102" t="str">
        <f aca="false">IF(D335="","",IFERROR(VLOOKUP($D335,cfg_LT,3,FALSE()),""))</f>
        <v/>
      </c>
      <c r="L335" s="102" t="str">
        <f aca="false">IF(D335="","",IFERROR(VLOOKUP($D335,cfg_LT,4,FALSE()),""))</f>
        <v/>
      </c>
      <c r="M335" s="102" t="str">
        <f aca="false">IF(D335="","",IFERROR(VLOOKUP($D335,cfg_LT,5,FALSE()),""))</f>
        <v/>
      </c>
      <c r="N335" s="101" t="n">
        <f aca="false">IF(OR(OR($B335="",$E335="",$F335=""),M335&lt;&gt;"نعم"),0,G335*J335*IFERROR(INDEX(الموظفون!$R$6:$R$105,MATCH(B335,الموظفون!$B$6:$B$105,0)),0)/cfg_DAYS_M)</f>
        <v>0</v>
      </c>
      <c r="O335" s="100" t="str">
        <f aca="false">IF(OR(OR($B335="",$E335="",$F335=""),M335&lt;&gt;"نعم"),"",IF(YEAR(E335)=cfg_FY,MONTH(E335),""))</f>
        <v/>
      </c>
      <c r="P335" s="102" t="str">
        <f aca="false">IF(B335="","",IF(OR(D335="",E335="",F335=""),"⚠ أكمل النوع والتواريخ",IF(F335&lt;E335,"✖ النهاية قبل البداية",IF(COUNTIFS($B$6:$B$505,B335,$E$6:$E$505,"&lt;="&amp;F335,$F$6:$F$505,"&gt;="&amp;E335)&gt;1,"⚠ تداخل مع سجل آخر",IF(E335&gt;cfg_VAL_DATE,"⏳ قادمة",IF(F335&lt;cfg_VAL_DATE,"✔ منتهية","✈ جارية في تاريخ التقرير"))))))</f>
        <v/>
      </c>
      <c r="Q335" s="79"/>
      <c r="R335" s="110" t="n">
        <f aca="false">IF(OR(OR($B335="",$E335="",$F335=""),L335&lt;&gt;"لا"),0,MAX(0,MIN(F335,cfg_Y_START-1)-E335+1))</f>
        <v>0</v>
      </c>
      <c r="S335" s="110" t="n">
        <f aca="false">IF(OR(OR($B335="",$E335="",$F335=""),L335&lt;&gt;"لا"),0,MAX(0,MIN(F335,cfg_VAL_DATE)-E335+1))</f>
        <v>0</v>
      </c>
      <c r="T335" s="110" t="n">
        <f aca="false">IF(OR(OR($B335="",$E335="",$F335=""),K335&lt;&gt;"نعم"),0,IF(M335="نعم",IF(AND(ISNUMBER(O335),N(O335)&lt;=cfg_VAL_M),G335,0),MAX(0,MIN(F335,cfg_VAL_DATE)-MAX(E335,cfg_Y_START)+1)))</f>
        <v>0</v>
      </c>
      <c r="V335" s="110" t="n">
        <f aca="false">IF(OR($B335="",$E335="",$F335=""),0,MAX(0,MIN($F335,EOMONTH(DATE(cfg_FY,1,1),0))-MAX($E335,DATE(cfg_FY,1,1))+1)*(1-IF($M335="نعم",0,N($J335))))</f>
        <v>0</v>
      </c>
      <c r="W335" s="110" t="n">
        <f aca="false">IF(OR($B335="",$E335="",$F335=""),0,MAX(0,MIN($F335,EOMONTH(DATE(cfg_FY,2,1),0))-MAX($E335,DATE(cfg_FY,2,1))+1)*(1-IF($M335="نعم",0,N($J335))))</f>
        <v>0</v>
      </c>
      <c r="X335" s="110" t="n">
        <f aca="false">IF(OR($B335="",$E335="",$F335=""),0,MAX(0,MIN($F335,EOMONTH(DATE(cfg_FY,3,1),0))-MAX($E335,DATE(cfg_FY,3,1))+1)*(1-IF($M335="نعم",0,N($J335))))</f>
        <v>0</v>
      </c>
      <c r="Y335" s="110" t="n">
        <f aca="false">IF(OR($B335="",$E335="",$F335=""),0,MAX(0,MIN($F335,EOMONTH(DATE(cfg_FY,4,1),0))-MAX($E335,DATE(cfg_FY,4,1))+1)*(1-IF($M335="نعم",0,N($J335))))</f>
        <v>0</v>
      </c>
      <c r="Z335" s="110" t="n">
        <f aca="false">IF(OR($B335="",$E335="",$F335=""),0,MAX(0,MIN($F335,EOMONTH(DATE(cfg_FY,5,1),0))-MAX($E335,DATE(cfg_FY,5,1))+1)*(1-IF($M335="نعم",0,N($J335))))</f>
        <v>0</v>
      </c>
      <c r="AA335" s="110" t="n">
        <f aca="false">IF(OR($B335="",$E335="",$F335=""),0,MAX(0,MIN($F335,EOMONTH(DATE(cfg_FY,6,1),0))-MAX($E335,DATE(cfg_FY,6,1))+1)*(1-IF($M335="نعم",0,N($J335))))</f>
        <v>0</v>
      </c>
      <c r="AB335" s="110" t="n">
        <f aca="false">IF(OR($B335="",$E335="",$F335=""),0,MAX(0,MIN($F335,EOMONTH(DATE(cfg_FY,7,1),0))-MAX($E335,DATE(cfg_FY,7,1))+1)*(1-IF($M335="نعم",0,N($J335))))</f>
        <v>0</v>
      </c>
      <c r="AC335" s="110" t="n">
        <f aca="false">IF(OR($B335="",$E335="",$F335=""),0,MAX(0,MIN($F335,EOMONTH(DATE(cfg_FY,8,1),0))-MAX($E335,DATE(cfg_FY,8,1))+1)*(1-IF($M335="نعم",0,N($J335))))</f>
        <v>0</v>
      </c>
      <c r="AD335" s="110" t="n">
        <f aca="false">IF(OR($B335="",$E335="",$F335=""),0,MAX(0,MIN($F335,EOMONTH(DATE(cfg_FY,9,1),0))-MAX($E335,DATE(cfg_FY,9,1))+1)*(1-IF($M335="نعم",0,N($J335))))</f>
        <v>0</v>
      </c>
      <c r="AE335" s="110" t="n">
        <f aca="false">IF(OR($B335="",$E335="",$F335=""),0,MAX(0,MIN($F335,EOMONTH(DATE(cfg_FY,10,1),0))-MAX($E335,DATE(cfg_FY,10,1))+1)*(1-IF($M335="نعم",0,N($J335))))</f>
        <v>0</v>
      </c>
      <c r="AF335" s="110" t="n">
        <f aca="false">IF(OR($B335="",$E335="",$F335=""),0,MAX(0,MIN($F335,EOMONTH(DATE(cfg_FY,11,1),0))-MAX($E335,DATE(cfg_FY,11,1))+1)*(1-IF($M335="نعم",0,N($J335))))</f>
        <v>0</v>
      </c>
      <c r="AG335" s="110" t="n">
        <f aca="false">IF(OR($B335="",$E335="",$F335=""),0,MAX(0,MIN($F335,EOMONTH(DATE(cfg_FY,12,1),0))-MAX($E335,DATE(cfg_FY,12,1))+1)*(1-IF($M335="نعم",0,N($J335))))</f>
        <v>0</v>
      </c>
      <c r="AH335" s="110" t="n">
        <f aca="false">IF(OR(OR($B335="",$E335="",$F335=""),$L335&lt;&gt;"لا"),0,MAX(0,MIN($F335,EOMONTH(DATE(cfg_FY,1,1),0))-$E335+1))</f>
        <v>0</v>
      </c>
      <c r="AI335" s="110" t="n">
        <f aca="false">IF(OR(OR($B335="",$E335="",$F335=""),$L335&lt;&gt;"لا"),0,MAX(0,MIN($F335,EOMONTH(DATE(cfg_FY,2,1),0))-$E335+1))</f>
        <v>0</v>
      </c>
      <c r="AJ335" s="110" t="n">
        <f aca="false">IF(OR(OR($B335="",$E335="",$F335=""),$L335&lt;&gt;"لا"),0,MAX(0,MIN($F335,EOMONTH(DATE(cfg_FY,3,1),0))-$E335+1))</f>
        <v>0</v>
      </c>
      <c r="AK335" s="110" t="n">
        <f aca="false">IF(OR(OR($B335="",$E335="",$F335=""),$L335&lt;&gt;"لا"),0,MAX(0,MIN($F335,EOMONTH(DATE(cfg_FY,4,1),0))-$E335+1))</f>
        <v>0</v>
      </c>
      <c r="AL335" s="110" t="n">
        <f aca="false">IF(OR(OR($B335="",$E335="",$F335=""),$L335&lt;&gt;"لا"),0,MAX(0,MIN($F335,EOMONTH(DATE(cfg_FY,5,1),0))-$E335+1))</f>
        <v>0</v>
      </c>
      <c r="AM335" s="110" t="n">
        <f aca="false">IF(OR(OR($B335="",$E335="",$F335=""),$L335&lt;&gt;"لا"),0,MAX(0,MIN($F335,EOMONTH(DATE(cfg_FY,6,1),0))-$E335+1))</f>
        <v>0</v>
      </c>
      <c r="AN335" s="110" t="n">
        <f aca="false">IF(OR(OR($B335="",$E335="",$F335=""),$L335&lt;&gt;"لا"),0,MAX(0,MIN($F335,EOMONTH(DATE(cfg_FY,7,1),0))-$E335+1))</f>
        <v>0</v>
      </c>
      <c r="AO335" s="110" t="n">
        <f aca="false">IF(OR(OR($B335="",$E335="",$F335=""),$L335&lt;&gt;"لا"),0,MAX(0,MIN($F335,EOMONTH(DATE(cfg_FY,8,1),0))-$E335+1))</f>
        <v>0</v>
      </c>
      <c r="AP335" s="110" t="n">
        <f aca="false">IF(OR(OR($B335="",$E335="",$F335=""),$L335&lt;&gt;"لا"),0,MAX(0,MIN($F335,EOMONTH(DATE(cfg_FY,9,1),0))-$E335+1))</f>
        <v>0</v>
      </c>
      <c r="AQ335" s="110" t="n">
        <f aca="false">IF(OR(OR($B335="",$E335="",$F335=""),$L335&lt;&gt;"لا"),0,MAX(0,MIN($F335,EOMONTH(DATE(cfg_FY,10,1),0))-$E335+1))</f>
        <v>0</v>
      </c>
      <c r="AR335" s="110" t="n">
        <f aca="false">IF(OR(OR($B335="",$E335="",$F335=""),$L335&lt;&gt;"لا"),0,MAX(0,MIN($F335,EOMONTH(DATE(cfg_FY,11,1),0))-$E335+1))</f>
        <v>0</v>
      </c>
      <c r="AS335" s="110" t="n">
        <f aca="false">IF(OR(OR($B335="",$E335="",$F335=""),$L335&lt;&gt;"لا"),0,MAX(0,MIN($F335,EOMONTH(DATE(cfg_FY,12,1),0))-$E335+1))</f>
        <v>0</v>
      </c>
      <c r="AT335" s="110" t="n">
        <f aca="false">IF(OR(OR($B335="",$E335="",$F335=""),$K335&lt;&gt;"نعم",$M335="نعم"),0,MAX(0,MIN($F335,EOMONTH(DATE(cfg_FY,1,1),0))-MAX($E335,DATE(cfg_FY,1,1))+1))</f>
        <v>0</v>
      </c>
      <c r="AU335" s="110" t="n">
        <f aca="false">IF(OR(OR($B335="",$E335="",$F335=""),$K335&lt;&gt;"نعم",$M335="نعم"),0,MAX(0,MIN($F335,EOMONTH(DATE(cfg_FY,2,1),0))-MAX($E335,DATE(cfg_FY,2,1))+1))</f>
        <v>0</v>
      </c>
      <c r="AV335" s="110" t="n">
        <f aca="false">IF(OR(OR($B335="",$E335="",$F335=""),$K335&lt;&gt;"نعم",$M335="نعم"),0,MAX(0,MIN($F335,EOMONTH(DATE(cfg_FY,3,1),0))-MAX($E335,DATE(cfg_FY,3,1))+1))</f>
        <v>0</v>
      </c>
      <c r="AW335" s="110" t="n">
        <f aca="false">IF(OR(OR($B335="",$E335="",$F335=""),$K335&lt;&gt;"نعم",$M335="نعم"),0,MAX(0,MIN($F335,EOMONTH(DATE(cfg_FY,4,1),0))-MAX($E335,DATE(cfg_FY,4,1))+1))</f>
        <v>0</v>
      </c>
      <c r="AX335" s="110" t="n">
        <f aca="false">IF(OR(OR($B335="",$E335="",$F335=""),$K335&lt;&gt;"نعم",$M335="نعم"),0,MAX(0,MIN($F335,EOMONTH(DATE(cfg_FY,5,1),0))-MAX($E335,DATE(cfg_FY,5,1))+1))</f>
        <v>0</v>
      </c>
      <c r="AY335" s="110" t="n">
        <f aca="false">IF(OR(OR($B335="",$E335="",$F335=""),$K335&lt;&gt;"نعم",$M335="نعم"),0,MAX(0,MIN($F335,EOMONTH(DATE(cfg_FY,6,1),0))-MAX($E335,DATE(cfg_FY,6,1))+1))</f>
        <v>0</v>
      </c>
      <c r="AZ335" s="110" t="n">
        <f aca="false">IF(OR(OR($B335="",$E335="",$F335=""),$K335&lt;&gt;"نعم",$M335="نعم"),0,MAX(0,MIN($F335,EOMONTH(DATE(cfg_FY,7,1),0))-MAX($E335,DATE(cfg_FY,7,1))+1))</f>
        <v>0</v>
      </c>
      <c r="BA335" s="110" t="n">
        <f aca="false">IF(OR(OR($B335="",$E335="",$F335=""),$K335&lt;&gt;"نعم",$M335="نعم"),0,MAX(0,MIN($F335,EOMONTH(DATE(cfg_FY,8,1),0))-MAX($E335,DATE(cfg_FY,8,1))+1))</f>
        <v>0</v>
      </c>
      <c r="BB335" s="110" t="n">
        <f aca="false">IF(OR(OR($B335="",$E335="",$F335=""),$K335&lt;&gt;"نعم",$M335="نعم"),0,MAX(0,MIN($F335,EOMONTH(DATE(cfg_FY,9,1),0))-MAX($E335,DATE(cfg_FY,9,1))+1))</f>
        <v>0</v>
      </c>
      <c r="BC335" s="110" t="n">
        <f aca="false">IF(OR(OR($B335="",$E335="",$F335=""),$K335&lt;&gt;"نعم",$M335="نعم"),0,MAX(0,MIN($F335,EOMONTH(DATE(cfg_FY,10,1),0))-MAX($E335,DATE(cfg_FY,10,1))+1))</f>
        <v>0</v>
      </c>
      <c r="BD335" s="110" t="n">
        <f aca="false">IF(OR(OR($B335="",$E335="",$F335=""),$K335&lt;&gt;"نعم",$M335="نعم"),0,MAX(0,MIN($F335,EOMONTH(DATE(cfg_FY,11,1),0))-MAX($E335,DATE(cfg_FY,11,1))+1))</f>
        <v>0</v>
      </c>
      <c r="BE335" s="110" t="n">
        <f aca="false">IF(OR(OR($B335="",$E335="",$F335=""),$K335&lt;&gt;"نعم",$M335="نعم"),0,MAX(0,MIN($F335,EOMONTH(DATE(cfg_FY,12,1),0))-MAX($E335,DATE(cfg_FY,12,1))+1))</f>
        <v>0</v>
      </c>
    </row>
    <row r="336" customFormat="false" ht="15" hidden="false" customHeight="false" outlineLevel="0" collapsed="false">
      <c r="A336" s="93" t="str">
        <f aca="false">IF(B336="","",ROW()-5)</f>
        <v/>
      </c>
      <c r="B336" s="79"/>
      <c r="C336" s="80" t="str">
        <f aca="false">IF(B336="","",IFERROR(INDEX(الموظفون!$C$6:$C$105,MATCH(B336,الموظفون!$B$6:$B$105,0)),"✖ رقم غير موجود"))</f>
        <v/>
      </c>
      <c r="D336" s="79"/>
      <c r="E336" s="94"/>
      <c r="F336" s="94"/>
      <c r="G336" s="57" t="str">
        <f aca="false">IF(OR($B336="",$E336="",$F336=""),"",MAX(0,F336-E336+1))</f>
        <v/>
      </c>
      <c r="H336" s="58" t="str">
        <f aca="false">IF(D336="","",IFERROR(VLOOKUP(D336,cfg_LT,2,FALSE()),1))</f>
        <v/>
      </c>
      <c r="I336" s="82"/>
      <c r="J336" s="58" t="str">
        <f aca="false">IF(D336="","",IF(I336&lt;&gt;"",I336,H336))</f>
        <v/>
      </c>
      <c r="K336" s="80" t="str">
        <f aca="false">IF(D336="","",IFERROR(VLOOKUP($D336,cfg_LT,3,FALSE()),""))</f>
        <v/>
      </c>
      <c r="L336" s="80" t="str">
        <f aca="false">IF(D336="","",IFERROR(VLOOKUP($D336,cfg_LT,4,FALSE()),""))</f>
        <v/>
      </c>
      <c r="M336" s="80" t="str">
        <f aca="false">IF(D336="","",IFERROR(VLOOKUP($D336,cfg_LT,5,FALSE()),""))</f>
        <v/>
      </c>
      <c r="N336" s="97" t="n">
        <f aca="false">IF(OR(OR($B336="",$E336="",$F336=""),M336&lt;&gt;"نعم"),0,G336*J336*IFERROR(INDEX(الموظفون!$R$6:$R$105,MATCH(B336,الموظفون!$B$6:$B$105,0)),0)/cfg_DAYS_M)</f>
        <v>0</v>
      </c>
      <c r="O336" s="93" t="str">
        <f aca="false">IF(OR(OR($B336="",$E336="",$F336=""),M336&lt;&gt;"نعم"),"",IF(YEAR(E336)=cfg_FY,MONTH(E336),""))</f>
        <v/>
      </c>
      <c r="P336" s="80" t="str">
        <f aca="false">IF(B336="","",IF(OR(D336="",E336="",F336=""),"⚠ أكمل النوع والتواريخ",IF(F336&lt;E336,"✖ النهاية قبل البداية",IF(COUNTIFS($B$6:$B$505,B336,$E$6:$E$505,"&lt;="&amp;F336,$F$6:$F$505,"&gt;="&amp;E336)&gt;1,"⚠ تداخل مع سجل آخر",IF(E336&gt;cfg_VAL_DATE,"⏳ قادمة",IF(F336&lt;cfg_VAL_DATE,"✔ منتهية","✈ جارية في تاريخ التقرير"))))))</f>
        <v/>
      </c>
      <c r="Q336" s="79"/>
      <c r="R336" s="57" t="n">
        <f aca="false">IF(OR(OR($B336="",$E336="",$F336=""),L336&lt;&gt;"لا"),0,MAX(0,MIN(F336,cfg_Y_START-1)-E336+1))</f>
        <v>0</v>
      </c>
      <c r="S336" s="57" t="n">
        <f aca="false">IF(OR(OR($B336="",$E336="",$F336=""),L336&lt;&gt;"لا"),0,MAX(0,MIN(F336,cfg_VAL_DATE)-E336+1))</f>
        <v>0</v>
      </c>
      <c r="T336" s="57" t="n">
        <f aca="false">IF(OR(OR($B336="",$E336="",$F336=""),K336&lt;&gt;"نعم"),0,IF(M336="نعم",IF(AND(ISNUMBER(O336),N(O336)&lt;=cfg_VAL_M),G336,0),MAX(0,MIN(F336,cfg_VAL_DATE)-MAX(E336,cfg_Y_START)+1)))</f>
        <v>0</v>
      </c>
      <c r="V336" s="57" t="n">
        <f aca="false">IF(OR($B336="",$E336="",$F336=""),0,MAX(0,MIN($F336,EOMONTH(DATE(cfg_FY,1,1),0))-MAX($E336,DATE(cfg_FY,1,1))+1)*(1-IF($M336="نعم",0,N($J336))))</f>
        <v>0</v>
      </c>
      <c r="W336" s="57" t="n">
        <f aca="false">IF(OR($B336="",$E336="",$F336=""),0,MAX(0,MIN($F336,EOMONTH(DATE(cfg_FY,2,1),0))-MAX($E336,DATE(cfg_FY,2,1))+1)*(1-IF($M336="نعم",0,N($J336))))</f>
        <v>0</v>
      </c>
      <c r="X336" s="57" t="n">
        <f aca="false">IF(OR($B336="",$E336="",$F336=""),0,MAX(0,MIN($F336,EOMONTH(DATE(cfg_FY,3,1),0))-MAX($E336,DATE(cfg_FY,3,1))+1)*(1-IF($M336="نعم",0,N($J336))))</f>
        <v>0</v>
      </c>
      <c r="Y336" s="57" t="n">
        <f aca="false">IF(OR($B336="",$E336="",$F336=""),0,MAX(0,MIN($F336,EOMONTH(DATE(cfg_FY,4,1),0))-MAX($E336,DATE(cfg_FY,4,1))+1)*(1-IF($M336="نعم",0,N($J336))))</f>
        <v>0</v>
      </c>
      <c r="Z336" s="57" t="n">
        <f aca="false">IF(OR($B336="",$E336="",$F336=""),0,MAX(0,MIN($F336,EOMONTH(DATE(cfg_FY,5,1),0))-MAX($E336,DATE(cfg_FY,5,1))+1)*(1-IF($M336="نعم",0,N($J336))))</f>
        <v>0</v>
      </c>
      <c r="AA336" s="57" t="n">
        <f aca="false">IF(OR($B336="",$E336="",$F336=""),0,MAX(0,MIN($F336,EOMONTH(DATE(cfg_FY,6,1),0))-MAX($E336,DATE(cfg_FY,6,1))+1)*(1-IF($M336="نعم",0,N($J336))))</f>
        <v>0</v>
      </c>
      <c r="AB336" s="57" t="n">
        <f aca="false">IF(OR($B336="",$E336="",$F336=""),0,MAX(0,MIN($F336,EOMONTH(DATE(cfg_FY,7,1),0))-MAX($E336,DATE(cfg_FY,7,1))+1)*(1-IF($M336="نعم",0,N($J336))))</f>
        <v>0</v>
      </c>
      <c r="AC336" s="57" t="n">
        <f aca="false">IF(OR($B336="",$E336="",$F336=""),0,MAX(0,MIN($F336,EOMONTH(DATE(cfg_FY,8,1),0))-MAX($E336,DATE(cfg_FY,8,1))+1)*(1-IF($M336="نعم",0,N($J336))))</f>
        <v>0</v>
      </c>
      <c r="AD336" s="57" t="n">
        <f aca="false">IF(OR($B336="",$E336="",$F336=""),0,MAX(0,MIN($F336,EOMONTH(DATE(cfg_FY,9,1),0))-MAX($E336,DATE(cfg_FY,9,1))+1)*(1-IF($M336="نعم",0,N($J336))))</f>
        <v>0</v>
      </c>
      <c r="AE336" s="57" t="n">
        <f aca="false">IF(OR($B336="",$E336="",$F336=""),0,MAX(0,MIN($F336,EOMONTH(DATE(cfg_FY,10,1),0))-MAX($E336,DATE(cfg_FY,10,1))+1)*(1-IF($M336="نعم",0,N($J336))))</f>
        <v>0</v>
      </c>
      <c r="AF336" s="57" t="n">
        <f aca="false">IF(OR($B336="",$E336="",$F336=""),0,MAX(0,MIN($F336,EOMONTH(DATE(cfg_FY,11,1),0))-MAX($E336,DATE(cfg_FY,11,1))+1)*(1-IF($M336="نعم",0,N($J336))))</f>
        <v>0</v>
      </c>
      <c r="AG336" s="57" t="n">
        <f aca="false">IF(OR($B336="",$E336="",$F336=""),0,MAX(0,MIN($F336,EOMONTH(DATE(cfg_FY,12,1),0))-MAX($E336,DATE(cfg_FY,12,1))+1)*(1-IF($M336="نعم",0,N($J336))))</f>
        <v>0</v>
      </c>
      <c r="AH336" s="57" t="n">
        <f aca="false">IF(OR(OR($B336="",$E336="",$F336=""),$L336&lt;&gt;"لا"),0,MAX(0,MIN($F336,EOMONTH(DATE(cfg_FY,1,1),0))-$E336+1))</f>
        <v>0</v>
      </c>
      <c r="AI336" s="57" t="n">
        <f aca="false">IF(OR(OR($B336="",$E336="",$F336=""),$L336&lt;&gt;"لا"),0,MAX(0,MIN($F336,EOMONTH(DATE(cfg_FY,2,1),0))-$E336+1))</f>
        <v>0</v>
      </c>
      <c r="AJ336" s="57" t="n">
        <f aca="false">IF(OR(OR($B336="",$E336="",$F336=""),$L336&lt;&gt;"لا"),0,MAX(0,MIN($F336,EOMONTH(DATE(cfg_FY,3,1),0))-$E336+1))</f>
        <v>0</v>
      </c>
      <c r="AK336" s="57" t="n">
        <f aca="false">IF(OR(OR($B336="",$E336="",$F336=""),$L336&lt;&gt;"لا"),0,MAX(0,MIN($F336,EOMONTH(DATE(cfg_FY,4,1),0))-$E336+1))</f>
        <v>0</v>
      </c>
      <c r="AL336" s="57" t="n">
        <f aca="false">IF(OR(OR($B336="",$E336="",$F336=""),$L336&lt;&gt;"لا"),0,MAX(0,MIN($F336,EOMONTH(DATE(cfg_FY,5,1),0))-$E336+1))</f>
        <v>0</v>
      </c>
      <c r="AM336" s="57" t="n">
        <f aca="false">IF(OR(OR($B336="",$E336="",$F336=""),$L336&lt;&gt;"لا"),0,MAX(0,MIN($F336,EOMONTH(DATE(cfg_FY,6,1),0))-$E336+1))</f>
        <v>0</v>
      </c>
      <c r="AN336" s="57" t="n">
        <f aca="false">IF(OR(OR($B336="",$E336="",$F336=""),$L336&lt;&gt;"لا"),0,MAX(0,MIN($F336,EOMONTH(DATE(cfg_FY,7,1),0))-$E336+1))</f>
        <v>0</v>
      </c>
      <c r="AO336" s="57" t="n">
        <f aca="false">IF(OR(OR($B336="",$E336="",$F336=""),$L336&lt;&gt;"لا"),0,MAX(0,MIN($F336,EOMONTH(DATE(cfg_FY,8,1),0))-$E336+1))</f>
        <v>0</v>
      </c>
      <c r="AP336" s="57" t="n">
        <f aca="false">IF(OR(OR($B336="",$E336="",$F336=""),$L336&lt;&gt;"لا"),0,MAX(0,MIN($F336,EOMONTH(DATE(cfg_FY,9,1),0))-$E336+1))</f>
        <v>0</v>
      </c>
      <c r="AQ336" s="57" t="n">
        <f aca="false">IF(OR(OR($B336="",$E336="",$F336=""),$L336&lt;&gt;"لا"),0,MAX(0,MIN($F336,EOMONTH(DATE(cfg_FY,10,1),0))-$E336+1))</f>
        <v>0</v>
      </c>
      <c r="AR336" s="57" t="n">
        <f aca="false">IF(OR(OR($B336="",$E336="",$F336=""),$L336&lt;&gt;"لا"),0,MAX(0,MIN($F336,EOMONTH(DATE(cfg_FY,11,1),0))-$E336+1))</f>
        <v>0</v>
      </c>
      <c r="AS336" s="57" t="n">
        <f aca="false">IF(OR(OR($B336="",$E336="",$F336=""),$L336&lt;&gt;"لا"),0,MAX(0,MIN($F336,EOMONTH(DATE(cfg_FY,12,1),0))-$E336+1))</f>
        <v>0</v>
      </c>
      <c r="AT336" s="57" t="n">
        <f aca="false">IF(OR(OR($B336="",$E336="",$F336=""),$K336&lt;&gt;"نعم",$M336="نعم"),0,MAX(0,MIN($F336,EOMONTH(DATE(cfg_FY,1,1),0))-MAX($E336,DATE(cfg_FY,1,1))+1))</f>
        <v>0</v>
      </c>
      <c r="AU336" s="57" t="n">
        <f aca="false">IF(OR(OR($B336="",$E336="",$F336=""),$K336&lt;&gt;"نعم",$M336="نعم"),0,MAX(0,MIN($F336,EOMONTH(DATE(cfg_FY,2,1),0))-MAX($E336,DATE(cfg_FY,2,1))+1))</f>
        <v>0</v>
      </c>
      <c r="AV336" s="57" t="n">
        <f aca="false">IF(OR(OR($B336="",$E336="",$F336=""),$K336&lt;&gt;"نعم",$M336="نعم"),0,MAX(0,MIN($F336,EOMONTH(DATE(cfg_FY,3,1),0))-MAX($E336,DATE(cfg_FY,3,1))+1))</f>
        <v>0</v>
      </c>
      <c r="AW336" s="57" t="n">
        <f aca="false">IF(OR(OR($B336="",$E336="",$F336=""),$K336&lt;&gt;"نعم",$M336="نعم"),0,MAX(0,MIN($F336,EOMONTH(DATE(cfg_FY,4,1),0))-MAX($E336,DATE(cfg_FY,4,1))+1))</f>
        <v>0</v>
      </c>
      <c r="AX336" s="57" t="n">
        <f aca="false">IF(OR(OR($B336="",$E336="",$F336=""),$K336&lt;&gt;"نعم",$M336="نعم"),0,MAX(0,MIN($F336,EOMONTH(DATE(cfg_FY,5,1),0))-MAX($E336,DATE(cfg_FY,5,1))+1))</f>
        <v>0</v>
      </c>
      <c r="AY336" s="57" t="n">
        <f aca="false">IF(OR(OR($B336="",$E336="",$F336=""),$K336&lt;&gt;"نعم",$M336="نعم"),0,MAX(0,MIN($F336,EOMONTH(DATE(cfg_FY,6,1),0))-MAX($E336,DATE(cfg_FY,6,1))+1))</f>
        <v>0</v>
      </c>
      <c r="AZ336" s="57" t="n">
        <f aca="false">IF(OR(OR($B336="",$E336="",$F336=""),$K336&lt;&gt;"نعم",$M336="نعم"),0,MAX(0,MIN($F336,EOMONTH(DATE(cfg_FY,7,1),0))-MAX($E336,DATE(cfg_FY,7,1))+1))</f>
        <v>0</v>
      </c>
      <c r="BA336" s="57" t="n">
        <f aca="false">IF(OR(OR($B336="",$E336="",$F336=""),$K336&lt;&gt;"نعم",$M336="نعم"),0,MAX(0,MIN($F336,EOMONTH(DATE(cfg_FY,8,1),0))-MAX($E336,DATE(cfg_FY,8,1))+1))</f>
        <v>0</v>
      </c>
      <c r="BB336" s="57" t="n">
        <f aca="false">IF(OR(OR($B336="",$E336="",$F336=""),$K336&lt;&gt;"نعم",$M336="نعم"),0,MAX(0,MIN($F336,EOMONTH(DATE(cfg_FY,9,1),0))-MAX($E336,DATE(cfg_FY,9,1))+1))</f>
        <v>0</v>
      </c>
      <c r="BC336" s="57" t="n">
        <f aca="false">IF(OR(OR($B336="",$E336="",$F336=""),$K336&lt;&gt;"نعم",$M336="نعم"),0,MAX(0,MIN($F336,EOMONTH(DATE(cfg_FY,10,1),0))-MAX($E336,DATE(cfg_FY,10,1))+1))</f>
        <v>0</v>
      </c>
      <c r="BD336" s="57" t="n">
        <f aca="false">IF(OR(OR($B336="",$E336="",$F336=""),$K336&lt;&gt;"نعم",$M336="نعم"),0,MAX(0,MIN($F336,EOMONTH(DATE(cfg_FY,11,1),0))-MAX($E336,DATE(cfg_FY,11,1))+1))</f>
        <v>0</v>
      </c>
      <c r="BE336" s="57" t="n">
        <f aca="false">IF(OR(OR($B336="",$E336="",$F336=""),$K336&lt;&gt;"نعم",$M336="نعم"),0,MAX(0,MIN($F336,EOMONTH(DATE(cfg_FY,12,1),0))-MAX($E336,DATE(cfg_FY,12,1))+1))</f>
        <v>0</v>
      </c>
    </row>
    <row r="337" customFormat="false" ht="15" hidden="false" customHeight="false" outlineLevel="0" collapsed="false">
      <c r="A337" s="100" t="str">
        <f aca="false">IF(B337="","",ROW()-5)</f>
        <v/>
      </c>
      <c r="B337" s="79"/>
      <c r="C337" s="102" t="str">
        <f aca="false">IF(B337="","",IFERROR(INDEX(الموظفون!$C$6:$C$105,MATCH(B337,الموظفون!$B$6:$B$105,0)),"✖ رقم غير موجود"))</f>
        <v/>
      </c>
      <c r="D337" s="79"/>
      <c r="E337" s="94"/>
      <c r="F337" s="94"/>
      <c r="G337" s="110" t="str">
        <f aca="false">IF(OR($B337="",$E337="",$F337=""),"",MAX(0,F337-E337+1))</f>
        <v/>
      </c>
      <c r="H337" s="111" t="str">
        <f aca="false">IF(D337="","",IFERROR(VLOOKUP(D337,cfg_LT,2,FALSE()),1))</f>
        <v/>
      </c>
      <c r="I337" s="82"/>
      <c r="J337" s="111" t="str">
        <f aca="false">IF(D337="","",IF(I337&lt;&gt;"",I337,H337))</f>
        <v/>
      </c>
      <c r="K337" s="102" t="str">
        <f aca="false">IF(D337="","",IFERROR(VLOOKUP($D337,cfg_LT,3,FALSE()),""))</f>
        <v/>
      </c>
      <c r="L337" s="102" t="str">
        <f aca="false">IF(D337="","",IFERROR(VLOOKUP($D337,cfg_LT,4,FALSE()),""))</f>
        <v/>
      </c>
      <c r="M337" s="102" t="str">
        <f aca="false">IF(D337="","",IFERROR(VLOOKUP($D337,cfg_LT,5,FALSE()),""))</f>
        <v/>
      </c>
      <c r="N337" s="101" t="n">
        <f aca="false">IF(OR(OR($B337="",$E337="",$F337=""),M337&lt;&gt;"نعم"),0,G337*J337*IFERROR(INDEX(الموظفون!$R$6:$R$105,MATCH(B337,الموظفون!$B$6:$B$105,0)),0)/cfg_DAYS_M)</f>
        <v>0</v>
      </c>
      <c r="O337" s="100" t="str">
        <f aca="false">IF(OR(OR($B337="",$E337="",$F337=""),M337&lt;&gt;"نعم"),"",IF(YEAR(E337)=cfg_FY,MONTH(E337),""))</f>
        <v/>
      </c>
      <c r="P337" s="102" t="str">
        <f aca="false">IF(B337="","",IF(OR(D337="",E337="",F337=""),"⚠ أكمل النوع والتواريخ",IF(F337&lt;E337,"✖ النهاية قبل البداية",IF(COUNTIFS($B$6:$B$505,B337,$E$6:$E$505,"&lt;="&amp;F337,$F$6:$F$505,"&gt;="&amp;E337)&gt;1,"⚠ تداخل مع سجل آخر",IF(E337&gt;cfg_VAL_DATE,"⏳ قادمة",IF(F337&lt;cfg_VAL_DATE,"✔ منتهية","✈ جارية في تاريخ التقرير"))))))</f>
        <v/>
      </c>
      <c r="Q337" s="79"/>
      <c r="R337" s="110" t="n">
        <f aca="false">IF(OR(OR($B337="",$E337="",$F337=""),L337&lt;&gt;"لا"),0,MAX(0,MIN(F337,cfg_Y_START-1)-E337+1))</f>
        <v>0</v>
      </c>
      <c r="S337" s="110" t="n">
        <f aca="false">IF(OR(OR($B337="",$E337="",$F337=""),L337&lt;&gt;"لا"),0,MAX(0,MIN(F337,cfg_VAL_DATE)-E337+1))</f>
        <v>0</v>
      </c>
      <c r="T337" s="110" t="n">
        <f aca="false">IF(OR(OR($B337="",$E337="",$F337=""),K337&lt;&gt;"نعم"),0,IF(M337="نعم",IF(AND(ISNUMBER(O337),N(O337)&lt;=cfg_VAL_M),G337,0),MAX(0,MIN(F337,cfg_VAL_DATE)-MAX(E337,cfg_Y_START)+1)))</f>
        <v>0</v>
      </c>
      <c r="V337" s="110" t="n">
        <f aca="false">IF(OR($B337="",$E337="",$F337=""),0,MAX(0,MIN($F337,EOMONTH(DATE(cfg_FY,1,1),0))-MAX($E337,DATE(cfg_FY,1,1))+1)*(1-IF($M337="نعم",0,N($J337))))</f>
        <v>0</v>
      </c>
      <c r="W337" s="110" t="n">
        <f aca="false">IF(OR($B337="",$E337="",$F337=""),0,MAX(0,MIN($F337,EOMONTH(DATE(cfg_FY,2,1),0))-MAX($E337,DATE(cfg_FY,2,1))+1)*(1-IF($M337="نعم",0,N($J337))))</f>
        <v>0</v>
      </c>
      <c r="X337" s="110" t="n">
        <f aca="false">IF(OR($B337="",$E337="",$F337=""),0,MAX(0,MIN($F337,EOMONTH(DATE(cfg_FY,3,1),0))-MAX($E337,DATE(cfg_FY,3,1))+1)*(1-IF($M337="نعم",0,N($J337))))</f>
        <v>0</v>
      </c>
      <c r="Y337" s="110" t="n">
        <f aca="false">IF(OR($B337="",$E337="",$F337=""),0,MAX(0,MIN($F337,EOMONTH(DATE(cfg_FY,4,1),0))-MAX($E337,DATE(cfg_FY,4,1))+1)*(1-IF($M337="نعم",0,N($J337))))</f>
        <v>0</v>
      </c>
      <c r="Z337" s="110" t="n">
        <f aca="false">IF(OR($B337="",$E337="",$F337=""),0,MAX(0,MIN($F337,EOMONTH(DATE(cfg_FY,5,1),0))-MAX($E337,DATE(cfg_FY,5,1))+1)*(1-IF($M337="نعم",0,N($J337))))</f>
        <v>0</v>
      </c>
      <c r="AA337" s="110" t="n">
        <f aca="false">IF(OR($B337="",$E337="",$F337=""),0,MAX(0,MIN($F337,EOMONTH(DATE(cfg_FY,6,1),0))-MAX($E337,DATE(cfg_FY,6,1))+1)*(1-IF($M337="نعم",0,N($J337))))</f>
        <v>0</v>
      </c>
      <c r="AB337" s="110" t="n">
        <f aca="false">IF(OR($B337="",$E337="",$F337=""),0,MAX(0,MIN($F337,EOMONTH(DATE(cfg_FY,7,1),0))-MAX($E337,DATE(cfg_FY,7,1))+1)*(1-IF($M337="نعم",0,N($J337))))</f>
        <v>0</v>
      </c>
      <c r="AC337" s="110" t="n">
        <f aca="false">IF(OR($B337="",$E337="",$F337=""),0,MAX(0,MIN($F337,EOMONTH(DATE(cfg_FY,8,1),0))-MAX($E337,DATE(cfg_FY,8,1))+1)*(1-IF($M337="نعم",0,N($J337))))</f>
        <v>0</v>
      </c>
      <c r="AD337" s="110" t="n">
        <f aca="false">IF(OR($B337="",$E337="",$F337=""),0,MAX(0,MIN($F337,EOMONTH(DATE(cfg_FY,9,1),0))-MAX($E337,DATE(cfg_FY,9,1))+1)*(1-IF($M337="نعم",0,N($J337))))</f>
        <v>0</v>
      </c>
      <c r="AE337" s="110" t="n">
        <f aca="false">IF(OR($B337="",$E337="",$F337=""),0,MAX(0,MIN($F337,EOMONTH(DATE(cfg_FY,10,1),0))-MAX($E337,DATE(cfg_FY,10,1))+1)*(1-IF($M337="نعم",0,N($J337))))</f>
        <v>0</v>
      </c>
      <c r="AF337" s="110" t="n">
        <f aca="false">IF(OR($B337="",$E337="",$F337=""),0,MAX(0,MIN($F337,EOMONTH(DATE(cfg_FY,11,1),0))-MAX($E337,DATE(cfg_FY,11,1))+1)*(1-IF($M337="نعم",0,N($J337))))</f>
        <v>0</v>
      </c>
      <c r="AG337" s="110" t="n">
        <f aca="false">IF(OR($B337="",$E337="",$F337=""),0,MAX(0,MIN($F337,EOMONTH(DATE(cfg_FY,12,1),0))-MAX($E337,DATE(cfg_FY,12,1))+1)*(1-IF($M337="نعم",0,N($J337))))</f>
        <v>0</v>
      </c>
      <c r="AH337" s="110" t="n">
        <f aca="false">IF(OR(OR($B337="",$E337="",$F337=""),$L337&lt;&gt;"لا"),0,MAX(0,MIN($F337,EOMONTH(DATE(cfg_FY,1,1),0))-$E337+1))</f>
        <v>0</v>
      </c>
      <c r="AI337" s="110" t="n">
        <f aca="false">IF(OR(OR($B337="",$E337="",$F337=""),$L337&lt;&gt;"لا"),0,MAX(0,MIN($F337,EOMONTH(DATE(cfg_FY,2,1),0))-$E337+1))</f>
        <v>0</v>
      </c>
      <c r="AJ337" s="110" t="n">
        <f aca="false">IF(OR(OR($B337="",$E337="",$F337=""),$L337&lt;&gt;"لا"),0,MAX(0,MIN($F337,EOMONTH(DATE(cfg_FY,3,1),0))-$E337+1))</f>
        <v>0</v>
      </c>
      <c r="AK337" s="110" t="n">
        <f aca="false">IF(OR(OR($B337="",$E337="",$F337=""),$L337&lt;&gt;"لا"),0,MAX(0,MIN($F337,EOMONTH(DATE(cfg_FY,4,1),0))-$E337+1))</f>
        <v>0</v>
      </c>
      <c r="AL337" s="110" t="n">
        <f aca="false">IF(OR(OR($B337="",$E337="",$F337=""),$L337&lt;&gt;"لا"),0,MAX(0,MIN($F337,EOMONTH(DATE(cfg_FY,5,1),0))-$E337+1))</f>
        <v>0</v>
      </c>
      <c r="AM337" s="110" t="n">
        <f aca="false">IF(OR(OR($B337="",$E337="",$F337=""),$L337&lt;&gt;"لا"),0,MAX(0,MIN($F337,EOMONTH(DATE(cfg_FY,6,1),0))-$E337+1))</f>
        <v>0</v>
      </c>
      <c r="AN337" s="110" t="n">
        <f aca="false">IF(OR(OR($B337="",$E337="",$F337=""),$L337&lt;&gt;"لا"),0,MAX(0,MIN($F337,EOMONTH(DATE(cfg_FY,7,1),0))-$E337+1))</f>
        <v>0</v>
      </c>
      <c r="AO337" s="110" t="n">
        <f aca="false">IF(OR(OR($B337="",$E337="",$F337=""),$L337&lt;&gt;"لا"),0,MAX(0,MIN($F337,EOMONTH(DATE(cfg_FY,8,1),0))-$E337+1))</f>
        <v>0</v>
      </c>
      <c r="AP337" s="110" t="n">
        <f aca="false">IF(OR(OR($B337="",$E337="",$F337=""),$L337&lt;&gt;"لا"),0,MAX(0,MIN($F337,EOMONTH(DATE(cfg_FY,9,1),0))-$E337+1))</f>
        <v>0</v>
      </c>
      <c r="AQ337" s="110" t="n">
        <f aca="false">IF(OR(OR($B337="",$E337="",$F337=""),$L337&lt;&gt;"لا"),0,MAX(0,MIN($F337,EOMONTH(DATE(cfg_FY,10,1),0))-$E337+1))</f>
        <v>0</v>
      </c>
      <c r="AR337" s="110" t="n">
        <f aca="false">IF(OR(OR($B337="",$E337="",$F337=""),$L337&lt;&gt;"لا"),0,MAX(0,MIN($F337,EOMONTH(DATE(cfg_FY,11,1),0))-$E337+1))</f>
        <v>0</v>
      </c>
      <c r="AS337" s="110" t="n">
        <f aca="false">IF(OR(OR($B337="",$E337="",$F337=""),$L337&lt;&gt;"لا"),0,MAX(0,MIN($F337,EOMONTH(DATE(cfg_FY,12,1),0))-$E337+1))</f>
        <v>0</v>
      </c>
      <c r="AT337" s="110" t="n">
        <f aca="false">IF(OR(OR($B337="",$E337="",$F337=""),$K337&lt;&gt;"نعم",$M337="نعم"),0,MAX(0,MIN($F337,EOMONTH(DATE(cfg_FY,1,1),0))-MAX($E337,DATE(cfg_FY,1,1))+1))</f>
        <v>0</v>
      </c>
      <c r="AU337" s="110" t="n">
        <f aca="false">IF(OR(OR($B337="",$E337="",$F337=""),$K337&lt;&gt;"نعم",$M337="نعم"),0,MAX(0,MIN($F337,EOMONTH(DATE(cfg_FY,2,1),0))-MAX($E337,DATE(cfg_FY,2,1))+1))</f>
        <v>0</v>
      </c>
      <c r="AV337" s="110" t="n">
        <f aca="false">IF(OR(OR($B337="",$E337="",$F337=""),$K337&lt;&gt;"نعم",$M337="نعم"),0,MAX(0,MIN($F337,EOMONTH(DATE(cfg_FY,3,1),0))-MAX($E337,DATE(cfg_FY,3,1))+1))</f>
        <v>0</v>
      </c>
      <c r="AW337" s="110" t="n">
        <f aca="false">IF(OR(OR($B337="",$E337="",$F337=""),$K337&lt;&gt;"نعم",$M337="نعم"),0,MAX(0,MIN($F337,EOMONTH(DATE(cfg_FY,4,1),0))-MAX($E337,DATE(cfg_FY,4,1))+1))</f>
        <v>0</v>
      </c>
      <c r="AX337" s="110" t="n">
        <f aca="false">IF(OR(OR($B337="",$E337="",$F337=""),$K337&lt;&gt;"نعم",$M337="نعم"),0,MAX(0,MIN($F337,EOMONTH(DATE(cfg_FY,5,1),0))-MAX($E337,DATE(cfg_FY,5,1))+1))</f>
        <v>0</v>
      </c>
      <c r="AY337" s="110" t="n">
        <f aca="false">IF(OR(OR($B337="",$E337="",$F337=""),$K337&lt;&gt;"نعم",$M337="نعم"),0,MAX(0,MIN($F337,EOMONTH(DATE(cfg_FY,6,1),0))-MAX($E337,DATE(cfg_FY,6,1))+1))</f>
        <v>0</v>
      </c>
      <c r="AZ337" s="110" t="n">
        <f aca="false">IF(OR(OR($B337="",$E337="",$F337=""),$K337&lt;&gt;"نعم",$M337="نعم"),0,MAX(0,MIN($F337,EOMONTH(DATE(cfg_FY,7,1),0))-MAX($E337,DATE(cfg_FY,7,1))+1))</f>
        <v>0</v>
      </c>
      <c r="BA337" s="110" t="n">
        <f aca="false">IF(OR(OR($B337="",$E337="",$F337=""),$K337&lt;&gt;"نعم",$M337="نعم"),0,MAX(0,MIN($F337,EOMONTH(DATE(cfg_FY,8,1),0))-MAX($E337,DATE(cfg_FY,8,1))+1))</f>
        <v>0</v>
      </c>
      <c r="BB337" s="110" t="n">
        <f aca="false">IF(OR(OR($B337="",$E337="",$F337=""),$K337&lt;&gt;"نعم",$M337="نعم"),0,MAX(0,MIN($F337,EOMONTH(DATE(cfg_FY,9,1),0))-MAX($E337,DATE(cfg_FY,9,1))+1))</f>
        <v>0</v>
      </c>
      <c r="BC337" s="110" t="n">
        <f aca="false">IF(OR(OR($B337="",$E337="",$F337=""),$K337&lt;&gt;"نعم",$M337="نعم"),0,MAX(0,MIN($F337,EOMONTH(DATE(cfg_FY,10,1),0))-MAX($E337,DATE(cfg_FY,10,1))+1))</f>
        <v>0</v>
      </c>
      <c r="BD337" s="110" t="n">
        <f aca="false">IF(OR(OR($B337="",$E337="",$F337=""),$K337&lt;&gt;"نعم",$M337="نعم"),0,MAX(0,MIN($F337,EOMONTH(DATE(cfg_FY,11,1),0))-MAX($E337,DATE(cfg_FY,11,1))+1))</f>
        <v>0</v>
      </c>
      <c r="BE337" s="110" t="n">
        <f aca="false">IF(OR(OR($B337="",$E337="",$F337=""),$K337&lt;&gt;"نعم",$M337="نعم"),0,MAX(0,MIN($F337,EOMONTH(DATE(cfg_FY,12,1),0))-MAX($E337,DATE(cfg_FY,12,1))+1))</f>
        <v>0</v>
      </c>
    </row>
    <row r="338" customFormat="false" ht="15" hidden="false" customHeight="false" outlineLevel="0" collapsed="false">
      <c r="A338" s="93" t="str">
        <f aca="false">IF(B338="","",ROW()-5)</f>
        <v/>
      </c>
      <c r="B338" s="79"/>
      <c r="C338" s="80" t="str">
        <f aca="false">IF(B338="","",IFERROR(INDEX(الموظفون!$C$6:$C$105,MATCH(B338,الموظفون!$B$6:$B$105,0)),"✖ رقم غير موجود"))</f>
        <v/>
      </c>
      <c r="D338" s="79"/>
      <c r="E338" s="94"/>
      <c r="F338" s="94"/>
      <c r="G338" s="57" t="str">
        <f aca="false">IF(OR($B338="",$E338="",$F338=""),"",MAX(0,F338-E338+1))</f>
        <v/>
      </c>
      <c r="H338" s="58" t="str">
        <f aca="false">IF(D338="","",IFERROR(VLOOKUP(D338,cfg_LT,2,FALSE()),1))</f>
        <v/>
      </c>
      <c r="I338" s="82"/>
      <c r="J338" s="58" t="str">
        <f aca="false">IF(D338="","",IF(I338&lt;&gt;"",I338,H338))</f>
        <v/>
      </c>
      <c r="K338" s="80" t="str">
        <f aca="false">IF(D338="","",IFERROR(VLOOKUP($D338,cfg_LT,3,FALSE()),""))</f>
        <v/>
      </c>
      <c r="L338" s="80" t="str">
        <f aca="false">IF(D338="","",IFERROR(VLOOKUP($D338,cfg_LT,4,FALSE()),""))</f>
        <v/>
      </c>
      <c r="M338" s="80" t="str">
        <f aca="false">IF(D338="","",IFERROR(VLOOKUP($D338,cfg_LT,5,FALSE()),""))</f>
        <v/>
      </c>
      <c r="N338" s="97" t="n">
        <f aca="false">IF(OR(OR($B338="",$E338="",$F338=""),M338&lt;&gt;"نعم"),0,G338*J338*IFERROR(INDEX(الموظفون!$R$6:$R$105,MATCH(B338,الموظفون!$B$6:$B$105,0)),0)/cfg_DAYS_M)</f>
        <v>0</v>
      </c>
      <c r="O338" s="93" t="str">
        <f aca="false">IF(OR(OR($B338="",$E338="",$F338=""),M338&lt;&gt;"نعم"),"",IF(YEAR(E338)=cfg_FY,MONTH(E338),""))</f>
        <v/>
      </c>
      <c r="P338" s="80" t="str">
        <f aca="false">IF(B338="","",IF(OR(D338="",E338="",F338=""),"⚠ أكمل النوع والتواريخ",IF(F338&lt;E338,"✖ النهاية قبل البداية",IF(COUNTIFS($B$6:$B$505,B338,$E$6:$E$505,"&lt;="&amp;F338,$F$6:$F$505,"&gt;="&amp;E338)&gt;1,"⚠ تداخل مع سجل آخر",IF(E338&gt;cfg_VAL_DATE,"⏳ قادمة",IF(F338&lt;cfg_VAL_DATE,"✔ منتهية","✈ جارية في تاريخ التقرير"))))))</f>
        <v/>
      </c>
      <c r="Q338" s="79"/>
      <c r="R338" s="57" t="n">
        <f aca="false">IF(OR(OR($B338="",$E338="",$F338=""),L338&lt;&gt;"لا"),0,MAX(0,MIN(F338,cfg_Y_START-1)-E338+1))</f>
        <v>0</v>
      </c>
      <c r="S338" s="57" t="n">
        <f aca="false">IF(OR(OR($B338="",$E338="",$F338=""),L338&lt;&gt;"لا"),0,MAX(0,MIN(F338,cfg_VAL_DATE)-E338+1))</f>
        <v>0</v>
      </c>
      <c r="T338" s="57" t="n">
        <f aca="false">IF(OR(OR($B338="",$E338="",$F338=""),K338&lt;&gt;"نعم"),0,IF(M338="نعم",IF(AND(ISNUMBER(O338),N(O338)&lt;=cfg_VAL_M),G338,0),MAX(0,MIN(F338,cfg_VAL_DATE)-MAX(E338,cfg_Y_START)+1)))</f>
        <v>0</v>
      </c>
      <c r="V338" s="57" t="n">
        <f aca="false">IF(OR($B338="",$E338="",$F338=""),0,MAX(0,MIN($F338,EOMONTH(DATE(cfg_FY,1,1),0))-MAX($E338,DATE(cfg_FY,1,1))+1)*(1-IF($M338="نعم",0,N($J338))))</f>
        <v>0</v>
      </c>
      <c r="W338" s="57" t="n">
        <f aca="false">IF(OR($B338="",$E338="",$F338=""),0,MAX(0,MIN($F338,EOMONTH(DATE(cfg_FY,2,1),0))-MAX($E338,DATE(cfg_FY,2,1))+1)*(1-IF($M338="نعم",0,N($J338))))</f>
        <v>0</v>
      </c>
      <c r="X338" s="57" t="n">
        <f aca="false">IF(OR($B338="",$E338="",$F338=""),0,MAX(0,MIN($F338,EOMONTH(DATE(cfg_FY,3,1),0))-MAX($E338,DATE(cfg_FY,3,1))+1)*(1-IF($M338="نعم",0,N($J338))))</f>
        <v>0</v>
      </c>
      <c r="Y338" s="57" t="n">
        <f aca="false">IF(OR($B338="",$E338="",$F338=""),0,MAX(0,MIN($F338,EOMONTH(DATE(cfg_FY,4,1),0))-MAX($E338,DATE(cfg_FY,4,1))+1)*(1-IF($M338="نعم",0,N($J338))))</f>
        <v>0</v>
      </c>
      <c r="Z338" s="57" t="n">
        <f aca="false">IF(OR($B338="",$E338="",$F338=""),0,MAX(0,MIN($F338,EOMONTH(DATE(cfg_FY,5,1),0))-MAX($E338,DATE(cfg_FY,5,1))+1)*(1-IF($M338="نعم",0,N($J338))))</f>
        <v>0</v>
      </c>
      <c r="AA338" s="57" t="n">
        <f aca="false">IF(OR($B338="",$E338="",$F338=""),0,MAX(0,MIN($F338,EOMONTH(DATE(cfg_FY,6,1),0))-MAX($E338,DATE(cfg_FY,6,1))+1)*(1-IF($M338="نعم",0,N($J338))))</f>
        <v>0</v>
      </c>
      <c r="AB338" s="57" t="n">
        <f aca="false">IF(OR($B338="",$E338="",$F338=""),0,MAX(0,MIN($F338,EOMONTH(DATE(cfg_FY,7,1),0))-MAX($E338,DATE(cfg_FY,7,1))+1)*(1-IF($M338="نعم",0,N($J338))))</f>
        <v>0</v>
      </c>
      <c r="AC338" s="57" t="n">
        <f aca="false">IF(OR($B338="",$E338="",$F338=""),0,MAX(0,MIN($F338,EOMONTH(DATE(cfg_FY,8,1),0))-MAX($E338,DATE(cfg_FY,8,1))+1)*(1-IF($M338="نعم",0,N($J338))))</f>
        <v>0</v>
      </c>
      <c r="AD338" s="57" t="n">
        <f aca="false">IF(OR($B338="",$E338="",$F338=""),0,MAX(0,MIN($F338,EOMONTH(DATE(cfg_FY,9,1),0))-MAX($E338,DATE(cfg_FY,9,1))+1)*(1-IF($M338="نعم",0,N($J338))))</f>
        <v>0</v>
      </c>
      <c r="AE338" s="57" t="n">
        <f aca="false">IF(OR($B338="",$E338="",$F338=""),0,MAX(0,MIN($F338,EOMONTH(DATE(cfg_FY,10,1),0))-MAX($E338,DATE(cfg_FY,10,1))+1)*(1-IF($M338="نعم",0,N($J338))))</f>
        <v>0</v>
      </c>
      <c r="AF338" s="57" t="n">
        <f aca="false">IF(OR($B338="",$E338="",$F338=""),0,MAX(0,MIN($F338,EOMONTH(DATE(cfg_FY,11,1),0))-MAX($E338,DATE(cfg_FY,11,1))+1)*(1-IF($M338="نعم",0,N($J338))))</f>
        <v>0</v>
      </c>
      <c r="AG338" s="57" t="n">
        <f aca="false">IF(OR($B338="",$E338="",$F338=""),0,MAX(0,MIN($F338,EOMONTH(DATE(cfg_FY,12,1),0))-MAX($E338,DATE(cfg_FY,12,1))+1)*(1-IF($M338="نعم",0,N($J338))))</f>
        <v>0</v>
      </c>
      <c r="AH338" s="57" t="n">
        <f aca="false">IF(OR(OR($B338="",$E338="",$F338=""),$L338&lt;&gt;"لا"),0,MAX(0,MIN($F338,EOMONTH(DATE(cfg_FY,1,1),0))-$E338+1))</f>
        <v>0</v>
      </c>
      <c r="AI338" s="57" t="n">
        <f aca="false">IF(OR(OR($B338="",$E338="",$F338=""),$L338&lt;&gt;"لا"),0,MAX(0,MIN($F338,EOMONTH(DATE(cfg_FY,2,1),0))-$E338+1))</f>
        <v>0</v>
      </c>
      <c r="AJ338" s="57" t="n">
        <f aca="false">IF(OR(OR($B338="",$E338="",$F338=""),$L338&lt;&gt;"لا"),0,MAX(0,MIN($F338,EOMONTH(DATE(cfg_FY,3,1),0))-$E338+1))</f>
        <v>0</v>
      </c>
      <c r="AK338" s="57" t="n">
        <f aca="false">IF(OR(OR($B338="",$E338="",$F338=""),$L338&lt;&gt;"لا"),0,MAX(0,MIN($F338,EOMONTH(DATE(cfg_FY,4,1),0))-$E338+1))</f>
        <v>0</v>
      </c>
      <c r="AL338" s="57" t="n">
        <f aca="false">IF(OR(OR($B338="",$E338="",$F338=""),$L338&lt;&gt;"لا"),0,MAX(0,MIN($F338,EOMONTH(DATE(cfg_FY,5,1),0))-$E338+1))</f>
        <v>0</v>
      </c>
      <c r="AM338" s="57" t="n">
        <f aca="false">IF(OR(OR($B338="",$E338="",$F338=""),$L338&lt;&gt;"لا"),0,MAX(0,MIN($F338,EOMONTH(DATE(cfg_FY,6,1),0))-$E338+1))</f>
        <v>0</v>
      </c>
      <c r="AN338" s="57" t="n">
        <f aca="false">IF(OR(OR($B338="",$E338="",$F338=""),$L338&lt;&gt;"لا"),0,MAX(0,MIN($F338,EOMONTH(DATE(cfg_FY,7,1),0))-$E338+1))</f>
        <v>0</v>
      </c>
      <c r="AO338" s="57" t="n">
        <f aca="false">IF(OR(OR($B338="",$E338="",$F338=""),$L338&lt;&gt;"لا"),0,MAX(0,MIN($F338,EOMONTH(DATE(cfg_FY,8,1),0))-$E338+1))</f>
        <v>0</v>
      </c>
      <c r="AP338" s="57" t="n">
        <f aca="false">IF(OR(OR($B338="",$E338="",$F338=""),$L338&lt;&gt;"لا"),0,MAX(0,MIN($F338,EOMONTH(DATE(cfg_FY,9,1),0))-$E338+1))</f>
        <v>0</v>
      </c>
      <c r="AQ338" s="57" t="n">
        <f aca="false">IF(OR(OR($B338="",$E338="",$F338=""),$L338&lt;&gt;"لا"),0,MAX(0,MIN($F338,EOMONTH(DATE(cfg_FY,10,1),0))-$E338+1))</f>
        <v>0</v>
      </c>
      <c r="AR338" s="57" t="n">
        <f aca="false">IF(OR(OR($B338="",$E338="",$F338=""),$L338&lt;&gt;"لا"),0,MAX(0,MIN($F338,EOMONTH(DATE(cfg_FY,11,1),0))-$E338+1))</f>
        <v>0</v>
      </c>
      <c r="AS338" s="57" t="n">
        <f aca="false">IF(OR(OR($B338="",$E338="",$F338=""),$L338&lt;&gt;"لا"),0,MAX(0,MIN($F338,EOMONTH(DATE(cfg_FY,12,1),0))-$E338+1))</f>
        <v>0</v>
      </c>
      <c r="AT338" s="57" t="n">
        <f aca="false">IF(OR(OR($B338="",$E338="",$F338=""),$K338&lt;&gt;"نعم",$M338="نعم"),0,MAX(0,MIN($F338,EOMONTH(DATE(cfg_FY,1,1),0))-MAX($E338,DATE(cfg_FY,1,1))+1))</f>
        <v>0</v>
      </c>
      <c r="AU338" s="57" t="n">
        <f aca="false">IF(OR(OR($B338="",$E338="",$F338=""),$K338&lt;&gt;"نعم",$M338="نعم"),0,MAX(0,MIN($F338,EOMONTH(DATE(cfg_FY,2,1),0))-MAX($E338,DATE(cfg_FY,2,1))+1))</f>
        <v>0</v>
      </c>
      <c r="AV338" s="57" t="n">
        <f aca="false">IF(OR(OR($B338="",$E338="",$F338=""),$K338&lt;&gt;"نعم",$M338="نعم"),0,MAX(0,MIN($F338,EOMONTH(DATE(cfg_FY,3,1),0))-MAX($E338,DATE(cfg_FY,3,1))+1))</f>
        <v>0</v>
      </c>
      <c r="AW338" s="57" t="n">
        <f aca="false">IF(OR(OR($B338="",$E338="",$F338=""),$K338&lt;&gt;"نعم",$M338="نعم"),0,MAX(0,MIN($F338,EOMONTH(DATE(cfg_FY,4,1),0))-MAX($E338,DATE(cfg_FY,4,1))+1))</f>
        <v>0</v>
      </c>
      <c r="AX338" s="57" t="n">
        <f aca="false">IF(OR(OR($B338="",$E338="",$F338=""),$K338&lt;&gt;"نعم",$M338="نعم"),0,MAX(0,MIN($F338,EOMONTH(DATE(cfg_FY,5,1),0))-MAX($E338,DATE(cfg_FY,5,1))+1))</f>
        <v>0</v>
      </c>
      <c r="AY338" s="57" t="n">
        <f aca="false">IF(OR(OR($B338="",$E338="",$F338=""),$K338&lt;&gt;"نعم",$M338="نعم"),0,MAX(0,MIN($F338,EOMONTH(DATE(cfg_FY,6,1),0))-MAX($E338,DATE(cfg_FY,6,1))+1))</f>
        <v>0</v>
      </c>
      <c r="AZ338" s="57" t="n">
        <f aca="false">IF(OR(OR($B338="",$E338="",$F338=""),$K338&lt;&gt;"نعم",$M338="نعم"),0,MAX(0,MIN($F338,EOMONTH(DATE(cfg_FY,7,1),0))-MAX($E338,DATE(cfg_FY,7,1))+1))</f>
        <v>0</v>
      </c>
      <c r="BA338" s="57" t="n">
        <f aca="false">IF(OR(OR($B338="",$E338="",$F338=""),$K338&lt;&gt;"نعم",$M338="نعم"),0,MAX(0,MIN($F338,EOMONTH(DATE(cfg_FY,8,1),0))-MAX($E338,DATE(cfg_FY,8,1))+1))</f>
        <v>0</v>
      </c>
      <c r="BB338" s="57" t="n">
        <f aca="false">IF(OR(OR($B338="",$E338="",$F338=""),$K338&lt;&gt;"نعم",$M338="نعم"),0,MAX(0,MIN($F338,EOMONTH(DATE(cfg_FY,9,1),0))-MAX($E338,DATE(cfg_FY,9,1))+1))</f>
        <v>0</v>
      </c>
      <c r="BC338" s="57" t="n">
        <f aca="false">IF(OR(OR($B338="",$E338="",$F338=""),$K338&lt;&gt;"نعم",$M338="نعم"),0,MAX(0,MIN($F338,EOMONTH(DATE(cfg_FY,10,1),0))-MAX($E338,DATE(cfg_FY,10,1))+1))</f>
        <v>0</v>
      </c>
      <c r="BD338" s="57" t="n">
        <f aca="false">IF(OR(OR($B338="",$E338="",$F338=""),$K338&lt;&gt;"نعم",$M338="نعم"),0,MAX(0,MIN($F338,EOMONTH(DATE(cfg_FY,11,1),0))-MAX($E338,DATE(cfg_FY,11,1))+1))</f>
        <v>0</v>
      </c>
      <c r="BE338" s="57" t="n">
        <f aca="false">IF(OR(OR($B338="",$E338="",$F338=""),$K338&lt;&gt;"نعم",$M338="نعم"),0,MAX(0,MIN($F338,EOMONTH(DATE(cfg_FY,12,1),0))-MAX($E338,DATE(cfg_FY,12,1))+1))</f>
        <v>0</v>
      </c>
    </row>
    <row r="339" customFormat="false" ht="15" hidden="false" customHeight="false" outlineLevel="0" collapsed="false">
      <c r="A339" s="100" t="str">
        <f aca="false">IF(B339="","",ROW()-5)</f>
        <v/>
      </c>
      <c r="B339" s="79"/>
      <c r="C339" s="102" t="str">
        <f aca="false">IF(B339="","",IFERROR(INDEX(الموظفون!$C$6:$C$105,MATCH(B339,الموظفون!$B$6:$B$105,0)),"✖ رقم غير موجود"))</f>
        <v/>
      </c>
      <c r="D339" s="79"/>
      <c r="E339" s="94"/>
      <c r="F339" s="94"/>
      <c r="G339" s="110" t="str">
        <f aca="false">IF(OR($B339="",$E339="",$F339=""),"",MAX(0,F339-E339+1))</f>
        <v/>
      </c>
      <c r="H339" s="111" t="str">
        <f aca="false">IF(D339="","",IFERROR(VLOOKUP(D339,cfg_LT,2,FALSE()),1))</f>
        <v/>
      </c>
      <c r="I339" s="82"/>
      <c r="J339" s="111" t="str">
        <f aca="false">IF(D339="","",IF(I339&lt;&gt;"",I339,H339))</f>
        <v/>
      </c>
      <c r="K339" s="102" t="str">
        <f aca="false">IF(D339="","",IFERROR(VLOOKUP($D339,cfg_LT,3,FALSE()),""))</f>
        <v/>
      </c>
      <c r="L339" s="102" t="str">
        <f aca="false">IF(D339="","",IFERROR(VLOOKUP($D339,cfg_LT,4,FALSE()),""))</f>
        <v/>
      </c>
      <c r="M339" s="102" t="str">
        <f aca="false">IF(D339="","",IFERROR(VLOOKUP($D339,cfg_LT,5,FALSE()),""))</f>
        <v/>
      </c>
      <c r="N339" s="101" t="n">
        <f aca="false">IF(OR(OR($B339="",$E339="",$F339=""),M339&lt;&gt;"نعم"),0,G339*J339*IFERROR(INDEX(الموظفون!$R$6:$R$105,MATCH(B339,الموظفون!$B$6:$B$105,0)),0)/cfg_DAYS_M)</f>
        <v>0</v>
      </c>
      <c r="O339" s="100" t="str">
        <f aca="false">IF(OR(OR($B339="",$E339="",$F339=""),M339&lt;&gt;"نعم"),"",IF(YEAR(E339)=cfg_FY,MONTH(E339),""))</f>
        <v/>
      </c>
      <c r="P339" s="102" t="str">
        <f aca="false">IF(B339="","",IF(OR(D339="",E339="",F339=""),"⚠ أكمل النوع والتواريخ",IF(F339&lt;E339,"✖ النهاية قبل البداية",IF(COUNTIFS($B$6:$B$505,B339,$E$6:$E$505,"&lt;="&amp;F339,$F$6:$F$505,"&gt;="&amp;E339)&gt;1,"⚠ تداخل مع سجل آخر",IF(E339&gt;cfg_VAL_DATE,"⏳ قادمة",IF(F339&lt;cfg_VAL_DATE,"✔ منتهية","✈ جارية في تاريخ التقرير"))))))</f>
        <v/>
      </c>
      <c r="Q339" s="79"/>
      <c r="R339" s="110" t="n">
        <f aca="false">IF(OR(OR($B339="",$E339="",$F339=""),L339&lt;&gt;"لا"),0,MAX(0,MIN(F339,cfg_Y_START-1)-E339+1))</f>
        <v>0</v>
      </c>
      <c r="S339" s="110" t="n">
        <f aca="false">IF(OR(OR($B339="",$E339="",$F339=""),L339&lt;&gt;"لا"),0,MAX(0,MIN(F339,cfg_VAL_DATE)-E339+1))</f>
        <v>0</v>
      </c>
      <c r="T339" s="110" t="n">
        <f aca="false">IF(OR(OR($B339="",$E339="",$F339=""),K339&lt;&gt;"نعم"),0,IF(M339="نعم",IF(AND(ISNUMBER(O339),N(O339)&lt;=cfg_VAL_M),G339,0),MAX(0,MIN(F339,cfg_VAL_DATE)-MAX(E339,cfg_Y_START)+1)))</f>
        <v>0</v>
      </c>
      <c r="V339" s="110" t="n">
        <f aca="false">IF(OR($B339="",$E339="",$F339=""),0,MAX(0,MIN($F339,EOMONTH(DATE(cfg_FY,1,1),0))-MAX($E339,DATE(cfg_FY,1,1))+1)*(1-IF($M339="نعم",0,N($J339))))</f>
        <v>0</v>
      </c>
      <c r="W339" s="110" t="n">
        <f aca="false">IF(OR($B339="",$E339="",$F339=""),0,MAX(0,MIN($F339,EOMONTH(DATE(cfg_FY,2,1),0))-MAX($E339,DATE(cfg_FY,2,1))+1)*(1-IF($M339="نعم",0,N($J339))))</f>
        <v>0</v>
      </c>
      <c r="X339" s="110" t="n">
        <f aca="false">IF(OR($B339="",$E339="",$F339=""),0,MAX(0,MIN($F339,EOMONTH(DATE(cfg_FY,3,1),0))-MAX($E339,DATE(cfg_FY,3,1))+1)*(1-IF($M339="نعم",0,N($J339))))</f>
        <v>0</v>
      </c>
      <c r="Y339" s="110" t="n">
        <f aca="false">IF(OR($B339="",$E339="",$F339=""),0,MAX(0,MIN($F339,EOMONTH(DATE(cfg_FY,4,1),0))-MAX($E339,DATE(cfg_FY,4,1))+1)*(1-IF($M339="نعم",0,N($J339))))</f>
        <v>0</v>
      </c>
      <c r="Z339" s="110" t="n">
        <f aca="false">IF(OR($B339="",$E339="",$F339=""),0,MAX(0,MIN($F339,EOMONTH(DATE(cfg_FY,5,1),0))-MAX($E339,DATE(cfg_FY,5,1))+1)*(1-IF($M339="نعم",0,N($J339))))</f>
        <v>0</v>
      </c>
      <c r="AA339" s="110" t="n">
        <f aca="false">IF(OR($B339="",$E339="",$F339=""),0,MAX(0,MIN($F339,EOMONTH(DATE(cfg_FY,6,1),0))-MAX($E339,DATE(cfg_FY,6,1))+1)*(1-IF($M339="نعم",0,N($J339))))</f>
        <v>0</v>
      </c>
      <c r="AB339" s="110" t="n">
        <f aca="false">IF(OR($B339="",$E339="",$F339=""),0,MAX(0,MIN($F339,EOMONTH(DATE(cfg_FY,7,1),0))-MAX($E339,DATE(cfg_FY,7,1))+1)*(1-IF($M339="نعم",0,N($J339))))</f>
        <v>0</v>
      </c>
      <c r="AC339" s="110" t="n">
        <f aca="false">IF(OR($B339="",$E339="",$F339=""),0,MAX(0,MIN($F339,EOMONTH(DATE(cfg_FY,8,1),0))-MAX($E339,DATE(cfg_FY,8,1))+1)*(1-IF($M339="نعم",0,N($J339))))</f>
        <v>0</v>
      </c>
      <c r="AD339" s="110" t="n">
        <f aca="false">IF(OR($B339="",$E339="",$F339=""),0,MAX(0,MIN($F339,EOMONTH(DATE(cfg_FY,9,1),0))-MAX($E339,DATE(cfg_FY,9,1))+1)*(1-IF($M339="نعم",0,N($J339))))</f>
        <v>0</v>
      </c>
      <c r="AE339" s="110" t="n">
        <f aca="false">IF(OR($B339="",$E339="",$F339=""),0,MAX(0,MIN($F339,EOMONTH(DATE(cfg_FY,10,1),0))-MAX($E339,DATE(cfg_FY,10,1))+1)*(1-IF($M339="نعم",0,N($J339))))</f>
        <v>0</v>
      </c>
      <c r="AF339" s="110" t="n">
        <f aca="false">IF(OR($B339="",$E339="",$F339=""),0,MAX(0,MIN($F339,EOMONTH(DATE(cfg_FY,11,1),0))-MAX($E339,DATE(cfg_FY,11,1))+1)*(1-IF($M339="نعم",0,N($J339))))</f>
        <v>0</v>
      </c>
      <c r="AG339" s="110" t="n">
        <f aca="false">IF(OR($B339="",$E339="",$F339=""),0,MAX(0,MIN($F339,EOMONTH(DATE(cfg_FY,12,1),0))-MAX($E339,DATE(cfg_FY,12,1))+1)*(1-IF($M339="نعم",0,N($J339))))</f>
        <v>0</v>
      </c>
      <c r="AH339" s="110" t="n">
        <f aca="false">IF(OR(OR($B339="",$E339="",$F339=""),$L339&lt;&gt;"لا"),0,MAX(0,MIN($F339,EOMONTH(DATE(cfg_FY,1,1),0))-$E339+1))</f>
        <v>0</v>
      </c>
      <c r="AI339" s="110" t="n">
        <f aca="false">IF(OR(OR($B339="",$E339="",$F339=""),$L339&lt;&gt;"لا"),0,MAX(0,MIN($F339,EOMONTH(DATE(cfg_FY,2,1),0))-$E339+1))</f>
        <v>0</v>
      </c>
      <c r="AJ339" s="110" t="n">
        <f aca="false">IF(OR(OR($B339="",$E339="",$F339=""),$L339&lt;&gt;"لا"),0,MAX(0,MIN($F339,EOMONTH(DATE(cfg_FY,3,1),0))-$E339+1))</f>
        <v>0</v>
      </c>
      <c r="AK339" s="110" t="n">
        <f aca="false">IF(OR(OR($B339="",$E339="",$F339=""),$L339&lt;&gt;"لا"),0,MAX(0,MIN($F339,EOMONTH(DATE(cfg_FY,4,1),0))-$E339+1))</f>
        <v>0</v>
      </c>
      <c r="AL339" s="110" t="n">
        <f aca="false">IF(OR(OR($B339="",$E339="",$F339=""),$L339&lt;&gt;"لا"),0,MAX(0,MIN($F339,EOMONTH(DATE(cfg_FY,5,1),0))-$E339+1))</f>
        <v>0</v>
      </c>
      <c r="AM339" s="110" t="n">
        <f aca="false">IF(OR(OR($B339="",$E339="",$F339=""),$L339&lt;&gt;"لا"),0,MAX(0,MIN($F339,EOMONTH(DATE(cfg_FY,6,1),0))-$E339+1))</f>
        <v>0</v>
      </c>
      <c r="AN339" s="110" t="n">
        <f aca="false">IF(OR(OR($B339="",$E339="",$F339=""),$L339&lt;&gt;"لا"),0,MAX(0,MIN($F339,EOMONTH(DATE(cfg_FY,7,1),0))-$E339+1))</f>
        <v>0</v>
      </c>
      <c r="AO339" s="110" t="n">
        <f aca="false">IF(OR(OR($B339="",$E339="",$F339=""),$L339&lt;&gt;"لا"),0,MAX(0,MIN($F339,EOMONTH(DATE(cfg_FY,8,1),0))-$E339+1))</f>
        <v>0</v>
      </c>
      <c r="AP339" s="110" t="n">
        <f aca="false">IF(OR(OR($B339="",$E339="",$F339=""),$L339&lt;&gt;"لا"),0,MAX(0,MIN($F339,EOMONTH(DATE(cfg_FY,9,1),0))-$E339+1))</f>
        <v>0</v>
      </c>
      <c r="AQ339" s="110" t="n">
        <f aca="false">IF(OR(OR($B339="",$E339="",$F339=""),$L339&lt;&gt;"لا"),0,MAX(0,MIN($F339,EOMONTH(DATE(cfg_FY,10,1),0))-$E339+1))</f>
        <v>0</v>
      </c>
      <c r="AR339" s="110" t="n">
        <f aca="false">IF(OR(OR($B339="",$E339="",$F339=""),$L339&lt;&gt;"لا"),0,MAX(0,MIN($F339,EOMONTH(DATE(cfg_FY,11,1),0))-$E339+1))</f>
        <v>0</v>
      </c>
      <c r="AS339" s="110" t="n">
        <f aca="false">IF(OR(OR($B339="",$E339="",$F339=""),$L339&lt;&gt;"لا"),0,MAX(0,MIN($F339,EOMONTH(DATE(cfg_FY,12,1),0))-$E339+1))</f>
        <v>0</v>
      </c>
      <c r="AT339" s="110" t="n">
        <f aca="false">IF(OR(OR($B339="",$E339="",$F339=""),$K339&lt;&gt;"نعم",$M339="نعم"),0,MAX(0,MIN($F339,EOMONTH(DATE(cfg_FY,1,1),0))-MAX($E339,DATE(cfg_FY,1,1))+1))</f>
        <v>0</v>
      </c>
      <c r="AU339" s="110" t="n">
        <f aca="false">IF(OR(OR($B339="",$E339="",$F339=""),$K339&lt;&gt;"نعم",$M339="نعم"),0,MAX(0,MIN($F339,EOMONTH(DATE(cfg_FY,2,1),0))-MAX($E339,DATE(cfg_FY,2,1))+1))</f>
        <v>0</v>
      </c>
      <c r="AV339" s="110" t="n">
        <f aca="false">IF(OR(OR($B339="",$E339="",$F339=""),$K339&lt;&gt;"نعم",$M339="نعم"),0,MAX(0,MIN($F339,EOMONTH(DATE(cfg_FY,3,1),0))-MAX($E339,DATE(cfg_FY,3,1))+1))</f>
        <v>0</v>
      </c>
      <c r="AW339" s="110" t="n">
        <f aca="false">IF(OR(OR($B339="",$E339="",$F339=""),$K339&lt;&gt;"نعم",$M339="نعم"),0,MAX(0,MIN($F339,EOMONTH(DATE(cfg_FY,4,1),0))-MAX($E339,DATE(cfg_FY,4,1))+1))</f>
        <v>0</v>
      </c>
      <c r="AX339" s="110" t="n">
        <f aca="false">IF(OR(OR($B339="",$E339="",$F339=""),$K339&lt;&gt;"نعم",$M339="نعم"),0,MAX(0,MIN($F339,EOMONTH(DATE(cfg_FY,5,1),0))-MAX($E339,DATE(cfg_FY,5,1))+1))</f>
        <v>0</v>
      </c>
      <c r="AY339" s="110" t="n">
        <f aca="false">IF(OR(OR($B339="",$E339="",$F339=""),$K339&lt;&gt;"نعم",$M339="نعم"),0,MAX(0,MIN($F339,EOMONTH(DATE(cfg_FY,6,1),0))-MAX($E339,DATE(cfg_FY,6,1))+1))</f>
        <v>0</v>
      </c>
      <c r="AZ339" s="110" t="n">
        <f aca="false">IF(OR(OR($B339="",$E339="",$F339=""),$K339&lt;&gt;"نعم",$M339="نعم"),0,MAX(0,MIN($F339,EOMONTH(DATE(cfg_FY,7,1),0))-MAX($E339,DATE(cfg_FY,7,1))+1))</f>
        <v>0</v>
      </c>
      <c r="BA339" s="110" t="n">
        <f aca="false">IF(OR(OR($B339="",$E339="",$F339=""),$K339&lt;&gt;"نعم",$M339="نعم"),0,MAX(0,MIN($F339,EOMONTH(DATE(cfg_FY,8,1),0))-MAX($E339,DATE(cfg_FY,8,1))+1))</f>
        <v>0</v>
      </c>
      <c r="BB339" s="110" t="n">
        <f aca="false">IF(OR(OR($B339="",$E339="",$F339=""),$K339&lt;&gt;"نعم",$M339="نعم"),0,MAX(0,MIN($F339,EOMONTH(DATE(cfg_FY,9,1),0))-MAX($E339,DATE(cfg_FY,9,1))+1))</f>
        <v>0</v>
      </c>
      <c r="BC339" s="110" t="n">
        <f aca="false">IF(OR(OR($B339="",$E339="",$F339=""),$K339&lt;&gt;"نعم",$M339="نعم"),0,MAX(0,MIN($F339,EOMONTH(DATE(cfg_FY,10,1),0))-MAX($E339,DATE(cfg_FY,10,1))+1))</f>
        <v>0</v>
      </c>
      <c r="BD339" s="110" t="n">
        <f aca="false">IF(OR(OR($B339="",$E339="",$F339=""),$K339&lt;&gt;"نعم",$M339="نعم"),0,MAX(0,MIN($F339,EOMONTH(DATE(cfg_FY,11,1),0))-MAX($E339,DATE(cfg_FY,11,1))+1))</f>
        <v>0</v>
      </c>
      <c r="BE339" s="110" t="n">
        <f aca="false">IF(OR(OR($B339="",$E339="",$F339=""),$K339&lt;&gt;"نعم",$M339="نعم"),0,MAX(0,MIN($F339,EOMONTH(DATE(cfg_FY,12,1),0))-MAX($E339,DATE(cfg_FY,12,1))+1))</f>
        <v>0</v>
      </c>
    </row>
    <row r="340" customFormat="false" ht="15" hidden="false" customHeight="false" outlineLevel="0" collapsed="false">
      <c r="A340" s="93" t="str">
        <f aca="false">IF(B340="","",ROW()-5)</f>
        <v/>
      </c>
      <c r="B340" s="79"/>
      <c r="C340" s="80" t="str">
        <f aca="false">IF(B340="","",IFERROR(INDEX(الموظفون!$C$6:$C$105,MATCH(B340,الموظفون!$B$6:$B$105,0)),"✖ رقم غير موجود"))</f>
        <v/>
      </c>
      <c r="D340" s="79"/>
      <c r="E340" s="94"/>
      <c r="F340" s="94"/>
      <c r="G340" s="57" t="str">
        <f aca="false">IF(OR($B340="",$E340="",$F340=""),"",MAX(0,F340-E340+1))</f>
        <v/>
      </c>
      <c r="H340" s="58" t="str">
        <f aca="false">IF(D340="","",IFERROR(VLOOKUP(D340,cfg_LT,2,FALSE()),1))</f>
        <v/>
      </c>
      <c r="I340" s="82"/>
      <c r="J340" s="58" t="str">
        <f aca="false">IF(D340="","",IF(I340&lt;&gt;"",I340,H340))</f>
        <v/>
      </c>
      <c r="K340" s="80" t="str">
        <f aca="false">IF(D340="","",IFERROR(VLOOKUP($D340,cfg_LT,3,FALSE()),""))</f>
        <v/>
      </c>
      <c r="L340" s="80" t="str">
        <f aca="false">IF(D340="","",IFERROR(VLOOKUP($D340,cfg_LT,4,FALSE()),""))</f>
        <v/>
      </c>
      <c r="M340" s="80" t="str">
        <f aca="false">IF(D340="","",IFERROR(VLOOKUP($D340,cfg_LT,5,FALSE()),""))</f>
        <v/>
      </c>
      <c r="N340" s="97" t="n">
        <f aca="false">IF(OR(OR($B340="",$E340="",$F340=""),M340&lt;&gt;"نعم"),0,G340*J340*IFERROR(INDEX(الموظفون!$R$6:$R$105,MATCH(B340,الموظفون!$B$6:$B$105,0)),0)/cfg_DAYS_M)</f>
        <v>0</v>
      </c>
      <c r="O340" s="93" t="str">
        <f aca="false">IF(OR(OR($B340="",$E340="",$F340=""),M340&lt;&gt;"نعم"),"",IF(YEAR(E340)=cfg_FY,MONTH(E340),""))</f>
        <v/>
      </c>
      <c r="P340" s="80" t="str">
        <f aca="false">IF(B340="","",IF(OR(D340="",E340="",F340=""),"⚠ أكمل النوع والتواريخ",IF(F340&lt;E340,"✖ النهاية قبل البداية",IF(COUNTIFS($B$6:$B$505,B340,$E$6:$E$505,"&lt;="&amp;F340,$F$6:$F$505,"&gt;="&amp;E340)&gt;1,"⚠ تداخل مع سجل آخر",IF(E340&gt;cfg_VAL_DATE,"⏳ قادمة",IF(F340&lt;cfg_VAL_DATE,"✔ منتهية","✈ جارية في تاريخ التقرير"))))))</f>
        <v/>
      </c>
      <c r="Q340" s="79"/>
      <c r="R340" s="57" t="n">
        <f aca="false">IF(OR(OR($B340="",$E340="",$F340=""),L340&lt;&gt;"لا"),0,MAX(0,MIN(F340,cfg_Y_START-1)-E340+1))</f>
        <v>0</v>
      </c>
      <c r="S340" s="57" t="n">
        <f aca="false">IF(OR(OR($B340="",$E340="",$F340=""),L340&lt;&gt;"لا"),0,MAX(0,MIN(F340,cfg_VAL_DATE)-E340+1))</f>
        <v>0</v>
      </c>
      <c r="T340" s="57" t="n">
        <f aca="false">IF(OR(OR($B340="",$E340="",$F340=""),K340&lt;&gt;"نعم"),0,IF(M340="نعم",IF(AND(ISNUMBER(O340),N(O340)&lt;=cfg_VAL_M),G340,0),MAX(0,MIN(F340,cfg_VAL_DATE)-MAX(E340,cfg_Y_START)+1)))</f>
        <v>0</v>
      </c>
      <c r="V340" s="57" t="n">
        <f aca="false">IF(OR($B340="",$E340="",$F340=""),0,MAX(0,MIN($F340,EOMONTH(DATE(cfg_FY,1,1),0))-MAX($E340,DATE(cfg_FY,1,1))+1)*(1-IF($M340="نعم",0,N($J340))))</f>
        <v>0</v>
      </c>
      <c r="W340" s="57" t="n">
        <f aca="false">IF(OR($B340="",$E340="",$F340=""),0,MAX(0,MIN($F340,EOMONTH(DATE(cfg_FY,2,1),0))-MAX($E340,DATE(cfg_FY,2,1))+1)*(1-IF($M340="نعم",0,N($J340))))</f>
        <v>0</v>
      </c>
      <c r="X340" s="57" t="n">
        <f aca="false">IF(OR($B340="",$E340="",$F340=""),0,MAX(0,MIN($F340,EOMONTH(DATE(cfg_FY,3,1),0))-MAX($E340,DATE(cfg_FY,3,1))+1)*(1-IF($M340="نعم",0,N($J340))))</f>
        <v>0</v>
      </c>
      <c r="Y340" s="57" t="n">
        <f aca="false">IF(OR($B340="",$E340="",$F340=""),0,MAX(0,MIN($F340,EOMONTH(DATE(cfg_FY,4,1),0))-MAX($E340,DATE(cfg_FY,4,1))+1)*(1-IF($M340="نعم",0,N($J340))))</f>
        <v>0</v>
      </c>
      <c r="Z340" s="57" t="n">
        <f aca="false">IF(OR($B340="",$E340="",$F340=""),0,MAX(0,MIN($F340,EOMONTH(DATE(cfg_FY,5,1),0))-MAX($E340,DATE(cfg_FY,5,1))+1)*(1-IF($M340="نعم",0,N($J340))))</f>
        <v>0</v>
      </c>
      <c r="AA340" s="57" t="n">
        <f aca="false">IF(OR($B340="",$E340="",$F340=""),0,MAX(0,MIN($F340,EOMONTH(DATE(cfg_FY,6,1),0))-MAX($E340,DATE(cfg_FY,6,1))+1)*(1-IF($M340="نعم",0,N($J340))))</f>
        <v>0</v>
      </c>
      <c r="AB340" s="57" t="n">
        <f aca="false">IF(OR($B340="",$E340="",$F340=""),0,MAX(0,MIN($F340,EOMONTH(DATE(cfg_FY,7,1),0))-MAX($E340,DATE(cfg_FY,7,1))+1)*(1-IF($M340="نعم",0,N($J340))))</f>
        <v>0</v>
      </c>
      <c r="AC340" s="57" t="n">
        <f aca="false">IF(OR($B340="",$E340="",$F340=""),0,MAX(0,MIN($F340,EOMONTH(DATE(cfg_FY,8,1),0))-MAX($E340,DATE(cfg_FY,8,1))+1)*(1-IF($M340="نعم",0,N($J340))))</f>
        <v>0</v>
      </c>
      <c r="AD340" s="57" t="n">
        <f aca="false">IF(OR($B340="",$E340="",$F340=""),0,MAX(0,MIN($F340,EOMONTH(DATE(cfg_FY,9,1),0))-MAX($E340,DATE(cfg_FY,9,1))+1)*(1-IF($M340="نعم",0,N($J340))))</f>
        <v>0</v>
      </c>
      <c r="AE340" s="57" t="n">
        <f aca="false">IF(OR($B340="",$E340="",$F340=""),0,MAX(0,MIN($F340,EOMONTH(DATE(cfg_FY,10,1),0))-MAX($E340,DATE(cfg_FY,10,1))+1)*(1-IF($M340="نعم",0,N($J340))))</f>
        <v>0</v>
      </c>
      <c r="AF340" s="57" t="n">
        <f aca="false">IF(OR($B340="",$E340="",$F340=""),0,MAX(0,MIN($F340,EOMONTH(DATE(cfg_FY,11,1),0))-MAX($E340,DATE(cfg_FY,11,1))+1)*(1-IF($M340="نعم",0,N($J340))))</f>
        <v>0</v>
      </c>
      <c r="AG340" s="57" t="n">
        <f aca="false">IF(OR($B340="",$E340="",$F340=""),0,MAX(0,MIN($F340,EOMONTH(DATE(cfg_FY,12,1),0))-MAX($E340,DATE(cfg_FY,12,1))+1)*(1-IF($M340="نعم",0,N($J340))))</f>
        <v>0</v>
      </c>
      <c r="AH340" s="57" t="n">
        <f aca="false">IF(OR(OR($B340="",$E340="",$F340=""),$L340&lt;&gt;"لا"),0,MAX(0,MIN($F340,EOMONTH(DATE(cfg_FY,1,1),0))-$E340+1))</f>
        <v>0</v>
      </c>
      <c r="AI340" s="57" t="n">
        <f aca="false">IF(OR(OR($B340="",$E340="",$F340=""),$L340&lt;&gt;"لا"),0,MAX(0,MIN($F340,EOMONTH(DATE(cfg_FY,2,1),0))-$E340+1))</f>
        <v>0</v>
      </c>
      <c r="AJ340" s="57" t="n">
        <f aca="false">IF(OR(OR($B340="",$E340="",$F340=""),$L340&lt;&gt;"لا"),0,MAX(0,MIN($F340,EOMONTH(DATE(cfg_FY,3,1),0))-$E340+1))</f>
        <v>0</v>
      </c>
      <c r="AK340" s="57" t="n">
        <f aca="false">IF(OR(OR($B340="",$E340="",$F340=""),$L340&lt;&gt;"لا"),0,MAX(0,MIN($F340,EOMONTH(DATE(cfg_FY,4,1),0))-$E340+1))</f>
        <v>0</v>
      </c>
      <c r="AL340" s="57" t="n">
        <f aca="false">IF(OR(OR($B340="",$E340="",$F340=""),$L340&lt;&gt;"لا"),0,MAX(0,MIN($F340,EOMONTH(DATE(cfg_FY,5,1),0))-$E340+1))</f>
        <v>0</v>
      </c>
      <c r="AM340" s="57" t="n">
        <f aca="false">IF(OR(OR($B340="",$E340="",$F340=""),$L340&lt;&gt;"لا"),0,MAX(0,MIN($F340,EOMONTH(DATE(cfg_FY,6,1),0))-$E340+1))</f>
        <v>0</v>
      </c>
      <c r="AN340" s="57" t="n">
        <f aca="false">IF(OR(OR($B340="",$E340="",$F340=""),$L340&lt;&gt;"لا"),0,MAX(0,MIN($F340,EOMONTH(DATE(cfg_FY,7,1),0))-$E340+1))</f>
        <v>0</v>
      </c>
      <c r="AO340" s="57" t="n">
        <f aca="false">IF(OR(OR($B340="",$E340="",$F340=""),$L340&lt;&gt;"لا"),0,MAX(0,MIN($F340,EOMONTH(DATE(cfg_FY,8,1),0))-$E340+1))</f>
        <v>0</v>
      </c>
      <c r="AP340" s="57" t="n">
        <f aca="false">IF(OR(OR($B340="",$E340="",$F340=""),$L340&lt;&gt;"لا"),0,MAX(0,MIN($F340,EOMONTH(DATE(cfg_FY,9,1),0))-$E340+1))</f>
        <v>0</v>
      </c>
      <c r="AQ340" s="57" t="n">
        <f aca="false">IF(OR(OR($B340="",$E340="",$F340=""),$L340&lt;&gt;"لا"),0,MAX(0,MIN($F340,EOMONTH(DATE(cfg_FY,10,1),0))-$E340+1))</f>
        <v>0</v>
      </c>
      <c r="AR340" s="57" t="n">
        <f aca="false">IF(OR(OR($B340="",$E340="",$F340=""),$L340&lt;&gt;"لا"),0,MAX(0,MIN($F340,EOMONTH(DATE(cfg_FY,11,1),0))-$E340+1))</f>
        <v>0</v>
      </c>
      <c r="AS340" s="57" t="n">
        <f aca="false">IF(OR(OR($B340="",$E340="",$F340=""),$L340&lt;&gt;"لا"),0,MAX(0,MIN($F340,EOMONTH(DATE(cfg_FY,12,1),0))-$E340+1))</f>
        <v>0</v>
      </c>
      <c r="AT340" s="57" t="n">
        <f aca="false">IF(OR(OR($B340="",$E340="",$F340=""),$K340&lt;&gt;"نعم",$M340="نعم"),0,MAX(0,MIN($F340,EOMONTH(DATE(cfg_FY,1,1),0))-MAX($E340,DATE(cfg_FY,1,1))+1))</f>
        <v>0</v>
      </c>
      <c r="AU340" s="57" t="n">
        <f aca="false">IF(OR(OR($B340="",$E340="",$F340=""),$K340&lt;&gt;"نعم",$M340="نعم"),0,MAX(0,MIN($F340,EOMONTH(DATE(cfg_FY,2,1),0))-MAX($E340,DATE(cfg_FY,2,1))+1))</f>
        <v>0</v>
      </c>
      <c r="AV340" s="57" t="n">
        <f aca="false">IF(OR(OR($B340="",$E340="",$F340=""),$K340&lt;&gt;"نعم",$M340="نعم"),0,MAX(0,MIN($F340,EOMONTH(DATE(cfg_FY,3,1),0))-MAX($E340,DATE(cfg_FY,3,1))+1))</f>
        <v>0</v>
      </c>
      <c r="AW340" s="57" t="n">
        <f aca="false">IF(OR(OR($B340="",$E340="",$F340=""),$K340&lt;&gt;"نعم",$M340="نعم"),0,MAX(0,MIN($F340,EOMONTH(DATE(cfg_FY,4,1),0))-MAX($E340,DATE(cfg_FY,4,1))+1))</f>
        <v>0</v>
      </c>
      <c r="AX340" s="57" t="n">
        <f aca="false">IF(OR(OR($B340="",$E340="",$F340=""),$K340&lt;&gt;"نعم",$M340="نعم"),0,MAX(0,MIN($F340,EOMONTH(DATE(cfg_FY,5,1),0))-MAX($E340,DATE(cfg_FY,5,1))+1))</f>
        <v>0</v>
      </c>
      <c r="AY340" s="57" t="n">
        <f aca="false">IF(OR(OR($B340="",$E340="",$F340=""),$K340&lt;&gt;"نعم",$M340="نعم"),0,MAX(0,MIN($F340,EOMONTH(DATE(cfg_FY,6,1),0))-MAX($E340,DATE(cfg_FY,6,1))+1))</f>
        <v>0</v>
      </c>
      <c r="AZ340" s="57" t="n">
        <f aca="false">IF(OR(OR($B340="",$E340="",$F340=""),$K340&lt;&gt;"نعم",$M340="نعم"),0,MAX(0,MIN($F340,EOMONTH(DATE(cfg_FY,7,1),0))-MAX($E340,DATE(cfg_FY,7,1))+1))</f>
        <v>0</v>
      </c>
      <c r="BA340" s="57" t="n">
        <f aca="false">IF(OR(OR($B340="",$E340="",$F340=""),$K340&lt;&gt;"نعم",$M340="نعم"),0,MAX(0,MIN($F340,EOMONTH(DATE(cfg_FY,8,1),0))-MAX($E340,DATE(cfg_FY,8,1))+1))</f>
        <v>0</v>
      </c>
      <c r="BB340" s="57" t="n">
        <f aca="false">IF(OR(OR($B340="",$E340="",$F340=""),$K340&lt;&gt;"نعم",$M340="نعم"),0,MAX(0,MIN($F340,EOMONTH(DATE(cfg_FY,9,1),0))-MAX($E340,DATE(cfg_FY,9,1))+1))</f>
        <v>0</v>
      </c>
      <c r="BC340" s="57" t="n">
        <f aca="false">IF(OR(OR($B340="",$E340="",$F340=""),$K340&lt;&gt;"نعم",$M340="نعم"),0,MAX(0,MIN($F340,EOMONTH(DATE(cfg_FY,10,1),0))-MAX($E340,DATE(cfg_FY,10,1))+1))</f>
        <v>0</v>
      </c>
      <c r="BD340" s="57" t="n">
        <f aca="false">IF(OR(OR($B340="",$E340="",$F340=""),$K340&lt;&gt;"نعم",$M340="نعم"),0,MAX(0,MIN($F340,EOMONTH(DATE(cfg_FY,11,1),0))-MAX($E340,DATE(cfg_FY,11,1))+1))</f>
        <v>0</v>
      </c>
      <c r="BE340" s="57" t="n">
        <f aca="false">IF(OR(OR($B340="",$E340="",$F340=""),$K340&lt;&gt;"نعم",$M340="نعم"),0,MAX(0,MIN($F340,EOMONTH(DATE(cfg_FY,12,1),0))-MAX($E340,DATE(cfg_FY,12,1))+1))</f>
        <v>0</v>
      </c>
    </row>
    <row r="341" customFormat="false" ht="15" hidden="false" customHeight="false" outlineLevel="0" collapsed="false">
      <c r="A341" s="100" t="str">
        <f aca="false">IF(B341="","",ROW()-5)</f>
        <v/>
      </c>
      <c r="B341" s="79"/>
      <c r="C341" s="102" t="str">
        <f aca="false">IF(B341="","",IFERROR(INDEX(الموظفون!$C$6:$C$105,MATCH(B341,الموظفون!$B$6:$B$105,0)),"✖ رقم غير موجود"))</f>
        <v/>
      </c>
      <c r="D341" s="79"/>
      <c r="E341" s="94"/>
      <c r="F341" s="94"/>
      <c r="G341" s="110" t="str">
        <f aca="false">IF(OR($B341="",$E341="",$F341=""),"",MAX(0,F341-E341+1))</f>
        <v/>
      </c>
      <c r="H341" s="111" t="str">
        <f aca="false">IF(D341="","",IFERROR(VLOOKUP(D341,cfg_LT,2,FALSE()),1))</f>
        <v/>
      </c>
      <c r="I341" s="82"/>
      <c r="J341" s="111" t="str">
        <f aca="false">IF(D341="","",IF(I341&lt;&gt;"",I341,H341))</f>
        <v/>
      </c>
      <c r="K341" s="102" t="str">
        <f aca="false">IF(D341="","",IFERROR(VLOOKUP($D341,cfg_LT,3,FALSE()),""))</f>
        <v/>
      </c>
      <c r="L341" s="102" t="str">
        <f aca="false">IF(D341="","",IFERROR(VLOOKUP($D341,cfg_LT,4,FALSE()),""))</f>
        <v/>
      </c>
      <c r="M341" s="102" t="str">
        <f aca="false">IF(D341="","",IFERROR(VLOOKUP($D341,cfg_LT,5,FALSE()),""))</f>
        <v/>
      </c>
      <c r="N341" s="101" t="n">
        <f aca="false">IF(OR(OR($B341="",$E341="",$F341=""),M341&lt;&gt;"نعم"),0,G341*J341*IFERROR(INDEX(الموظفون!$R$6:$R$105,MATCH(B341,الموظفون!$B$6:$B$105,0)),0)/cfg_DAYS_M)</f>
        <v>0</v>
      </c>
      <c r="O341" s="100" t="str">
        <f aca="false">IF(OR(OR($B341="",$E341="",$F341=""),M341&lt;&gt;"نعم"),"",IF(YEAR(E341)=cfg_FY,MONTH(E341),""))</f>
        <v/>
      </c>
      <c r="P341" s="102" t="str">
        <f aca="false">IF(B341="","",IF(OR(D341="",E341="",F341=""),"⚠ أكمل النوع والتواريخ",IF(F341&lt;E341,"✖ النهاية قبل البداية",IF(COUNTIFS($B$6:$B$505,B341,$E$6:$E$505,"&lt;="&amp;F341,$F$6:$F$505,"&gt;="&amp;E341)&gt;1,"⚠ تداخل مع سجل آخر",IF(E341&gt;cfg_VAL_DATE,"⏳ قادمة",IF(F341&lt;cfg_VAL_DATE,"✔ منتهية","✈ جارية في تاريخ التقرير"))))))</f>
        <v/>
      </c>
      <c r="Q341" s="79"/>
      <c r="R341" s="110" t="n">
        <f aca="false">IF(OR(OR($B341="",$E341="",$F341=""),L341&lt;&gt;"لا"),0,MAX(0,MIN(F341,cfg_Y_START-1)-E341+1))</f>
        <v>0</v>
      </c>
      <c r="S341" s="110" t="n">
        <f aca="false">IF(OR(OR($B341="",$E341="",$F341=""),L341&lt;&gt;"لا"),0,MAX(0,MIN(F341,cfg_VAL_DATE)-E341+1))</f>
        <v>0</v>
      </c>
      <c r="T341" s="110" t="n">
        <f aca="false">IF(OR(OR($B341="",$E341="",$F341=""),K341&lt;&gt;"نعم"),0,IF(M341="نعم",IF(AND(ISNUMBER(O341),N(O341)&lt;=cfg_VAL_M),G341,0),MAX(0,MIN(F341,cfg_VAL_DATE)-MAX(E341,cfg_Y_START)+1)))</f>
        <v>0</v>
      </c>
      <c r="V341" s="110" t="n">
        <f aca="false">IF(OR($B341="",$E341="",$F341=""),0,MAX(0,MIN($F341,EOMONTH(DATE(cfg_FY,1,1),0))-MAX($E341,DATE(cfg_FY,1,1))+1)*(1-IF($M341="نعم",0,N($J341))))</f>
        <v>0</v>
      </c>
      <c r="W341" s="110" t="n">
        <f aca="false">IF(OR($B341="",$E341="",$F341=""),0,MAX(0,MIN($F341,EOMONTH(DATE(cfg_FY,2,1),0))-MAX($E341,DATE(cfg_FY,2,1))+1)*(1-IF($M341="نعم",0,N($J341))))</f>
        <v>0</v>
      </c>
      <c r="X341" s="110" t="n">
        <f aca="false">IF(OR($B341="",$E341="",$F341=""),0,MAX(0,MIN($F341,EOMONTH(DATE(cfg_FY,3,1),0))-MAX($E341,DATE(cfg_FY,3,1))+1)*(1-IF($M341="نعم",0,N($J341))))</f>
        <v>0</v>
      </c>
      <c r="Y341" s="110" t="n">
        <f aca="false">IF(OR($B341="",$E341="",$F341=""),0,MAX(0,MIN($F341,EOMONTH(DATE(cfg_FY,4,1),0))-MAX($E341,DATE(cfg_FY,4,1))+1)*(1-IF($M341="نعم",0,N($J341))))</f>
        <v>0</v>
      </c>
      <c r="Z341" s="110" t="n">
        <f aca="false">IF(OR($B341="",$E341="",$F341=""),0,MAX(0,MIN($F341,EOMONTH(DATE(cfg_FY,5,1),0))-MAX($E341,DATE(cfg_FY,5,1))+1)*(1-IF($M341="نعم",0,N($J341))))</f>
        <v>0</v>
      </c>
      <c r="AA341" s="110" t="n">
        <f aca="false">IF(OR($B341="",$E341="",$F341=""),0,MAX(0,MIN($F341,EOMONTH(DATE(cfg_FY,6,1),0))-MAX($E341,DATE(cfg_FY,6,1))+1)*(1-IF($M341="نعم",0,N($J341))))</f>
        <v>0</v>
      </c>
      <c r="AB341" s="110" t="n">
        <f aca="false">IF(OR($B341="",$E341="",$F341=""),0,MAX(0,MIN($F341,EOMONTH(DATE(cfg_FY,7,1),0))-MAX($E341,DATE(cfg_FY,7,1))+1)*(1-IF($M341="نعم",0,N($J341))))</f>
        <v>0</v>
      </c>
      <c r="AC341" s="110" t="n">
        <f aca="false">IF(OR($B341="",$E341="",$F341=""),0,MAX(0,MIN($F341,EOMONTH(DATE(cfg_FY,8,1),0))-MAX($E341,DATE(cfg_FY,8,1))+1)*(1-IF($M341="نعم",0,N($J341))))</f>
        <v>0</v>
      </c>
      <c r="AD341" s="110" t="n">
        <f aca="false">IF(OR($B341="",$E341="",$F341=""),0,MAX(0,MIN($F341,EOMONTH(DATE(cfg_FY,9,1),0))-MAX($E341,DATE(cfg_FY,9,1))+1)*(1-IF($M341="نعم",0,N($J341))))</f>
        <v>0</v>
      </c>
      <c r="AE341" s="110" t="n">
        <f aca="false">IF(OR($B341="",$E341="",$F341=""),0,MAX(0,MIN($F341,EOMONTH(DATE(cfg_FY,10,1),0))-MAX($E341,DATE(cfg_FY,10,1))+1)*(1-IF($M341="نعم",0,N($J341))))</f>
        <v>0</v>
      </c>
      <c r="AF341" s="110" t="n">
        <f aca="false">IF(OR($B341="",$E341="",$F341=""),0,MAX(0,MIN($F341,EOMONTH(DATE(cfg_FY,11,1),0))-MAX($E341,DATE(cfg_FY,11,1))+1)*(1-IF($M341="نعم",0,N($J341))))</f>
        <v>0</v>
      </c>
      <c r="AG341" s="110" t="n">
        <f aca="false">IF(OR($B341="",$E341="",$F341=""),0,MAX(0,MIN($F341,EOMONTH(DATE(cfg_FY,12,1),0))-MAX($E341,DATE(cfg_FY,12,1))+1)*(1-IF($M341="نعم",0,N($J341))))</f>
        <v>0</v>
      </c>
      <c r="AH341" s="110" t="n">
        <f aca="false">IF(OR(OR($B341="",$E341="",$F341=""),$L341&lt;&gt;"لا"),0,MAX(0,MIN($F341,EOMONTH(DATE(cfg_FY,1,1),0))-$E341+1))</f>
        <v>0</v>
      </c>
      <c r="AI341" s="110" t="n">
        <f aca="false">IF(OR(OR($B341="",$E341="",$F341=""),$L341&lt;&gt;"لا"),0,MAX(0,MIN($F341,EOMONTH(DATE(cfg_FY,2,1),0))-$E341+1))</f>
        <v>0</v>
      </c>
      <c r="AJ341" s="110" t="n">
        <f aca="false">IF(OR(OR($B341="",$E341="",$F341=""),$L341&lt;&gt;"لا"),0,MAX(0,MIN($F341,EOMONTH(DATE(cfg_FY,3,1),0))-$E341+1))</f>
        <v>0</v>
      </c>
      <c r="AK341" s="110" t="n">
        <f aca="false">IF(OR(OR($B341="",$E341="",$F341=""),$L341&lt;&gt;"لا"),0,MAX(0,MIN($F341,EOMONTH(DATE(cfg_FY,4,1),0))-$E341+1))</f>
        <v>0</v>
      </c>
      <c r="AL341" s="110" t="n">
        <f aca="false">IF(OR(OR($B341="",$E341="",$F341=""),$L341&lt;&gt;"لا"),0,MAX(0,MIN($F341,EOMONTH(DATE(cfg_FY,5,1),0))-$E341+1))</f>
        <v>0</v>
      </c>
      <c r="AM341" s="110" t="n">
        <f aca="false">IF(OR(OR($B341="",$E341="",$F341=""),$L341&lt;&gt;"لا"),0,MAX(0,MIN($F341,EOMONTH(DATE(cfg_FY,6,1),0))-$E341+1))</f>
        <v>0</v>
      </c>
      <c r="AN341" s="110" t="n">
        <f aca="false">IF(OR(OR($B341="",$E341="",$F341=""),$L341&lt;&gt;"لا"),0,MAX(0,MIN($F341,EOMONTH(DATE(cfg_FY,7,1),0))-$E341+1))</f>
        <v>0</v>
      </c>
      <c r="AO341" s="110" t="n">
        <f aca="false">IF(OR(OR($B341="",$E341="",$F341=""),$L341&lt;&gt;"لا"),0,MAX(0,MIN($F341,EOMONTH(DATE(cfg_FY,8,1),0))-$E341+1))</f>
        <v>0</v>
      </c>
      <c r="AP341" s="110" t="n">
        <f aca="false">IF(OR(OR($B341="",$E341="",$F341=""),$L341&lt;&gt;"لا"),0,MAX(0,MIN($F341,EOMONTH(DATE(cfg_FY,9,1),0))-$E341+1))</f>
        <v>0</v>
      </c>
      <c r="AQ341" s="110" t="n">
        <f aca="false">IF(OR(OR($B341="",$E341="",$F341=""),$L341&lt;&gt;"لا"),0,MAX(0,MIN($F341,EOMONTH(DATE(cfg_FY,10,1),0))-$E341+1))</f>
        <v>0</v>
      </c>
      <c r="AR341" s="110" t="n">
        <f aca="false">IF(OR(OR($B341="",$E341="",$F341=""),$L341&lt;&gt;"لا"),0,MAX(0,MIN($F341,EOMONTH(DATE(cfg_FY,11,1),0))-$E341+1))</f>
        <v>0</v>
      </c>
      <c r="AS341" s="110" t="n">
        <f aca="false">IF(OR(OR($B341="",$E341="",$F341=""),$L341&lt;&gt;"لا"),0,MAX(0,MIN($F341,EOMONTH(DATE(cfg_FY,12,1),0))-$E341+1))</f>
        <v>0</v>
      </c>
      <c r="AT341" s="110" t="n">
        <f aca="false">IF(OR(OR($B341="",$E341="",$F341=""),$K341&lt;&gt;"نعم",$M341="نعم"),0,MAX(0,MIN($F341,EOMONTH(DATE(cfg_FY,1,1),0))-MAX($E341,DATE(cfg_FY,1,1))+1))</f>
        <v>0</v>
      </c>
      <c r="AU341" s="110" t="n">
        <f aca="false">IF(OR(OR($B341="",$E341="",$F341=""),$K341&lt;&gt;"نعم",$M341="نعم"),0,MAX(0,MIN($F341,EOMONTH(DATE(cfg_FY,2,1),0))-MAX($E341,DATE(cfg_FY,2,1))+1))</f>
        <v>0</v>
      </c>
      <c r="AV341" s="110" t="n">
        <f aca="false">IF(OR(OR($B341="",$E341="",$F341=""),$K341&lt;&gt;"نعم",$M341="نعم"),0,MAX(0,MIN($F341,EOMONTH(DATE(cfg_FY,3,1),0))-MAX($E341,DATE(cfg_FY,3,1))+1))</f>
        <v>0</v>
      </c>
      <c r="AW341" s="110" t="n">
        <f aca="false">IF(OR(OR($B341="",$E341="",$F341=""),$K341&lt;&gt;"نعم",$M341="نعم"),0,MAX(0,MIN($F341,EOMONTH(DATE(cfg_FY,4,1),0))-MAX($E341,DATE(cfg_FY,4,1))+1))</f>
        <v>0</v>
      </c>
      <c r="AX341" s="110" t="n">
        <f aca="false">IF(OR(OR($B341="",$E341="",$F341=""),$K341&lt;&gt;"نعم",$M341="نعم"),0,MAX(0,MIN($F341,EOMONTH(DATE(cfg_FY,5,1),0))-MAX($E341,DATE(cfg_FY,5,1))+1))</f>
        <v>0</v>
      </c>
      <c r="AY341" s="110" t="n">
        <f aca="false">IF(OR(OR($B341="",$E341="",$F341=""),$K341&lt;&gt;"نعم",$M341="نعم"),0,MAX(0,MIN($F341,EOMONTH(DATE(cfg_FY,6,1),0))-MAX($E341,DATE(cfg_FY,6,1))+1))</f>
        <v>0</v>
      </c>
      <c r="AZ341" s="110" t="n">
        <f aca="false">IF(OR(OR($B341="",$E341="",$F341=""),$K341&lt;&gt;"نعم",$M341="نعم"),0,MAX(0,MIN($F341,EOMONTH(DATE(cfg_FY,7,1),0))-MAX($E341,DATE(cfg_FY,7,1))+1))</f>
        <v>0</v>
      </c>
      <c r="BA341" s="110" t="n">
        <f aca="false">IF(OR(OR($B341="",$E341="",$F341=""),$K341&lt;&gt;"نعم",$M341="نعم"),0,MAX(0,MIN($F341,EOMONTH(DATE(cfg_FY,8,1),0))-MAX($E341,DATE(cfg_FY,8,1))+1))</f>
        <v>0</v>
      </c>
      <c r="BB341" s="110" t="n">
        <f aca="false">IF(OR(OR($B341="",$E341="",$F341=""),$K341&lt;&gt;"نعم",$M341="نعم"),0,MAX(0,MIN($F341,EOMONTH(DATE(cfg_FY,9,1),0))-MAX($E341,DATE(cfg_FY,9,1))+1))</f>
        <v>0</v>
      </c>
      <c r="BC341" s="110" t="n">
        <f aca="false">IF(OR(OR($B341="",$E341="",$F341=""),$K341&lt;&gt;"نعم",$M341="نعم"),0,MAX(0,MIN($F341,EOMONTH(DATE(cfg_FY,10,1),0))-MAX($E341,DATE(cfg_FY,10,1))+1))</f>
        <v>0</v>
      </c>
      <c r="BD341" s="110" t="n">
        <f aca="false">IF(OR(OR($B341="",$E341="",$F341=""),$K341&lt;&gt;"نعم",$M341="نعم"),0,MAX(0,MIN($F341,EOMONTH(DATE(cfg_FY,11,1),0))-MAX($E341,DATE(cfg_FY,11,1))+1))</f>
        <v>0</v>
      </c>
      <c r="BE341" s="110" t="n">
        <f aca="false">IF(OR(OR($B341="",$E341="",$F341=""),$K341&lt;&gt;"نعم",$M341="نعم"),0,MAX(0,MIN($F341,EOMONTH(DATE(cfg_FY,12,1),0))-MAX($E341,DATE(cfg_FY,12,1))+1))</f>
        <v>0</v>
      </c>
    </row>
    <row r="342" customFormat="false" ht="15" hidden="false" customHeight="false" outlineLevel="0" collapsed="false">
      <c r="A342" s="93" t="str">
        <f aca="false">IF(B342="","",ROW()-5)</f>
        <v/>
      </c>
      <c r="B342" s="79"/>
      <c r="C342" s="80" t="str">
        <f aca="false">IF(B342="","",IFERROR(INDEX(الموظفون!$C$6:$C$105,MATCH(B342,الموظفون!$B$6:$B$105,0)),"✖ رقم غير موجود"))</f>
        <v/>
      </c>
      <c r="D342" s="79"/>
      <c r="E342" s="94"/>
      <c r="F342" s="94"/>
      <c r="G342" s="57" t="str">
        <f aca="false">IF(OR($B342="",$E342="",$F342=""),"",MAX(0,F342-E342+1))</f>
        <v/>
      </c>
      <c r="H342" s="58" t="str">
        <f aca="false">IF(D342="","",IFERROR(VLOOKUP(D342,cfg_LT,2,FALSE()),1))</f>
        <v/>
      </c>
      <c r="I342" s="82"/>
      <c r="J342" s="58" t="str">
        <f aca="false">IF(D342="","",IF(I342&lt;&gt;"",I342,H342))</f>
        <v/>
      </c>
      <c r="K342" s="80" t="str">
        <f aca="false">IF(D342="","",IFERROR(VLOOKUP($D342,cfg_LT,3,FALSE()),""))</f>
        <v/>
      </c>
      <c r="L342" s="80" t="str">
        <f aca="false">IF(D342="","",IFERROR(VLOOKUP($D342,cfg_LT,4,FALSE()),""))</f>
        <v/>
      </c>
      <c r="M342" s="80" t="str">
        <f aca="false">IF(D342="","",IFERROR(VLOOKUP($D342,cfg_LT,5,FALSE()),""))</f>
        <v/>
      </c>
      <c r="N342" s="97" t="n">
        <f aca="false">IF(OR(OR($B342="",$E342="",$F342=""),M342&lt;&gt;"نعم"),0,G342*J342*IFERROR(INDEX(الموظفون!$R$6:$R$105,MATCH(B342,الموظفون!$B$6:$B$105,0)),0)/cfg_DAYS_M)</f>
        <v>0</v>
      </c>
      <c r="O342" s="93" t="str">
        <f aca="false">IF(OR(OR($B342="",$E342="",$F342=""),M342&lt;&gt;"نعم"),"",IF(YEAR(E342)=cfg_FY,MONTH(E342),""))</f>
        <v/>
      </c>
      <c r="P342" s="80" t="str">
        <f aca="false">IF(B342="","",IF(OR(D342="",E342="",F342=""),"⚠ أكمل النوع والتواريخ",IF(F342&lt;E342,"✖ النهاية قبل البداية",IF(COUNTIFS($B$6:$B$505,B342,$E$6:$E$505,"&lt;="&amp;F342,$F$6:$F$505,"&gt;="&amp;E342)&gt;1,"⚠ تداخل مع سجل آخر",IF(E342&gt;cfg_VAL_DATE,"⏳ قادمة",IF(F342&lt;cfg_VAL_DATE,"✔ منتهية","✈ جارية في تاريخ التقرير"))))))</f>
        <v/>
      </c>
      <c r="Q342" s="79"/>
      <c r="R342" s="57" t="n">
        <f aca="false">IF(OR(OR($B342="",$E342="",$F342=""),L342&lt;&gt;"لا"),0,MAX(0,MIN(F342,cfg_Y_START-1)-E342+1))</f>
        <v>0</v>
      </c>
      <c r="S342" s="57" t="n">
        <f aca="false">IF(OR(OR($B342="",$E342="",$F342=""),L342&lt;&gt;"لا"),0,MAX(0,MIN(F342,cfg_VAL_DATE)-E342+1))</f>
        <v>0</v>
      </c>
      <c r="T342" s="57" t="n">
        <f aca="false">IF(OR(OR($B342="",$E342="",$F342=""),K342&lt;&gt;"نعم"),0,IF(M342="نعم",IF(AND(ISNUMBER(O342),N(O342)&lt;=cfg_VAL_M),G342,0),MAX(0,MIN(F342,cfg_VAL_DATE)-MAX(E342,cfg_Y_START)+1)))</f>
        <v>0</v>
      </c>
      <c r="V342" s="57" t="n">
        <f aca="false">IF(OR($B342="",$E342="",$F342=""),0,MAX(0,MIN($F342,EOMONTH(DATE(cfg_FY,1,1),0))-MAX($E342,DATE(cfg_FY,1,1))+1)*(1-IF($M342="نعم",0,N($J342))))</f>
        <v>0</v>
      </c>
      <c r="W342" s="57" t="n">
        <f aca="false">IF(OR($B342="",$E342="",$F342=""),0,MAX(0,MIN($F342,EOMONTH(DATE(cfg_FY,2,1),0))-MAX($E342,DATE(cfg_FY,2,1))+1)*(1-IF($M342="نعم",0,N($J342))))</f>
        <v>0</v>
      </c>
      <c r="X342" s="57" t="n">
        <f aca="false">IF(OR($B342="",$E342="",$F342=""),0,MAX(0,MIN($F342,EOMONTH(DATE(cfg_FY,3,1),0))-MAX($E342,DATE(cfg_FY,3,1))+1)*(1-IF($M342="نعم",0,N($J342))))</f>
        <v>0</v>
      </c>
      <c r="Y342" s="57" t="n">
        <f aca="false">IF(OR($B342="",$E342="",$F342=""),0,MAX(0,MIN($F342,EOMONTH(DATE(cfg_FY,4,1),0))-MAX($E342,DATE(cfg_FY,4,1))+1)*(1-IF($M342="نعم",0,N($J342))))</f>
        <v>0</v>
      </c>
      <c r="Z342" s="57" t="n">
        <f aca="false">IF(OR($B342="",$E342="",$F342=""),0,MAX(0,MIN($F342,EOMONTH(DATE(cfg_FY,5,1),0))-MAX($E342,DATE(cfg_FY,5,1))+1)*(1-IF($M342="نعم",0,N($J342))))</f>
        <v>0</v>
      </c>
      <c r="AA342" s="57" t="n">
        <f aca="false">IF(OR($B342="",$E342="",$F342=""),0,MAX(0,MIN($F342,EOMONTH(DATE(cfg_FY,6,1),0))-MAX($E342,DATE(cfg_FY,6,1))+1)*(1-IF($M342="نعم",0,N($J342))))</f>
        <v>0</v>
      </c>
      <c r="AB342" s="57" t="n">
        <f aca="false">IF(OR($B342="",$E342="",$F342=""),0,MAX(0,MIN($F342,EOMONTH(DATE(cfg_FY,7,1),0))-MAX($E342,DATE(cfg_FY,7,1))+1)*(1-IF($M342="نعم",0,N($J342))))</f>
        <v>0</v>
      </c>
      <c r="AC342" s="57" t="n">
        <f aca="false">IF(OR($B342="",$E342="",$F342=""),0,MAX(0,MIN($F342,EOMONTH(DATE(cfg_FY,8,1),0))-MAX($E342,DATE(cfg_FY,8,1))+1)*(1-IF($M342="نعم",0,N($J342))))</f>
        <v>0</v>
      </c>
      <c r="AD342" s="57" t="n">
        <f aca="false">IF(OR($B342="",$E342="",$F342=""),0,MAX(0,MIN($F342,EOMONTH(DATE(cfg_FY,9,1),0))-MAX($E342,DATE(cfg_FY,9,1))+1)*(1-IF($M342="نعم",0,N($J342))))</f>
        <v>0</v>
      </c>
      <c r="AE342" s="57" t="n">
        <f aca="false">IF(OR($B342="",$E342="",$F342=""),0,MAX(0,MIN($F342,EOMONTH(DATE(cfg_FY,10,1),0))-MAX($E342,DATE(cfg_FY,10,1))+1)*(1-IF($M342="نعم",0,N($J342))))</f>
        <v>0</v>
      </c>
      <c r="AF342" s="57" t="n">
        <f aca="false">IF(OR($B342="",$E342="",$F342=""),0,MAX(0,MIN($F342,EOMONTH(DATE(cfg_FY,11,1),0))-MAX($E342,DATE(cfg_FY,11,1))+1)*(1-IF($M342="نعم",0,N($J342))))</f>
        <v>0</v>
      </c>
      <c r="AG342" s="57" t="n">
        <f aca="false">IF(OR($B342="",$E342="",$F342=""),0,MAX(0,MIN($F342,EOMONTH(DATE(cfg_FY,12,1),0))-MAX($E342,DATE(cfg_FY,12,1))+1)*(1-IF($M342="نعم",0,N($J342))))</f>
        <v>0</v>
      </c>
      <c r="AH342" s="57" t="n">
        <f aca="false">IF(OR(OR($B342="",$E342="",$F342=""),$L342&lt;&gt;"لا"),0,MAX(0,MIN($F342,EOMONTH(DATE(cfg_FY,1,1),0))-$E342+1))</f>
        <v>0</v>
      </c>
      <c r="AI342" s="57" t="n">
        <f aca="false">IF(OR(OR($B342="",$E342="",$F342=""),$L342&lt;&gt;"لا"),0,MAX(0,MIN($F342,EOMONTH(DATE(cfg_FY,2,1),0))-$E342+1))</f>
        <v>0</v>
      </c>
      <c r="AJ342" s="57" t="n">
        <f aca="false">IF(OR(OR($B342="",$E342="",$F342=""),$L342&lt;&gt;"لا"),0,MAX(0,MIN($F342,EOMONTH(DATE(cfg_FY,3,1),0))-$E342+1))</f>
        <v>0</v>
      </c>
      <c r="AK342" s="57" t="n">
        <f aca="false">IF(OR(OR($B342="",$E342="",$F342=""),$L342&lt;&gt;"لا"),0,MAX(0,MIN($F342,EOMONTH(DATE(cfg_FY,4,1),0))-$E342+1))</f>
        <v>0</v>
      </c>
      <c r="AL342" s="57" t="n">
        <f aca="false">IF(OR(OR($B342="",$E342="",$F342=""),$L342&lt;&gt;"لا"),0,MAX(0,MIN($F342,EOMONTH(DATE(cfg_FY,5,1),0))-$E342+1))</f>
        <v>0</v>
      </c>
      <c r="AM342" s="57" t="n">
        <f aca="false">IF(OR(OR($B342="",$E342="",$F342=""),$L342&lt;&gt;"لا"),0,MAX(0,MIN($F342,EOMONTH(DATE(cfg_FY,6,1),0))-$E342+1))</f>
        <v>0</v>
      </c>
      <c r="AN342" s="57" t="n">
        <f aca="false">IF(OR(OR($B342="",$E342="",$F342=""),$L342&lt;&gt;"لا"),0,MAX(0,MIN($F342,EOMONTH(DATE(cfg_FY,7,1),0))-$E342+1))</f>
        <v>0</v>
      </c>
      <c r="AO342" s="57" t="n">
        <f aca="false">IF(OR(OR($B342="",$E342="",$F342=""),$L342&lt;&gt;"لا"),0,MAX(0,MIN($F342,EOMONTH(DATE(cfg_FY,8,1),0))-$E342+1))</f>
        <v>0</v>
      </c>
      <c r="AP342" s="57" t="n">
        <f aca="false">IF(OR(OR($B342="",$E342="",$F342=""),$L342&lt;&gt;"لا"),0,MAX(0,MIN($F342,EOMONTH(DATE(cfg_FY,9,1),0))-$E342+1))</f>
        <v>0</v>
      </c>
      <c r="AQ342" s="57" t="n">
        <f aca="false">IF(OR(OR($B342="",$E342="",$F342=""),$L342&lt;&gt;"لا"),0,MAX(0,MIN($F342,EOMONTH(DATE(cfg_FY,10,1),0))-$E342+1))</f>
        <v>0</v>
      </c>
      <c r="AR342" s="57" t="n">
        <f aca="false">IF(OR(OR($B342="",$E342="",$F342=""),$L342&lt;&gt;"لا"),0,MAX(0,MIN($F342,EOMONTH(DATE(cfg_FY,11,1),0))-$E342+1))</f>
        <v>0</v>
      </c>
      <c r="AS342" s="57" t="n">
        <f aca="false">IF(OR(OR($B342="",$E342="",$F342=""),$L342&lt;&gt;"لا"),0,MAX(0,MIN($F342,EOMONTH(DATE(cfg_FY,12,1),0))-$E342+1))</f>
        <v>0</v>
      </c>
      <c r="AT342" s="57" t="n">
        <f aca="false">IF(OR(OR($B342="",$E342="",$F342=""),$K342&lt;&gt;"نعم",$M342="نعم"),0,MAX(0,MIN($F342,EOMONTH(DATE(cfg_FY,1,1),0))-MAX($E342,DATE(cfg_FY,1,1))+1))</f>
        <v>0</v>
      </c>
      <c r="AU342" s="57" t="n">
        <f aca="false">IF(OR(OR($B342="",$E342="",$F342=""),$K342&lt;&gt;"نعم",$M342="نعم"),0,MAX(0,MIN($F342,EOMONTH(DATE(cfg_FY,2,1),0))-MAX($E342,DATE(cfg_FY,2,1))+1))</f>
        <v>0</v>
      </c>
      <c r="AV342" s="57" t="n">
        <f aca="false">IF(OR(OR($B342="",$E342="",$F342=""),$K342&lt;&gt;"نعم",$M342="نعم"),0,MAX(0,MIN($F342,EOMONTH(DATE(cfg_FY,3,1),0))-MAX($E342,DATE(cfg_FY,3,1))+1))</f>
        <v>0</v>
      </c>
      <c r="AW342" s="57" t="n">
        <f aca="false">IF(OR(OR($B342="",$E342="",$F342=""),$K342&lt;&gt;"نعم",$M342="نعم"),0,MAX(0,MIN($F342,EOMONTH(DATE(cfg_FY,4,1),0))-MAX($E342,DATE(cfg_FY,4,1))+1))</f>
        <v>0</v>
      </c>
      <c r="AX342" s="57" t="n">
        <f aca="false">IF(OR(OR($B342="",$E342="",$F342=""),$K342&lt;&gt;"نعم",$M342="نعم"),0,MAX(0,MIN($F342,EOMONTH(DATE(cfg_FY,5,1),0))-MAX($E342,DATE(cfg_FY,5,1))+1))</f>
        <v>0</v>
      </c>
      <c r="AY342" s="57" t="n">
        <f aca="false">IF(OR(OR($B342="",$E342="",$F342=""),$K342&lt;&gt;"نعم",$M342="نعم"),0,MAX(0,MIN($F342,EOMONTH(DATE(cfg_FY,6,1),0))-MAX($E342,DATE(cfg_FY,6,1))+1))</f>
        <v>0</v>
      </c>
      <c r="AZ342" s="57" t="n">
        <f aca="false">IF(OR(OR($B342="",$E342="",$F342=""),$K342&lt;&gt;"نعم",$M342="نعم"),0,MAX(0,MIN($F342,EOMONTH(DATE(cfg_FY,7,1),0))-MAX($E342,DATE(cfg_FY,7,1))+1))</f>
        <v>0</v>
      </c>
      <c r="BA342" s="57" t="n">
        <f aca="false">IF(OR(OR($B342="",$E342="",$F342=""),$K342&lt;&gt;"نعم",$M342="نعم"),0,MAX(0,MIN($F342,EOMONTH(DATE(cfg_FY,8,1),0))-MAX($E342,DATE(cfg_FY,8,1))+1))</f>
        <v>0</v>
      </c>
      <c r="BB342" s="57" t="n">
        <f aca="false">IF(OR(OR($B342="",$E342="",$F342=""),$K342&lt;&gt;"نعم",$M342="نعم"),0,MAX(0,MIN($F342,EOMONTH(DATE(cfg_FY,9,1),0))-MAX($E342,DATE(cfg_FY,9,1))+1))</f>
        <v>0</v>
      </c>
      <c r="BC342" s="57" t="n">
        <f aca="false">IF(OR(OR($B342="",$E342="",$F342=""),$K342&lt;&gt;"نعم",$M342="نعم"),0,MAX(0,MIN($F342,EOMONTH(DATE(cfg_FY,10,1),0))-MAX($E342,DATE(cfg_FY,10,1))+1))</f>
        <v>0</v>
      </c>
      <c r="BD342" s="57" t="n">
        <f aca="false">IF(OR(OR($B342="",$E342="",$F342=""),$K342&lt;&gt;"نعم",$M342="نعم"),0,MAX(0,MIN($F342,EOMONTH(DATE(cfg_FY,11,1),0))-MAX($E342,DATE(cfg_FY,11,1))+1))</f>
        <v>0</v>
      </c>
      <c r="BE342" s="57" t="n">
        <f aca="false">IF(OR(OR($B342="",$E342="",$F342=""),$K342&lt;&gt;"نعم",$M342="نعم"),0,MAX(0,MIN($F342,EOMONTH(DATE(cfg_FY,12,1),0))-MAX($E342,DATE(cfg_FY,12,1))+1))</f>
        <v>0</v>
      </c>
    </row>
    <row r="343" customFormat="false" ht="15" hidden="false" customHeight="false" outlineLevel="0" collapsed="false">
      <c r="A343" s="100" t="str">
        <f aca="false">IF(B343="","",ROW()-5)</f>
        <v/>
      </c>
      <c r="B343" s="79"/>
      <c r="C343" s="102" t="str">
        <f aca="false">IF(B343="","",IFERROR(INDEX(الموظفون!$C$6:$C$105,MATCH(B343,الموظفون!$B$6:$B$105,0)),"✖ رقم غير موجود"))</f>
        <v/>
      </c>
      <c r="D343" s="79"/>
      <c r="E343" s="94"/>
      <c r="F343" s="94"/>
      <c r="G343" s="110" t="str">
        <f aca="false">IF(OR($B343="",$E343="",$F343=""),"",MAX(0,F343-E343+1))</f>
        <v/>
      </c>
      <c r="H343" s="111" t="str">
        <f aca="false">IF(D343="","",IFERROR(VLOOKUP(D343,cfg_LT,2,FALSE()),1))</f>
        <v/>
      </c>
      <c r="I343" s="82"/>
      <c r="J343" s="111" t="str">
        <f aca="false">IF(D343="","",IF(I343&lt;&gt;"",I343,H343))</f>
        <v/>
      </c>
      <c r="K343" s="102" t="str">
        <f aca="false">IF(D343="","",IFERROR(VLOOKUP($D343,cfg_LT,3,FALSE()),""))</f>
        <v/>
      </c>
      <c r="L343" s="102" t="str">
        <f aca="false">IF(D343="","",IFERROR(VLOOKUP($D343,cfg_LT,4,FALSE()),""))</f>
        <v/>
      </c>
      <c r="M343" s="102" t="str">
        <f aca="false">IF(D343="","",IFERROR(VLOOKUP($D343,cfg_LT,5,FALSE()),""))</f>
        <v/>
      </c>
      <c r="N343" s="101" t="n">
        <f aca="false">IF(OR(OR($B343="",$E343="",$F343=""),M343&lt;&gt;"نعم"),0,G343*J343*IFERROR(INDEX(الموظفون!$R$6:$R$105,MATCH(B343,الموظفون!$B$6:$B$105,0)),0)/cfg_DAYS_M)</f>
        <v>0</v>
      </c>
      <c r="O343" s="100" t="str">
        <f aca="false">IF(OR(OR($B343="",$E343="",$F343=""),M343&lt;&gt;"نعم"),"",IF(YEAR(E343)=cfg_FY,MONTH(E343),""))</f>
        <v/>
      </c>
      <c r="P343" s="102" t="str">
        <f aca="false">IF(B343="","",IF(OR(D343="",E343="",F343=""),"⚠ أكمل النوع والتواريخ",IF(F343&lt;E343,"✖ النهاية قبل البداية",IF(COUNTIFS($B$6:$B$505,B343,$E$6:$E$505,"&lt;="&amp;F343,$F$6:$F$505,"&gt;="&amp;E343)&gt;1,"⚠ تداخل مع سجل آخر",IF(E343&gt;cfg_VAL_DATE,"⏳ قادمة",IF(F343&lt;cfg_VAL_DATE,"✔ منتهية","✈ جارية في تاريخ التقرير"))))))</f>
        <v/>
      </c>
      <c r="Q343" s="79"/>
      <c r="R343" s="110" t="n">
        <f aca="false">IF(OR(OR($B343="",$E343="",$F343=""),L343&lt;&gt;"لا"),0,MAX(0,MIN(F343,cfg_Y_START-1)-E343+1))</f>
        <v>0</v>
      </c>
      <c r="S343" s="110" t="n">
        <f aca="false">IF(OR(OR($B343="",$E343="",$F343=""),L343&lt;&gt;"لا"),0,MAX(0,MIN(F343,cfg_VAL_DATE)-E343+1))</f>
        <v>0</v>
      </c>
      <c r="T343" s="110" t="n">
        <f aca="false">IF(OR(OR($B343="",$E343="",$F343=""),K343&lt;&gt;"نعم"),0,IF(M343="نعم",IF(AND(ISNUMBER(O343),N(O343)&lt;=cfg_VAL_M),G343,0),MAX(0,MIN(F343,cfg_VAL_DATE)-MAX(E343,cfg_Y_START)+1)))</f>
        <v>0</v>
      </c>
      <c r="V343" s="110" t="n">
        <f aca="false">IF(OR($B343="",$E343="",$F343=""),0,MAX(0,MIN($F343,EOMONTH(DATE(cfg_FY,1,1),0))-MAX($E343,DATE(cfg_FY,1,1))+1)*(1-IF($M343="نعم",0,N($J343))))</f>
        <v>0</v>
      </c>
      <c r="W343" s="110" t="n">
        <f aca="false">IF(OR($B343="",$E343="",$F343=""),0,MAX(0,MIN($F343,EOMONTH(DATE(cfg_FY,2,1),0))-MAX($E343,DATE(cfg_FY,2,1))+1)*(1-IF($M343="نعم",0,N($J343))))</f>
        <v>0</v>
      </c>
      <c r="X343" s="110" t="n">
        <f aca="false">IF(OR($B343="",$E343="",$F343=""),0,MAX(0,MIN($F343,EOMONTH(DATE(cfg_FY,3,1),0))-MAX($E343,DATE(cfg_FY,3,1))+1)*(1-IF($M343="نعم",0,N($J343))))</f>
        <v>0</v>
      </c>
      <c r="Y343" s="110" t="n">
        <f aca="false">IF(OR($B343="",$E343="",$F343=""),0,MAX(0,MIN($F343,EOMONTH(DATE(cfg_FY,4,1),0))-MAX($E343,DATE(cfg_FY,4,1))+1)*(1-IF($M343="نعم",0,N($J343))))</f>
        <v>0</v>
      </c>
      <c r="Z343" s="110" t="n">
        <f aca="false">IF(OR($B343="",$E343="",$F343=""),0,MAX(0,MIN($F343,EOMONTH(DATE(cfg_FY,5,1),0))-MAX($E343,DATE(cfg_FY,5,1))+1)*(1-IF($M343="نعم",0,N($J343))))</f>
        <v>0</v>
      </c>
      <c r="AA343" s="110" t="n">
        <f aca="false">IF(OR($B343="",$E343="",$F343=""),0,MAX(0,MIN($F343,EOMONTH(DATE(cfg_FY,6,1),0))-MAX($E343,DATE(cfg_FY,6,1))+1)*(1-IF($M343="نعم",0,N($J343))))</f>
        <v>0</v>
      </c>
      <c r="AB343" s="110" t="n">
        <f aca="false">IF(OR($B343="",$E343="",$F343=""),0,MAX(0,MIN($F343,EOMONTH(DATE(cfg_FY,7,1),0))-MAX($E343,DATE(cfg_FY,7,1))+1)*(1-IF($M343="نعم",0,N($J343))))</f>
        <v>0</v>
      </c>
      <c r="AC343" s="110" t="n">
        <f aca="false">IF(OR($B343="",$E343="",$F343=""),0,MAX(0,MIN($F343,EOMONTH(DATE(cfg_FY,8,1),0))-MAX($E343,DATE(cfg_FY,8,1))+1)*(1-IF($M343="نعم",0,N($J343))))</f>
        <v>0</v>
      </c>
      <c r="AD343" s="110" t="n">
        <f aca="false">IF(OR($B343="",$E343="",$F343=""),0,MAX(0,MIN($F343,EOMONTH(DATE(cfg_FY,9,1),0))-MAX($E343,DATE(cfg_FY,9,1))+1)*(1-IF($M343="نعم",0,N($J343))))</f>
        <v>0</v>
      </c>
      <c r="AE343" s="110" t="n">
        <f aca="false">IF(OR($B343="",$E343="",$F343=""),0,MAX(0,MIN($F343,EOMONTH(DATE(cfg_FY,10,1),0))-MAX($E343,DATE(cfg_FY,10,1))+1)*(1-IF($M343="نعم",0,N($J343))))</f>
        <v>0</v>
      </c>
      <c r="AF343" s="110" t="n">
        <f aca="false">IF(OR($B343="",$E343="",$F343=""),0,MAX(0,MIN($F343,EOMONTH(DATE(cfg_FY,11,1),0))-MAX($E343,DATE(cfg_FY,11,1))+1)*(1-IF($M343="نعم",0,N($J343))))</f>
        <v>0</v>
      </c>
      <c r="AG343" s="110" t="n">
        <f aca="false">IF(OR($B343="",$E343="",$F343=""),0,MAX(0,MIN($F343,EOMONTH(DATE(cfg_FY,12,1),0))-MAX($E343,DATE(cfg_FY,12,1))+1)*(1-IF($M343="نعم",0,N($J343))))</f>
        <v>0</v>
      </c>
      <c r="AH343" s="110" t="n">
        <f aca="false">IF(OR(OR($B343="",$E343="",$F343=""),$L343&lt;&gt;"لا"),0,MAX(0,MIN($F343,EOMONTH(DATE(cfg_FY,1,1),0))-$E343+1))</f>
        <v>0</v>
      </c>
      <c r="AI343" s="110" t="n">
        <f aca="false">IF(OR(OR($B343="",$E343="",$F343=""),$L343&lt;&gt;"لا"),0,MAX(0,MIN($F343,EOMONTH(DATE(cfg_FY,2,1),0))-$E343+1))</f>
        <v>0</v>
      </c>
      <c r="AJ343" s="110" t="n">
        <f aca="false">IF(OR(OR($B343="",$E343="",$F343=""),$L343&lt;&gt;"لا"),0,MAX(0,MIN($F343,EOMONTH(DATE(cfg_FY,3,1),0))-$E343+1))</f>
        <v>0</v>
      </c>
      <c r="AK343" s="110" t="n">
        <f aca="false">IF(OR(OR($B343="",$E343="",$F343=""),$L343&lt;&gt;"لا"),0,MAX(0,MIN($F343,EOMONTH(DATE(cfg_FY,4,1),0))-$E343+1))</f>
        <v>0</v>
      </c>
      <c r="AL343" s="110" t="n">
        <f aca="false">IF(OR(OR($B343="",$E343="",$F343=""),$L343&lt;&gt;"لا"),0,MAX(0,MIN($F343,EOMONTH(DATE(cfg_FY,5,1),0))-$E343+1))</f>
        <v>0</v>
      </c>
      <c r="AM343" s="110" t="n">
        <f aca="false">IF(OR(OR($B343="",$E343="",$F343=""),$L343&lt;&gt;"لا"),0,MAX(0,MIN($F343,EOMONTH(DATE(cfg_FY,6,1),0))-$E343+1))</f>
        <v>0</v>
      </c>
      <c r="AN343" s="110" t="n">
        <f aca="false">IF(OR(OR($B343="",$E343="",$F343=""),$L343&lt;&gt;"لا"),0,MAX(0,MIN($F343,EOMONTH(DATE(cfg_FY,7,1),0))-$E343+1))</f>
        <v>0</v>
      </c>
      <c r="AO343" s="110" t="n">
        <f aca="false">IF(OR(OR($B343="",$E343="",$F343=""),$L343&lt;&gt;"لا"),0,MAX(0,MIN($F343,EOMONTH(DATE(cfg_FY,8,1),0))-$E343+1))</f>
        <v>0</v>
      </c>
      <c r="AP343" s="110" t="n">
        <f aca="false">IF(OR(OR($B343="",$E343="",$F343=""),$L343&lt;&gt;"لا"),0,MAX(0,MIN($F343,EOMONTH(DATE(cfg_FY,9,1),0))-$E343+1))</f>
        <v>0</v>
      </c>
      <c r="AQ343" s="110" t="n">
        <f aca="false">IF(OR(OR($B343="",$E343="",$F343=""),$L343&lt;&gt;"لا"),0,MAX(0,MIN($F343,EOMONTH(DATE(cfg_FY,10,1),0))-$E343+1))</f>
        <v>0</v>
      </c>
      <c r="AR343" s="110" t="n">
        <f aca="false">IF(OR(OR($B343="",$E343="",$F343=""),$L343&lt;&gt;"لا"),0,MAX(0,MIN($F343,EOMONTH(DATE(cfg_FY,11,1),0))-$E343+1))</f>
        <v>0</v>
      </c>
      <c r="AS343" s="110" t="n">
        <f aca="false">IF(OR(OR($B343="",$E343="",$F343=""),$L343&lt;&gt;"لا"),0,MAX(0,MIN($F343,EOMONTH(DATE(cfg_FY,12,1),0))-$E343+1))</f>
        <v>0</v>
      </c>
      <c r="AT343" s="110" t="n">
        <f aca="false">IF(OR(OR($B343="",$E343="",$F343=""),$K343&lt;&gt;"نعم",$M343="نعم"),0,MAX(0,MIN($F343,EOMONTH(DATE(cfg_FY,1,1),0))-MAX($E343,DATE(cfg_FY,1,1))+1))</f>
        <v>0</v>
      </c>
      <c r="AU343" s="110" t="n">
        <f aca="false">IF(OR(OR($B343="",$E343="",$F343=""),$K343&lt;&gt;"نعم",$M343="نعم"),0,MAX(0,MIN($F343,EOMONTH(DATE(cfg_FY,2,1),0))-MAX($E343,DATE(cfg_FY,2,1))+1))</f>
        <v>0</v>
      </c>
      <c r="AV343" s="110" t="n">
        <f aca="false">IF(OR(OR($B343="",$E343="",$F343=""),$K343&lt;&gt;"نعم",$M343="نعم"),0,MAX(0,MIN($F343,EOMONTH(DATE(cfg_FY,3,1),0))-MAX($E343,DATE(cfg_FY,3,1))+1))</f>
        <v>0</v>
      </c>
      <c r="AW343" s="110" t="n">
        <f aca="false">IF(OR(OR($B343="",$E343="",$F343=""),$K343&lt;&gt;"نعم",$M343="نعم"),0,MAX(0,MIN($F343,EOMONTH(DATE(cfg_FY,4,1),0))-MAX($E343,DATE(cfg_FY,4,1))+1))</f>
        <v>0</v>
      </c>
      <c r="AX343" s="110" t="n">
        <f aca="false">IF(OR(OR($B343="",$E343="",$F343=""),$K343&lt;&gt;"نعم",$M343="نعم"),0,MAX(0,MIN($F343,EOMONTH(DATE(cfg_FY,5,1),0))-MAX($E343,DATE(cfg_FY,5,1))+1))</f>
        <v>0</v>
      </c>
      <c r="AY343" s="110" t="n">
        <f aca="false">IF(OR(OR($B343="",$E343="",$F343=""),$K343&lt;&gt;"نعم",$M343="نعم"),0,MAX(0,MIN($F343,EOMONTH(DATE(cfg_FY,6,1),0))-MAX($E343,DATE(cfg_FY,6,1))+1))</f>
        <v>0</v>
      </c>
      <c r="AZ343" s="110" t="n">
        <f aca="false">IF(OR(OR($B343="",$E343="",$F343=""),$K343&lt;&gt;"نعم",$M343="نعم"),0,MAX(0,MIN($F343,EOMONTH(DATE(cfg_FY,7,1),0))-MAX($E343,DATE(cfg_FY,7,1))+1))</f>
        <v>0</v>
      </c>
      <c r="BA343" s="110" t="n">
        <f aca="false">IF(OR(OR($B343="",$E343="",$F343=""),$K343&lt;&gt;"نعم",$M343="نعم"),0,MAX(0,MIN($F343,EOMONTH(DATE(cfg_FY,8,1),0))-MAX($E343,DATE(cfg_FY,8,1))+1))</f>
        <v>0</v>
      </c>
      <c r="BB343" s="110" t="n">
        <f aca="false">IF(OR(OR($B343="",$E343="",$F343=""),$K343&lt;&gt;"نعم",$M343="نعم"),0,MAX(0,MIN($F343,EOMONTH(DATE(cfg_FY,9,1),0))-MAX($E343,DATE(cfg_FY,9,1))+1))</f>
        <v>0</v>
      </c>
      <c r="BC343" s="110" t="n">
        <f aca="false">IF(OR(OR($B343="",$E343="",$F343=""),$K343&lt;&gt;"نعم",$M343="نعم"),0,MAX(0,MIN($F343,EOMONTH(DATE(cfg_FY,10,1),0))-MAX($E343,DATE(cfg_FY,10,1))+1))</f>
        <v>0</v>
      </c>
      <c r="BD343" s="110" t="n">
        <f aca="false">IF(OR(OR($B343="",$E343="",$F343=""),$K343&lt;&gt;"نعم",$M343="نعم"),0,MAX(0,MIN($F343,EOMONTH(DATE(cfg_FY,11,1),0))-MAX($E343,DATE(cfg_FY,11,1))+1))</f>
        <v>0</v>
      </c>
      <c r="BE343" s="110" t="n">
        <f aca="false">IF(OR(OR($B343="",$E343="",$F343=""),$K343&lt;&gt;"نعم",$M343="نعم"),0,MAX(0,MIN($F343,EOMONTH(DATE(cfg_FY,12,1),0))-MAX($E343,DATE(cfg_FY,12,1))+1))</f>
        <v>0</v>
      </c>
    </row>
    <row r="344" customFormat="false" ht="15" hidden="false" customHeight="false" outlineLevel="0" collapsed="false">
      <c r="A344" s="93" t="str">
        <f aca="false">IF(B344="","",ROW()-5)</f>
        <v/>
      </c>
      <c r="B344" s="79"/>
      <c r="C344" s="80" t="str">
        <f aca="false">IF(B344="","",IFERROR(INDEX(الموظفون!$C$6:$C$105,MATCH(B344,الموظفون!$B$6:$B$105,0)),"✖ رقم غير موجود"))</f>
        <v/>
      </c>
      <c r="D344" s="79"/>
      <c r="E344" s="94"/>
      <c r="F344" s="94"/>
      <c r="G344" s="57" t="str">
        <f aca="false">IF(OR($B344="",$E344="",$F344=""),"",MAX(0,F344-E344+1))</f>
        <v/>
      </c>
      <c r="H344" s="58" t="str">
        <f aca="false">IF(D344="","",IFERROR(VLOOKUP(D344,cfg_LT,2,FALSE()),1))</f>
        <v/>
      </c>
      <c r="I344" s="82"/>
      <c r="J344" s="58" t="str">
        <f aca="false">IF(D344="","",IF(I344&lt;&gt;"",I344,H344))</f>
        <v/>
      </c>
      <c r="K344" s="80" t="str">
        <f aca="false">IF(D344="","",IFERROR(VLOOKUP($D344,cfg_LT,3,FALSE()),""))</f>
        <v/>
      </c>
      <c r="L344" s="80" t="str">
        <f aca="false">IF(D344="","",IFERROR(VLOOKUP($D344,cfg_LT,4,FALSE()),""))</f>
        <v/>
      </c>
      <c r="M344" s="80" t="str">
        <f aca="false">IF(D344="","",IFERROR(VLOOKUP($D344,cfg_LT,5,FALSE()),""))</f>
        <v/>
      </c>
      <c r="N344" s="97" t="n">
        <f aca="false">IF(OR(OR($B344="",$E344="",$F344=""),M344&lt;&gt;"نعم"),0,G344*J344*IFERROR(INDEX(الموظفون!$R$6:$R$105,MATCH(B344,الموظفون!$B$6:$B$105,0)),0)/cfg_DAYS_M)</f>
        <v>0</v>
      </c>
      <c r="O344" s="93" t="str">
        <f aca="false">IF(OR(OR($B344="",$E344="",$F344=""),M344&lt;&gt;"نعم"),"",IF(YEAR(E344)=cfg_FY,MONTH(E344),""))</f>
        <v/>
      </c>
      <c r="P344" s="80" t="str">
        <f aca="false">IF(B344="","",IF(OR(D344="",E344="",F344=""),"⚠ أكمل النوع والتواريخ",IF(F344&lt;E344,"✖ النهاية قبل البداية",IF(COUNTIFS($B$6:$B$505,B344,$E$6:$E$505,"&lt;="&amp;F344,$F$6:$F$505,"&gt;="&amp;E344)&gt;1,"⚠ تداخل مع سجل آخر",IF(E344&gt;cfg_VAL_DATE,"⏳ قادمة",IF(F344&lt;cfg_VAL_DATE,"✔ منتهية","✈ جارية في تاريخ التقرير"))))))</f>
        <v/>
      </c>
      <c r="Q344" s="79"/>
      <c r="R344" s="57" t="n">
        <f aca="false">IF(OR(OR($B344="",$E344="",$F344=""),L344&lt;&gt;"لا"),0,MAX(0,MIN(F344,cfg_Y_START-1)-E344+1))</f>
        <v>0</v>
      </c>
      <c r="S344" s="57" t="n">
        <f aca="false">IF(OR(OR($B344="",$E344="",$F344=""),L344&lt;&gt;"لا"),0,MAX(0,MIN(F344,cfg_VAL_DATE)-E344+1))</f>
        <v>0</v>
      </c>
      <c r="T344" s="57" t="n">
        <f aca="false">IF(OR(OR($B344="",$E344="",$F344=""),K344&lt;&gt;"نعم"),0,IF(M344="نعم",IF(AND(ISNUMBER(O344),N(O344)&lt;=cfg_VAL_M),G344,0),MAX(0,MIN(F344,cfg_VAL_DATE)-MAX(E344,cfg_Y_START)+1)))</f>
        <v>0</v>
      </c>
      <c r="V344" s="57" t="n">
        <f aca="false">IF(OR($B344="",$E344="",$F344=""),0,MAX(0,MIN($F344,EOMONTH(DATE(cfg_FY,1,1),0))-MAX($E344,DATE(cfg_FY,1,1))+1)*(1-IF($M344="نعم",0,N($J344))))</f>
        <v>0</v>
      </c>
      <c r="W344" s="57" t="n">
        <f aca="false">IF(OR($B344="",$E344="",$F344=""),0,MAX(0,MIN($F344,EOMONTH(DATE(cfg_FY,2,1),0))-MAX($E344,DATE(cfg_FY,2,1))+1)*(1-IF($M344="نعم",0,N($J344))))</f>
        <v>0</v>
      </c>
      <c r="X344" s="57" t="n">
        <f aca="false">IF(OR($B344="",$E344="",$F344=""),0,MAX(0,MIN($F344,EOMONTH(DATE(cfg_FY,3,1),0))-MAX($E344,DATE(cfg_FY,3,1))+1)*(1-IF($M344="نعم",0,N($J344))))</f>
        <v>0</v>
      </c>
      <c r="Y344" s="57" t="n">
        <f aca="false">IF(OR($B344="",$E344="",$F344=""),0,MAX(0,MIN($F344,EOMONTH(DATE(cfg_FY,4,1),0))-MAX($E344,DATE(cfg_FY,4,1))+1)*(1-IF($M344="نعم",0,N($J344))))</f>
        <v>0</v>
      </c>
      <c r="Z344" s="57" t="n">
        <f aca="false">IF(OR($B344="",$E344="",$F344=""),0,MAX(0,MIN($F344,EOMONTH(DATE(cfg_FY,5,1),0))-MAX($E344,DATE(cfg_FY,5,1))+1)*(1-IF($M344="نعم",0,N($J344))))</f>
        <v>0</v>
      </c>
      <c r="AA344" s="57" t="n">
        <f aca="false">IF(OR($B344="",$E344="",$F344=""),0,MAX(0,MIN($F344,EOMONTH(DATE(cfg_FY,6,1),0))-MAX($E344,DATE(cfg_FY,6,1))+1)*(1-IF($M344="نعم",0,N($J344))))</f>
        <v>0</v>
      </c>
      <c r="AB344" s="57" t="n">
        <f aca="false">IF(OR($B344="",$E344="",$F344=""),0,MAX(0,MIN($F344,EOMONTH(DATE(cfg_FY,7,1),0))-MAX($E344,DATE(cfg_FY,7,1))+1)*(1-IF($M344="نعم",0,N($J344))))</f>
        <v>0</v>
      </c>
      <c r="AC344" s="57" t="n">
        <f aca="false">IF(OR($B344="",$E344="",$F344=""),0,MAX(0,MIN($F344,EOMONTH(DATE(cfg_FY,8,1),0))-MAX($E344,DATE(cfg_FY,8,1))+1)*(1-IF($M344="نعم",0,N($J344))))</f>
        <v>0</v>
      </c>
      <c r="AD344" s="57" t="n">
        <f aca="false">IF(OR($B344="",$E344="",$F344=""),0,MAX(0,MIN($F344,EOMONTH(DATE(cfg_FY,9,1),0))-MAX($E344,DATE(cfg_FY,9,1))+1)*(1-IF($M344="نعم",0,N($J344))))</f>
        <v>0</v>
      </c>
      <c r="AE344" s="57" t="n">
        <f aca="false">IF(OR($B344="",$E344="",$F344=""),0,MAX(0,MIN($F344,EOMONTH(DATE(cfg_FY,10,1),0))-MAX($E344,DATE(cfg_FY,10,1))+1)*(1-IF($M344="نعم",0,N($J344))))</f>
        <v>0</v>
      </c>
      <c r="AF344" s="57" t="n">
        <f aca="false">IF(OR($B344="",$E344="",$F344=""),0,MAX(0,MIN($F344,EOMONTH(DATE(cfg_FY,11,1),0))-MAX($E344,DATE(cfg_FY,11,1))+1)*(1-IF($M344="نعم",0,N($J344))))</f>
        <v>0</v>
      </c>
      <c r="AG344" s="57" t="n">
        <f aca="false">IF(OR($B344="",$E344="",$F344=""),0,MAX(0,MIN($F344,EOMONTH(DATE(cfg_FY,12,1),0))-MAX($E344,DATE(cfg_FY,12,1))+1)*(1-IF($M344="نعم",0,N($J344))))</f>
        <v>0</v>
      </c>
      <c r="AH344" s="57" t="n">
        <f aca="false">IF(OR(OR($B344="",$E344="",$F344=""),$L344&lt;&gt;"لا"),0,MAX(0,MIN($F344,EOMONTH(DATE(cfg_FY,1,1),0))-$E344+1))</f>
        <v>0</v>
      </c>
      <c r="AI344" s="57" t="n">
        <f aca="false">IF(OR(OR($B344="",$E344="",$F344=""),$L344&lt;&gt;"لا"),0,MAX(0,MIN($F344,EOMONTH(DATE(cfg_FY,2,1),0))-$E344+1))</f>
        <v>0</v>
      </c>
      <c r="AJ344" s="57" t="n">
        <f aca="false">IF(OR(OR($B344="",$E344="",$F344=""),$L344&lt;&gt;"لا"),0,MAX(0,MIN($F344,EOMONTH(DATE(cfg_FY,3,1),0))-$E344+1))</f>
        <v>0</v>
      </c>
      <c r="AK344" s="57" t="n">
        <f aca="false">IF(OR(OR($B344="",$E344="",$F344=""),$L344&lt;&gt;"لا"),0,MAX(0,MIN($F344,EOMONTH(DATE(cfg_FY,4,1),0))-$E344+1))</f>
        <v>0</v>
      </c>
      <c r="AL344" s="57" t="n">
        <f aca="false">IF(OR(OR($B344="",$E344="",$F344=""),$L344&lt;&gt;"لا"),0,MAX(0,MIN($F344,EOMONTH(DATE(cfg_FY,5,1),0))-$E344+1))</f>
        <v>0</v>
      </c>
      <c r="AM344" s="57" t="n">
        <f aca="false">IF(OR(OR($B344="",$E344="",$F344=""),$L344&lt;&gt;"لا"),0,MAX(0,MIN($F344,EOMONTH(DATE(cfg_FY,6,1),0))-$E344+1))</f>
        <v>0</v>
      </c>
      <c r="AN344" s="57" t="n">
        <f aca="false">IF(OR(OR($B344="",$E344="",$F344=""),$L344&lt;&gt;"لا"),0,MAX(0,MIN($F344,EOMONTH(DATE(cfg_FY,7,1),0))-$E344+1))</f>
        <v>0</v>
      </c>
      <c r="AO344" s="57" t="n">
        <f aca="false">IF(OR(OR($B344="",$E344="",$F344=""),$L344&lt;&gt;"لا"),0,MAX(0,MIN($F344,EOMONTH(DATE(cfg_FY,8,1),0))-$E344+1))</f>
        <v>0</v>
      </c>
      <c r="AP344" s="57" t="n">
        <f aca="false">IF(OR(OR($B344="",$E344="",$F344=""),$L344&lt;&gt;"لا"),0,MAX(0,MIN($F344,EOMONTH(DATE(cfg_FY,9,1),0))-$E344+1))</f>
        <v>0</v>
      </c>
      <c r="AQ344" s="57" t="n">
        <f aca="false">IF(OR(OR($B344="",$E344="",$F344=""),$L344&lt;&gt;"لا"),0,MAX(0,MIN($F344,EOMONTH(DATE(cfg_FY,10,1),0))-$E344+1))</f>
        <v>0</v>
      </c>
      <c r="AR344" s="57" t="n">
        <f aca="false">IF(OR(OR($B344="",$E344="",$F344=""),$L344&lt;&gt;"لا"),0,MAX(0,MIN($F344,EOMONTH(DATE(cfg_FY,11,1),0))-$E344+1))</f>
        <v>0</v>
      </c>
      <c r="AS344" s="57" t="n">
        <f aca="false">IF(OR(OR($B344="",$E344="",$F344=""),$L344&lt;&gt;"لا"),0,MAX(0,MIN($F344,EOMONTH(DATE(cfg_FY,12,1),0))-$E344+1))</f>
        <v>0</v>
      </c>
      <c r="AT344" s="57" t="n">
        <f aca="false">IF(OR(OR($B344="",$E344="",$F344=""),$K344&lt;&gt;"نعم",$M344="نعم"),0,MAX(0,MIN($F344,EOMONTH(DATE(cfg_FY,1,1),0))-MAX($E344,DATE(cfg_FY,1,1))+1))</f>
        <v>0</v>
      </c>
      <c r="AU344" s="57" t="n">
        <f aca="false">IF(OR(OR($B344="",$E344="",$F344=""),$K344&lt;&gt;"نعم",$M344="نعم"),0,MAX(0,MIN($F344,EOMONTH(DATE(cfg_FY,2,1),0))-MAX($E344,DATE(cfg_FY,2,1))+1))</f>
        <v>0</v>
      </c>
      <c r="AV344" s="57" t="n">
        <f aca="false">IF(OR(OR($B344="",$E344="",$F344=""),$K344&lt;&gt;"نعم",$M344="نعم"),0,MAX(0,MIN($F344,EOMONTH(DATE(cfg_FY,3,1),0))-MAX($E344,DATE(cfg_FY,3,1))+1))</f>
        <v>0</v>
      </c>
      <c r="AW344" s="57" t="n">
        <f aca="false">IF(OR(OR($B344="",$E344="",$F344=""),$K344&lt;&gt;"نعم",$M344="نعم"),0,MAX(0,MIN($F344,EOMONTH(DATE(cfg_FY,4,1),0))-MAX($E344,DATE(cfg_FY,4,1))+1))</f>
        <v>0</v>
      </c>
      <c r="AX344" s="57" t="n">
        <f aca="false">IF(OR(OR($B344="",$E344="",$F344=""),$K344&lt;&gt;"نعم",$M344="نعم"),0,MAX(0,MIN($F344,EOMONTH(DATE(cfg_FY,5,1),0))-MAX($E344,DATE(cfg_FY,5,1))+1))</f>
        <v>0</v>
      </c>
      <c r="AY344" s="57" t="n">
        <f aca="false">IF(OR(OR($B344="",$E344="",$F344=""),$K344&lt;&gt;"نعم",$M344="نعم"),0,MAX(0,MIN($F344,EOMONTH(DATE(cfg_FY,6,1),0))-MAX($E344,DATE(cfg_FY,6,1))+1))</f>
        <v>0</v>
      </c>
      <c r="AZ344" s="57" t="n">
        <f aca="false">IF(OR(OR($B344="",$E344="",$F344=""),$K344&lt;&gt;"نعم",$M344="نعم"),0,MAX(0,MIN($F344,EOMONTH(DATE(cfg_FY,7,1),0))-MAX($E344,DATE(cfg_FY,7,1))+1))</f>
        <v>0</v>
      </c>
      <c r="BA344" s="57" t="n">
        <f aca="false">IF(OR(OR($B344="",$E344="",$F344=""),$K344&lt;&gt;"نعم",$M344="نعم"),0,MAX(0,MIN($F344,EOMONTH(DATE(cfg_FY,8,1),0))-MAX($E344,DATE(cfg_FY,8,1))+1))</f>
        <v>0</v>
      </c>
      <c r="BB344" s="57" t="n">
        <f aca="false">IF(OR(OR($B344="",$E344="",$F344=""),$K344&lt;&gt;"نعم",$M344="نعم"),0,MAX(0,MIN($F344,EOMONTH(DATE(cfg_FY,9,1),0))-MAX($E344,DATE(cfg_FY,9,1))+1))</f>
        <v>0</v>
      </c>
      <c r="BC344" s="57" t="n">
        <f aca="false">IF(OR(OR($B344="",$E344="",$F344=""),$K344&lt;&gt;"نعم",$M344="نعم"),0,MAX(0,MIN($F344,EOMONTH(DATE(cfg_FY,10,1),0))-MAX($E344,DATE(cfg_FY,10,1))+1))</f>
        <v>0</v>
      </c>
      <c r="BD344" s="57" t="n">
        <f aca="false">IF(OR(OR($B344="",$E344="",$F344=""),$K344&lt;&gt;"نعم",$M344="نعم"),0,MAX(0,MIN($F344,EOMONTH(DATE(cfg_FY,11,1),0))-MAX($E344,DATE(cfg_FY,11,1))+1))</f>
        <v>0</v>
      </c>
      <c r="BE344" s="57" t="n">
        <f aca="false">IF(OR(OR($B344="",$E344="",$F344=""),$K344&lt;&gt;"نعم",$M344="نعم"),0,MAX(0,MIN($F344,EOMONTH(DATE(cfg_FY,12,1),0))-MAX($E344,DATE(cfg_FY,12,1))+1))</f>
        <v>0</v>
      </c>
    </row>
    <row r="345" customFormat="false" ht="15" hidden="false" customHeight="false" outlineLevel="0" collapsed="false">
      <c r="A345" s="100" t="str">
        <f aca="false">IF(B345="","",ROW()-5)</f>
        <v/>
      </c>
      <c r="B345" s="79"/>
      <c r="C345" s="102" t="str">
        <f aca="false">IF(B345="","",IFERROR(INDEX(الموظفون!$C$6:$C$105,MATCH(B345,الموظفون!$B$6:$B$105,0)),"✖ رقم غير موجود"))</f>
        <v/>
      </c>
      <c r="D345" s="79"/>
      <c r="E345" s="94"/>
      <c r="F345" s="94"/>
      <c r="G345" s="110" t="str">
        <f aca="false">IF(OR($B345="",$E345="",$F345=""),"",MAX(0,F345-E345+1))</f>
        <v/>
      </c>
      <c r="H345" s="111" t="str">
        <f aca="false">IF(D345="","",IFERROR(VLOOKUP(D345,cfg_LT,2,FALSE()),1))</f>
        <v/>
      </c>
      <c r="I345" s="82"/>
      <c r="J345" s="111" t="str">
        <f aca="false">IF(D345="","",IF(I345&lt;&gt;"",I345,H345))</f>
        <v/>
      </c>
      <c r="K345" s="102" t="str">
        <f aca="false">IF(D345="","",IFERROR(VLOOKUP($D345,cfg_LT,3,FALSE()),""))</f>
        <v/>
      </c>
      <c r="L345" s="102" t="str">
        <f aca="false">IF(D345="","",IFERROR(VLOOKUP($D345,cfg_LT,4,FALSE()),""))</f>
        <v/>
      </c>
      <c r="M345" s="102" t="str">
        <f aca="false">IF(D345="","",IFERROR(VLOOKUP($D345,cfg_LT,5,FALSE()),""))</f>
        <v/>
      </c>
      <c r="N345" s="101" t="n">
        <f aca="false">IF(OR(OR($B345="",$E345="",$F345=""),M345&lt;&gt;"نعم"),0,G345*J345*IFERROR(INDEX(الموظفون!$R$6:$R$105,MATCH(B345,الموظفون!$B$6:$B$105,0)),0)/cfg_DAYS_M)</f>
        <v>0</v>
      </c>
      <c r="O345" s="100" t="str">
        <f aca="false">IF(OR(OR($B345="",$E345="",$F345=""),M345&lt;&gt;"نعم"),"",IF(YEAR(E345)=cfg_FY,MONTH(E345),""))</f>
        <v/>
      </c>
      <c r="P345" s="102" t="str">
        <f aca="false">IF(B345="","",IF(OR(D345="",E345="",F345=""),"⚠ أكمل النوع والتواريخ",IF(F345&lt;E345,"✖ النهاية قبل البداية",IF(COUNTIFS($B$6:$B$505,B345,$E$6:$E$505,"&lt;="&amp;F345,$F$6:$F$505,"&gt;="&amp;E345)&gt;1,"⚠ تداخل مع سجل آخر",IF(E345&gt;cfg_VAL_DATE,"⏳ قادمة",IF(F345&lt;cfg_VAL_DATE,"✔ منتهية","✈ جارية في تاريخ التقرير"))))))</f>
        <v/>
      </c>
      <c r="Q345" s="79"/>
      <c r="R345" s="110" t="n">
        <f aca="false">IF(OR(OR($B345="",$E345="",$F345=""),L345&lt;&gt;"لا"),0,MAX(0,MIN(F345,cfg_Y_START-1)-E345+1))</f>
        <v>0</v>
      </c>
      <c r="S345" s="110" t="n">
        <f aca="false">IF(OR(OR($B345="",$E345="",$F345=""),L345&lt;&gt;"لا"),0,MAX(0,MIN(F345,cfg_VAL_DATE)-E345+1))</f>
        <v>0</v>
      </c>
      <c r="T345" s="110" t="n">
        <f aca="false">IF(OR(OR($B345="",$E345="",$F345=""),K345&lt;&gt;"نعم"),0,IF(M345="نعم",IF(AND(ISNUMBER(O345),N(O345)&lt;=cfg_VAL_M),G345,0),MAX(0,MIN(F345,cfg_VAL_DATE)-MAX(E345,cfg_Y_START)+1)))</f>
        <v>0</v>
      </c>
      <c r="V345" s="110" t="n">
        <f aca="false">IF(OR($B345="",$E345="",$F345=""),0,MAX(0,MIN($F345,EOMONTH(DATE(cfg_FY,1,1),0))-MAX($E345,DATE(cfg_FY,1,1))+1)*(1-IF($M345="نعم",0,N($J345))))</f>
        <v>0</v>
      </c>
      <c r="W345" s="110" t="n">
        <f aca="false">IF(OR($B345="",$E345="",$F345=""),0,MAX(0,MIN($F345,EOMONTH(DATE(cfg_FY,2,1),0))-MAX($E345,DATE(cfg_FY,2,1))+1)*(1-IF($M345="نعم",0,N($J345))))</f>
        <v>0</v>
      </c>
      <c r="X345" s="110" t="n">
        <f aca="false">IF(OR($B345="",$E345="",$F345=""),0,MAX(0,MIN($F345,EOMONTH(DATE(cfg_FY,3,1),0))-MAX($E345,DATE(cfg_FY,3,1))+1)*(1-IF($M345="نعم",0,N($J345))))</f>
        <v>0</v>
      </c>
      <c r="Y345" s="110" t="n">
        <f aca="false">IF(OR($B345="",$E345="",$F345=""),0,MAX(0,MIN($F345,EOMONTH(DATE(cfg_FY,4,1),0))-MAX($E345,DATE(cfg_FY,4,1))+1)*(1-IF($M345="نعم",0,N($J345))))</f>
        <v>0</v>
      </c>
      <c r="Z345" s="110" t="n">
        <f aca="false">IF(OR($B345="",$E345="",$F345=""),0,MAX(0,MIN($F345,EOMONTH(DATE(cfg_FY,5,1),0))-MAX($E345,DATE(cfg_FY,5,1))+1)*(1-IF($M345="نعم",0,N($J345))))</f>
        <v>0</v>
      </c>
      <c r="AA345" s="110" t="n">
        <f aca="false">IF(OR($B345="",$E345="",$F345=""),0,MAX(0,MIN($F345,EOMONTH(DATE(cfg_FY,6,1),0))-MAX($E345,DATE(cfg_FY,6,1))+1)*(1-IF($M345="نعم",0,N($J345))))</f>
        <v>0</v>
      </c>
      <c r="AB345" s="110" t="n">
        <f aca="false">IF(OR($B345="",$E345="",$F345=""),0,MAX(0,MIN($F345,EOMONTH(DATE(cfg_FY,7,1),0))-MAX($E345,DATE(cfg_FY,7,1))+1)*(1-IF($M345="نعم",0,N($J345))))</f>
        <v>0</v>
      </c>
      <c r="AC345" s="110" t="n">
        <f aca="false">IF(OR($B345="",$E345="",$F345=""),0,MAX(0,MIN($F345,EOMONTH(DATE(cfg_FY,8,1),0))-MAX($E345,DATE(cfg_FY,8,1))+1)*(1-IF($M345="نعم",0,N($J345))))</f>
        <v>0</v>
      </c>
      <c r="AD345" s="110" t="n">
        <f aca="false">IF(OR($B345="",$E345="",$F345=""),0,MAX(0,MIN($F345,EOMONTH(DATE(cfg_FY,9,1),0))-MAX($E345,DATE(cfg_FY,9,1))+1)*(1-IF($M345="نعم",0,N($J345))))</f>
        <v>0</v>
      </c>
      <c r="AE345" s="110" t="n">
        <f aca="false">IF(OR($B345="",$E345="",$F345=""),0,MAX(0,MIN($F345,EOMONTH(DATE(cfg_FY,10,1),0))-MAX($E345,DATE(cfg_FY,10,1))+1)*(1-IF($M345="نعم",0,N($J345))))</f>
        <v>0</v>
      </c>
      <c r="AF345" s="110" t="n">
        <f aca="false">IF(OR($B345="",$E345="",$F345=""),0,MAX(0,MIN($F345,EOMONTH(DATE(cfg_FY,11,1),0))-MAX($E345,DATE(cfg_FY,11,1))+1)*(1-IF($M345="نعم",0,N($J345))))</f>
        <v>0</v>
      </c>
      <c r="AG345" s="110" t="n">
        <f aca="false">IF(OR($B345="",$E345="",$F345=""),0,MAX(0,MIN($F345,EOMONTH(DATE(cfg_FY,12,1),0))-MAX($E345,DATE(cfg_FY,12,1))+1)*(1-IF($M345="نعم",0,N($J345))))</f>
        <v>0</v>
      </c>
      <c r="AH345" s="110" t="n">
        <f aca="false">IF(OR(OR($B345="",$E345="",$F345=""),$L345&lt;&gt;"لا"),0,MAX(0,MIN($F345,EOMONTH(DATE(cfg_FY,1,1),0))-$E345+1))</f>
        <v>0</v>
      </c>
      <c r="AI345" s="110" t="n">
        <f aca="false">IF(OR(OR($B345="",$E345="",$F345=""),$L345&lt;&gt;"لا"),0,MAX(0,MIN($F345,EOMONTH(DATE(cfg_FY,2,1),0))-$E345+1))</f>
        <v>0</v>
      </c>
      <c r="AJ345" s="110" t="n">
        <f aca="false">IF(OR(OR($B345="",$E345="",$F345=""),$L345&lt;&gt;"لا"),0,MAX(0,MIN($F345,EOMONTH(DATE(cfg_FY,3,1),0))-$E345+1))</f>
        <v>0</v>
      </c>
      <c r="AK345" s="110" t="n">
        <f aca="false">IF(OR(OR($B345="",$E345="",$F345=""),$L345&lt;&gt;"لا"),0,MAX(0,MIN($F345,EOMONTH(DATE(cfg_FY,4,1),0))-$E345+1))</f>
        <v>0</v>
      </c>
      <c r="AL345" s="110" t="n">
        <f aca="false">IF(OR(OR($B345="",$E345="",$F345=""),$L345&lt;&gt;"لا"),0,MAX(0,MIN($F345,EOMONTH(DATE(cfg_FY,5,1),0))-$E345+1))</f>
        <v>0</v>
      </c>
      <c r="AM345" s="110" t="n">
        <f aca="false">IF(OR(OR($B345="",$E345="",$F345=""),$L345&lt;&gt;"لا"),0,MAX(0,MIN($F345,EOMONTH(DATE(cfg_FY,6,1),0))-$E345+1))</f>
        <v>0</v>
      </c>
      <c r="AN345" s="110" t="n">
        <f aca="false">IF(OR(OR($B345="",$E345="",$F345=""),$L345&lt;&gt;"لا"),0,MAX(0,MIN($F345,EOMONTH(DATE(cfg_FY,7,1),0))-$E345+1))</f>
        <v>0</v>
      </c>
      <c r="AO345" s="110" t="n">
        <f aca="false">IF(OR(OR($B345="",$E345="",$F345=""),$L345&lt;&gt;"لا"),0,MAX(0,MIN($F345,EOMONTH(DATE(cfg_FY,8,1),0))-$E345+1))</f>
        <v>0</v>
      </c>
      <c r="AP345" s="110" t="n">
        <f aca="false">IF(OR(OR($B345="",$E345="",$F345=""),$L345&lt;&gt;"لا"),0,MAX(0,MIN($F345,EOMONTH(DATE(cfg_FY,9,1),0))-$E345+1))</f>
        <v>0</v>
      </c>
      <c r="AQ345" s="110" t="n">
        <f aca="false">IF(OR(OR($B345="",$E345="",$F345=""),$L345&lt;&gt;"لا"),0,MAX(0,MIN($F345,EOMONTH(DATE(cfg_FY,10,1),0))-$E345+1))</f>
        <v>0</v>
      </c>
      <c r="AR345" s="110" t="n">
        <f aca="false">IF(OR(OR($B345="",$E345="",$F345=""),$L345&lt;&gt;"لا"),0,MAX(0,MIN($F345,EOMONTH(DATE(cfg_FY,11,1),0))-$E345+1))</f>
        <v>0</v>
      </c>
      <c r="AS345" s="110" t="n">
        <f aca="false">IF(OR(OR($B345="",$E345="",$F345=""),$L345&lt;&gt;"لا"),0,MAX(0,MIN($F345,EOMONTH(DATE(cfg_FY,12,1),0))-$E345+1))</f>
        <v>0</v>
      </c>
      <c r="AT345" s="110" t="n">
        <f aca="false">IF(OR(OR($B345="",$E345="",$F345=""),$K345&lt;&gt;"نعم",$M345="نعم"),0,MAX(0,MIN($F345,EOMONTH(DATE(cfg_FY,1,1),0))-MAX($E345,DATE(cfg_FY,1,1))+1))</f>
        <v>0</v>
      </c>
      <c r="AU345" s="110" t="n">
        <f aca="false">IF(OR(OR($B345="",$E345="",$F345=""),$K345&lt;&gt;"نعم",$M345="نعم"),0,MAX(0,MIN($F345,EOMONTH(DATE(cfg_FY,2,1),0))-MAX($E345,DATE(cfg_FY,2,1))+1))</f>
        <v>0</v>
      </c>
      <c r="AV345" s="110" t="n">
        <f aca="false">IF(OR(OR($B345="",$E345="",$F345=""),$K345&lt;&gt;"نعم",$M345="نعم"),0,MAX(0,MIN($F345,EOMONTH(DATE(cfg_FY,3,1),0))-MAX($E345,DATE(cfg_FY,3,1))+1))</f>
        <v>0</v>
      </c>
      <c r="AW345" s="110" t="n">
        <f aca="false">IF(OR(OR($B345="",$E345="",$F345=""),$K345&lt;&gt;"نعم",$M345="نعم"),0,MAX(0,MIN($F345,EOMONTH(DATE(cfg_FY,4,1),0))-MAX($E345,DATE(cfg_FY,4,1))+1))</f>
        <v>0</v>
      </c>
      <c r="AX345" s="110" t="n">
        <f aca="false">IF(OR(OR($B345="",$E345="",$F345=""),$K345&lt;&gt;"نعم",$M345="نعم"),0,MAX(0,MIN($F345,EOMONTH(DATE(cfg_FY,5,1),0))-MAX($E345,DATE(cfg_FY,5,1))+1))</f>
        <v>0</v>
      </c>
      <c r="AY345" s="110" t="n">
        <f aca="false">IF(OR(OR($B345="",$E345="",$F345=""),$K345&lt;&gt;"نعم",$M345="نعم"),0,MAX(0,MIN($F345,EOMONTH(DATE(cfg_FY,6,1),0))-MAX($E345,DATE(cfg_FY,6,1))+1))</f>
        <v>0</v>
      </c>
      <c r="AZ345" s="110" t="n">
        <f aca="false">IF(OR(OR($B345="",$E345="",$F345=""),$K345&lt;&gt;"نعم",$M345="نعم"),0,MAX(0,MIN($F345,EOMONTH(DATE(cfg_FY,7,1),0))-MAX($E345,DATE(cfg_FY,7,1))+1))</f>
        <v>0</v>
      </c>
      <c r="BA345" s="110" t="n">
        <f aca="false">IF(OR(OR($B345="",$E345="",$F345=""),$K345&lt;&gt;"نعم",$M345="نعم"),0,MAX(0,MIN($F345,EOMONTH(DATE(cfg_FY,8,1),0))-MAX($E345,DATE(cfg_FY,8,1))+1))</f>
        <v>0</v>
      </c>
      <c r="BB345" s="110" t="n">
        <f aca="false">IF(OR(OR($B345="",$E345="",$F345=""),$K345&lt;&gt;"نعم",$M345="نعم"),0,MAX(0,MIN($F345,EOMONTH(DATE(cfg_FY,9,1),0))-MAX($E345,DATE(cfg_FY,9,1))+1))</f>
        <v>0</v>
      </c>
      <c r="BC345" s="110" t="n">
        <f aca="false">IF(OR(OR($B345="",$E345="",$F345=""),$K345&lt;&gt;"نعم",$M345="نعم"),0,MAX(0,MIN($F345,EOMONTH(DATE(cfg_FY,10,1),0))-MAX($E345,DATE(cfg_FY,10,1))+1))</f>
        <v>0</v>
      </c>
      <c r="BD345" s="110" t="n">
        <f aca="false">IF(OR(OR($B345="",$E345="",$F345=""),$K345&lt;&gt;"نعم",$M345="نعم"),0,MAX(0,MIN($F345,EOMONTH(DATE(cfg_FY,11,1),0))-MAX($E345,DATE(cfg_FY,11,1))+1))</f>
        <v>0</v>
      </c>
      <c r="BE345" s="110" t="n">
        <f aca="false">IF(OR(OR($B345="",$E345="",$F345=""),$K345&lt;&gt;"نعم",$M345="نعم"),0,MAX(0,MIN($F345,EOMONTH(DATE(cfg_FY,12,1),0))-MAX($E345,DATE(cfg_FY,12,1))+1))</f>
        <v>0</v>
      </c>
    </row>
    <row r="346" customFormat="false" ht="15" hidden="false" customHeight="false" outlineLevel="0" collapsed="false">
      <c r="A346" s="93" t="str">
        <f aca="false">IF(B346="","",ROW()-5)</f>
        <v/>
      </c>
      <c r="B346" s="79"/>
      <c r="C346" s="80" t="str">
        <f aca="false">IF(B346="","",IFERROR(INDEX(الموظفون!$C$6:$C$105,MATCH(B346,الموظفون!$B$6:$B$105,0)),"✖ رقم غير موجود"))</f>
        <v/>
      </c>
      <c r="D346" s="79"/>
      <c r="E346" s="94"/>
      <c r="F346" s="94"/>
      <c r="G346" s="57" t="str">
        <f aca="false">IF(OR($B346="",$E346="",$F346=""),"",MAX(0,F346-E346+1))</f>
        <v/>
      </c>
      <c r="H346" s="58" t="str">
        <f aca="false">IF(D346="","",IFERROR(VLOOKUP(D346,cfg_LT,2,FALSE()),1))</f>
        <v/>
      </c>
      <c r="I346" s="82"/>
      <c r="J346" s="58" t="str">
        <f aca="false">IF(D346="","",IF(I346&lt;&gt;"",I346,H346))</f>
        <v/>
      </c>
      <c r="K346" s="80" t="str">
        <f aca="false">IF(D346="","",IFERROR(VLOOKUP($D346,cfg_LT,3,FALSE()),""))</f>
        <v/>
      </c>
      <c r="L346" s="80" t="str">
        <f aca="false">IF(D346="","",IFERROR(VLOOKUP($D346,cfg_LT,4,FALSE()),""))</f>
        <v/>
      </c>
      <c r="M346" s="80" t="str">
        <f aca="false">IF(D346="","",IFERROR(VLOOKUP($D346,cfg_LT,5,FALSE()),""))</f>
        <v/>
      </c>
      <c r="N346" s="97" t="n">
        <f aca="false">IF(OR(OR($B346="",$E346="",$F346=""),M346&lt;&gt;"نعم"),0,G346*J346*IFERROR(INDEX(الموظفون!$R$6:$R$105,MATCH(B346,الموظفون!$B$6:$B$105,0)),0)/cfg_DAYS_M)</f>
        <v>0</v>
      </c>
      <c r="O346" s="93" t="str">
        <f aca="false">IF(OR(OR($B346="",$E346="",$F346=""),M346&lt;&gt;"نعم"),"",IF(YEAR(E346)=cfg_FY,MONTH(E346),""))</f>
        <v/>
      </c>
      <c r="P346" s="80" t="str">
        <f aca="false">IF(B346="","",IF(OR(D346="",E346="",F346=""),"⚠ أكمل النوع والتواريخ",IF(F346&lt;E346,"✖ النهاية قبل البداية",IF(COUNTIFS($B$6:$B$505,B346,$E$6:$E$505,"&lt;="&amp;F346,$F$6:$F$505,"&gt;="&amp;E346)&gt;1,"⚠ تداخل مع سجل آخر",IF(E346&gt;cfg_VAL_DATE,"⏳ قادمة",IF(F346&lt;cfg_VAL_DATE,"✔ منتهية","✈ جارية في تاريخ التقرير"))))))</f>
        <v/>
      </c>
      <c r="Q346" s="79"/>
      <c r="R346" s="57" t="n">
        <f aca="false">IF(OR(OR($B346="",$E346="",$F346=""),L346&lt;&gt;"لا"),0,MAX(0,MIN(F346,cfg_Y_START-1)-E346+1))</f>
        <v>0</v>
      </c>
      <c r="S346" s="57" t="n">
        <f aca="false">IF(OR(OR($B346="",$E346="",$F346=""),L346&lt;&gt;"لا"),0,MAX(0,MIN(F346,cfg_VAL_DATE)-E346+1))</f>
        <v>0</v>
      </c>
      <c r="T346" s="57" t="n">
        <f aca="false">IF(OR(OR($B346="",$E346="",$F346=""),K346&lt;&gt;"نعم"),0,IF(M346="نعم",IF(AND(ISNUMBER(O346),N(O346)&lt;=cfg_VAL_M),G346,0),MAX(0,MIN(F346,cfg_VAL_DATE)-MAX(E346,cfg_Y_START)+1)))</f>
        <v>0</v>
      </c>
      <c r="V346" s="57" t="n">
        <f aca="false">IF(OR($B346="",$E346="",$F346=""),0,MAX(0,MIN($F346,EOMONTH(DATE(cfg_FY,1,1),0))-MAX($E346,DATE(cfg_FY,1,1))+1)*(1-IF($M346="نعم",0,N($J346))))</f>
        <v>0</v>
      </c>
      <c r="W346" s="57" t="n">
        <f aca="false">IF(OR($B346="",$E346="",$F346=""),0,MAX(0,MIN($F346,EOMONTH(DATE(cfg_FY,2,1),0))-MAX($E346,DATE(cfg_FY,2,1))+1)*(1-IF($M346="نعم",0,N($J346))))</f>
        <v>0</v>
      </c>
      <c r="X346" s="57" t="n">
        <f aca="false">IF(OR($B346="",$E346="",$F346=""),0,MAX(0,MIN($F346,EOMONTH(DATE(cfg_FY,3,1),0))-MAX($E346,DATE(cfg_FY,3,1))+1)*(1-IF($M346="نعم",0,N($J346))))</f>
        <v>0</v>
      </c>
      <c r="Y346" s="57" t="n">
        <f aca="false">IF(OR($B346="",$E346="",$F346=""),0,MAX(0,MIN($F346,EOMONTH(DATE(cfg_FY,4,1),0))-MAX($E346,DATE(cfg_FY,4,1))+1)*(1-IF($M346="نعم",0,N($J346))))</f>
        <v>0</v>
      </c>
      <c r="Z346" s="57" t="n">
        <f aca="false">IF(OR($B346="",$E346="",$F346=""),0,MAX(0,MIN($F346,EOMONTH(DATE(cfg_FY,5,1),0))-MAX($E346,DATE(cfg_FY,5,1))+1)*(1-IF($M346="نعم",0,N($J346))))</f>
        <v>0</v>
      </c>
      <c r="AA346" s="57" t="n">
        <f aca="false">IF(OR($B346="",$E346="",$F346=""),0,MAX(0,MIN($F346,EOMONTH(DATE(cfg_FY,6,1),0))-MAX($E346,DATE(cfg_FY,6,1))+1)*(1-IF($M346="نعم",0,N($J346))))</f>
        <v>0</v>
      </c>
      <c r="AB346" s="57" t="n">
        <f aca="false">IF(OR($B346="",$E346="",$F346=""),0,MAX(0,MIN($F346,EOMONTH(DATE(cfg_FY,7,1),0))-MAX($E346,DATE(cfg_FY,7,1))+1)*(1-IF($M346="نعم",0,N($J346))))</f>
        <v>0</v>
      </c>
      <c r="AC346" s="57" t="n">
        <f aca="false">IF(OR($B346="",$E346="",$F346=""),0,MAX(0,MIN($F346,EOMONTH(DATE(cfg_FY,8,1),0))-MAX($E346,DATE(cfg_FY,8,1))+1)*(1-IF($M346="نعم",0,N($J346))))</f>
        <v>0</v>
      </c>
      <c r="AD346" s="57" t="n">
        <f aca="false">IF(OR($B346="",$E346="",$F346=""),0,MAX(0,MIN($F346,EOMONTH(DATE(cfg_FY,9,1),0))-MAX($E346,DATE(cfg_FY,9,1))+1)*(1-IF($M346="نعم",0,N($J346))))</f>
        <v>0</v>
      </c>
      <c r="AE346" s="57" t="n">
        <f aca="false">IF(OR($B346="",$E346="",$F346=""),0,MAX(0,MIN($F346,EOMONTH(DATE(cfg_FY,10,1),0))-MAX($E346,DATE(cfg_FY,10,1))+1)*(1-IF($M346="نعم",0,N($J346))))</f>
        <v>0</v>
      </c>
      <c r="AF346" s="57" t="n">
        <f aca="false">IF(OR($B346="",$E346="",$F346=""),0,MAX(0,MIN($F346,EOMONTH(DATE(cfg_FY,11,1),0))-MAX($E346,DATE(cfg_FY,11,1))+1)*(1-IF($M346="نعم",0,N($J346))))</f>
        <v>0</v>
      </c>
      <c r="AG346" s="57" t="n">
        <f aca="false">IF(OR($B346="",$E346="",$F346=""),0,MAX(0,MIN($F346,EOMONTH(DATE(cfg_FY,12,1),0))-MAX($E346,DATE(cfg_FY,12,1))+1)*(1-IF($M346="نعم",0,N($J346))))</f>
        <v>0</v>
      </c>
      <c r="AH346" s="57" t="n">
        <f aca="false">IF(OR(OR($B346="",$E346="",$F346=""),$L346&lt;&gt;"لا"),0,MAX(0,MIN($F346,EOMONTH(DATE(cfg_FY,1,1),0))-$E346+1))</f>
        <v>0</v>
      </c>
      <c r="AI346" s="57" t="n">
        <f aca="false">IF(OR(OR($B346="",$E346="",$F346=""),$L346&lt;&gt;"لا"),0,MAX(0,MIN($F346,EOMONTH(DATE(cfg_FY,2,1),0))-$E346+1))</f>
        <v>0</v>
      </c>
      <c r="AJ346" s="57" t="n">
        <f aca="false">IF(OR(OR($B346="",$E346="",$F346=""),$L346&lt;&gt;"لا"),0,MAX(0,MIN($F346,EOMONTH(DATE(cfg_FY,3,1),0))-$E346+1))</f>
        <v>0</v>
      </c>
      <c r="AK346" s="57" t="n">
        <f aca="false">IF(OR(OR($B346="",$E346="",$F346=""),$L346&lt;&gt;"لا"),0,MAX(0,MIN($F346,EOMONTH(DATE(cfg_FY,4,1),0))-$E346+1))</f>
        <v>0</v>
      </c>
      <c r="AL346" s="57" t="n">
        <f aca="false">IF(OR(OR($B346="",$E346="",$F346=""),$L346&lt;&gt;"لا"),0,MAX(0,MIN($F346,EOMONTH(DATE(cfg_FY,5,1),0))-$E346+1))</f>
        <v>0</v>
      </c>
      <c r="AM346" s="57" t="n">
        <f aca="false">IF(OR(OR($B346="",$E346="",$F346=""),$L346&lt;&gt;"لا"),0,MAX(0,MIN($F346,EOMONTH(DATE(cfg_FY,6,1),0))-$E346+1))</f>
        <v>0</v>
      </c>
      <c r="AN346" s="57" t="n">
        <f aca="false">IF(OR(OR($B346="",$E346="",$F346=""),$L346&lt;&gt;"لا"),0,MAX(0,MIN($F346,EOMONTH(DATE(cfg_FY,7,1),0))-$E346+1))</f>
        <v>0</v>
      </c>
      <c r="AO346" s="57" t="n">
        <f aca="false">IF(OR(OR($B346="",$E346="",$F346=""),$L346&lt;&gt;"لا"),0,MAX(0,MIN($F346,EOMONTH(DATE(cfg_FY,8,1),0))-$E346+1))</f>
        <v>0</v>
      </c>
      <c r="AP346" s="57" t="n">
        <f aca="false">IF(OR(OR($B346="",$E346="",$F346=""),$L346&lt;&gt;"لا"),0,MAX(0,MIN($F346,EOMONTH(DATE(cfg_FY,9,1),0))-$E346+1))</f>
        <v>0</v>
      </c>
      <c r="AQ346" s="57" t="n">
        <f aca="false">IF(OR(OR($B346="",$E346="",$F346=""),$L346&lt;&gt;"لا"),0,MAX(0,MIN($F346,EOMONTH(DATE(cfg_FY,10,1),0))-$E346+1))</f>
        <v>0</v>
      </c>
      <c r="AR346" s="57" t="n">
        <f aca="false">IF(OR(OR($B346="",$E346="",$F346=""),$L346&lt;&gt;"لا"),0,MAX(0,MIN($F346,EOMONTH(DATE(cfg_FY,11,1),0))-$E346+1))</f>
        <v>0</v>
      </c>
      <c r="AS346" s="57" t="n">
        <f aca="false">IF(OR(OR($B346="",$E346="",$F346=""),$L346&lt;&gt;"لا"),0,MAX(0,MIN($F346,EOMONTH(DATE(cfg_FY,12,1),0))-$E346+1))</f>
        <v>0</v>
      </c>
      <c r="AT346" s="57" t="n">
        <f aca="false">IF(OR(OR($B346="",$E346="",$F346=""),$K346&lt;&gt;"نعم",$M346="نعم"),0,MAX(0,MIN($F346,EOMONTH(DATE(cfg_FY,1,1),0))-MAX($E346,DATE(cfg_FY,1,1))+1))</f>
        <v>0</v>
      </c>
      <c r="AU346" s="57" t="n">
        <f aca="false">IF(OR(OR($B346="",$E346="",$F346=""),$K346&lt;&gt;"نعم",$M346="نعم"),0,MAX(0,MIN($F346,EOMONTH(DATE(cfg_FY,2,1),0))-MAX($E346,DATE(cfg_FY,2,1))+1))</f>
        <v>0</v>
      </c>
      <c r="AV346" s="57" t="n">
        <f aca="false">IF(OR(OR($B346="",$E346="",$F346=""),$K346&lt;&gt;"نعم",$M346="نعم"),0,MAX(0,MIN($F346,EOMONTH(DATE(cfg_FY,3,1),0))-MAX($E346,DATE(cfg_FY,3,1))+1))</f>
        <v>0</v>
      </c>
      <c r="AW346" s="57" t="n">
        <f aca="false">IF(OR(OR($B346="",$E346="",$F346=""),$K346&lt;&gt;"نعم",$M346="نعم"),0,MAX(0,MIN($F346,EOMONTH(DATE(cfg_FY,4,1),0))-MAX($E346,DATE(cfg_FY,4,1))+1))</f>
        <v>0</v>
      </c>
      <c r="AX346" s="57" t="n">
        <f aca="false">IF(OR(OR($B346="",$E346="",$F346=""),$K346&lt;&gt;"نعم",$M346="نعم"),0,MAX(0,MIN($F346,EOMONTH(DATE(cfg_FY,5,1),0))-MAX($E346,DATE(cfg_FY,5,1))+1))</f>
        <v>0</v>
      </c>
      <c r="AY346" s="57" t="n">
        <f aca="false">IF(OR(OR($B346="",$E346="",$F346=""),$K346&lt;&gt;"نعم",$M346="نعم"),0,MAX(0,MIN($F346,EOMONTH(DATE(cfg_FY,6,1),0))-MAX($E346,DATE(cfg_FY,6,1))+1))</f>
        <v>0</v>
      </c>
      <c r="AZ346" s="57" t="n">
        <f aca="false">IF(OR(OR($B346="",$E346="",$F346=""),$K346&lt;&gt;"نعم",$M346="نعم"),0,MAX(0,MIN($F346,EOMONTH(DATE(cfg_FY,7,1),0))-MAX($E346,DATE(cfg_FY,7,1))+1))</f>
        <v>0</v>
      </c>
      <c r="BA346" s="57" t="n">
        <f aca="false">IF(OR(OR($B346="",$E346="",$F346=""),$K346&lt;&gt;"نعم",$M346="نعم"),0,MAX(0,MIN($F346,EOMONTH(DATE(cfg_FY,8,1),0))-MAX($E346,DATE(cfg_FY,8,1))+1))</f>
        <v>0</v>
      </c>
      <c r="BB346" s="57" t="n">
        <f aca="false">IF(OR(OR($B346="",$E346="",$F346=""),$K346&lt;&gt;"نعم",$M346="نعم"),0,MAX(0,MIN($F346,EOMONTH(DATE(cfg_FY,9,1),0))-MAX($E346,DATE(cfg_FY,9,1))+1))</f>
        <v>0</v>
      </c>
      <c r="BC346" s="57" t="n">
        <f aca="false">IF(OR(OR($B346="",$E346="",$F346=""),$K346&lt;&gt;"نعم",$M346="نعم"),0,MAX(0,MIN($F346,EOMONTH(DATE(cfg_FY,10,1),0))-MAX($E346,DATE(cfg_FY,10,1))+1))</f>
        <v>0</v>
      </c>
      <c r="BD346" s="57" t="n">
        <f aca="false">IF(OR(OR($B346="",$E346="",$F346=""),$K346&lt;&gt;"نعم",$M346="نعم"),0,MAX(0,MIN($F346,EOMONTH(DATE(cfg_FY,11,1),0))-MAX($E346,DATE(cfg_FY,11,1))+1))</f>
        <v>0</v>
      </c>
      <c r="BE346" s="57" t="n">
        <f aca="false">IF(OR(OR($B346="",$E346="",$F346=""),$K346&lt;&gt;"نعم",$M346="نعم"),0,MAX(0,MIN($F346,EOMONTH(DATE(cfg_FY,12,1),0))-MAX($E346,DATE(cfg_FY,12,1))+1))</f>
        <v>0</v>
      </c>
    </row>
    <row r="347" customFormat="false" ht="15" hidden="false" customHeight="false" outlineLevel="0" collapsed="false">
      <c r="A347" s="100" t="str">
        <f aca="false">IF(B347="","",ROW()-5)</f>
        <v/>
      </c>
      <c r="B347" s="79"/>
      <c r="C347" s="102" t="str">
        <f aca="false">IF(B347="","",IFERROR(INDEX(الموظفون!$C$6:$C$105,MATCH(B347,الموظفون!$B$6:$B$105,0)),"✖ رقم غير موجود"))</f>
        <v/>
      </c>
      <c r="D347" s="79"/>
      <c r="E347" s="94"/>
      <c r="F347" s="94"/>
      <c r="G347" s="110" t="str">
        <f aca="false">IF(OR($B347="",$E347="",$F347=""),"",MAX(0,F347-E347+1))</f>
        <v/>
      </c>
      <c r="H347" s="111" t="str">
        <f aca="false">IF(D347="","",IFERROR(VLOOKUP(D347,cfg_LT,2,FALSE()),1))</f>
        <v/>
      </c>
      <c r="I347" s="82"/>
      <c r="J347" s="111" t="str">
        <f aca="false">IF(D347="","",IF(I347&lt;&gt;"",I347,H347))</f>
        <v/>
      </c>
      <c r="K347" s="102" t="str">
        <f aca="false">IF(D347="","",IFERROR(VLOOKUP($D347,cfg_LT,3,FALSE()),""))</f>
        <v/>
      </c>
      <c r="L347" s="102" t="str">
        <f aca="false">IF(D347="","",IFERROR(VLOOKUP($D347,cfg_LT,4,FALSE()),""))</f>
        <v/>
      </c>
      <c r="M347" s="102" t="str">
        <f aca="false">IF(D347="","",IFERROR(VLOOKUP($D347,cfg_LT,5,FALSE()),""))</f>
        <v/>
      </c>
      <c r="N347" s="101" t="n">
        <f aca="false">IF(OR(OR($B347="",$E347="",$F347=""),M347&lt;&gt;"نعم"),0,G347*J347*IFERROR(INDEX(الموظفون!$R$6:$R$105,MATCH(B347,الموظفون!$B$6:$B$105,0)),0)/cfg_DAYS_M)</f>
        <v>0</v>
      </c>
      <c r="O347" s="100" t="str">
        <f aca="false">IF(OR(OR($B347="",$E347="",$F347=""),M347&lt;&gt;"نعم"),"",IF(YEAR(E347)=cfg_FY,MONTH(E347),""))</f>
        <v/>
      </c>
      <c r="P347" s="102" t="str">
        <f aca="false">IF(B347="","",IF(OR(D347="",E347="",F347=""),"⚠ أكمل النوع والتواريخ",IF(F347&lt;E347,"✖ النهاية قبل البداية",IF(COUNTIFS($B$6:$B$505,B347,$E$6:$E$505,"&lt;="&amp;F347,$F$6:$F$505,"&gt;="&amp;E347)&gt;1,"⚠ تداخل مع سجل آخر",IF(E347&gt;cfg_VAL_DATE,"⏳ قادمة",IF(F347&lt;cfg_VAL_DATE,"✔ منتهية","✈ جارية في تاريخ التقرير"))))))</f>
        <v/>
      </c>
      <c r="Q347" s="79"/>
      <c r="R347" s="110" t="n">
        <f aca="false">IF(OR(OR($B347="",$E347="",$F347=""),L347&lt;&gt;"لا"),0,MAX(0,MIN(F347,cfg_Y_START-1)-E347+1))</f>
        <v>0</v>
      </c>
      <c r="S347" s="110" t="n">
        <f aca="false">IF(OR(OR($B347="",$E347="",$F347=""),L347&lt;&gt;"لا"),0,MAX(0,MIN(F347,cfg_VAL_DATE)-E347+1))</f>
        <v>0</v>
      </c>
      <c r="T347" s="110" t="n">
        <f aca="false">IF(OR(OR($B347="",$E347="",$F347=""),K347&lt;&gt;"نعم"),0,IF(M347="نعم",IF(AND(ISNUMBER(O347),N(O347)&lt;=cfg_VAL_M),G347,0),MAX(0,MIN(F347,cfg_VAL_DATE)-MAX(E347,cfg_Y_START)+1)))</f>
        <v>0</v>
      </c>
      <c r="V347" s="110" t="n">
        <f aca="false">IF(OR($B347="",$E347="",$F347=""),0,MAX(0,MIN($F347,EOMONTH(DATE(cfg_FY,1,1),0))-MAX($E347,DATE(cfg_FY,1,1))+1)*(1-IF($M347="نعم",0,N($J347))))</f>
        <v>0</v>
      </c>
      <c r="W347" s="110" t="n">
        <f aca="false">IF(OR($B347="",$E347="",$F347=""),0,MAX(0,MIN($F347,EOMONTH(DATE(cfg_FY,2,1),0))-MAX($E347,DATE(cfg_FY,2,1))+1)*(1-IF($M347="نعم",0,N($J347))))</f>
        <v>0</v>
      </c>
      <c r="X347" s="110" t="n">
        <f aca="false">IF(OR($B347="",$E347="",$F347=""),0,MAX(0,MIN($F347,EOMONTH(DATE(cfg_FY,3,1),0))-MAX($E347,DATE(cfg_FY,3,1))+1)*(1-IF($M347="نعم",0,N($J347))))</f>
        <v>0</v>
      </c>
      <c r="Y347" s="110" t="n">
        <f aca="false">IF(OR($B347="",$E347="",$F347=""),0,MAX(0,MIN($F347,EOMONTH(DATE(cfg_FY,4,1),0))-MAX($E347,DATE(cfg_FY,4,1))+1)*(1-IF($M347="نعم",0,N($J347))))</f>
        <v>0</v>
      </c>
      <c r="Z347" s="110" t="n">
        <f aca="false">IF(OR($B347="",$E347="",$F347=""),0,MAX(0,MIN($F347,EOMONTH(DATE(cfg_FY,5,1),0))-MAX($E347,DATE(cfg_FY,5,1))+1)*(1-IF($M347="نعم",0,N($J347))))</f>
        <v>0</v>
      </c>
      <c r="AA347" s="110" t="n">
        <f aca="false">IF(OR($B347="",$E347="",$F347=""),0,MAX(0,MIN($F347,EOMONTH(DATE(cfg_FY,6,1),0))-MAX($E347,DATE(cfg_FY,6,1))+1)*(1-IF($M347="نعم",0,N($J347))))</f>
        <v>0</v>
      </c>
      <c r="AB347" s="110" t="n">
        <f aca="false">IF(OR($B347="",$E347="",$F347=""),0,MAX(0,MIN($F347,EOMONTH(DATE(cfg_FY,7,1),0))-MAX($E347,DATE(cfg_FY,7,1))+1)*(1-IF($M347="نعم",0,N($J347))))</f>
        <v>0</v>
      </c>
      <c r="AC347" s="110" t="n">
        <f aca="false">IF(OR($B347="",$E347="",$F347=""),0,MAX(0,MIN($F347,EOMONTH(DATE(cfg_FY,8,1),0))-MAX($E347,DATE(cfg_FY,8,1))+1)*(1-IF($M347="نعم",0,N($J347))))</f>
        <v>0</v>
      </c>
      <c r="AD347" s="110" t="n">
        <f aca="false">IF(OR($B347="",$E347="",$F347=""),0,MAX(0,MIN($F347,EOMONTH(DATE(cfg_FY,9,1),0))-MAX($E347,DATE(cfg_FY,9,1))+1)*(1-IF($M347="نعم",0,N($J347))))</f>
        <v>0</v>
      </c>
      <c r="AE347" s="110" t="n">
        <f aca="false">IF(OR($B347="",$E347="",$F347=""),0,MAX(0,MIN($F347,EOMONTH(DATE(cfg_FY,10,1),0))-MAX($E347,DATE(cfg_FY,10,1))+1)*(1-IF($M347="نعم",0,N($J347))))</f>
        <v>0</v>
      </c>
      <c r="AF347" s="110" t="n">
        <f aca="false">IF(OR($B347="",$E347="",$F347=""),0,MAX(0,MIN($F347,EOMONTH(DATE(cfg_FY,11,1),0))-MAX($E347,DATE(cfg_FY,11,1))+1)*(1-IF($M347="نعم",0,N($J347))))</f>
        <v>0</v>
      </c>
      <c r="AG347" s="110" t="n">
        <f aca="false">IF(OR($B347="",$E347="",$F347=""),0,MAX(0,MIN($F347,EOMONTH(DATE(cfg_FY,12,1),0))-MAX($E347,DATE(cfg_FY,12,1))+1)*(1-IF($M347="نعم",0,N($J347))))</f>
        <v>0</v>
      </c>
      <c r="AH347" s="110" t="n">
        <f aca="false">IF(OR(OR($B347="",$E347="",$F347=""),$L347&lt;&gt;"لا"),0,MAX(0,MIN($F347,EOMONTH(DATE(cfg_FY,1,1),0))-$E347+1))</f>
        <v>0</v>
      </c>
      <c r="AI347" s="110" t="n">
        <f aca="false">IF(OR(OR($B347="",$E347="",$F347=""),$L347&lt;&gt;"لا"),0,MAX(0,MIN($F347,EOMONTH(DATE(cfg_FY,2,1),0))-$E347+1))</f>
        <v>0</v>
      </c>
      <c r="AJ347" s="110" t="n">
        <f aca="false">IF(OR(OR($B347="",$E347="",$F347=""),$L347&lt;&gt;"لا"),0,MAX(0,MIN($F347,EOMONTH(DATE(cfg_FY,3,1),0))-$E347+1))</f>
        <v>0</v>
      </c>
      <c r="AK347" s="110" t="n">
        <f aca="false">IF(OR(OR($B347="",$E347="",$F347=""),$L347&lt;&gt;"لا"),0,MAX(0,MIN($F347,EOMONTH(DATE(cfg_FY,4,1),0))-$E347+1))</f>
        <v>0</v>
      </c>
      <c r="AL347" s="110" t="n">
        <f aca="false">IF(OR(OR($B347="",$E347="",$F347=""),$L347&lt;&gt;"لا"),0,MAX(0,MIN($F347,EOMONTH(DATE(cfg_FY,5,1),0))-$E347+1))</f>
        <v>0</v>
      </c>
      <c r="AM347" s="110" t="n">
        <f aca="false">IF(OR(OR($B347="",$E347="",$F347=""),$L347&lt;&gt;"لا"),0,MAX(0,MIN($F347,EOMONTH(DATE(cfg_FY,6,1),0))-$E347+1))</f>
        <v>0</v>
      </c>
      <c r="AN347" s="110" t="n">
        <f aca="false">IF(OR(OR($B347="",$E347="",$F347=""),$L347&lt;&gt;"لا"),0,MAX(0,MIN($F347,EOMONTH(DATE(cfg_FY,7,1),0))-$E347+1))</f>
        <v>0</v>
      </c>
      <c r="AO347" s="110" t="n">
        <f aca="false">IF(OR(OR($B347="",$E347="",$F347=""),$L347&lt;&gt;"لا"),0,MAX(0,MIN($F347,EOMONTH(DATE(cfg_FY,8,1),0))-$E347+1))</f>
        <v>0</v>
      </c>
      <c r="AP347" s="110" t="n">
        <f aca="false">IF(OR(OR($B347="",$E347="",$F347=""),$L347&lt;&gt;"لا"),0,MAX(0,MIN($F347,EOMONTH(DATE(cfg_FY,9,1),0))-$E347+1))</f>
        <v>0</v>
      </c>
      <c r="AQ347" s="110" t="n">
        <f aca="false">IF(OR(OR($B347="",$E347="",$F347=""),$L347&lt;&gt;"لا"),0,MAX(0,MIN($F347,EOMONTH(DATE(cfg_FY,10,1),0))-$E347+1))</f>
        <v>0</v>
      </c>
      <c r="AR347" s="110" t="n">
        <f aca="false">IF(OR(OR($B347="",$E347="",$F347=""),$L347&lt;&gt;"لا"),0,MAX(0,MIN($F347,EOMONTH(DATE(cfg_FY,11,1),0))-$E347+1))</f>
        <v>0</v>
      </c>
      <c r="AS347" s="110" t="n">
        <f aca="false">IF(OR(OR($B347="",$E347="",$F347=""),$L347&lt;&gt;"لا"),0,MAX(0,MIN($F347,EOMONTH(DATE(cfg_FY,12,1),0))-$E347+1))</f>
        <v>0</v>
      </c>
      <c r="AT347" s="110" t="n">
        <f aca="false">IF(OR(OR($B347="",$E347="",$F347=""),$K347&lt;&gt;"نعم",$M347="نعم"),0,MAX(0,MIN($F347,EOMONTH(DATE(cfg_FY,1,1),0))-MAX($E347,DATE(cfg_FY,1,1))+1))</f>
        <v>0</v>
      </c>
      <c r="AU347" s="110" t="n">
        <f aca="false">IF(OR(OR($B347="",$E347="",$F347=""),$K347&lt;&gt;"نعم",$M347="نعم"),0,MAX(0,MIN($F347,EOMONTH(DATE(cfg_FY,2,1),0))-MAX($E347,DATE(cfg_FY,2,1))+1))</f>
        <v>0</v>
      </c>
      <c r="AV347" s="110" t="n">
        <f aca="false">IF(OR(OR($B347="",$E347="",$F347=""),$K347&lt;&gt;"نعم",$M347="نعم"),0,MAX(0,MIN($F347,EOMONTH(DATE(cfg_FY,3,1),0))-MAX($E347,DATE(cfg_FY,3,1))+1))</f>
        <v>0</v>
      </c>
      <c r="AW347" s="110" t="n">
        <f aca="false">IF(OR(OR($B347="",$E347="",$F347=""),$K347&lt;&gt;"نعم",$M347="نعم"),0,MAX(0,MIN($F347,EOMONTH(DATE(cfg_FY,4,1),0))-MAX($E347,DATE(cfg_FY,4,1))+1))</f>
        <v>0</v>
      </c>
      <c r="AX347" s="110" t="n">
        <f aca="false">IF(OR(OR($B347="",$E347="",$F347=""),$K347&lt;&gt;"نعم",$M347="نعم"),0,MAX(0,MIN($F347,EOMONTH(DATE(cfg_FY,5,1),0))-MAX($E347,DATE(cfg_FY,5,1))+1))</f>
        <v>0</v>
      </c>
      <c r="AY347" s="110" t="n">
        <f aca="false">IF(OR(OR($B347="",$E347="",$F347=""),$K347&lt;&gt;"نعم",$M347="نعم"),0,MAX(0,MIN($F347,EOMONTH(DATE(cfg_FY,6,1),0))-MAX($E347,DATE(cfg_FY,6,1))+1))</f>
        <v>0</v>
      </c>
      <c r="AZ347" s="110" t="n">
        <f aca="false">IF(OR(OR($B347="",$E347="",$F347=""),$K347&lt;&gt;"نعم",$M347="نعم"),0,MAX(0,MIN($F347,EOMONTH(DATE(cfg_FY,7,1),0))-MAX($E347,DATE(cfg_FY,7,1))+1))</f>
        <v>0</v>
      </c>
      <c r="BA347" s="110" t="n">
        <f aca="false">IF(OR(OR($B347="",$E347="",$F347=""),$K347&lt;&gt;"نعم",$M347="نعم"),0,MAX(0,MIN($F347,EOMONTH(DATE(cfg_FY,8,1),0))-MAX($E347,DATE(cfg_FY,8,1))+1))</f>
        <v>0</v>
      </c>
      <c r="BB347" s="110" t="n">
        <f aca="false">IF(OR(OR($B347="",$E347="",$F347=""),$K347&lt;&gt;"نعم",$M347="نعم"),0,MAX(0,MIN($F347,EOMONTH(DATE(cfg_FY,9,1),0))-MAX($E347,DATE(cfg_FY,9,1))+1))</f>
        <v>0</v>
      </c>
      <c r="BC347" s="110" t="n">
        <f aca="false">IF(OR(OR($B347="",$E347="",$F347=""),$K347&lt;&gt;"نعم",$M347="نعم"),0,MAX(0,MIN($F347,EOMONTH(DATE(cfg_FY,10,1),0))-MAX($E347,DATE(cfg_FY,10,1))+1))</f>
        <v>0</v>
      </c>
      <c r="BD347" s="110" t="n">
        <f aca="false">IF(OR(OR($B347="",$E347="",$F347=""),$K347&lt;&gt;"نعم",$M347="نعم"),0,MAX(0,MIN($F347,EOMONTH(DATE(cfg_FY,11,1),0))-MAX($E347,DATE(cfg_FY,11,1))+1))</f>
        <v>0</v>
      </c>
      <c r="BE347" s="110" t="n">
        <f aca="false">IF(OR(OR($B347="",$E347="",$F347=""),$K347&lt;&gt;"نعم",$M347="نعم"),0,MAX(0,MIN($F347,EOMONTH(DATE(cfg_FY,12,1),0))-MAX($E347,DATE(cfg_FY,12,1))+1))</f>
        <v>0</v>
      </c>
    </row>
    <row r="348" customFormat="false" ht="15" hidden="false" customHeight="false" outlineLevel="0" collapsed="false">
      <c r="A348" s="93" t="str">
        <f aca="false">IF(B348="","",ROW()-5)</f>
        <v/>
      </c>
      <c r="B348" s="79"/>
      <c r="C348" s="80" t="str">
        <f aca="false">IF(B348="","",IFERROR(INDEX(الموظفون!$C$6:$C$105,MATCH(B348,الموظفون!$B$6:$B$105,0)),"✖ رقم غير موجود"))</f>
        <v/>
      </c>
      <c r="D348" s="79"/>
      <c r="E348" s="94"/>
      <c r="F348" s="94"/>
      <c r="G348" s="57" t="str">
        <f aca="false">IF(OR($B348="",$E348="",$F348=""),"",MAX(0,F348-E348+1))</f>
        <v/>
      </c>
      <c r="H348" s="58" t="str">
        <f aca="false">IF(D348="","",IFERROR(VLOOKUP(D348,cfg_LT,2,FALSE()),1))</f>
        <v/>
      </c>
      <c r="I348" s="82"/>
      <c r="J348" s="58" t="str">
        <f aca="false">IF(D348="","",IF(I348&lt;&gt;"",I348,H348))</f>
        <v/>
      </c>
      <c r="K348" s="80" t="str">
        <f aca="false">IF(D348="","",IFERROR(VLOOKUP($D348,cfg_LT,3,FALSE()),""))</f>
        <v/>
      </c>
      <c r="L348" s="80" t="str">
        <f aca="false">IF(D348="","",IFERROR(VLOOKUP($D348,cfg_LT,4,FALSE()),""))</f>
        <v/>
      </c>
      <c r="M348" s="80" t="str">
        <f aca="false">IF(D348="","",IFERROR(VLOOKUP($D348,cfg_LT,5,FALSE()),""))</f>
        <v/>
      </c>
      <c r="N348" s="97" t="n">
        <f aca="false">IF(OR(OR($B348="",$E348="",$F348=""),M348&lt;&gt;"نعم"),0,G348*J348*IFERROR(INDEX(الموظفون!$R$6:$R$105,MATCH(B348,الموظفون!$B$6:$B$105,0)),0)/cfg_DAYS_M)</f>
        <v>0</v>
      </c>
      <c r="O348" s="93" t="str">
        <f aca="false">IF(OR(OR($B348="",$E348="",$F348=""),M348&lt;&gt;"نعم"),"",IF(YEAR(E348)=cfg_FY,MONTH(E348),""))</f>
        <v/>
      </c>
      <c r="P348" s="80" t="str">
        <f aca="false">IF(B348="","",IF(OR(D348="",E348="",F348=""),"⚠ أكمل النوع والتواريخ",IF(F348&lt;E348,"✖ النهاية قبل البداية",IF(COUNTIFS($B$6:$B$505,B348,$E$6:$E$505,"&lt;="&amp;F348,$F$6:$F$505,"&gt;="&amp;E348)&gt;1,"⚠ تداخل مع سجل آخر",IF(E348&gt;cfg_VAL_DATE,"⏳ قادمة",IF(F348&lt;cfg_VAL_DATE,"✔ منتهية","✈ جارية في تاريخ التقرير"))))))</f>
        <v/>
      </c>
      <c r="Q348" s="79"/>
      <c r="R348" s="57" t="n">
        <f aca="false">IF(OR(OR($B348="",$E348="",$F348=""),L348&lt;&gt;"لا"),0,MAX(0,MIN(F348,cfg_Y_START-1)-E348+1))</f>
        <v>0</v>
      </c>
      <c r="S348" s="57" t="n">
        <f aca="false">IF(OR(OR($B348="",$E348="",$F348=""),L348&lt;&gt;"لا"),0,MAX(0,MIN(F348,cfg_VAL_DATE)-E348+1))</f>
        <v>0</v>
      </c>
      <c r="T348" s="57" t="n">
        <f aca="false">IF(OR(OR($B348="",$E348="",$F348=""),K348&lt;&gt;"نعم"),0,IF(M348="نعم",IF(AND(ISNUMBER(O348),N(O348)&lt;=cfg_VAL_M),G348,0),MAX(0,MIN(F348,cfg_VAL_DATE)-MAX(E348,cfg_Y_START)+1)))</f>
        <v>0</v>
      </c>
      <c r="V348" s="57" t="n">
        <f aca="false">IF(OR($B348="",$E348="",$F348=""),0,MAX(0,MIN($F348,EOMONTH(DATE(cfg_FY,1,1),0))-MAX($E348,DATE(cfg_FY,1,1))+1)*(1-IF($M348="نعم",0,N($J348))))</f>
        <v>0</v>
      </c>
      <c r="W348" s="57" t="n">
        <f aca="false">IF(OR($B348="",$E348="",$F348=""),0,MAX(0,MIN($F348,EOMONTH(DATE(cfg_FY,2,1),0))-MAX($E348,DATE(cfg_FY,2,1))+1)*(1-IF($M348="نعم",0,N($J348))))</f>
        <v>0</v>
      </c>
      <c r="X348" s="57" t="n">
        <f aca="false">IF(OR($B348="",$E348="",$F348=""),0,MAX(0,MIN($F348,EOMONTH(DATE(cfg_FY,3,1),0))-MAX($E348,DATE(cfg_FY,3,1))+1)*(1-IF($M348="نعم",0,N($J348))))</f>
        <v>0</v>
      </c>
      <c r="Y348" s="57" t="n">
        <f aca="false">IF(OR($B348="",$E348="",$F348=""),0,MAX(0,MIN($F348,EOMONTH(DATE(cfg_FY,4,1),0))-MAX($E348,DATE(cfg_FY,4,1))+1)*(1-IF($M348="نعم",0,N($J348))))</f>
        <v>0</v>
      </c>
      <c r="Z348" s="57" t="n">
        <f aca="false">IF(OR($B348="",$E348="",$F348=""),0,MAX(0,MIN($F348,EOMONTH(DATE(cfg_FY,5,1),0))-MAX($E348,DATE(cfg_FY,5,1))+1)*(1-IF($M348="نعم",0,N($J348))))</f>
        <v>0</v>
      </c>
      <c r="AA348" s="57" t="n">
        <f aca="false">IF(OR($B348="",$E348="",$F348=""),0,MAX(0,MIN($F348,EOMONTH(DATE(cfg_FY,6,1),0))-MAX($E348,DATE(cfg_FY,6,1))+1)*(1-IF($M348="نعم",0,N($J348))))</f>
        <v>0</v>
      </c>
      <c r="AB348" s="57" t="n">
        <f aca="false">IF(OR($B348="",$E348="",$F348=""),0,MAX(0,MIN($F348,EOMONTH(DATE(cfg_FY,7,1),0))-MAX($E348,DATE(cfg_FY,7,1))+1)*(1-IF($M348="نعم",0,N($J348))))</f>
        <v>0</v>
      </c>
      <c r="AC348" s="57" t="n">
        <f aca="false">IF(OR($B348="",$E348="",$F348=""),0,MAX(0,MIN($F348,EOMONTH(DATE(cfg_FY,8,1),0))-MAX($E348,DATE(cfg_FY,8,1))+1)*(1-IF($M348="نعم",0,N($J348))))</f>
        <v>0</v>
      </c>
      <c r="AD348" s="57" t="n">
        <f aca="false">IF(OR($B348="",$E348="",$F348=""),0,MAX(0,MIN($F348,EOMONTH(DATE(cfg_FY,9,1),0))-MAX($E348,DATE(cfg_FY,9,1))+1)*(1-IF($M348="نعم",0,N($J348))))</f>
        <v>0</v>
      </c>
      <c r="AE348" s="57" t="n">
        <f aca="false">IF(OR($B348="",$E348="",$F348=""),0,MAX(0,MIN($F348,EOMONTH(DATE(cfg_FY,10,1),0))-MAX($E348,DATE(cfg_FY,10,1))+1)*(1-IF($M348="نعم",0,N($J348))))</f>
        <v>0</v>
      </c>
      <c r="AF348" s="57" t="n">
        <f aca="false">IF(OR($B348="",$E348="",$F348=""),0,MAX(0,MIN($F348,EOMONTH(DATE(cfg_FY,11,1),0))-MAX($E348,DATE(cfg_FY,11,1))+1)*(1-IF($M348="نعم",0,N($J348))))</f>
        <v>0</v>
      </c>
      <c r="AG348" s="57" t="n">
        <f aca="false">IF(OR($B348="",$E348="",$F348=""),0,MAX(0,MIN($F348,EOMONTH(DATE(cfg_FY,12,1),0))-MAX($E348,DATE(cfg_FY,12,1))+1)*(1-IF($M348="نعم",0,N($J348))))</f>
        <v>0</v>
      </c>
      <c r="AH348" s="57" t="n">
        <f aca="false">IF(OR(OR($B348="",$E348="",$F348=""),$L348&lt;&gt;"لا"),0,MAX(0,MIN($F348,EOMONTH(DATE(cfg_FY,1,1),0))-$E348+1))</f>
        <v>0</v>
      </c>
      <c r="AI348" s="57" t="n">
        <f aca="false">IF(OR(OR($B348="",$E348="",$F348=""),$L348&lt;&gt;"لا"),0,MAX(0,MIN($F348,EOMONTH(DATE(cfg_FY,2,1),0))-$E348+1))</f>
        <v>0</v>
      </c>
      <c r="AJ348" s="57" t="n">
        <f aca="false">IF(OR(OR($B348="",$E348="",$F348=""),$L348&lt;&gt;"لا"),0,MAX(0,MIN($F348,EOMONTH(DATE(cfg_FY,3,1),0))-$E348+1))</f>
        <v>0</v>
      </c>
      <c r="AK348" s="57" t="n">
        <f aca="false">IF(OR(OR($B348="",$E348="",$F348=""),$L348&lt;&gt;"لا"),0,MAX(0,MIN($F348,EOMONTH(DATE(cfg_FY,4,1),0))-$E348+1))</f>
        <v>0</v>
      </c>
      <c r="AL348" s="57" t="n">
        <f aca="false">IF(OR(OR($B348="",$E348="",$F348=""),$L348&lt;&gt;"لا"),0,MAX(0,MIN($F348,EOMONTH(DATE(cfg_FY,5,1),0))-$E348+1))</f>
        <v>0</v>
      </c>
      <c r="AM348" s="57" t="n">
        <f aca="false">IF(OR(OR($B348="",$E348="",$F348=""),$L348&lt;&gt;"لا"),0,MAX(0,MIN($F348,EOMONTH(DATE(cfg_FY,6,1),0))-$E348+1))</f>
        <v>0</v>
      </c>
      <c r="AN348" s="57" t="n">
        <f aca="false">IF(OR(OR($B348="",$E348="",$F348=""),$L348&lt;&gt;"لا"),0,MAX(0,MIN($F348,EOMONTH(DATE(cfg_FY,7,1),0))-$E348+1))</f>
        <v>0</v>
      </c>
      <c r="AO348" s="57" t="n">
        <f aca="false">IF(OR(OR($B348="",$E348="",$F348=""),$L348&lt;&gt;"لا"),0,MAX(0,MIN($F348,EOMONTH(DATE(cfg_FY,8,1),0))-$E348+1))</f>
        <v>0</v>
      </c>
      <c r="AP348" s="57" t="n">
        <f aca="false">IF(OR(OR($B348="",$E348="",$F348=""),$L348&lt;&gt;"لا"),0,MAX(0,MIN($F348,EOMONTH(DATE(cfg_FY,9,1),0))-$E348+1))</f>
        <v>0</v>
      </c>
      <c r="AQ348" s="57" t="n">
        <f aca="false">IF(OR(OR($B348="",$E348="",$F348=""),$L348&lt;&gt;"لا"),0,MAX(0,MIN($F348,EOMONTH(DATE(cfg_FY,10,1),0))-$E348+1))</f>
        <v>0</v>
      </c>
      <c r="AR348" s="57" t="n">
        <f aca="false">IF(OR(OR($B348="",$E348="",$F348=""),$L348&lt;&gt;"لا"),0,MAX(0,MIN($F348,EOMONTH(DATE(cfg_FY,11,1),0))-$E348+1))</f>
        <v>0</v>
      </c>
      <c r="AS348" s="57" t="n">
        <f aca="false">IF(OR(OR($B348="",$E348="",$F348=""),$L348&lt;&gt;"لا"),0,MAX(0,MIN($F348,EOMONTH(DATE(cfg_FY,12,1),0))-$E348+1))</f>
        <v>0</v>
      </c>
      <c r="AT348" s="57" t="n">
        <f aca="false">IF(OR(OR($B348="",$E348="",$F348=""),$K348&lt;&gt;"نعم",$M348="نعم"),0,MAX(0,MIN($F348,EOMONTH(DATE(cfg_FY,1,1),0))-MAX($E348,DATE(cfg_FY,1,1))+1))</f>
        <v>0</v>
      </c>
      <c r="AU348" s="57" t="n">
        <f aca="false">IF(OR(OR($B348="",$E348="",$F348=""),$K348&lt;&gt;"نعم",$M348="نعم"),0,MAX(0,MIN($F348,EOMONTH(DATE(cfg_FY,2,1),0))-MAX($E348,DATE(cfg_FY,2,1))+1))</f>
        <v>0</v>
      </c>
      <c r="AV348" s="57" t="n">
        <f aca="false">IF(OR(OR($B348="",$E348="",$F348=""),$K348&lt;&gt;"نعم",$M348="نعم"),0,MAX(0,MIN($F348,EOMONTH(DATE(cfg_FY,3,1),0))-MAX($E348,DATE(cfg_FY,3,1))+1))</f>
        <v>0</v>
      </c>
      <c r="AW348" s="57" t="n">
        <f aca="false">IF(OR(OR($B348="",$E348="",$F348=""),$K348&lt;&gt;"نعم",$M348="نعم"),0,MAX(0,MIN($F348,EOMONTH(DATE(cfg_FY,4,1),0))-MAX($E348,DATE(cfg_FY,4,1))+1))</f>
        <v>0</v>
      </c>
      <c r="AX348" s="57" t="n">
        <f aca="false">IF(OR(OR($B348="",$E348="",$F348=""),$K348&lt;&gt;"نعم",$M348="نعم"),0,MAX(0,MIN($F348,EOMONTH(DATE(cfg_FY,5,1),0))-MAX($E348,DATE(cfg_FY,5,1))+1))</f>
        <v>0</v>
      </c>
      <c r="AY348" s="57" t="n">
        <f aca="false">IF(OR(OR($B348="",$E348="",$F348=""),$K348&lt;&gt;"نعم",$M348="نعم"),0,MAX(0,MIN($F348,EOMONTH(DATE(cfg_FY,6,1),0))-MAX($E348,DATE(cfg_FY,6,1))+1))</f>
        <v>0</v>
      </c>
      <c r="AZ348" s="57" t="n">
        <f aca="false">IF(OR(OR($B348="",$E348="",$F348=""),$K348&lt;&gt;"نعم",$M348="نعم"),0,MAX(0,MIN($F348,EOMONTH(DATE(cfg_FY,7,1),0))-MAX($E348,DATE(cfg_FY,7,1))+1))</f>
        <v>0</v>
      </c>
      <c r="BA348" s="57" t="n">
        <f aca="false">IF(OR(OR($B348="",$E348="",$F348=""),$K348&lt;&gt;"نعم",$M348="نعم"),0,MAX(0,MIN($F348,EOMONTH(DATE(cfg_FY,8,1),0))-MAX($E348,DATE(cfg_FY,8,1))+1))</f>
        <v>0</v>
      </c>
      <c r="BB348" s="57" t="n">
        <f aca="false">IF(OR(OR($B348="",$E348="",$F348=""),$K348&lt;&gt;"نعم",$M348="نعم"),0,MAX(0,MIN($F348,EOMONTH(DATE(cfg_FY,9,1),0))-MAX($E348,DATE(cfg_FY,9,1))+1))</f>
        <v>0</v>
      </c>
      <c r="BC348" s="57" t="n">
        <f aca="false">IF(OR(OR($B348="",$E348="",$F348=""),$K348&lt;&gt;"نعم",$M348="نعم"),0,MAX(0,MIN($F348,EOMONTH(DATE(cfg_FY,10,1),0))-MAX($E348,DATE(cfg_FY,10,1))+1))</f>
        <v>0</v>
      </c>
      <c r="BD348" s="57" t="n">
        <f aca="false">IF(OR(OR($B348="",$E348="",$F348=""),$K348&lt;&gt;"نعم",$M348="نعم"),0,MAX(0,MIN($F348,EOMONTH(DATE(cfg_FY,11,1),0))-MAX($E348,DATE(cfg_FY,11,1))+1))</f>
        <v>0</v>
      </c>
      <c r="BE348" s="57" t="n">
        <f aca="false">IF(OR(OR($B348="",$E348="",$F348=""),$K348&lt;&gt;"نعم",$M348="نعم"),0,MAX(0,MIN($F348,EOMONTH(DATE(cfg_FY,12,1),0))-MAX($E348,DATE(cfg_FY,12,1))+1))</f>
        <v>0</v>
      </c>
    </row>
    <row r="349" customFormat="false" ht="15" hidden="false" customHeight="false" outlineLevel="0" collapsed="false">
      <c r="A349" s="100" t="str">
        <f aca="false">IF(B349="","",ROW()-5)</f>
        <v/>
      </c>
      <c r="B349" s="79"/>
      <c r="C349" s="102" t="str">
        <f aca="false">IF(B349="","",IFERROR(INDEX(الموظفون!$C$6:$C$105,MATCH(B349,الموظفون!$B$6:$B$105,0)),"✖ رقم غير موجود"))</f>
        <v/>
      </c>
      <c r="D349" s="79"/>
      <c r="E349" s="94"/>
      <c r="F349" s="94"/>
      <c r="G349" s="110" t="str">
        <f aca="false">IF(OR($B349="",$E349="",$F349=""),"",MAX(0,F349-E349+1))</f>
        <v/>
      </c>
      <c r="H349" s="111" t="str">
        <f aca="false">IF(D349="","",IFERROR(VLOOKUP(D349,cfg_LT,2,FALSE()),1))</f>
        <v/>
      </c>
      <c r="I349" s="82"/>
      <c r="J349" s="111" t="str">
        <f aca="false">IF(D349="","",IF(I349&lt;&gt;"",I349,H349))</f>
        <v/>
      </c>
      <c r="K349" s="102" t="str">
        <f aca="false">IF(D349="","",IFERROR(VLOOKUP($D349,cfg_LT,3,FALSE()),""))</f>
        <v/>
      </c>
      <c r="L349" s="102" t="str">
        <f aca="false">IF(D349="","",IFERROR(VLOOKUP($D349,cfg_LT,4,FALSE()),""))</f>
        <v/>
      </c>
      <c r="M349" s="102" t="str">
        <f aca="false">IF(D349="","",IFERROR(VLOOKUP($D349,cfg_LT,5,FALSE()),""))</f>
        <v/>
      </c>
      <c r="N349" s="101" t="n">
        <f aca="false">IF(OR(OR($B349="",$E349="",$F349=""),M349&lt;&gt;"نعم"),0,G349*J349*IFERROR(INDEX(الموظفون!$R$6:$R$105,MATCH(B349,الموظفون!$B$6:$B$105,0)),0)/cfg_DAYS_M)</f>
        <v>0</v>
      </c>
      <c r="O349" s="100" t="str">
        <f aca="false">IF(OR(OR($B349="",$E349="",$F349=""),M349&lt;&gt;"نعم"),"",IF(YEAR(E349)=cfg_FY,MONTH(E349),""))</f>
        <v/>
      </c>
      <c r="P349" s="102" t="str">
        <f aca="false">IF(B349="","",IF(OR(D349="",E349="",F349=""),"⚠ أكمل النوع والتواريخ",IF(F349&lt;E349,"✖ النهاية قبل البداية",IF(COUNTIFS($B$6:$B$505,B349,$E$6:$E$505,"&lt;="&amp;F349,$F$6:$F$505,"&gt;="&amp;E349)&gt;1,"⚠ تداخل مع سجل آخر",IF(E349&gt;cfg_VAL_DATE,"⏳ قادمة",IF(F349&lt;cfg_VAL_DATE,"✔ منتهية","✈ جارية في تاريخ التقرير"))))))</f>
        <v/>
      </c>
      <c r="Q349" s="79"/>
      <c r="R349" s="110" t="n">
        <f aca="false">IF(OR(OR($B349="",$E349="",$F349=""),L349&lt;&gt;"لا"),0,MAX(0,MIN(F349,cfg_Y_START-1)-E349+1))</f>
        <v>0</v>
      </c>
      <c r="S349" s="110" t="n">
        <f aca="false">IF(OR(OR($B349="",$E349="",$F349=""),L349&lt;&gt;"لا"),0,MAX(0,MIN(F349,cfg_VAL_DATE)-E349+1))</f>
        <v>0</v>
      </c>
      <c r="T349" s="110" t="n">
        <f aca="false">IF(OR(OR($B349="",$E349="",$F349=""),K349&lt;&gt;"نعم"),0,IF(M349="نعم",IF(AND(ISNUMBER(O349),N(O349)&lt;=cfg_VAL_M),G349,0),MAX(0,MIN(F349,cfg_VAL_DATE)-MAX(E349,cfg_Y_START)+1)))</f>
        <v>0</v>
      </c>
      <c r="V349" s="110" t="n">
        <f aca="false">IF(OR($B349="",$E349="",$F349=""),0,MAX(0,MIN($F349,EOMONTH(DATE(cfg_FY,1,1),0))-MAX($E349,DATE(cfg_FY,1,1))+1)*(1-IF($M349="نعم",0,N($J349))))</f>
        <v>0</v>
      </c>
      <c r="W349" s="110" t="n">
        <f aca="false">IF(OR($B349="",$E349="",$F349=""),0,MAX(0,MIN($F349,EOMONTH(DATE(cfg_FY,2,1),0))-MAX($E349,DATE(cfg_FY,2,1))+1)*(1-IF($M349="نعم",0,N($J349))))</f>
        <v>0</v>
      </c>
      <c r="X349" s="110" t="n">
        <f aca="false">IF(OR($B349="",$E349="",$F349=""),0,MAX(0,MIN($F349,EOMONTH(DATE(cfg_FY,3,1),0))-MAX($E349,DATE(cfg_FY,3,1))+1)*(1-IF($M349="نعم",0,N($J349))))</f>
        <v>0</v>
      </c>
      <c r="Y349" s="110" t="n">
        <f aca="false">IF(OR($B349="",$E349="",$F349=""),0,MAX(0,MIN($F349,EOMONTH(DATE(cfg_FY,4,1),0))-MAX($E349,DATE(cfg_FY,4,1))+1)*(1-IF($M349="نعم",0,N($J349))))</f>
        <v>0</v>
      </c>
      <c r="Z349" s="110" t="n">
        <f aca="false">IF(OR($B349="",$E349="",$F349=""),0,MAX(0,MIN($F349,EOMONTH(DATE(cfg_FY,5,1),0))-MAX($E349,DATE(cfg_FY,5,1))+1)*(1-IF($M349="نعم",0,N($J349))))</f>
        <v>0</v>
      </c>
      <c r="AA349" s="110" t="n">
        <f aca="false">IF(OR($B349="",$E349="",$F349=""),0,MAX(0,MIN($F349,EOMONTH(DATE(cfg_FY,6,1),0))-MAX($E349,DATE(cfg_FY,6,1))+1)*(1-IF($M349="نعم",0,N($J349))))</f>
        <v>0</v>
      </c>
      <c r="AB349" s="110" t="n">
        <f aca="false">IF(OR($B349="",$E349="",$F349=""),0,MAX(0,MIN($F349,EOMONTH(DATE(cfg_FY,7,1),0))-MAX($E349,DATE(cfg_FY,7,1))+1)*(1-IF($M349="نعم",0,N($J349))))</f>
        <v>0</v>
      </c>
      <c r="AC349" s="110" t="n">
        <f aca="false">IF(OR($B349="",$E349="",$F349=""),0,MAX(0,MIN($F349,EOMONTH(DATE(cfg_FY,8,1),0))-MAX($E349,DATE(cfg_FY,8,1))+1)*(1-IF($M349="نعم",0,N($J349))))</f>
        <v>0</v>
      </c>
      <c r="AD349" s="110" t="n">
        <f aca="false">IF(OR($B349="",$E349="",$F349=""),0,MAX(0,MIN($F349,EOMONTH(DATE(cfg_FY,9,1),0))-MAX($E349,DATE(cfg_FY,9,1))+1)*(1-IF($M349="نعم",0,N($J349))))</f>
        <v>0</v>
      </c>
      <c r="AE349" s="110" t="n">
        <f aca="false">IF(OR($B349="",$E349="",$F349=""),0,MAX(0,MIN($F349,EOMONTH(DATE(cfg_FY,10,1),0))-MAX($E349,DATE(cfg_FY,10,1))+1)*(1-IF($M349="نعم",0,N($J349))))</f>
        <v>0</v>
      </c>
      <c r="AF349" s="110" t="n">
        <f aca="false">IF(OR($B349="",$E349="",$F349=""),0,MAX(0,MIN($F349,EOMONTH(DATE(cfg_FY,11,1),0))-MAX($E349,DATE(cfg_FY,11,1))+1)*(1-IF($M349="نعم",0,N($J349))))</f>
        <v>0</v>
      </c>
      <c r="AG349" s="110" t="n">
        <f aca="false">IF(OR($B349="",$E349="",$F349=""),0,MAX(0,MIN($F349,EOMONTH(DATE(cfg_FY,12,1),0))-MAX($E349,DATE(cfg_FY,12,1))+1)*(1-IF($M349="نعم",0,N($J349))))</f>
        <v>0</v>
      </c>
      <c r="AH349" s="110" t="n">
        <f aca="false">IF(OR(OR($B349="",$E349="",$F349=""),$L349&lt;&gt;"لا"),0,MAX(0,MIN($F349,EOMONTH(DATE(cfg_FY,1,1),0))-$E349+1))</f>
        <v>0</v>
      </c>
      <c r="AI349" s="110" t="n">
        <f aca="false">IF(OR(OR($B349="",$E349="",$F349=""),$L349&lt;&gt;"لا"),0,MAX(0,MIN($F349,EOMONTH(DATE(cfg_FY,2,1),0))-$E349+1))</f>
        <v>0</v>
      </c>
      <c r="AJ349" s="110" t="n">
        <f aca="false">IF(OR(OR($B349="",$E349="",$F349=""),$L349&lt;&gt;"لا"),0,MAX(0,MIN($F349,EOMONTH(DATE(cfg_FY,3,1),0))-$E349+1))</f>
        <v>0</v>
      </c>
      <c r="AK349" s="110" t="n">
        <f aca="false">IF(OR(OR($B349="",$E349="",$F349=""),$L349&lt;&gt;"لا"),0,MAX(0,MIN($F349,EOMONTH(DATE(cfg_FY,4,1),0))-$E349+1))</f>
        <v>0</v>
      </c>
      <c r="AL349" s="110" t="n">
        <f aca="false">IF(OR(OR($B349="",$E349="",$F349=""),$L349&lt;&gt;"لا"),0,MAX(0,MIN($F349,EOMONTH(DATE(cfg_FY,5,1),0))-$E349+1))</f>
        <v>0</v>
      </c>
      <c r="AM349" s="110" t="n">
        <f aca="false">IF(OR(OR($B349="",$E349="",$F349=""),$L349&lt;&gt;"لا"),0,MAX(0,MIN($F349,EOMONTH(DATE(cfg_FY,6,1),0))-$E349+1))</f>
        <v>0</v>
      </c>
      <c r="AN349" s="110" t="n">
        <f aca="false">IF(OR(OR($B349="",$E349="",$F349=""),$L349&lt;&gt;"لا"),0,MAX(0,MIN($F349,EOMONTH(DATE(cfg_FY,7,1),0))-$E349+1))</f>
        <v>0</v>
      </c>
      <c r="AO349" s="110" t="n">
        <f aca="false">IF(OR(OR($B349="",$E349="",$F349=""),$L349&lt;&gt;"لا"),0,MAX(0,MIN($F349,EOMONTH(DATE(cfg_FY,8,1),0))-$E349+1))</f>
        <v>0</v>
      </c>
      <c r="AP349" s="110" t="n">
        <f aca="false">IF(OR(OR($B349="",$E349="",$F349=""),$L349&lt;&gt;"لا"),0,MAX(0,MIN($F349,EOMONTH(DATE(cfg_FY,9,1),0))-$E349+1))</f>
        <v>0</v>
      </c>
      <c r="AQ349" s="110" t="n">
        <f aca="false">IF(OR(OR($B349="",$E349="",$F349=""),$L349&lt;&gt;"لا"),0,MAX(0,MIN($F349,EOMONTH(DATE(cfg_FY,10,1),0))-$E349+1))</f>
        <v>0</v>
      </c>
      <c r="AR349" s="110" t="n">
        <f aca="false">IF(OR(OR($B349="",$E349="",$F349=""),$L349&lt;&gt;"لا"),0,MAX(0,MIN($F349,EOMONTH(DATE(cfg_FY,11,1),0))-$E349+1))</f>
        <v>0</v>
      </c>
      <c r="AS349" s="110" t="n">
        <f aca="false">IF(OR(OR($B349="",$E349="",$F349=""),$L349&lt;&gt;"لا"),0,MAX(0,MIN($F349,EOMONTH(DATE(cfg_FY,12,1),0))-$E349+1))</f>
        <v>0</v>
      </c>
      <c r="AT349" s="110" t="n">
        <f aca="false">IF(OR(OR($B349="",$E349="",$F349=""),$K349&lt;&gt;"نعم",$M349="نعم"),0,MAX(0,MIN($F349,EOMONTH(DATE(cfg_FY,1,1),0))-MAX($E349,DATE(cfg_FY,1,1))+1))</f>
        <v>0</v>
      </c>
      <c r="AU349" s="110" t="n">
        <f aca="false">IF(OR(OR($B349="",$E349="",$F349=""),$K349&lt;&gt;"نعم",$M349="نعم"),0,MAX(0,MIN($F349,EOMONTH(DATE(cfg_FY,2,1),0))-MAX($E349,DATE(cfg_FY,2,1))+1))</f>
        <v>0</v>
      </c>
      <c r="AV349" s="110" t="n">
        <f aca="false">IF(OR(OR($B349="",$E349="",$F349=""),$K349&lt;&gt;"نعم",$M349="نعم"),0,MAX(0,MIN($F349,EOMONTH(DATE(cfg_FY,3,1),0))-MAX($E349,DATE(cfg_FY,3,1))+1))</f>
        <v>0</v>
      </c>
      <c r="AW349" s="110" t="n">
        <f aca="false">IF(OR(OR($B349="",$E349="",$F349=""),$K349&lt;&gt;"نعم",$M349="نعم"),0,MAX(0,MIN($F349,EOMONTH(DATE(cfg_FY,4,1),0))-MAX($E349,DATE(cfg_FY,4,1))+1))</f>
        <v>0</v>
      </c>
      <c r="AX349" s="110" t="n">
        <f aca="false">IF(OR(OR($B349="",$E349="",$F349=""),$K349&lt;&gt;"نعم",$M349="نعم"),0,MAX(0,MIN($F349,EOMONTH(DATE(cfg_FY,5,1),0))-MAX($E349,DATE(cfg_FY,5,1))+1))</f>
        <v>0</v>
      </c>
      <c r="AY349" s="110" t="n">
        <f aca="false">IF(OR(OR($B349="",$E349="",$F349=""),$K349&lt;&gt;"نعم",$M349="نعم"),0,MAX(0,MIN($F349,EOMONTH(DATE(cfg_FY,6,1),0))-MAX($E349,DATE(cfg_FY,6,1))+1))</f>
        <v>0</v>
      </c>
      <c r="AZ349" s="110" t="n">
        <f aca="false">IF(OR(OR($B349="",$E349="",$F349=""),$K349&lt;&gt;"نعم",$M349="نعم"),0,MAX(0,MIN($F349,EOMONTH(DATE(cfg_FY,7,1),0))-MAX($E349,DATE(cfg_FY,7,1))+1))</f>
        <v>0</v>
      </c>
      <c r="BA349" s="110" t="n">
        <f aca="false">IF(OR(OR($B349="",$E349="",$F349=""),$K349&lt;&gt;"نعم",$M349="نعم"),0,MAX(0,MIN($F349,EOMONTH(DATE(cfg_FY,8,1),0))-MAX($E349,DATE(cfg_FY,8,1))+1))</f>
        <v>0</v>
      </c>
      <c r="BB349" s="110" t="n">
        <f aca="false">IF(OR(OR($B349="",$E349="",$F349=""),$K349&lt;&gt;"نعم",$M349="نعم"),0,MAX(0,MIN($F349,EOMONTH(DATE(cfg_FY,9,1),0))-MAX($E349,DATE(cfg_FY,9,1))+1))</f>
        <v>0</v>
      </c>
      <c r="BC349" s="110" t="n">
        <f aca="false">IF(OR(OR($B349="",$E349="",$F349=""),$K349&lt;&gt;"نعم",$M349="نعم"),0,MAX(0,MIN($F349,EOMONTH(DATE(cfg_FY,10,1),0))-MAX($E349,DATE(cfg_FY,10,1))+1))</f>
        <v>0</v>
      </c>
      <c r="BD349" s="110" t="n">
        <f aca="false">IF(OR(OR($B349="",$E349="",$F349=""),$K349&lt;&gt;"نعم",$M349="نعم"),0,MAX(0,MIN($F349,EOMONTH(DATE(cfg_FY,11,1),0))-MAX($E349,DATE(cfg_FY,11,1))+1))</f>
        <v>0</v>
      </c>
      <c r="BE349" s="110" t="n">
        <f aca="false">IF(OR(OR($B349="",$E349="",$F349=""),$K349&lt;&gt;"نعم",$M349="نعم"),0,MAX(0,MIN($F349,EOMONTH(DATE(cfg_FY,12,1),0))-MAX($E349,DATE(cfg_FY,12,1))+1))</f>
        <v>0</v>
      </c>
    </row>
    <row r="350" customFormat="false" ht="15" hidden="false" customHeight="false" outlineLevel="0" collapsed="false">
      <c r="A350" s="93" t="str">
        <f aca="false">IF(B350="","",ROW()-5)</f>
        <v/>
      </c>
      <c r="B350" s="79"/>
      <c r="C350" s="80" t="str">
        <f aca="false">IF(B350="","",IFERROR(INDEX(الموظفون!$C$6:$C$105,MATCH(B350,الموظفون!$B$6:$B$105,0)),"✖ رقم غير موجود"))</f>
        <v/>
      </c>
      <c r="D350" s="79"/>
      <c r="E350" s="94"/>
      <c r="F350" s="94"/>
      <c r="G350" s="57" t="str">
        <f aca="false">IF(OR($B350="",$E350="",$F350=""),"",MAX(0,F350-E350+1))</f>
        <v/>
      </c>
      <c r="H350" s="58" t="str">
        <f aca="false">IF(D350="","",IFERROR(VLOOKUP(D350,cfg_LT,2,FALSE()),1))</f>
        <v/>
      </c>
      <c r="I350" s="82"/>
      <c r="J350" s="58" t="str">
        <f aca="false">IF(D350="","",IF(I350&lt;&gt;"",I350,H350))</f>
        <v/>
      </c>
      <c r="K350" s="80" t="str">
        <f aca="false">IF(D350="","",IFERROR(VLOOKUP($D350,cfg_LT,3,FALSE()),""))</f>
        <v/>
      </c>
      <c r="L350" s="80" t="str">
        <f aca="false">IF(D350="","",IFERROR(VLOOKUP($D350,cfg_LT,4,FALSE()),""))</f>
        <v/>
      </c>
      <c r="M350" s="80" t="str">
        <f aca="false">IF(D350="","",IFERROR(VLOOKUP($D350,cfg_LT,5,FALSE()),""))</f>
        <v/>
      </c>
      <c r="N350" s="97" t="n">
        <f aca="false">IF(OR(OR($B350="",$E350="",$F350=""),M350&lt;&gt;"نعم"),0,G350*J350*IFERROR(INDEX(الموظفون!$R$6:$R$105,MATCH(B350,الموظفون!$B$6:$B$105,0)),0)/cfg_DAYS_M)</f>
        <v>0</v>
      </c>
      <c r="O350" s="93" t="str">
        <f aca="false">IF(OR(OR($B350="",$E350="",$F350=""),M350&lt;&gt;"نعم"),"",IF(YEAR(E350)=cfg_FY,MONTH(E350),""))</f>
        <v/>
      </c>
      <c r="P350" s="80" t="str">
        <f aca="false">IF(B350="","",IF(OR(D350="",E350="",F350=""),"⚠ أكمل النوع والتواريخ",IF(F350&lt;E350,"✖ النهاية قبل البداية",IF(COUNTIFS($B$6:$B$505,B350,$E$6:$E$505,"&lt;="&amp;F350,$F$6:$F$505,"&gt;="&amp;E350)&gt;1,"⚠ تداخل مع سجل آخر",IF(E350&gt;cfg_VAL_DATE,"⏳ قادمة",IF(F350&lt;cfg_VAL_DATE,"✔ منتهية","✈ جارية في تاريخ التقرير"))))))</f>
        <v/>
      </c>
      <c r="Q350" s="79"/>
      <c r="R350" s="57" t="n">
        <f aca="false">IF(OR(OR($B350="",$E350="",$F350=""),L350&lt;&gt;"لا"),0,MAX(0,MIN(F350,cfg_Y_START-1)-E350+1))</f>
        <v>0</v>
      </c>
      <c r="S350" s="57" t="n">
        <f aca="false">IF(OR(OR($B350="",$E350="",$F350=""),L350&lt;&gt;"لا"),0,MAX(0,MIN(F350,cfg_VAL_DATE)-E350+1))</f>
        <v>0</v>
      </c>
      <c r="T350" s="57" t="n">
        <f aca="false">IF(OR(OR($B350="",$E350="",$F350=""),K350&lt;&gt;"نعم"),0,IF(M350="نعم",IF(AND(ISNUMBER(O350),N(O350)&lt;=cfg_VAL_M),G350,0),MAX(0,MIN(F350,cfg_VAL_DATE)-MAX(E350,cfg_Y_START)+1)))</f>
        <v>0</v>
      </c>
      <c r="V350" s="57" t="n">
        <f aca="false">IF(OR($B350="",$E350="",$F350=""),0,MAX(0,MIN($F350,EOMONTH(DATE(cfg_FY,1,1),0))-MAX($E350,DATE(cfg_FY,1,1))+1)*(1-IF($M350="نعم",0,N($J350))))</f>
        <v>0</v>
      </c>
      <c r="W350" s="57" t="n">
        <f aca="false">IF(OR($B350="",$E350="",$F350=""),0,MAX(0,MIN($F350,EOMONTH(DATE(cfg_FY,2,1),0))-MAX($E350,DATE(cfg_FY,2,1))+1)*(1-IF($M350="نعم",0,N($J350))))</f>
        <v>0</v>
      </c>
      <c r="X350" s="57" t="n">
        <f aca="false">IF(OR($B350="",$E350="",$F350=""),0,MAX(0,MIN($F350,EOMONTH(DATE(cfg_FY,3,1),0))-MAX($E350,DATE(cfg_FY,3,1))+1)*(1-IF($M350="نعم",0,N($J350))))</f>
        <v>0</v>
      </c>
      <c r="Y350" s="57" t="n">
        <f aca="false">IF(OR($B350="",$E350="",$F350=""),0,MAX(0,MIN($F350,EOMONTH(DATE(cfg_FY,4,1),0))-MAX($E350,DATE(cfg_FY,4,1))+1)*(1-IF($M350="نعم",0,N($J350))))</f>
        <v>0</v>
      </c>
      <c r="Z350" s="57" t="n">
        <f aca="false">IF(OR($B350="",$E350="",$F350=""),0,MAX(0,MIN($F350,EOMONTH(DATE(cfg_FY,5,1),0))-MAX($E350,DATE(cfg_FY,5,1))+1)*(1-IF($M350="نعم",0,N($J350))))</f>
        <v>0</v>
      </c>
      <c r="AA350" s="57" t="n">
        <f aca="false">IF(OR($B350="",$E350="",$F350=""),0,MAX(0,MIN($F350,EOMONTH(DATE(cfg_FY,6,1),0))-MAX($E350,DATE(cfg_FY,6,1))+1)*(1-IF($M350="نعم",0,N($J350))))</f>
        <v>0</v>
      </c>
      <c r="AB350" s="57" t="n">
        <f aca="false">IF(OR($B350="",$E350="",$F350=""),0,MAX(0,MIN($F350,EOMONTH(DATE(cfg_FY,7,1),0))-MAX($E350,DATE(cfg_FY,7,1))+1)*(1-IF($M350="نعم",0,N($J350))))</f>
        <v>0</v>
      </c>
      <c r="AC350" s="57" t="n">
        <f aca="false">IF(OR($B350="",$E350="",$F350=""),0,MAX(0,MIN($F350,EOMONTH(DATE(cfg_FY,8,1),0))-MAX($E350,DATE(cfg_FY,8,1))+1)*(1-IF($M350="نعم",0,N($J350))))</f>
        <v>0</v>
      </c>
      <c r="AD350" s="57" t="n">
        <f aca="false">IF(OR($B350="",$E350="",$F350=""),0,MAX(0,MIN($F350,EOMONTH(DATE(cfg_FY,9,1),0))-MAX($E350,DATE(cfg_FY,9,1))+1)*(1-IF($M350="نعم",0,N($J350))))</f>
        <v>0</v>
      </c>
      <c r="AE350" s="57" t="n">
        <f aca="false">IF(OR($B350="",$E350="",$F350=""),0,MAX(0,MIN($F350,EOMONTH(DATE(cfg_FY,10,1),0))-MAX($E350,DATE(cfg_FY,10,1))+1)*(1-IF($M350="نعم",0,N($J350))))</f>
        <v>0</v>
      </c>
      <c r="AF350" s="57" t="n">
        <f aca="false">IF(OR($B350="",$E350="",$F350=""),0,MAX(0,MIN($F350,EOMONTH(DATE(cfg_FY,11,1),0))-MAX($E350,DATE(cfg_FY,11,1))+1)*(1-IF($M350="نعم",0,N($J350))))</f>
        <v>0</v>
      </c>
      <c r="AG350" s="57" t="n">
        <f aca="false">IF(OR($B350="",$E350="",$F350=""),0,MAX(0,MIN($F350,EOMONTH(DATE(cfg_FY,12,1),0))-MAX($E350,DATE(cfg_FY,12,1))+1)*(1-IF($M350="نعم",0,N($J350))))</f>
        <v>0</v>
      </c>
      <c r="AH350" s="57" t="n">
        <f aca="false">IF(OR(OR($B350="",$E350="",$F350=""),$L350&lt;&gt;"لا"),0,MAX(0,MIN($F350,EOMONTH(DATE(cfg_FY,1,1),0))-$E350+1))</f>
        <v>0</v>
      </c>
      <c r="AI350" s="57" t="n">
        <f aca="false">IF(OR(OR($B350="",$E350="",$F350=""),$L350&lt;&gt;"لا"),0,MAX(0,MIN($F350,EOMONTH(DATE(cfg_FY,2,1),0))-$E350+1))</f>
        <v>0</v>
      </c>
      <c r="AJ350" s="57" t="n">
        <f aca="false">IF(OR(OR($B350="",$E350="",$F350=""),$L350&lt;&gt;"لا"),0,MAX(0,MIN($F350,EOMONTH(DATE(cfg_FY,3,1),0))-$E350+1))</f>
        <v>0</v>
      </c>
      <c r="AK350" s="57" t="n">
        <f aca="false">IF(OR(OR($B350="",$E350="",$F350=""),$L350&lt;&gt;"لا"),0,MAX(0,MIN($F350,EOMONTH(DATE(cfg_FY,4,1),0))-$E350+1))</f>
        <v>0</v>
      </c>
      <c r="AL350" s="57" t="n">
        <f aca="false">IF(OR(OR($B350="",$E350="",$F350=""),$L350&lt;&gt;"لا"),0,MAX(0,MIN($F350,EOMONTH(DATE(cfg_FY,5,1),0))-$E350+1))</f>
        <v>0</v>
      </c>
      <c r="AM350" s="57" t="n">
        <f aca="false">IF(OR(OR($B350="",$E350="",$F350=""),$L350&lt;&gt;"لا"),0,MAX(0,MIN($F350,EOMONTH(DATE(cfg_FY,6,1),0))-$E350+1))</f>
        <v>0</v>
      </c>
      <c r="AN350" s="57" t="n">
        <f aca="false">IF(OR(OR($B350="",$E350="",$F350=""),$L350&lt;&gt;"لا"),0,MAX(0,MIN($F350,EOMONTH(DATE(cfg_FY,7,1),0))-$E350+1))</f>
        <v>0</v>
      </c>
      <c r="AO350" s="57" t="n">
        <f aca="false">IF(OR(OR($B350="",$E350="",$F350=""),$L350&lt;&gt;"لا"),0,MAX(0,MIN($F350,EOMONTH(DATE(cfg_FY,8,1),0))-$E350+1))</f>
        <v>0</v>
      </c>
      <c r="AP350" s="57" t="n">
        <f aca="false">IF(OR(OR($B350="",$E350="",$F350=""),$L350&lt;&gt;"لا"),0,MAX(0,MIN($F350,EOMONTH(DATE(cfg_FY,9,1),0))-$E350+1))</f>
        <v>0</v>
      </c>
      <c r="AQ350" s="57" t="n">
        <f aca="false">IF(OR(OR($B350="",$E350="",$F350=""),$L350&lt;&gt;"لا"),0,MAX(0,MIN($F350,EOMONTH(DATE(cfg_FY,10,1),0))-$E350+1))</f>
        <v>0</v>
      </c>
      <c r="AR350" s="57" t="n">
        <f aca="false">IF(OR(OR($B350="",$E350="",$F350=""),$L350&lt;&gt;"لا"),0,MAX(0,MIN($F350,EOMONTH(DATE(cfg_FY,11,1),0))-$E350+1))</f>
        <v>0</v>
      </c>
      <c r="AS350" s="57" t="n">
        <f aca="false">IF(OR(OR($B350="",$E350="",$F350=""),$L350&lt;&gt;"لا"),0,MAX(0,MIN($F350,EOMONTH(DATE(cfg_FY,12,1),0))-$E350+1))</f>
        <v>0</v>
      </c>
      <c r="AT350" s="57" t="n">
        <f aca="false">IF(OR(OR($B350="",$E350="",$F350=""),$K350&lt;&gt;"نعم",$M350="نعم"),0,MAX(0,MIN($F350,EOMONTH(DATE(cfg_FY,1,1),0))-MAX($E350,DATE(cfg_FY,1,1))+1))</f>
        <v>0</v>
      </c>
      <c r="AU350" s="57" t="n">
        <f aca="false">IF(OR(OR($B350="",$E350="",$F350=""),$K350&lt;&gt;"نعم",$M350="نعم"),0,MAX(0,MIN($F350,EOMONTH(DATE(cfg_FY,2,1),0))-MAX($E350,DATE(cfg_FY,2,1))+1))</f>
        <v>0</v>
      </c>
      <c r="AV350" s="57" t="n">
        <f aca="false">IF(OR(OR($B350="",$E350="",$F350=""),$K350&lt;&gt;"نعم",$M350="نعم"),0,MAX(0,MIN($F350,EOMONTH(DATE(cfg_FY,3,1),0))-MAX($E350,DATE(cfg_FY,3,1))+1))</f>
        <v>0</v>
      </c>
      <c r="AW350" s="57" t="n">
        <f aca="false">IF(OR(OR($B350="",$E350="",$F350=""),$K350&lt;&gt;"نعم",$M350="نعم"),0,MAX(0,MIN($F350,EOMONTH(DATE(cfg_FY,4,1),0))-MAX($E350,DATE(cfg_FY,4,1))+1))</f>
        <v>0</v>
      </c>
      <c r="AX350" s="57" t="n">
        <f aca="false">IF(OR(OR($B350="",$E350="",$F350=""),$K350&lt;&gt;"نعم",$M350="نعم"),0,MAX(0,MIN($F350,EOMONTH(DATE(cfg_FY,5,1),0))-MAX($E350,DATE(cfg_FY,5,1))+1))</f>
        <v>0</v>
      </c>
      <c r="AY350" s="57" t="n">
        <f aca="false">IF(OR(OR($B350="",$E350="",$F350=""),$K350&lt;&gt;"نعم",$M350="نعم"),0,MAX(0,MIN($F350,EOMONTH(DATE(cfg_FY,6,1),0))-MAX($E350,DATE(cfg_FY,6,1))+1))</f>
        <v>0</v>
      </c>
      <c r="AZ350" s="57" t="n">
        <f aca="false">IF(OR(OR($B350="",$E350="",$F350=""),$K350&lt;&gt;"نعم",$M350="نعم"),0,MAX(0,MIN($F350,EOMONTH(DATE(cfg_FY,7,1),0))-MAX($E350,DATE(cfg_FY,7,1))+1))</f>
        <v>0</v>
      </c>
      <c r="BA350" s="57" t="n">
        <f aca="false">IF(OR(OR($B350="",$E350="",$F350=""),$K350&lt;&gt;"نعم",$M350="نعم"),0,MAX(0,MIN($F350,EOMONTH(DATE(cfg_FY,8,1),0))-MAX($E350,DATE(cfg_FY,8,1))+1))</f>
        <v>0</v>
      </c>
      <c r="BB350" s="57" t="n">
        <f aca="false">IF(OR(OR($B350="",$E350="",$F350=""),$K350&lt;&gt;"نعم",$M350="نعم"),0,MAX(0,MIN($F350,EOMONTH(DATE(cfg_FY,9,1),0))-MAX($E350,DATE(cfg_FY,9,1))+1))</f>
        <v>0</v>
      </c>
      <c r="BC350" s="57" t="n">
        <f aca="false">IF(OR(OR($B350="",$E350="",$F350=""),$K350&lt;&gt;"نعم",$M350="نعم"),0,MAX(0,MIN($F350,EOMONTH(DATE(cfg_FY,10,1),0))-MAX($E350,DATE(cfg_FY,10,1))+1))</f>
        <v>0</v>
      </c>
      <c r="BD350" s="57" t="n">
        <f aca="false">IF(OR(OR($B350="",$E350="",$F350=""),$K350&lt;&gt;"نعم",$M350="نعم"),0,MAX(0,MIN($F350,EOMONTH(DATE(cfg_FY,11,1),0))-MAX($E350,DATE(cfg_FY,11,1))+1))</f>
        <v>0</v>
      </c>
      <c r="BE350" s="57" t="n">
        <f aca="false">IF(OR(OR($B350="",$E350="",$F350=""),$K350&lt;&gt;"نعم",$M350="نعم"),0,MAX(0,MIN($F350,EOMONTH(DATE(cfg_FY,12,1),0))-MAX($E350,DATE(cfg_FY,12,1))+1))</f>
        <v>0</v>
      </c>
    </row>
    <row r="351" customFormat="false" ht="15" hidden="false" customHeight="false" outlineLevel="0" collapsed="false">
      <c r="A351" s="100" t="str">
        <f aca="false">IF(B351="","",ROW()-5)</f>
        <v/>
      </c>
      <c r="B351" s="79"/>
      <c r="C351" s="102" t="str">
        <f aca="false">IF(B351="","",IFERROR(INDEX(الموظفون!$C$6:$C$105,MATCH(B351,الموظفون!$B$6:$B$105,0)),"✖ رقم غير موجود"))</f>
        <v/>
      </c>
      <c r="D351" s="79"/>
      <c r="E351" s="94"/>
      <c r="F351" s="94"/>
      <c r="G351" s="110" t="str">
        <f aca="false">IF(OR($B351="",$E351="",$F351=""),"",MAX(0,F351-E351+1))</f>
        <v/>
      </c>
      <c r="H351" s="111" t="str">
        <f aca="false">IF(D351="","",IFERROR(VLOOKUP(D351,cfg_LT,2,FALSE()),1))</f>
        <v/>
      </c>
      <c r="I351" s="82"/>
      <c r="J351" s="111" t="str">
        <f aca="false">IF(D351="","",IF(I351&lt;&gt;"",I351,H351))</f>
        <v/>
      </c>
      <c r="K351" s="102" t="str">
        <f aca="false">IF(D351="","",IFERROR(VLOOKUP($D351,cfg_LT,3,FALSE()),""))</f>
        <v/>
      </c>
      <c r="L351" s="102" t="str">
        <f aca="false">IF(D351="","",IFERROR(VLOOKUP($D351,cfg_LT,4,FALSE()),""))</f>
        <v/>
      </c>
      <c r="M351" s="102" t="str">
        <f aca="false">IF(D351="","",IFERROR(VLOOKUP($D351,cfg_LT,5,FALSE()),""))</f>
        <v/>
      </c>
      <c r="N351" s="101" t="n">
        <f aca="false">IF(OR(OR($B351="",$E351="",$F351=""),M351&lt;&gt;"نعم"),0,G351*J351*IFERROR(INDEX(الموظفون!$R$6:$R$105,MATCH(B351,الموظفون!$B$6:$B$105,0)),0)/cfg_DAYS_M)</f>
        <v>0</v>
      </c>
      <c r="O351" s="100" t="str">
        <f aca="false">IF(OR(OR($B351="",$E351="",$F351=""),M351&lt;&gt;"نعم"),"",IF(YEAR(E351)=cfg_FY,MONTH(E351),""))</f>
        <v/>
      </c>
      <c r="P351" s="102" t="str">
        <f aca="false">IF(B351="","",IF(OR(D351="",E351="",F351=""),"⚠ أكمل النوع والتواريخ",IF(F351&lt;E351,"✖ النهاية قبل البداية",IF(COUNTIFS($B$6:$B$505,B351,$E$6:$E$505,"&lt;="&amp;F351,$F$6:$F$505,"&gt;="&amp;E351)&gt;1,"⚠ تداخل مع سجل آخر",IF(E351&gt;cfg_VAL_DATE,"⏳ قادمة",IF(F351&lt;cfg_VAL_DATE,"✔ منتهية","✈ جارية في تاريخ التقرير"))))))</f>
        <v/>
      </c>
      <c r="Q351" s="79"/>
      <c r="R351" s="110" t="n">
        <f aca="false">IF(OR(OR($B351="",$E351="",$F351=""),L351&lt;&gt;"لا"),0,MAX(0,MIN(F351,cfg_Y_START-1)-E351+1))</f>
        <v>0</v>
      </c>
      <c r="S351" s="110" t="n">
        <f aca="false">IF(OR(OR($B351="",$E351="",$F351=""),L351&lt;&gt;"لا"),0,MAX(0,MIN(F351,cfg_VAL_DATE)-E351+1))</f>
        <v>0</v>
      </c>
      <c r="T351" s="110" t="n">
        <f aca="false">IF(OR(OR($B351="",$E351="",$F351=""),K351&lt;&gt;"نعم"),0,IF(M351="نعم",IF(AND(ISNUMBER(O351),N(O351)&lt;=cfg_VAL_M),G351,0),MAX(0,MIN(F351,cfg_VAL_DATE)-MAX(E351,cfg_Y_START)+1)))</f>
        <v>0</v>
      </c>
      <c r="V351" s="110" t="n">
        <f aca="false">IF(OR($B351="",$E351="",$F351=""),0,MAX(0,MIN($F351,EOMONTH(DATE(cfg_FY,1,1),0))-MAX($E351,DATE(cfg_FY,1,1))+1)*(1-IF($M351="نعم",0,N($J351))))</f>
        <v>0</v>
      </c>
      <c r="W351" s="110" t="n">
        <f aca="false">IF(OR($B351="",$E351="",$F351=""),0,MAX(0,MIN($F351,EOMONTH(DATE(cfg_FY,2,1),0))-MAX($E351,DATE(cfg_FY,2,1))+1)*(1-IF($M351="نعم",0,N($J351))))</f>
        <v>0</v>
      </c>
      <c r="X351" s="110" t="n">
        <f aca="false">IF(OR($B351="",$E351="",$F351=""),0,MAX(0,MIN($F351,EOMONTH(DATE(cfg_FY,3,1),0))-MAX($E351,DATE(cfg_FY,3,1))+1)*(1-IF($M351="نعم",0,N($J351))))</f>
        <v>0</v>
      </c>
      <c r="Y351" s="110" t="n">
        <f aca="false">IF(OR($B351="",$E351="",$F351=""),0,MAX(0,MIN($F351,EOMONTH(DATE(cfg_FY,4,1),0))-MAX($E351,DATE(cfg_FY,4,1))+1)*(1-IF($M351="نعم",0,N($J351))))</f>
        <v>0</v>
      </c>
      <c r="Z351" s="110" t="n">
        <f aca="false">IF(OR($B351="",$E351="",$F351=""),0,MAX(0,MIN($F351,EOMONTH(DATE(cfg_FY,5,1),0))-MAX($E351,DATE(cfg_FY,5,1))+1)*(1-IF($M351="نعم",0,N($J351))))</f>
        <v>0</v>
      </c>
      <c r="AA351" s="110" t="n">
        <f aca="false">IF(OR($B351="",$E351="",$F351=""),0,MAX(0,MIN($F351,EOMONTH(DATE(cfg_FY,6,1),0))-MAX($E351,DATE(cfg_FY,6,1))+1)*(1-IF($M351="نعم",0,N($J351))))</f>
        <v>0</v>
      </c>
      <c r="AB351" s="110" t="n">
        <f aca="false">IF(OR($B351="",$E351="",$F351=""),0,MAX(0,MIN($F351,EOMONTH(DATE(cfg_FY,7,1),0))-MAX($E351,DATE(cfg_FY,7,1))+1)*(1-IF($M351="نعم",0,N($J351))))</f>
        <v>0</v>
      </c>
      <c r="AC351" s="110" t="n">
        <f aca="false">IF(OR($B351="",$E351="",$F351=""),0,MAX(0,MIN($F351,EOMONTH(DATE(cfg_FY,8,1),0))-MAX($E351,DATE(cfg_FY,8,1))+1)*(1-IF($M351="نعم",0,N($J351))))</f>
        <v>0</v>
      </c>
      <c r="AD351" s="110" t="n">
        <f aca="false">IF(OR($B351="",$E351="",$F351=""),0,MAX(0,MIN($F351,EOMONTH(DATE(cfg_FY,9,1),0))-MAX($E351,DATE(cfg_FY,9,1))+1)*(1-IF($M351="نعم",0,N($J351))))</f>
        <v>0</v>
      </c>
      <c r="AE351" s="110" t="n">
        <f aca="false">IF(OR($B351="",$E351="",$F351=""),0,MAX(0,MIN($F351,EOMONTH(DATE(cfg_FY,10,1),0))-MAX($E351,DATE(cfg_FY,10,1))+1)*(1-IF($M351="نعم",0,N($J351))))</f>
        <v>0</v>
      </c>
      <c r="AF351" s="110" t="n">
        <f aca="false">IF(OR($B351="",$E351="",$F351=""),0,MAX(0,MIN($F351,EOMONTH(DATE(cfg_FY,11,1),0))-MAX($E351,DATE(cfg_FY,11,1))+1)*(1-IF($M351="نعم",0,N($J351))))</f>
        <v>0</v>
      </c>
      <c r="AG351" s="110" t="n">
        <f aca="false">IF(OR($B351="",$E351="",$F351=""),0,MAX(0,MIN($F351,EOMONTH(DATE(cfg_FY,12,1),0))-MAX($E351,DATE(cfg_FY,12,1))+1)*(1-IF($M351="نعم",0,N($J351))))</f>
        <v>0</v>
      </c>
      <c r="AH351" s="110" t="n">
        <f aca="false">IF(OR(OR($B351="",$E351="",$F351=""),$L351&lt;&gt;"لا"),0,MAX(0,MIN($F351,EOMONTH(DATE(cfg_FY,1,1),0))-$E351+1))</f>
        <v>0</v>
      </c>
      <c r="AI351" s="110" t="n">
        <f aca="false">IF(OR(OR($B351="",$E351="",$F351=""),$L351&lt;&gt;"لا"),0,MAX(0,MIN($F351,EOMONTH(DATE(cfg_FY,2,1),0))-$E351+1))</f>
        <v>0</v>
      </c>
      <c r="AJ351" s="110" t="n">
        <f aca="false">IF(OR(OR($B351="",$E351="",$F351=""),$L351&lt;&gt;"لا"),0,MAX(0,MIN($F351,EOMONTH(DATE(cfg_FY,3,1),0))-$E351+1))</f>
        <v>0</v>
      </c>
      <c r="AK351" s="110" t="n">
        <f aca="false">IF(OR(OR($B351="",$E351="",$F351=""),$L351&lt;&gt;"لا"),0,MAX(0,MIN($F351,EOMONTH(DATE(cfg_FY,4,1),0))-$E351+1))</f>
        <v>0</v>
      </c>
      <c r="AL351" s="110" t="n">
        <f aca="false">IF(OR(OR($B351="",$E351="",$F351=""),$L351&lt;&gt;"لا"),0,MAX(0,MIN($F351,EOMONTH(DATE(cfg_FY,5,1),0))-$E351+1))</f>
        <v>0</v>
      </c>
      <c r="AM351" s="110" t="n">
        <f aca="false">IF(OR(OR($B351="",$E351="",$F351=""),$L351&lt;&gt;"لا"),0,MAX(0,MIN($F351,EOMONTH(DATE(cfg_FY,6,1),0))-$E351+1))</f>
        <v>0</v>
      </c>
      <c r="AN351" s="110" t="n">
        <f aca="false">IF(OR(OR($B351="",$E351="",$F351=""),$L351&lt;&gt;"لا"),0,MAX(0,MIN($F351,EOMONTH(DATE(cfg_FY,7,1),0))-$E351+1))</f>
        <v>0</v>
      </c>
      <c r="AO351" s="110" t="n">
        <f aca="false">IF(OR(OR($B351="",$E351="",$F351=""),$L351&lt;&gt;"لا"),0,MAX(0,MIN($F351,EOMONTH(DATE(cfg_FY,8,1),0))-$E351+1))</f>
        <v>0</v>
      </c>
      <c r="AP351" s="110" t="n">
        <f aca="false">IF(OR(OR($B351="",$E351="",$F351=""),$L351&lt;&gt;"لا"),0,MAX(0,MIN($F351,EOMONTH(DATE(cfg_FY,9,1),0))-$E351+1))</f>
        <v>0</v>
      </c>
      <c r="AQ351" s="110" t="n">
        <f aca="false">IF(OR(OR($B351="",$E351="",$F351=""),$L351&lt;&gt;"لا"),0,MAX(0,MIN($F351,EOMONTH(DATE(cfg_FY,10,1),0))-$E351+1))</f>
        <v>0</v>
      </c>
      <c r="AR351" s="110" t="n">
        <f aca="false">IF(OR(OR($B351="",$E351="",$F351=""),$L351&lt;&gt;"لا"),0,MAX(0,MIN($F351,EOMONTH(DATE(cfg_FY,11,1),0))-$E351+1))</f>
        <v>0</v>
      </c>
      <c r="AS351" s="110" t="n">
        <f aca="false">IF(OR(OR($B351="",$E351="",$F351=""),$L351&lt;&gt;"لا"),0,MAX(0,MIN($F351,EOMONTH(DATE(cfg_FY,12,1),0))-$E351+1))</f>
        <v>0</v>
      </c>
      <c r="AT351" s="110" t="n">
        <f aca="false">IF(OR(OR($B351="",$E351="",$F351=""),$K351&lt;&gt;"نعم",$M351="نعم"),0,MAX(0,MIN($F351,EOMONTH(DATE(cfg_FY,1,1),0))-MAX($E351,DATE(cfg_FY,1,1))+1))</f>
        <v>0</v>
      </c>
      <c r="AU351" s="110" t="n">
        <f aca="false">IF(OR(OR($B351="",$E351="",$F351=""),$K351&lt;&gt;"نعم",$M351="نعم"),0,MAX(0,MIN($F351,EOMONTH(DATE(cfg_FY,2,1),0))-MAX($E351,DATE(cfg_FY,2,1))+1))</f>
        <v>0</v>
      </c>
      <c r="AV351" s="110" t="n">
        <f aca="false">IF(OR(OR($B351="",$E351="",$F351=""),$K351&lt;&gt;"نعم",$M351="نعم"),0,MAX(0,MIN($F351,EOMONTH(DATE(cfg_FY,3,1),0))-MAX($E351,DATE(cfg_FY,3,1))+1))</f>
        <v>0</v>
      </c>
      <c r="AW351" s="110" t="n">
        <f aca="false">IF(OR(OR($B351="",$E351="",$F351=""),$K351&lt;&gt;"نعم",$M351="نعم"),0,MAX(0,MIN($F351,EOMONTH(DATE(cfg_FY,4,1),0))-MAX($E351,DATE(cfg_FY,4,1))+1))</f>
        <v>0</v>
      </c>
      <c r="AX351" s="110" t="n">
        <f aca="false">IF(OR(OR($B351="",$E351="",$F351=""),$K351&lt;&gt;"نعم",$M351="نعم"),0,MAX(0,MIN($F351,EOMONTH(DATE(cfg_FY,5,1),0))-MAX($E351,DATE(cfg_FY,5,1))+1))</f>
        <v>0</v>
      </c>
      <c r="AY351" s="110" t="n">
        <f aca="false">IF(OR(OR($B351="",$E351="",$F351=""),$K351&lt;&gt;"نعم",$M351="نعم"),0,MAX(0,MIN($F351,EOMONTH(DATE(cfg_FY,6,1),0))-MAX($E351,DATE(cfg_FY,6,1))+1))</f>
        <v>0</v>
      </c>
      <c r="AZ351" s="110" t="n">
        <f aca="false">IF(OR(OR($B351="",$E351="",$F351=""),$K351&lt;&gt;"نعم",$M351="نعم"),0,MAX(0,MIN($F351,EOMONTH(DATE(cfg_FY,7,1),0))-MAX($E351,DATE(cfg_FY,7,1))+1))</f>
        <v>0</v>
      </c>
      <c r="BA351" s="110" t="n">
        <f aca="false">IF(OR(OR($B351="",$E351="",$F351=""),$K351&lt;&gt;"نعم",$M351="نعم"),0,MAX(0,MIN($F351,EOMONTH(DATE(cfg_FY,8,1),0))-MAX($E351,DATE(cfg_FY,8,1))+1))</f>
        <v>0</v>
      </c>
      <c r="BB351" s="110" t="n">
        <f aca="false">IF(OR(OR($B351="",$E351="",$F351=""),$K351&lt;&gt;"نعم",$M351="نعم"),0,MAX(0,MIN($F351,EOMONTH(DATE(cfg_FY,9,1),0))-MAX($E351,DATE(cfg_FY,9,1))+1))</f>
        <v>0</v>
      </c>
      <c r="BC351" s="110" t="n">
        <f aca="false">IF(OR(OR($B351="",$E351="",$F351=""),$K351&lt;&gt;"نعم",$M351="نعم"),0,MAX(0,MIN($F351,EOMONTH(DATE(cfg_FY,10,1),0))-MAX($E351,DATE(cfg_FY,10,1))+1))</f>
        <v>0</v>
      </c>
      <c r="BD351" s="110" t="n">
        <f aca="false">IF(OR(OR($B351="",$E351="",$F351=""),$K351&lt;&gt;"نعم",$M351="نعم"),0,MAX(0,MIN($F351,EOMONTH(DATE(cfg_FY,11,1),0))-MAX($E351,DATE(cfg_FY,11,1))+1))</f>
        <v>0</v>
      </c>
      <c r="BE351" s="110" t="n">
        <f aca="false">IF(OR(OR($B351="",$E351="",$F351=""),$K351&lt;&gt;"نعم",$M351="نعم"),0,MAX(0,MIN($F351,EOMONTH(DATE(cfg_FY,12,1),0))-MAX($E351,DATE(cfg_FY,12,1))+1))</f>
        <v>0</v>
      </c>
    </row>
    <row r="352" customFormat="false" ht="15" hidden="false" customHeight="false" outlineLevel="0" collapsed="false">
      <c r="A352" s="93" t="str">
        <f aca="false">IF(B352="","",ROW()-5)</f>
        <v/>
      </c>
      <c r="B352" s="79"/>
      <c r="C352" s="80" t="str">
        <f aca="false">IF(B352="","",IFERROR(INDEX(الموظفون!$C$6:$C$105,MATCH(B352,الموظفون!$B$6:$B$105,0)),"✖ رقم غير موجود"))</f>
        <v/>
      </c>
      <c r="D352" s="79"/>
      <c r="E352" s="94"/>
      <c r="F352" s="94"/>
      <c r="G352" s="57" t="str">
        <f aca="false">IF(OR($B352="",$E352="",$F352=""),"",MAX(0,F352-E352+1))</f>
        <v/>
      </c>
      <c r="H352" s="58" t="str">
        <f aca="false">IF(D352="","",IFERROR(VLOOKUP(D352,cfg_LT,2,FALSE()),1))</f>
        <v/>
      </c>
      <c r="I352" s="82"/>
      <c r="J352" s="58" t="str">
        <f aca="false">IF(D352="","",IF(I352&lt;&gt;"",I352,H352))</f>
        <v/>
      </c>
      <c r="K352" s="80" t="str">
        <f aca="false">IF(D352="","",IFERROR(VLOOKUP($D352,cfg_LT,3,FALSE()),""))</f>
        <v/>
      </c>
      <c r="L352" s="80" t="str">
        <f aca="false">IF(D352="","",IFERROR(VLOOKUP($D352,cfg_LT,4,FALSE()),""))</f>
        <v/>
      </c>
      <c r="M352" s="80" t="str">
        <f aca="false">IF(D352="","",IFERROR(VLOOKUP($D352,cfg_LT,5,FALSE()),""))</f>
        <v/>
      </c>
      <c r="N352" s="97" t="n">
        <f aca="false">IF(OR(OR($B352="",$E352="",$F352=""),M352&lt;&gt;"نعم"),0,G352*J352*IFERROR(INDEX(الموظفون!$R$6:$R$105,MATCH(B352,الموظفون!$B$6:$B$105,0)),0)/cfg_DAYS_M)</f>
        <v>0</v>
      </c>
      <c r="O352" s="93" t="str">
        <f aca="false">IF(OR(OR($B352="",$E352="",$F352=""),M352&lt;&gt;"نعم"),"",IF(YEAR(E352)=cfg_FY,MONTH(E352),""))</f>
        <v/>
      </c>
      <c r="P352" s="80" t="str">
        <f aca="false">IF(B352="","",IF(OR(D352="",E352="",F352=""),"⚠ أكمل النوع والتواريخ",IF(F352&lt;E352,"✖ النهاية قبل البداية",IF(COUNTIFS($B$6:$B$505,B352,$E$6:$E$505,"&lt;="&amp;F352,$F$6:$F$505,"&gt;="&amp;E352)&gt;1,"⚠ تداخل مع سجل آخر",IF(E352&gt;cfg_VAL_DATE,"⏳ قادمة",IF(F352&lt;cfg_VAL_DATE,"✔ منتهية","✈ جارية في تاريخ التقرير"))))))</f>
        <v/>
      </c>
      <c r="Q352" s="79"/>
      <c r="R352" s="57" t="n">
        <f aca="false">IF(OR(OR($B352="",$E352="",$F352=""),L352&lt;&gt;"لا"),0,MAX(0,MIN(F352,cfg_Y_START-1)-E352+1))</f>
        <v>0</v>
      </c>
      <c r="S352" s="57" t="n">
        <f aca="false">IF(OR(OR($B352="",$E352="",$F352=""),L352&lt;&gt;"لا"),0,MAX(0,MIN(F352,cfg_VAL_DATE)-E352+1))</f>
        <v>0</v>
      </c>
      <c r="T352" s="57" t="n">
        <f aca="false">IF(OR(OR($B352="",$E352="",$F352=""),K352&lt;&gt;"نعم"),0,IF(M352="نعم",IF(AND(ISNUMBER(O352),N(O352)&lt;=cfg_VAL_M),G352,0),MAX(0,MIN(F352,cfg_VAL_DATE)-MAX(E352,cfg_Y_START)+1)))</f>
        <v>0</v>
      </c>
      <c r="V352" s="57" t="n">
        <f aca="false">IF(OR($B352="",$E352="",$F352=""),0,MAX(0,MIN($F352,EOMONTH(DATE(cfg_FY,1,1),0))-MAX($E352,DATE(cfg_FY,1,1))+1)*(1-IF($M352="نعم",0,N($J352))))</f>
        <v>0</v>
      </c>
      <c r="W352" s="57" t="n">
        <f aca="false">IF(OR($B352="",$E352="",$F352=""),0,MAX(0,MIN($F352,EOMONTH(DATE(cfg_FY,2,1),0))-MAX($E352,DATE(cfg_FY,2,1))+1)*(1-IF($M352="نعم",0,N($J352))))</f>
        <v>0</v>
      </c>
      <c r="X352" s="57" t="n">
        <f aca="false">IF(OR($B352="",$E352="",$F352=""),0,MAX(0,MIN($F352,EOMONTH(DATE(cfg_FY,3,1),0))-MAX($E352,DATE(cfg_FY,3,1))+1)*(1-IF($M352="نعم",0,N($J352))))</f>
        <v>0</v>
      </c>
      <c r="Y352" s="57" t="n">
        <f aca="false">IF(OR($B352="",$E352="",$F352=""),0,MAX(0,MIN($F352,EOMONTH(DATE(cfg_FY,4,1),0))-MAX($E352,DATE(cfg_FY,4,1))+1)*(1-IF($M352="نعم",0,N($J352))))</f>
        <v>0</v>
      </c>
      <c r="Z352" s="57" t="n">
        <f aca="false">IF(OR($B352="",$E352="",$F352=""),0,MAX(0,MIN($F352,EOMONTH(DATE(cfg_FY,5,1),0))-MAX($E352,DATE(cfg_FY,5,1))+1)*(1-IF($M352="نعم",0,N($J352))))</f>
        <v>0</v>
      </c>
      <c r="AA352" s="57" t="n">
        <f aca="false">IF(OR($B352="",$E352="",$F352=""),0,MAX(0,MIN($F352,EOMONTH(DATE(cfg_FY,6,1),0))-MAX($E352,DATE(cfg_FY,6,1))+1)*(1-IF($M352="نعم",0,N($J352))))</f>
        <v>0</v>
      </c>
      <c r="AB352" s="57" t="n">
        <f aca="false">IF(OR($B352="",$E352="",$F352=""),0,MAX(0,MIN($F352,EOMONTH(DATE(cfg_FY,7,1),0))-MAX($E352,DATE(cfg_FY,7,1))+1)*(1-IF($M352="نعم",0,N($J352))))</f>
        <v>0</v>
      </c>
      <c r="AC352" s="57" t="n">
        <f aca="false">IF(OR($B352="",$E352="",$F352=""),0,MAX(0,MIN($F352,EOMONTH(DATE(cfg_FY,8,1),0))-MAX($E352,DATE(cfg_FY,8,1))+1)*(1-IF($M352="نعم",0,N($J352))))</f>
        <v>0</v>
      </c>
      <c r="AD352" s="57" t="n">
        <f aca="false">IF(OR($B352="",$E352="",$F352=""),0,MAX(0,MIN($F352,EOMONTH(DATE(cfg_FY,9,1),0))-MAX($E352,DATE(cfg_FY,9,1))+1)*(1-IF($M352="نعم",0,N($J352))))</f>
        <v>0</v>
      </c>
      <c r="AE352" s="57" t="n">
        <f aca="false">IF(OR($B352="",$E352="",$F352=""),0,MAX(0,MIN($F352,EOMONTH(DATE(cfg_FY,10,1),0))-MAX($E352,DATE(cfg_FY,10,1))+1)*(1-IF($M352="نعم",0,N($J352))))</f>
        <v>0</v>
      </c>
      <c r="AF352" s="57" t="n">
        <f aca="false">IF(OR($B352="",$E352="",$F352=""),0,MAX(0,MIN($F352,EOMONTH(DATE(cfg_FY,11,1),0))-MAX($E352,DATE(cfg_FY,11,1))+1)*(1-IF($M352="نعم",0,N($J352))))</f>
        <v>0</v>
      </c>
      <c r="AG352" s="57" t="n">
        <f aca="false">IF(OR($B352="",$E352="",$F352=""),0,MAX(0,MIN($F352,EOMONTH(DATE(cfg_FY,12,1),0))-MAX($E352,DATE(cfg_FY,12,1))+1)*(1-IF($M352="نعم",0,N($J352))))</f>
        <v>0</v>
      </c>
      <c r="AH352" s="57" t="n">
        <f aca="false">IF(OR(OR($B352="",$E352="",$F352=""),$L352&lt;&gt;"لا"),0,MAX(0,MIN($F352,EOMONTH(DATE(cfg_FY,1,1),0))-$E352+1))</f>
        <v>0</v>
      </c>
      <c r="AI352" s="57" t="n">
        <f aca="false">IF(OR(OR($B352="",$E352="",$F352=""),$L352&lt;&gt;"لا"),0,MAX(0,MIN($F352,EOMONTH(DATE(cfg_FY,2,1),0))-$E352+1))</f>
        <v>0</v>
      </c>
      <c r="AJ352" s="57" t="n">
        <f aca="false">IF(OR(OR($B352="",$E352="",$F352=""),$L352&lt;&gt;"لا"),0,MAX(0,MIN($F352,EOMONTH(DATE(cfg_FY,3,1),0))-$E352+1))</f>
        <v>0</v>
      </c>
      <c r="AK352" s="57" t="n">
        <f aca="false">IF(OR(OR($B352="",$E352="",$F352=""),$L352&lt;&gt;"لا"),0,MAX(0,MIN($F352,EOMONTH(DATE(cfg_FY,4,1),0))-$E352+1))</f>
        <v>0</v>
      </c>
      <c r="AL352" s="57" t="n">
        <f aca="false">IF(OR(OR($B352="",$E352="",$F352=""),$L352&lt;&gt;"لا"),0,MAX(0,MIN($F352,EOMONTH(DATE(cfg_FY,5,1),0))-$E352+1))</f>
        <v>0</v>
      </c>
      <c r="AM352" s="57" t="n">
        <f aca="false">IF(OR(OR($B352="",$E352="",$F352=""),$L352&lt;&gt;"لا"),0,MAX(0,MIN($F352,EOMONTH(DATE(cfg_FY,6,1),0))-$E352+1))</f>
        <v>0</v>
      </c>
      <c r="AN352" s="57" t="n">
        <f aca="false">IF(OR(OR($B352="",$E352="",$F352=""),$L352&lt;&gt;"لا"),0,MAX(0,MIN($F352,EOMONTH(DATE(cfg_FY,7,1),0))-$E352+1))</f>
        <v>0</v>
      </c>
      <c r="AO352" s="57" t="n">
        <f aca="false">IF(OR(OR($B352="",$E352="",$F352=""),$L352&lt;&gt;"لا"),0,MAX(0,MIN($F352,EOMONTH(DATE(cfg_FY,8,1),0))-$E352+1))</f>
        <v>0</v>
      </c>
      <c r="AP352" s="57" t="n">
        <f aca="false">IF(OR(OR($B352="",$E352="",$F352=""),$L352&lt;&gt;"لا"),0,MAX(0,MIN($F352,EOMONTH(DATE(cfg_FY,9,1),0))-$E352+1))</f>
        <v>0</v>
      </c>
      <c r="AQ352" s="57" t="n">
        <f aca="false">IF(OR(OR($B352="",$E352="",$F352=""),$L352&lt;&gt;"لا"),0,MAX(0,MIN($F352,EOMONTH(DATE(cfg_FY,10,1),0))-$E352+1))</f>
        <v>0</v>
      </c>
      <c r="AR352" s="57" t="n">
        <f aca="false">IF(OR(OR($B352="",$E352="",$F352=""),$L352&lt;&gt;"لا"),0,MAX(0,MIN($F352,EOMONTH(DATE(cfg_FY,11,1),0))-$E352+1))</f>
        <v>0</v>
      </c>
      <c r="AS352" s="57" t="n">
        <f aca="false">IF(OR(OR($B352="",$E352="",$F352=""),$L352&lt;&gt;"لا"),0,MAX(0,MIN($F352,EOMONTH(DATE(cfg_FY,12,1),0))-$E352+1))</f>
        <v>0</v>
      </c>
      <c r="AT352" s="57" t="n">
        <f aca="false">IF(OR(OR($B352="",$E352="",$F352=""),$K352&lt;&gt;"نعم",$M352="نعم"),0,MAX(0,MIN($F352,EOMONTH(DATE(cfg_FY,1,1),0))-MAX($E352,DATE(cfg_FY,1,1))+1))</f>
        <v>0</v>
      </c>
      <c r="AU352" s="57" t="n">
        <f aca="false">IF(OR(OR($B352="",$E352="",$F352=""),$K352&lt;&gt;"نعم",$M352="نعم"),0,MAX(0,MIN($F352,EOMONTH(DATE(cfg_FY,2,1),0))-MAX($E352,DATE(cfg_FY,2,1))+1))</f>
        <v>0</v>
      </c>
      <c r="AV352" s="57" t="n">
        <f aca="false">IF(OR(OR($B352="",$E352="",$F352=""),$K352&lt;&gt;"نعم",$M352="نعم"),0,MAX(0,MIN($F352,EOMONTH(DATE(cfg_FY,3,1),0))-MAX($E352,DATE(cfg_FY,3,1))+1))</f>
        <v>0</v>
      </c>
      <c r="AW352" s="57" t="n">
        <f aca="false">IF(OR(OR($B352="",$E352="",$F352=""),$K352&lt;&gt;"نعم",$M352="نعم"),0,MAX(0,MIN($F352,EOMONTH(DATE(cfg_FY,4,1),0))-MAX($E352,DATE(cfg_FY,4,1))+1))</f>
        <v>0</v>
      </c>
      <c r="AX352" s="57" t="n">
        <f aca="false">IF(OR(OR($B352="",$E352="",$F352=""),$K352&lt;&gt;"نعم",$M352="نعم"),0,MAX(0,MIN($F352,EOMONTH(DATE(cfg_FY,5,1),0))-MAX($E352,DATE(cfg_FY,5,1))+1))</f>
        <v>0</v>
      </c>
      <c r="AY352" s="57" t="n">
        <f aca="false">IF(OR(OR($B352="",$E352="",$F352=""),$K352&lt;&gt;"نعم",$M352="نعم"),0,MAX(0,MIN($F352,EOMONTH(DATE(cfg_FY,6,1),0))-MAX($E352,DATE(cfg_FY,6,1))+1))</f>
        <v>0</v>
      </c>
      <c r="AZ352" s="57" t="n">
        <f aca="false">IF(OR(OR($B352="",$E352="",$F352=""),$K352&lt;&gt;"نعم",$M352="نعم"),0,MAX(0,MIN($F352,EOMONTH(DATE(cfg_FY,7,1),0))-MAX($E352,DATE(cfg_FY,7,1))+1))</f>
        <v>0</v>
      </c>
      <c r="BA352" s="57" t="n">
        <f aca="false">IF(OR(OR($B352="",$E352="",$F352=""),$K352&lt;&gt;"نعم",$M352="نعم"),0,MAX(0,MIN($F352,EOMONTH(DATE(cfg_FY,8,1),0))-MAX($E352,DATE(cfg_FY,8,1))+1))</f>
        <v>0</v>
      </c>
      <c r="BB352" s="57" t="n">
        <f aca="false">IF(OR(OR($B352="",$E352="",$F352=""),$K352&lt;&gt;"نعم",$M352="نعم"),0,MAX(0,MIN($F352,EOMONTH(DATE(cfg_FY,9,1),0))-MAX($E352,DATE(cfg_FY,9,1))+1))</f>
        <v>0</v>
      </c>
      <c r="BC352" s="57" t="n">
        <f aca="false">IF(OR(OR($B352="",$E352="",$F352=""),$K352&lt;&gt;"نعم",$M352="نعم"),0,MAX(0,MIN($F352,EOMONTH(DATE(cfg_FY,10,1),0))-MAX($E352,DATE(cfg_FY,10,1))+1))</f>
        <v>0</v>
      </c>
      <c r="BD352" s="57" t="n">
        <f aca="false">IF(OR(OR($B352="",$E352="",$F352=""),$K352&lt;&gt;"نعم",$M352="نعم"),0,MAX(0,MIN($F352,EOMONTH(DATE(cfg_FY,11,1),0))-MAX($E352,DATE(cfg_FY,11,1))+1))</f>
        <v>0</v>
      </c>
      <c r="BE352" s="57" t="n">
        <f aca="false">IF(OR(OR($B352="",$E352="",$F352=""),$K352&lt;&gt;"نعم",$M352="نعم"),0,MAX(0,MIN($F352,EOMONTH(DATE(cfg_FY,12,1),0))-MAX($E352,DATE(cfg_FY,12,1))+1))</f>
        <v>0</v>
      </c>
    </row>
    <row r="353" customFormat="false" ht="15" hidden="false" customHeight="false" outlineLevel="0" collapsed="false">
      <c r="A353" s="100" t="str">
        <f aca="false">IF(B353="","",ROW()-5)</f>
        <v/>
      </c>
      <c r="B353" s="79"/>
      <c r="C353" s="102" t="str">
        <f aca="false">IF(B353="","",IFERROR(INDEX(الموظفون!$C$6:$C$105,MATCH(B353,الموظفون!$B$6:$B$105,0)),"✖ رقم غير موجود"))</f>
        <v/>
      </c>
      <c r="D353" s="79"/>
      <c r="E353" s="94"/>
      <c r="F353" s="94"/>
      <c r="G353" s="110" t="str">
        <f aca="false">IF(OR($B353="",$E353="",$F353=""),"",MAX(0,F353-E353+1))</f>
        <v/>
      </c>
      <c r="H353" s="111" t="str">
        <f aca="false">IF(D353="","",IFERROR(VLOOKUP(D353,cfg_LT,2,FALSE()),1))</f>
        <v/>
      </c>
      <c r="I353" s="82"/>
      <c r="J353" s="111" t="str">
        <f aca="false">IF(D353="","",IF(I353&lt;&gt;"",I353,H353))</f>
        <v/>
      </c>
      <c r="K353" s="102" t="str">
        <f aca="false">IF(D353="","",IFERROR(VLOOKUP($D353,cfg_LT,3,FALSE()),""))</f>
        <v/>
      </c>
      <c r="L353" s="102" t="str">
        <f aca="false">IF(D353="","",IFERROR(VLOOKUP($D353,cfg_LT,4,FALSE()),""))</f>
        <v/>
      </c>
      <c r="M353" s="102" t="str">
        <f aca="false">IF(D353="","",IFERROR(VLOOKUP($D353,cfg_LT,5,FALSE()),""))</f>
        <v/>
      </c>
      <c r="N353" s="101" t="n">
        <f aca="false">IF(OR(OR($B353="",$E353="",$F353=""),M353&lt;&gt;"نعم"),0,G353*J353*IFERROR(INDEX(الموظفون!$R$6:$R$105,MATCH(B353,الموظفون!$B$6:$B$105,0)),0)/cfg_DAYS_M)</f>
        <v>0</v>
      </c>
      <c r="O353" s="100" t="str">
        <f aca="false">IF(OR(OR($B353="",$E353="",$F353=""),M353&lt;&gt;"نعم"),"",IF(YEAR(E353)=cfg_FY,MONTH(E353),""))</f>
        <v/>
      </c>
      <c r="P353" s="102" t="str">
        <f aca="false">IF(B353="","",IF(OR(D353="",E353="",F353=""),"⚠ أكمل النوع والتواريخ",IF(F353&lt;E353,"✖ النهاية قبل البداية",IF(COUNTIFS($B$6:$B$505,B353,$E$6:$E$505,"&lt;="&amp;F353,$F$6:$F$505,"&gt;="&amp;E353)&gt;1,"⚠ تداخل مع سجل آخر",IF(E353&gt;cfg_VAL_DATE,"⏳ قادمة",IF(F353&lt;cfg_VAL_DATE,"✔ منتهية","✈ جارية في تاريخ التقرير"))))))</f>
        <v/>
      </c>
      <c r="Q353" s="79"/>
      <c r="R353" s="110" t="n">
        <f aca="false">IF(OR(OR($B353="",$E353="",$F353=""),L353&lt;&gt;"لا"),0,MAX(0,MIN(F353,cfg_Y_START-1)-E353+1))</f>
        <v>0</v>
      </c>
      <c r="S353" s="110" t="n">
        <f aca="false">IF(OR(OR($B353="",$E353="",$F353=""),L353&lt;&gt;"لا"),0,MAX(0,MIN(F353,cfg_VAL_DATE)-E353+1))</f>
        <v>0</v>
      </c>
      <c r="T353" s="110" t="n">
        <f aca="false">IF(OR(OR($B353="",$E353="",$F353=""),K353&lt;&gt;"نعم"),0,IF(M353="نعم",IF(AND(ISNUMBER(O353),N(O353)&lt;=cfg_VAL_M),G353,0),MAX(0,MIN(F353,cfg_VAL_DATE)-MAX(E353,cfg_Y_START)+1)))</f>
        <v>0</v>
      </c>
      <c r="V353" s="110" t="n">
        <f aca="false">IF(OR($B353="",$E353="",$F353=""),0,MAX(0,MIN($F353,EOMONTH(DATE(cfg_FY,1,1),0))-MAX($E353,DATE(cfg_FY,1,1))+1)*(1-IF($M353="نعم",0,N($J353))))</f>
        <v>0</v>
      </c>
      <c r="W353" s="110" t="n">
        <f aca="false">IF(OR($B353="",$E353="",$F353=""),0,MAX(0,MIN($F353,EOMONTH(DATE(cfg_FY,2,1),0))-MAX($E353,DATE(cfg_FY,2,1))+1)*(1-IF($M353="نعم",0,N($J353))))</f>
        <v>0</v>
      </c>
      <c r="X353" s="110" t="n">
        <f aca="false">IF(OR($B353="",$E353="",$F353=""),0,MAX(0,MIN($F353,EOMONTH(DATE(cfg_FY,3,1),0))-MAX($E353,DATE(cfg_FY,3,1))+1)*(1-IF($M353="نعم",0,N($J353))))</f>
        <v>0</v>
      </c>
      <c r="Y353" s="110" t="n">
        <f aca="false">IF(OR($B353="",$E353="",$F353=""),0,MAX(0,MIN($F353,EOMONTH(DATE(cfg_FY,4,1),0))-MAX($E353,DATE(cfg_FY,4,1))+1)*(1-IF($M353="نعم",0,N($J353))))</f>
        <v>0</v>
      </c>
      <c r="Z353" s="110" t="n">
        <f aca="false">IF(OR($B353="",$E353="",$F353=""),0,MAX(0,MIN($F353,EOMONTH(DATE(cfg_FY,5,1),0))-MAX($E353,DATE(cfg_FY,5,1))+1)*(1-IF($M353="نعم",0,N($J353))))</f>
        <v>0</v>
      </c>
      <c r="AA353" s="110" t="n">
        <f aca="false">IF(OR($B353="",$E353="",$F353=""),0,MAX(0,MIN($F353,EOMONTH(DATE(cfg_FY,6,1),0))-MAX($E353,DATE(cfg_FY,6,1))+1)*(1-IF($M353="نعم",0,N($J353))))</f>
        <v>0</v>
      </c>
      <c r="AB353" s="110" t="n">
        <f aca="false">IF(OR($B353="",$E353="",$F353=""),0,MAX(0,MIN($F353,EOMONTH(DATE(cfg_FY,7,1),0))-MAX($E353,DATE(cfg_FY,7,1))+1)*(1-IF($M353="نعم",0,N($J353))))</f>
        <v>0</v>
      </c>
      <c r="AC353" s="110" t="n">
        <f aca="false">IF(OR($B353="",$E353="",$F353=""),0,MAX(0,MIN($F353,EOMONTH(DATE(cfg_FY,8,1),0))-MAX($E353,DATE(cfg_FY,8,1))+1)*(1-IF($M353="نعم",0,N($J353))))</f>
        <v>0</v>
      </c>
      <c r="AD353" s="110" t="n">
        <f aca="false">IF(OR($B353="",$E353="",$F353=""),0,MAX(0,MIN($F353,EOMONTH(DATE(cfg_FY,9,1),0))-MAX($E353,DATE(cfg_FY,9,1))+1)*(1-IF($M353="نعم",0,N($J353))))</f>
        <v>0</v>
      </c>
      <c r="AE353" s="110" t="n">
        <f aca="false">IF(OR($B353="",$E353="",$F353=""),0,MAX(0,MIN($F353,EOMONTH(DATE(cfg_FY,10,1),0))-MAX($E353,DATE(cfg_FY,10,1))+1)*(1-IF($M353="نعم",0,N($J353))))</f>
        <v>0</v>
      </c>
      <c r="AF353" s="110" t="n">
        <f aca="false">IF(OR($B353="",$E353="",$F353=""),0,MAX(0,MIN($F353,EOMONTH(DATE(cfg_FY,11,1),0))-MAX($E353,DATE(cfg_FY,11,1))+1)*(1-IF($M353="نعم",0,N($J353))))</f>
        <v>0</v>
      </c>
      <c r="AG353" s="110" t="n">
        <f aca="false">IF(OR($B353="",$E353="",$F353=""),0,MAX(0,MIN($F353,EOMONTH(DATE(cfg_FY,12,1),0))-MAX($E353,DATE(cfg_FY,12,1))+1)*(1-IF($M353="نعم",0,N($J353))))</f>
        <v>0</v>
      </c>
      <c r="AH353" s="110" t="n">
        <f aca="false">IF(OR(OR($B353="",$E353="",$F353=""),$L353&lt;&gt;"لا"),0,MAX(0,MIN($F353,EOMONTH(DATE(cfg_FY,1,1),0))-$E353+1))</f>
        <v>0</v>
      </c>
      <c r="AI353" s="110" t="n">
        <f aca="false">IF(OR(OR($B353="",$E353="",$F353=""),$L353&lt;&gt;"لا"),0,MAX(0,MIN($F353,EOMONTH(DATE(cfg_FY,2,1),0))-$E353+1))</f>
        <v>0</v>
      </c>
      <c r="AJ353" s="110" t="n">
        <f aca="false">IF(OR(OR($B353="",$E353="",$F353=""),$L353&lt;&gt;"لا"),0,MAX(0,MIN($F353,EOMONTH(DATE(cfg_FY,3,1),0))-$E353+1))</f>
        <v>0</v>
      </c>
      <c r="AK353" s="110" t="n">
        <f aca="false">IF(OR(OR($B353="",$E353="",$F353=""),$L353&lt;&gt;"لا"),0,MAX(0,MIN($F353,EOMONTH(DATE(cfg_FY,4,1),0))-$E353+1))</f>
        <v>0</v>
      </c>
      <c r="AL353" s="110" t="n">
        <f aca="false">IF(OR(OR($B353="",$E353="",$F353=""),$L353&lt;&gt;"لا"),0,MAX(0,MIN($F353,EOMONTH(DATE(cfg_FY,5,1),0))-$E353+1))</f>
        <v>0</v>
      </c>
      <c r="AM353" s="110" t="n">
        <f aca="false">IF(OR(OR($B353="",$E353="",$F353=""),$L353&lt;&gt;"لا"),0,MAX(0,MIN($F353,EOMONTH(DATE(cfg_FY,6,1),0))-$E353+1))</f>
        <v>0</v>
      </c>
      <c r="AN353" s="110" t="n">
        <f aca="false">IF(OR(OR($B353="",$E353="",$F353=""),$L353&lt;&gt;"لا"),0,MAX(0,MIN($F353,EOMONTH(DATE(cfg_FY,7,1),0))-$E353+1))</f>
        <v>0</v>
      </c>
      <c r="AO353" s="110" t="n">
        <f aca="false">IF(OR(OR($B353="",$E353="",$F353=""),$L353&lt;&gt;"لا"),0,MAX(0,MIN($F353,EOMONTH(DATE(cfg_FY,8,1),0))-$E353+1))</f>
        <v>0</v>
      </c>
      <c r="AP353" s="110" t="n">
        <f aca="false">IF(OR(OR($B353="",$E353="",$F353=""),$L353&lt;&gt;"لا"),0,MAX(0,MIN($F353,EOMONTH(DATE(cfg_FY,9,1),0))-$E353+1))</f>
        <v>0</v>
      </c>
      <c r="AQ353" s="110" t="n">
        <f aca="false">IF(OR(OR($B353="",$E353="",$F353=""),$L353&lt;&gt;"لا"),0,MAX(0,MIN($F353,EOMONTH(DATE(cfg_FY,10,1),0))-$E353+1))</f>
        <v>0</v>
      </c>
      <c r="AR353" s="110" t="n">
        <f aca="false">IF(OR(OR($B353="",$E353="",$F353=""),$L353&lt;&gt;"لا"),0,MAX(0,MIN($F353,EOMONTH(DATE(cfg_FY,11,1),0))-$E353+1))</f>
        <v>0</v>
      </c>
      <c r="AS353" s="110" t="n">
        <f aca="false">IF(OR(OR($B353="",$E353="",$F353=""),$L353&lt;&gt;"لا"),0,MAX(0,MIN($F353,EOMONTH(DATE(cfg_FY,12,1),0))-$E353+1))</f>
        <v>0</v>
      </c>
      <c r="AT353" s="110" t="n">
        <f aca="false">IF(OR(OR($B353="",$E353="",$F353=""),$K353&lt;&gt;"نعم",$M353="نعم"),0,MAX(0,MIN($F353,EOMONTH(DATE(cfg_FY,1,1),0))-MAX($E353,DATE(cfg_FY,1,1))+1))</f>
        <v>0</v>
      </c>
      <c r="AU353" s="110" t="n">
        <f aca="false">IF(OR(OR($B353="",$E353="",$F353=""),$K353&lt;&gt;"نعم",$M353="نعم"),0,MAX(0,MIN($F353,EOMONTH(DATE(cfg_FY,2,1),0))-MAX($E353,DATE(cfg_FY,2,1))+1))</f>
        <v>0</v>
      </c>
      <c r="AV353" s="110" t="n">
        <f aca="false">IF(OR(OR($B353="",$E353="",$F353=""),$K353&lt;&gt;"نعم",$M353="نعم"),0,MAX(0,MIN($F353,EOMONTH(DATE(cfg_FY,3,1),0))-MAX($E353,DATE(cfg_FY,3,1))+1))</f>
        <v>0</v>
      </c>
      <c r="AW353" s="110" t="n">
        <f aca="false">IF(OR(OR($B353="",$E353="",$F353=""),$K353&lt;&gt;"نعم",$M353="نعم"),0,MAX(0,MIN($F353,EOMONTH(DATE(cfg_FY,4,1),0))-MAX($E353,DATE(cfg_FY,4,1))+1))</f>
        <v>0</v>
      </c>
      <c r="AX353" s="110" t="n">
        <f aca="false">IF(OR(OR($B353="",$E353="",$F353=""),$K353&lt;&gt;"نعم",$M353="نعم"),0,MAX(0,MIN($F353,EOMONTH(DATE(cfg_FY,5,1),0))-MAX($E353,DATE(cfg_FY,5,1))+1))</f>
        <v>0</v>
      </c>
      <c r="AY353" s="110" t="n">
        <f aca="false">IF(OR(OR($B353="",$E353="",$F353=""),$K353&lt;&gt;"نعم",$M353="نعم"),0,MAX(0,MIN($F353,EOMONTH(DATE(cfg_FY,6,1),0))-MAX($E353,DATE(cfg_FY,6,1))+1))</f>
        <v>0</v>
      </c>
      <c r="AZ353" s="110" t="n">
        <f aca="false">IF(OR(OR($B353="",$E353="",$F353=""),$K353&lt;&gt;"نعم",$M353="نعم"),0,MAX(0,MIN($F353,EOMONTH(DATE(cfg_FY,7,1),0))-MAX($E353,DATE(cfg_FY,7,1))+1))</f>
        <v>0</v>
      </c>
      <c r="BA353" s="110" t="n">
        <f aca="false">IF(OR(OR($B353="",$E353="",$F353=""),$K353&lt;&gt;"نعم",$M353="نعم"),0,MAX(0,MIN($F353,EOMONTH(DATE(cfg_FY,8,1),0))-MAX($E353,DATE(cfg_FY,8,1))+1))</f>
        <v>0</v>
      </c>
      <c r="BB353" s="110" t="n">
        <f aca="false">IF(OR(OR($B353="",$E353="",$F353=""),$K353&lt;&gt;"نعم",$M353="نعم"),0,MAX(0,MIN($F353,EOMONTH(DATE(cfg_FY,9,1),0))-MAX($E353,DATE(cfg_FY,9,1))+1))</f>
        <v>0</v>
      </c>
      <c r="BC353" s="110" t="n">
        <f aca="false">IF(OR(OR($B353="",$E353="",$F353=""),$K353&lt;&gt;"نعم",$M353="نعم"),0,MAX(0,MIN($F353,EOMONTH(DATE(cfg_FY,10,1),0))-MAX($E353,DATE(cfg_FY,10,1))+1))</f>
        <v>0</v>
      </c>
      <c r="BD353" s="110" t="n">
        <f aca="false">IF(OR(OR($B353="",$E353="",$F353=""),$K353&lt;&gt;"نعم",$M353="نعم"),0,MAX(0,MIN($F353,EOMONTH(DATE(cfg_FY,11,1),0))-MAX($E353,DATE(cfg_FY,11,1))+1))</f>
        <v>0</v>
      </c>
      <c r="BE353" s="110" t="n">
        <f aca="false">IF(OR(OR($B353="",$E353="",$F353=""),$K353&lt;&gt;"نعم",$M353="نعم"),0,MAX(0,MIN($F353,EOMONTH(DATE(cfg_FY,12,1),0))-MAX($E353,DATE(cfg_FY,12,1))+1))</f>
        <v>0</v>
      </c>
    </row>
    <row r="354" customFormat="false" ht="15" hidden="false" customHeight="false" outlineLevel="0" collapsed="false">
      <c r="A354" s="93" t="str">
        <f aca="false">IF(B354="","",ROW()-5)</f>
        <v/>
      </c>
      <c r="B354" s="79"/>
      <c r="C354" s="80" t="str">
        <f aca="false">IF(B354="","",IFERROR(INDEX(الموظفون!$C$6:$C$105,MATCH(B354,الموظفون!$B$6:$B$105,0)),"✖ رقم غير موجود"))</f>
        <v/>
      </c>
      <c r="D354" s="79"/>
      <c r="E354" s="94"/>
      <c r="F354" s="94"/>
      <c r="G354" s="57" t="str">
        <f aca="false">IF(OR($B354="",$E354="",$F354=""),"",MAX(0,F354-E354+1))</f>
        <v/>
      </c>
      <c r="H354" s="58" t="str">
        <f aca="false">IF(D354="","",IFERROR(VLOOKUP(D354,cfg_LT,2,FALSE()),1))</f>
        <v/>
      </c>
      <c r="I354" s="82"/>
      <c r="J354" s="58" t="str">
        <f aca="false">IF(D354="","",IF(I354&lt;&gt;"",I354,H354))</f>
        <v/>
      </c>
      <c r="K354" s="80" t="str">
        <f aca="false">IF(D354="","",IFERROR(VLOOKUP($D354,cfg_LT,3,FALSE()),""))</f>
        <v/>
      </c>
      <c r="L354" s="80" t="str">
        <f aca="false">IF(D354="","",IFERROR(VLOOKUP($D354,cfg_LT,4,FALSE()),""))</f>
        <v/>
      </c>
      <c r="M354" s="80" t="str">
        <f aca="false">IF(D354="","",IFERROR(VLOOKUP($D354,cfg_LT,5,FALSE()),""))</f>
        <v/>
      </c>
      <c r="N354" s="97" t="n">
        <f aca="false">IF(OR(OR($B354="",$E354="",$F354=""),M354&lt;&gt;"نعم"),0,G354*J354*IFERROR(INDEX(الموظفون!$R$6:$R$105,MATCH(B354,الموظفون!$B$6:$B$105,0)),0)/cfg_DAYS_M)</f>
        <v>0</v>
      </c>
      <c r="O354" s="93" t="str">
        <f aca="false">IF(OR(OR($B354="",$E354="",$F354=""),M354&lt;&gt;"نعم"),"",IF(YEAR(E354)=cfg_FY,MONTH(E354),""))</f>
        <v/>
      </c>
      <c r="P354" s="80" t="str">
        <f aca="false">IF(B354="","",IF(OR(D354="",E354="",F354=""),"⚠ أكمل النوع والتواريخ",IF(F354&lt;E354,"✖ النهاية قبل البداية",IF(COUNTIFS($B$6:$B$505,B354,$E$6:$E$505,"&lt;="&amp;F354,$F$6:$F$505,"&gt;="&amp;E354)&gt;1,"⚠ تداخل مع سجل آخر",IF(E354&gt;cfg_VAL_DATE,"⏳ قادمة",IF(F354&lt;cfg_VAL_DATE,"✔ منتهية","✈ جارية في تاريخ التقرير"))))))</f>
        <v/>
      </c>
      <c r="Q354" s="79"/>
      <c r="R354" s="57" t="n">
        <f aca="false">IF(OR(OR($B354="",$E354="",$F354=""),L354&lt;&gt;"لا"),0,MAX(0,MIN(F354,cfg_Y_START-1)-E354+1))</f>
        <v>0</v>
      </c>
      <c r="S354" s="57" t="n">
        <f aca="false">IF(OR(OR($B354="",$E354="",$F354=""),L354&lt;&gt;"لا"),0,MAX(0,MIN(F354,cfg_VAL_DATE)-E354+1))</f>
        <v>0</v>
      </c>
      <c r="T354" s="57" t="n">
        <f aca="false">IF(OR(OR($B354="",$E354="",$F354=""),K354&lt;&gt;"نعم"),0,IF(M354="نعم",IF(AND(ISNUMBER(O354),N(O354)&lt;=cfg_VAL_M),G354,0),MAX(0,MIN(F354,cfg_VAL_DATE)-MAX(E354,cfg_Y_START)+1)))</f>
        <v>0</v>
      </c>
      <c r="V354" s="57" t="n">
        <f aca="false">IF(OR($B354="",$E354="",$F354=""),0,MAX(0,MIN($F354,EOMONTH(DATE(cfg_FY,1,1),0))-MAX($E354,DATE(cfg_FY,1,1))+1)*(1-IF($M354="نعم",0,N($J354))))</f>
        <v>0</v>
      </c>
      <c r="W354" s="57" t="n">
        <f aca="false">IF(OR($B354="",$E354="",$F354=""),0,MAX(0,MIN($F354,EOMONTH(DATE(cfg_FY,2,1),0))-MAX($E354,DATE(cfg_FY,2,1))+1)*(1-IF($M354="نعم",0,N($J354))))</f>
        <v>0</v>
      </c>
      <c r="X354" s="57" t="n">
        <f aca="false">IF(OR($B354="",$E354="",$F354=""),0,MAX(0,MIN($F354,EOMONTH(DATE(cfg_FY,3,1),0))-MAX($E354,DATE(cfg_FY,3,1))+1)*(1-IF($M354="نعم",0,N($J354))))</f>
        <v>0</v>
      </c>
      <c r="Y354" s="57" t="n">
        <f aca="false">IF(OR($B354="",$E354="",$F354=""),0,MAX(0,MIN($F354,EOMONTH(DATE(cfg_FY,4,1),0))-MAX($E354,DATE(cfg_FY,4,1))+1)*(1-IF($M354="نعم",0,N($J354))))</f>
        <v>0</v>
      </c>
      <c r="Z354" s="57" t="n">
        <f aca="false">IF(OR($B354="",$E354="",$F354=""),0,MAX(0,MIN($F354,EOMONTH(DATE(cfg_FY,5,1),0))-MAX($E354,DATE(cfg_FY,5,1))+1)*(1-IF($M354="نعم",0,N($J354))))</f>
        <v>0</v>
      </c>
      <c r="AA354" s="57" t="n">
        <f aca="false">IF(OR($B354="",$E354="",$F354=""),0,MAX(0,MIN($F354,EOMONTH(DATE(cfg_FY,6,1),0))-MAX($E354,DATE(cfg_FY,6,1))+1)*(1-IF($M354="نعم",0,N($J354))))</f>
        <v>0</v>
      </c>
      <c r="AB354" s="57" t="n">
        <f aca="false">IF(OR($B354="",$E354="",$F354=""),0,MAX(0,MIN($F354,EOMONTH(DATE(cfg_FY,7,1),0))-MAX($E354,DATE(cfg_FY,7,1))+1)*(1-IF($M354="نعم",0,N($J354))))</f>
        <v>0</v>
      </c>
      <c r="AC354" s="57" t="n">
        <f aca="false">IF(OR($B354="",$E354="",$F354=""),0,MAX(0,MIN($F354,EOMONTH(DATE(cfg_FY,8,1),0))-MAX($E354,DATE(cfg_FY,8,1))+1)*(1-IF($M354="نعم",0,N($J354))))</f>
        <v>0</v>
      </c>
      <c r="AD354" s="57" t="n">
        <f aca="false">IF(OR($B354="",$E354="",$F354=""),0,MAX(0,MIN($F354,EOMONTH(DATE(cfg_FY,9,1),0))-MAX($E354,DATE(cfg_FY,9,1))+1)*(1-IF($M354="نعم",0,N($J354))))</f>
        <v>0</v>
      </c>
      <c r="AE354" s="57" t="n">
        <f aca="false">IF(OR($B354="",$E354="",$F354=""),0,MAX(0,MIN($F354,EOMONTH(DATE(cfg_FY,10,1),0))-MAX($E354,DATE(cfg_FY,10,1))+1)*(1-IF($M354="نعم",0,N($J354))))</f>
        <v>0</v>
      </c>
      <c r="AF354" s="57" t="n">
        <f aca="false">IF(OR($B354="",$E354="",$F354=""),0,MAX(0,MIN($F354,EOMONTH(DATE(cfg_FY,11,1),0))-MAX($E354,DATE(cfg_FY,11,1))+1)*(1-IF($M354="نعم",0,N($J354))))</f>
        <v>0</v>
      </c>
      <c r="AG354" s="57" t="n">
        <f aca="false">IF(OR($B354="",$E354="",$F354=""),0,MAX(0,MIN($F354,EOMONTH(DATE(cfg_FY,12,1),0))-MAX($E354,DATE(cfg_FY,12,1))+1)*(1-IF($M354="نعم",0,N($J354))))</f>
        <v>0</v>
      </c>
      <c r="AH354" s="57" t="n">
        <f aca="false">IF(OR(OR($B354="",$E354="",$F354=""),$L354&lt;&gt;"لا"),0,MAX(0,MIN($F354,EOMONTH(DATE(cfg_FY,1,1),0))-$E354+1))</f>
        <v>0</v>
      </c>
      <c r="AI354" s="57" t="n">
        <f aca="false">IF(OR(OR($B354="",$E354="",$F354=""),$L354&lt;&gt;"لا"),0,MAX(0,MIN($F354,EOMONTH(DATE(cfg_FY,2,1),0))-$E354+1))</f>
        <v>0</v>
      </c>
      <c r="AJ354" s="57" t="n">
        <f aca="false">IF(OR(OR($B354="",$E354="",$F354=""),$L354&lt;&gt;"لا"),0,MAX(0,MIN($F354,EOMONTH(DATE(cfg_FY,3,1),0))-$E354+1))</f>
        <v>0</v>
      </c>
      <c r="AK354" s="57" t="n">
        <f aca="false">IF(OR(OR($B354="",$E354="",$F354=""),$L354&lt;&gt;"لا"),0,MAX(0,MIN($F354,EOMONTH(DATE(cfg_FY,4,1),0))-$E354+1))</f>
        <v>0</v>
      </c>
      <c r="AL354" s="57" t="n">
        <f aca="false">IF(OR(OR($B354="",$E354="",$F354=""),$L354&lt;&gt;"لا"),0,MAX(0,MIN($F354,EOMONTH(DATE(cfg_FY,5,1),0))-$E354+1))</f>
        <v>0</v>
      </c>
      <c r="AM354" s="57" t="n">
        <f aca="false">IF(OR(OR($B354="",$E354="",$F354=""),$L354&lt;&gt;"لا"),0,MAX(0,MIN($F354,EOMONTH(DATE(cfg_FY,6,1),0))-$E354+1))</f>
        <v>0</v>
      </c>
      <c r="AN354" s="57" t="n">
        <f aca="false">IF(OR(OR($B354="",$E354="",$F354=""),$L354&lt;&gt;"لا"),0,MAX(0,MIN($F354,EOMONTH(DATE(cfg_FY,7,1),0))-$E354+1))</f>
        <v>0</v>
      </c>
      <c r="AO354" s="57" t="n">
        <f aca="false">IF(OR(OR($B354="",$E354="",$F354=""),$L354&lt;&gt;"لا"),0,MAX(0,MIN($F354,EOMONTH(DATE(cfg_FY,8,1),0))-$E354+1))</f>
        <v>0</v>
      </c>
      <c r="AP354" s="57" t="n">
        <f aca="false">IF(OR(OR($B354="",$E354="",$F354=""),$L354&lt;&gt;"لا"),0,MAX(0,MIN($F354,EOMONTH(DATE(cfg_FY,9,1),0))-$E354+1))</f>
        <v>0</v>
      </c>
      <c r="AQ354" s="57" t="n">
        <f aca="false">IF(OR(OR($B354="",$E354="",$F354=""),$L354&lt;&gt;"لا"),0,MAX(0,MIN($F354,EOMONTH(DATE(cfg_FY,10,1),0))-$E354+1))</f>
        <v>0</v>
      </c>
      <c r="AR354" s="57" t="n">
        <f aca="false">IF(OR(OR($B354="",$E354="",$F354=""),$L354&lt;&gt;"لا"),0,MAX(0,MIN($F354,EOMONTH(DATE(cfg_FY,11,1),0))-$E354+1))</f>
        <v>0</v>
      </c>
      <c r="AS354" s="57" t="n">
        <f aca="false">IF(OR(OR($B354="",$E354="",$F354=""),$L354&lt;&gt;"لا"),0,MAX(0,MIN($F354,EOMONTH(DATE(cfg_FY,12,1),0))-$E354+1))</f>
        <v>0</v>
      </c>
      <c r="AT354" s="57" t="n">
        <f aca="false">IF(OR(OR($B354="",$E354="",$F354=""),$K354&lt;&gt;"نعم",$M354="نعم"),0,MAX(0,MIN($F354,EOMONTH(DATE(cfg_FY,1,1),0))-MAX($E354,DATE(cfg_FY,1,1))+1))</f>
        <v>0</v>
      </c>
      <c r="AU354" s="57" t="n">
        <f aca="false">IF(OR(OR($B354="",$E354="",$F354=""),$K354&lt;&gt;"نعم",$M354="نعم"),0,MAX(0,MIN($F354,EOMONTH(DATE(cfg_FY,2,1),0))-MAX($E354,DATE(cfg_FY,2,1))+1))</f>
        <v>0</v>
      </c>
      <c r="AV354" s="57" t="n">
        <f aca="false">IF(OR(OR($B354="",$E354="",$F354=""),$K354&lt;&gt;"نعم",$M354="نعم"),0,MAX(0,MIN($F354,EOMONTH(DATE(cfg_FY,3,1),0))-MAX($E354,DATE(cfg_FY,3,1))+1))</f>
        <v>0</v>
      </c>
      <c r="AW354" s="57" t="n">
        <f aca="false">IF(OR(OR($B354="",$E354="",$F354=""),$K354&lt;&gt;"نعم",$M354="نعم"),0,MAX(0,MIN($F354,EOMONTH(DATE(cfg_FY,4,1),0))-MAX($E354,DATE(cfg_FY,4,1))+1))</f>
        <v>0</v>
      </c>
      <c r="AX354" s="57" t="n">
        <f aca="false">IF(OR(OR($B354="",$E354="",$F354=""),$K354&lt;&gt;"نعم",$M354="نعم"),0,MAX(0,MIN($F354,EOMONTH(DATE(cfg_FY,5,1),0))-MAX($E354,DATE(cfg_FY,5,1))+1))</f>
        <v>0</v>
      </c>
      <c r="AY354" s="57" t="n">
        <f aca="false">IF(OR(OR($B354="",$E354="",$F354=""),$K354&lt;&gt;"نعم",$M354="نعم"),0,MAX(0,MIN($F354,EOMONTH(DATE(cfg_FY,6,1),0))-MAX($E354,DATE(cfg_FY,6,1))+1))</f>
        <v>0</v>
      </c>
      <c r="AZ354" s="57" t="n">
        <f aca="false">IF(OR(OR($B354="",$E354="",$F354=""),$K354&lt;&gt;"نعم",$M354="نعم"),0,MAX(0,MIN($F354,EOMONTH(DATE(cfg_FY,7,1),0))-MAX($E354,DATE(cfg_FY,7,1))+1))</f>
        <v>0</v>
      </c>
      <c r="BA354" s="57" t="n">
        <f aca="false">IF(OR(OR($B354="",$E354="",$F354=""),$K354&lt;&gt;"نعم",$M354="نعم"),0,MAX(0,MIN($F354,EOMONTH(DATE(cfg_FY,8,1),0))-MAX($E354,DATE(cfg_FY,8,1))+1))</f>
        <v>0</v>
      </c>
      <c r="BB354" s="57" t="n">
        <f aca="false">IF(OR(OR($B354="",$E354="",$F354=""),$K354&lt;&gt;"نعم",$M354="نعم"),0,MAX(0,MIN($F354,EOMONTH(DATE(cfg_FY,9,1),0))-MAX($E354,DATE(cfg_FY,9,1))+1))</f>
        <v>0</v>
      </c>
      <c r="BC354" s="57" t="n">
        <f aca="false">IF(OR(OR($B354="",$E354="",$F354=""),$K354&lt;&gt;"نعم",$M354="نعم"),0,MAX(0,MIN($F354,EOMONTH(DATE(cfg_FY,10,1),0))-MAX($E354,DATE(cfg_FY,10,1))+1))</f>
        <v>0</v>
      </c>
      <c r="BD354" s="57" t="n">
        <f aca="false">IF(OR(OR($B354="",$E354="",$F354=""),$K354&lt;&gt;"نعم",$M354="نعم"),0,MAX(0,MIN($F354,EOMONTH(DATE(cfg_FY,11,1),0))-MAX($E354,DATE(cfg_FY,11,1))+1))</f>
        <v>0</v>
      </c>
      <c r="BE354" s="57" t="n">
        <f aca="false">IF(OR(OR($B354="",$E354="",$F354=""),$K354&lt;&gt;"نعم",$M354="نعم"),0,MAX(0,MIN($F354,EOMONTH(DATE(cfg_FY,12,1),0))-MAX($E354,DATE(cfg_FY,12,1))+1))</f>
        <v>0</v>
      </c>
    </row>
    <row r="355" customFormat="false" ht="15" hidden="false" customHeight="false" outlineLevel="0" collapsed="false">
      <c r="A355" s="100" t="str">
        <f aca="false">IF(B355="","",ROW()-5)</f>
        <v/>
      </c>
      <c r="B355" s="79"/>
      <c r="C355" s="102" t="str">
        <f aca="false">IF(B355="","",IFERROR(INDEX(الموظفون!$C$6:$C$105,MATCH(B355,الموظفون!$B$6:$B$105,0)),"✖ رقم غير موجود"))</f>
        <v/>
      </c>
      <c r="D355" s="79"/>
      <c r="E355" s="94"/>
      <c r="F355" s="94"/>
      <c r="G355" s="110" t="str">
        <f aca="false">IF(OR($B355="",$E355="",$F355=""),"",MAX(0,F355-E355+1))</f>
        <v/>
      </c>
      <c r="H355" s="111" t="str">
        <f aca="false">IF(D355="","",IFERROR(VLOOKUP(D355,cfg_LT,2,FALSE()),1))</f>
        <v/>
      </c>
      <c r="I355" s="82"/>
      <c r="J355" s="111" t="str">
        <f aca="false">IF(D355="","",IF(I355&lt;&gt;"",I355,H355))</f>
        <v/>
      </c>
      <c r="K355" s="102" t="str">
        <f aca="false">IF(D355="","",IFERROR(VLOOKUP($D355,cfg_LT,3,FALSE()),""))</f>
        <v/>
      </c>
      <c r="L355" s="102" t="str">
        <f aca="false">IF(D355="","",IFERROR(VLOOKUP($D355,cfg_LT,4,FALSE()),""))</f>
        <v/>
      </c>
      <c r="M355" s="102" t="str">
        <f aca="false">IF(D355="","",IFERROR(VLOOKUP($D355,cfg_LT,5,FALSE()),""))</f>
        <v/>
      </c>
      <c r="N355" s="101" t="n">
        <f aca="false">IF(OR(OR($B355="",$E355="",$F355=""),M355&lt;&gt;"نعم"),0,G355*J355*IFERROR(INDEX(الموظفون!$R$6:$R$105,MATCH(B355,الموظفون!$B$6:$B$105,0)),0)/cfg_DAYS_M)</f>
        <v>0</v>
      </c>
      <c r="O355" s="100" t="str">
        <f aca="false">IF(OR(OR($B355="",$E355="",$F355=""),M355&lt;&gt;"نعم"),"",IF(YEAR(E355)=cfg_FY,MONTH(E355),""))</f>
        <v/>
      </c>
      <c r="P355" s="102" t="str">
        <f aca="false">IF(B355="","",IF(OR(D355="",E355="",F355=""),"⚠ أكمل النوع والتواريخ",IF(F355&lt;E355,"✖ النهاية قبل البداية",IF(COUNTIFS($B$6:$B$505,B355,$E$6:$E$505,"&lt;="&amp;F355,$F$6:$F$505,"&gt;="&amp;E355)&gt;1,"⚠ تداخل مع سجل آخر",IF(E355&gt;cfg_VAL_DATE,"⏳ قادمة",IF(F355&lt;cfg_VAL_DATE,"✔ منتهية","✈ جارية في تاريخ التقرير"))))))</f>
        <v/>
      </c>
      <c r="Q355" s="79"/>
      <c r="R355" s="110" t="n">
        <f aca="false">IF(OR(OR($B355="",$E355="",$F355=""),L355&lt;&gt;"لا"),0,MAX(0,MIN(F355,cfg_Y_START-1)-E355+1))</f>
        <v>0</v>
      </c>
      <c r="S355" s="110" t="n">
        <f aca="false">IF(OR(OR($B355="",$E355="",$F355=""),L355&lt;&gt;"لا"),0,MAX(0,MIN(F355,cfg_VAL_DATE)-E355+1))</f>
        <v>0</v>
      </c>
      <c r="T355" s="110" t="n">
        <f aca="false">IF(OR(OR($B355="",$E355="",$F355=""),K355&lt;&gt;"نعم"),0,IF(M355="نعم",IF(AND(ISNUMBER(O355),N(O355)&lt;=cfg_VAL_M),G355,0),MAX(0,MIN(F355,cfg_VAL_DATE)-MAX(E355,cfg_Y_START)+1)))</f>
        <v>0</v>
      </c>
      <c r="V355" s="110" t="n">
        <f aca="false">IF(OR($B355="",$E355="",$F355=""),0,MAX(0,MIN($F355,EOMONTH(DATE(cfg_FY,1,1),0))-MAX($E355,DATE(cfg_FY,1,1))+1)*(1-IF($M355="نعم",0,N($J355))))</f>
        <v>0</v>
      </c>
      <c r="W355" s="110" t="n">
        <f aca="false">IF(OR($B355="",$E355="",$F355=""),0,MAX(0,MIN($F355,EOMONTH(DATE(cfg_FY,2,1),0))-MAX($E355,DATE(cfg_FY,2,1))+1)*(1-IF($M355="نعم",0,N($J355))))</f>
        <v>0</v>
      </c>
      <c r="X355" s="110" t="n">
        <f aca="false">IF(OR($B355="",$E355="",$F355=""),0,MAX(0,MIN($F355,EOMONTH(DATE(cfg_FY,3,1),0))-MAX($E355,DATE(cfg_FY,3,1))+1)*(1-IF($M355="نعم",0,N($J355))))</f>
        <v>0</v>
      </c>
      <c r="Y355" s="110" t="n">
        <f aca="false">IF(OR($B355="",$E355="",$F355=""),0,MAX(0,MIN($F355,EOMONTH(DATE(cfg_FY,4,1),0))-MAX($E355,DATE(cfg_FY,4,1))+1)*(1-IF($M355="نعم",0,N($J355))))</f>
        <v>0</v>
      </c>
      <c r="Z355" s="110" t="n">
        <f aca="false">IF(OR($B355="",$E355="",$F355=""),0,MAX(0,MIN($F355,EOMONTH(DATE(cfg_FY,5,1),0))-MAX($E355,DATE(cfg_FY,5,1))+1)*(1-IF($M355="نعم",0,N($J355))))</f>
        <v>0</v>
      </c>
      <c r="AA355" s="110" t="n">
        <f aca="false">IF(OR($B355="",$E355="",$F355=""),0,MAX(0,MIN($F355,EOMONTH(DATE(cfg_FY,6,1),0))-MAX($E355,DATE(cfg_FY,6,1))+1)*(1-IF($M355="نعم",0,N($J355))))</f>
        <v>0</v>
      </c>
      <c r="AB355" s="110" t="n">
        <f aca="false">IF(OR($B355="",$E355="",$F355=""),0,MAX(0,MIN($F355,EOMONTH(DATE(cfg_FY,7,1),0))-MAX($E355,DATE(cfg_FY,7,1))+1)*(1-IF($M355="نعم",0,N($J355))))</f>
        <v>0</v>
      </c>
      <c r="AC355" s="110" t="n">
        <f aca="false">IF(OR($B355="",$E355="",$F355=""),0,MAX(0,MIN($F355,EOMONTH(DATE(cfg_FY,8,1),0))-MAX($E355,DATE(cfg_FY,8,1))+1)*(1-IF($M355="نعم",0,N($J355))))</f>
        <v>0</v>
      </c>
      <c r="AD355" s="110" t="n">
        <f aca="false">IF(OR($B355="",$E355="",$F355=""),0,MAX(0,MIN($F355,EOMONTH(DATE(cfg_FY,9,1),0))-MAX($E355,DATE(cfg_FY,9,1))+1)*(1-IF($M355="نعم",0,N($J355))))</f>
        <v>0</v>
      </c>
      <c r="AE355" s="110" t="n">
        <f aca="false">IF(OR($B355="",$E355="",$F355=""),0,MAX(0,MIN($F355,EOMONTH(DATE(cfg_FY,10,1),0))-MAX($E355,DATE(cfg_FY,10,1))+1)*(1-IF($M355="نعم",0,N($J355))))</f>
        <v>0</v>
      </c>
      <c r="AF355" s="110" t="n">
        <f aca="false">IF(OR($B355="",$E355="",$F355=""),0,MAX(0,MIN($F355,EOMONTH(DATE(cfg_FY,11,1),0))-MAX($E355,DATE(cfg_FY,11,1))+1)*(1-IF($M355="نعم",0,N($J355))))</f>
        <v>0</v>
      </c>
      <c r="AG355" s="110" t="n">
        <f aca="false">IF(OR($B355="",$E355="",$F355=""),0,MAX(0,MIN($F355,EOMONTH(DATE(cfg_FY,12,1),0))-MAX($E355,DATE(cfg_FY,12,1))+1)*(1-IF($M355="نعم",0,N($J355))))</f>
        <v>0</v>
      </c>
      <c r="AH355" s="110" t="n">
        <f aca="false">IF(OR(OR($B355="",$E355="",$F355=""),$L355&lt;&gt;"لا"),0,MAX(0,MIN($F355,EOMONTH(DATE(cfg_FY,1,1),0))-$E355+1))</f>
        <v>0</v>
      </c>
      <c r="AI355" s="110" t="n">
        <f aca="false">IF(OR(OR($B355="",$E355="",$F355=""),$L355&lt;&gt;"لا"),0,MAX(0,MIN($F355,EOMONTH(DATE(cfg_FY,2,1),0))-$E355+1))</f>
        <v>0</v>
      </c>
      <c r="AJ355" s="110" t="n">
        <f aca="false">IF(OR(OR($B355="",$E355="",$F355=""),$L355&lt;&gt;"لا"),0,MAX(0,MIN($F355,EOMONTH(DATE(cfg_FY,3,1),0))-$E355+1))</f>
        <v>0</v>
      </c>
      <c r="AK355" s="110" t="n">
        <f aca="false">IF(OR(OR($B355="",$E355="",$F355=""),$L355&lt;&gt;"لا"),0,MAX(0,MIN($F355,EOMONTH(DATE(cfg_FY,4,1),0))-$E355+1))</f>
        <v>0</v>
      </c>
      <c r="AL355" s="110" t="n">
        <f aca="false">IF(OR(OR($B355="",$E355="",$F355=""),$L355&lt;&gt;"لا"),0,MAX(0,MIN($F355,EOMONTH(DATE(cfg_FY,5,1),0))-$E355+1))</f>
        <v>0</v>
      </c>
      <c r="AM355" s="110" t="n">
        <f aca="false">IF(OR(OR($B355="",$E355="",$F355=""),$L355&lt;&gt;"لا"),0,MAX(0,MIN($F355,EOMONTH(DATE(cfg_FY,6,1),0))-$E355+1))</f>
        <v>0</v>
      </c>
      <c r="AN355" s="110" t="n">
        <f aca="false">IF(OR(OR($B355="",$E355="",$F355=""),$L355&lt;&gt;"لا"),0,MAX(0,MIN($F355,EOMONTH(DATE(cfg_FY,7,1),0))-$E355+1))</f>
        <v>0</v>
      </c>
      <c r="AO355" s="110" t="n">
        <f aca="false">IF(OR(OR($B355="",$E355="",$F355=""),$L355&lt;&gt;"لا"),0,MAX(0,MIN($F355,EOMONTH(DATE(cfg_FY,8,1),0))-$E355+1))</f>
        <v>0</v>
      </c>
      <c r="AP355" s="110" t="n">
        <f aca="false">IF(OR(OR($B355="",$E355="",$F355=""),$L355&lt;&gt;"لا"),0,MAX(0,MIN($F355,EOMONTH(DATE(cfg_FY,9,1),0))-$E355+1))</f>
        <v>0</v>
      </c>
      <c r="AQ355" s="110" t="n">
        <f aca="false">IF(OR(OR($B355="",$E355="",$F355=""),$L355&lt;&gt;"لا"),0,MAX(0,MIN($F355,EOMONTH(DATE(cfg_FY,10,1),0))-$E355+1))</f>
        <v>0</v>
      </c>
      <c r="AR355" s="110" t="n">
        <f aca="false">IF(OR(OR($B355="",$E355="",$F355=""),$L355&lt;&gt;"لا"),0,MAX(0,MIN($F355,EOMONTH(DATE(cfg_FY,11,1),0))-$E355+1))</f>
        <v>0</v>
      </c>
      <c r="AS355" s="110" t="n">
        <f aca="false">IF(OR(OR($B355="",$E355="",$F355=""),$L355&lt;&gt;"لا"),0,MAX(0,MIN($F355,EOMONTH(DATE(cfg_FY,12,1),0))-$E355+1))</f>
        <v>0</v>
      </c>
      <c r="AT355" s="110" t="n">
        <f aca="false">IF(OR(OR($B355="",$E355="",$F355=""),$K355&lt;&gt;"نعم",$M355="نعم"),0,MAX(0,MIN($F355,EOMONTH(DATE(cfg_FY,1,1),0))-MAX($E355,DATE(cfg_FY,1,1))+1))</f>
        <v>0</v>
      </c>
      <c r="AU355" s="110" t="n">
        <f aca="false">IF(OR(OR($B355="",$E355="",$F355=""),$K355&lt;&gt;"نعم",$M355="نعم"),0,MAX(0,MIN($F355,EOMONTH(DATE(cfg_FY,2,1),0))-MAX($E355,DATE(cfg_FY,2,1))+1))</f>
        <v>0</v>
      </c>
      <c r="AV355" s="110" t="n">
        <f aca="false">IF(OR(OR($B355="",$E355="",$F355=""),$K355&lt;&gt;"نعم",$M355="نعم"),0,MAX(0,MIN($F355,EOMONTH(DATE(cfg_FY,3,1),0))-MAX($E355,DATE(cfg_FY,3,1))+1))</f>
        <v>0</v>
      </c>
      <c r="AW355" s="110" t="n">
        <f aca="false">IF(OR(OR($B355="",$E355="",$F355=""),$K355&lt;&gt;"نعم",$M355="نعم"),0,MAX(0,MIN($F355,EOMONTH(DATE(cfg_FY,4,1),0))-MAX($E355,DATE(cfg_FY,4,1))+1))</f>
        <v>0</v>
      </c>
      <c r="AX355" s="110" t="n">
        <f aca="false">IF(OR(OR($B355="",$E355="",$F355=""),$K355&lt;&gt;"نعم",$M355="نعم"),0,MAX(0,MIN($F355,EOMONTH(DATE(cfg_FY,5,1),0))-MAX($E355,DATE(cfg_FY,5,1))+1))</f>
        <v>0</v>
      </c>
      <c r="AY355" s="110" t="n">
        <f aca="false">IF(OR(OR($B355="",$E355="",$F355=""),$K355&lt;&gt;"نعم",$M355="نعم"),0,MAX(0,MIN($F355,EOMONTH(DATE(cfg_FY,6,1),0))-MAX($E355,DATE(cfg_FY,6,1))+1))</f>
        <v>0</v>
      </c>
      <c r="AZ355" s="110" t="n">
        <f aca="false">IF(OR(OR($B355="",$E355="",$F355=""),$K355&lt;&gt;"نعم",$M355="نعم"),0,MAX(0,MIN($F355,EOMONTH(DATE(cfg_FY,7,1),0))-MAX($E355,DATE(cfg_FY,7,1))+1))</f>
        <v>0</v>
      </c>
      <c r="BA355" s="110" t="n">
        <f aca="false">IF(OR(OR($B355="",$E355="",$F355=""),$K355&lt;&gt;"نعم",$M355="نعم"),0,MAX(0,MIN($F355,EOMONTH(DATE(cfg_FY,8,1),0))-MAX($E355,DATE(cfg_FY,8,1))+1))</f>
        <v>0</v>
      </c>
      <c r="BB355" s="110" t="n">
        <f aca="false">IF(OR(OR($B355="",$E355="",$F355=""),$K355&lt;&gt;"نعم",$M355="نعم"),0,MAX(0,MIN($F355,EOMONTH(DATE(cfg_FY,9,1),0))-MAX($E355,DATE(cfg_FY,9,1))+1))</f>
        <v>0</v>
      </c>
      <c r="BC355" s="110" t="n">
        <f aca="false">IF(OR(OR($B355="",$E355="",$F355=""),$K355&lt;&gt;"نعم",$M355="نعم"),0,MAX(0,MIN($F355,EOMONTH(DATE(cfg_FY,10,1),0))-MAX($E355,DATE(cfg_FY,10,1))+1))</f>
        <v>0</v>
      </c>
      <c r="BD355" s="110" t="n">
        <f aca="false">IF(OR(OR($B355="",$E355="",$F355=""),$K355&lt;&gt;"نعم",$M355="نعم"),0,MAX(0,MIN($F355,EOMONTH(DATE(cfg_FY,11,1),0))-MAX($E355,DATE(cfg_FY,11,1))+1))</f>
        <v>0</v>
      </c>
      <c r="BE355" s="110" t="n">
        <f aca="false">IF(OR(OR($B355="",$E355="",$F355=""),$K355&lt;&gt;"نعم",$M355="نعم"),0,MAX(0,MIN($F355,EOMONTH(DATE(cfg_FY,12,1),0))-MAX($E355,DATE(cfg_FY,12,1))+1))</f>
        <v>0</v>
      </c>
    </row>
    <row r="356" customFormat="false" ht="15" hidden="false" customHeight="false" outlineLevel="0" collapsed="false">
      <c r="A356" s="93" t="str">
        <f aca="false">IF(B356="","",ROW()-5)</f>
        <v/>
      </c>
      <c r="B356" s="79"/>
      <c r="C356" s="80" t="str">
        <f aca="false">IF(B356="","",IFERROR(INDEX(الموظفون!$C$6:$C$105,MATCH(B356,الموظفون!$B$6:$B$105,0)),"✖ رقم غير موجود"))</f>
        <v/>
      </c>
      <c r="D356" s="79"/>
      <c r="E356" s="94"/>
      <c r="F356" s="94"/>
      <c r="G356" s="57" t="str">
        <f aca="false">IF(OR($B356="",$E356="",$F356=""),"",MAX(0,F356-E356+1))</f>
        <v/>
      </c>
      <c r="H356" s="58" t="str">
        <f aca="false">IF(D356="","",IFERROR(VLOOKUP(D356,cfg_LT,2,FALSE()),1))</f>
        <v/>
      </c>
      <c r="I356" s="82"/>
      <c r="J356" s="58" t="str">
        <f aca="false">IF(D356="","",IF(I356&lt;&gt;"",I356,H356))</f>
        <v/>
      </c>
      <c r="K356" s="80" t="str">
        <f aca="false">IF(D356="","",IFERROR(VLOOKUP($D356,cfg_LT,3,FALSE()),""))</f>
        <v/>
      </c>
      <c r="L356" s="80" t="str">
        <f aca="false">IF(D356="","",IFERROR(VLOOKUP($D356,cfg_LT,4,FALSE()),""))</f>
        <v/>
      </c>
      <c r="M356" s="80" t="str">
        <f aca="false">IF(D356="","",IFERROR(VLOOKUP($D356,cfg_LT,5,FALSE()),""))</f>
        <v/>
      </c>
      <c r="N356" s="97" t="n">
        <f aca="false">IF(OR(OR($B356="",$E356="",$F356=""),M356&lt;&gt;"نعم"),0,G356*J356*IFERROR(INDEX(الموظفون!$R$6:$R$105,MATCH(B356,الموظفون!$B$6:$B$105,0)),0)/cfg_DAYS_M)</f>
        <v>0</v>
      </c>
      <c r="O356" s="93" t="str">
        <f aca="false">IF(OR(OR($B356="",$E356="",$F356=""),M356&lt;&gt;"نعم"),"",IF(YEAR(E356)=cfg_FY,MONTH(E356),""))</f>
        <v/>
      </c>
      <c r="P356" s="80" t="str">
        <f aca="false">IF(B356="","",IF(OR(D356="",E356="",F356=""),"⚠ أكمل النوع والتواريخ",IF(F356&lt;E356,"✖ النهاية قبل البداية",IF(COUNTIFS($B$6:$B$505,B356,$E$6:$E$505,"&lt;="&amp;F356,$F$6:$F$505,"&gt;="&amp;E356)&gt;1,"⚠ تداخل مع سجل آخر",IF(E356&gt;cfg_VAL_DATE,"⏳ قادمة",IF(F356&lt;cfg_VAL_DATE,"✔ منتهية","✈ جارية في تاريخ التقرير"))))))</f>
        <v/>
      </c>
      <c r="Q356" s="79"/>
      <c r="R356" s="57" t="n">
        <f aca="false">IF(OR(OR($B356="",$E356="",$F356=""),L356&lt;&gt;"لا"),0,MAX(0,MIN(F356,cfg_Y_START-1)-E356+1))</f>
        <v>0</v>
      </c>
      <c r="S356" s="57" t="n">
        <f aca="false">IF(OR(OR($B356="",$E356="",$F356=""),L356&lt;&gt;"لا"),0,MAX(0,MIN(F356,cfg_VAL_DATE)-E356+1))</f>
        <v>0</v>
      </c>
      <c r="T356" s="57" t="n">
        <f aca="false">IF(OR(OR($B356="",$E356="",$F356=""),K356&lt;&gt;"نعم"),0,IF(M356="نعم",IF(AND(ISNUMBER(O356),N(O356)&lt;=cfg_VAL_M),G356,0),MAX(0,MIN(F356,cfg_VAL_DATE)-MAX(E356,cfg_Y_START)+1)))</f>
        <v>0</v>
      </c>
      <c r="V356" s="57" t="n">
        <f aca="false">IF(OR($B356="",$E356="",$F356=""),0,MAX(0,MIN($F356,EOMONTH(DATE(cfg_FY,1,1),0))-MAX($E356,DATE(cfg_FY,1,1))+1)*(1-IF($M356="نعم",0,N($J356))))</f>
        <v>0</v>
      </c>
      <c r="W356" s="57" t="n">
        <f aca="false">IF(OR($B356="",$E356="",$F356=""),0,MAX(0,MIN($F356,EOMONTH(DATE(cfg_FY,2,1),0))-MAX($E356,DATE(cfg_FY,2,1))+1)*(1-IF($M356="نعم",0,N($J356))))</f>
        <v>0</v>
      </c>
      <c r="X356" s="57" t="n">
        <f aca="false">IF(OR($B356="",$E356="",$F356=""),0,MAX(0,MIN($F356,EOMONTH(DATE(cfg_FY,3,1),0))-MAX($E356,DATE(cfg_FY,3,1))+1)*(1-IF($M356="نعم",0,N($J356))))</f>
        <v>0</v>
      </c>
      <c r="Y356" s="57" t="n">
        <f aca="false">IF(OR($B356="",$E356="",$F356=""),0,MAX(0,MIN($F356,EOMONTH(DATE(cfg_FY,4,1),0))-MAX($E356,DATE(cfg_FY,4,1))+1)*(1-IF($M356="نعم",0,N($J356))))</f>
        <v>0</v>
      </c>
      <c r="Z356" s="57" t="n">
        <f aca="false">IF(OR($B356="",$E356="",$F356=""),0,MAX(0,MIN($F356,EOMONTH(DATE(cfg_FY,5,1),0))-MAX($E356,DATE(cfg_FY,5,1))+1)*(1-IF($M356="نعم",0,N($J356))))</f>
        <v>0</v>
      </c>
      <c r="AA356" s="57" t="n">
        <f aca="false">IF(OR($B356="",$E356="",$F356=""),0,MAX(0,MIN($F356,EOMONTH(DATE(cfg_FY,6,1),0))-MAX($E356,DATE(cfg_FY,6,1))+1)*(1-IF($M356="نعم",0,N($J356))))</f>
        <v>0</v>
      </c>
      <c r="AB356" s="57" t="n">
        <f aca="false">IF(OR($B356="",$E356="",$F356=""),0,MAX(0,MIN($F356,EOMONTH(DATE(cfg_FY,7,1),0))-MAX($E356,DATE(cfg_FY,7,1))+1)*(1-IF($M356="نعم",0,N($J356))))</f>
        <v>0</v>
      </c>
      <c r="AC356" s="57" t="n">
        <f aca="false">IF(OR($B356="",$E356="",$F356=""),0,MAX(0,MIN($F356,EOMONTH(DATE(cfg_FY,8,1),0))-MAX($E356,DATE(cfg_FY,8,1))+1)*(1-IF($M356="نعم",0,N($J356))))</f>
        <v>0</v>
      </c>
      <c r="AD356" s="57" t="n">
        <f aca="false">IF(OR($B356="",$E356="",$F356=""),0,MAX(0,MIN($F356,EOMONTH(DATE(cfg_FY,9,1),0))-MAX($E356,DATE(cfg_FY,9,1))+1)*(1-IF($M356="نعم",0,N($J356))))</f>
        <v>0</v>
      </c>
      <c r="AE356" s="57" t="n">
        <f aca="false">IF(OR($B356="",$E356="",$F356=""),0,MAX(0,MIN($F356,EOMONTH(DATE(cfg_FY,10,1),0))-MAX($E356,DATE(cfg_FY,10,1))+1)*(1-IF($M356="نعم",0,N($J356))))</f>
        <v>0</v>
      </c>
      <c r="AF356" s="57" t="n">
        <f aca="false">IF(OR($B356="",$E356="",$F356=""),0,MAX(0,MIN($F356,EOMONTH(DATE(cfg_FY,11,1),0))-MAX($E356,DATE(cfg_FY,11,1))+1)*(1-IF($M356="نعم",0,N($J356))))</f>
        <v>0</v>
      </c>
      <c r="AG356" s="57" t="n">
        <f aca="false">IF(OR($B356="",$E356="",$F356=""),0,MAX(0,MIN($F356,EOMONTH(DATE(cfg_FY,12,1),0))-MAX($E356,DATE(cfg_FY,12,1))+1)*(1-IF($M356="نعم",0,N($J356))))</f>
        <v>0</v>
      </c>
      <c r="AH356" s="57" t="n">
        <f aca="false">IF(OR(OR($B356="",$E356="",$F356=""),$L356&lt;&gt;"لا"),0,MAX(0,MIN($F356,EOMONTH(DATE(cfg_FY,1,1),0))-$E356+1))</f>
        <v>0</v>
      </c>
      <c r="AI356" s="57" t="n">
        <f aca="false">IF(OR(OR($B356="",$E356="",$F356=""),$L356&lt;&gt;"لا"),0,MAX(0,MIN($F356,EOMONTH(DATE(cfg_FY,2,1),0))-$E356+1))</f>
        <v>0</v>
      </c>
      <c r="AJ356" s="57" t="n">
        <f aca="false">IF(OR(OR($B356="",$E356="",$F356=""),$L356&lt;&gt;"لا"),0,MAX(0,MIN($F356,EOMONTH(DATE(cfg_FY,3,1),0))-$E356+1))</f>
        <v>0</v>
      </c>
      <c r="AK356" s="57" t="n">
        <f aca="false">IF(OR(OR($B356="",$E356="",$F356=""),$L356&lt;&gt;"لا"),0,MAX(0,MIN($F356,EOMONTH(DATE(cfg_FY,4,1),0))-$E356+1))</f>
        <v>0</v>
      </c>
      <c r="AL356" s="57" t="n">
        <f aca="false">IF(OR(OR($B356="",$E356="",$F356=""),$L356&lt;&gt;"لا"),0,MAX(0,MIN($F356,EOMONTH(DATE(cfg_FY,5,1),0))-$E356+1))</f>
        <v>0</v>
      </c>
      <c r="AM356" s="57" t="n">
        <f aca="false">IF(OR(OR($B356="",$E356="",$F356=""),$L356&lt;&gt;"لا"),0,MAX(0,MIN($F356,EOMONTH(DATE(cfg_FY,6,1),0))-$E356+1))</f>
        <v>0</v>
      </c>
      <c r="AN356" s="57" t="n">
        <f aca="false">IF(OR(OR($B356="",$E356="",$F356=""),$L356&lt;&gt;"لا"),0,MAX(0,MIN($F356,EOMONTH(DATE(cfg_FY,7,1),0))-$E356+1))</f>
        <v>0</v>
      </c>
      <c r="AO356" s="57" t="n">
        <f aca="false">IF(OR(OR($B356="",$E356="",$F356=""),$L356&lt;&gt;"لا"),0,MAX(0,MIN($F356,EOMONTH(DATE(cfg_FY,8,1),0))-$E356+1))</f>
        <v>0</v>
      </c>
      <c r="AP356" s="57" t="n">
        <f aca="false">IF(OR(OR($B356="",$E356="",$F356=""),$L356&lt;&gt;"لا"),0,MAX(0,MIN($F356,EOMONTH(DATE(cfg_FY,9,1),0))-$E356+1))</f>
        <v>0</v>
      </c>
      <c r="AQ356" s="57" t="n">
        <f aca="false">IF(OR(OR($B356="",$E356="",$F356=""),$L356&lt;&gt;"لا"),0,MAX(0,MIN($F356,EOMONTH(DATE(cfg_FY,10,1),0))-$E356+1))</f>
        <v>0</v>
      </c>
      <c r="AR356" s="57" t="n">
        <f aca="false">IF(OR(OR($B356="",$E356="",$F356=""),$L356&lt;&gt;"لا"),0,MAX(0,MIN($F356,EOMONTH(DATE(cfg_FY,11,1),0))-$E356+1))</f>
        <v>0</v>
      </c>
      <c r="AS356" s="57" t="n">
        <f aca="false">IF(OR(OR($B356="",$E356="",$F356=""),$L356&lt;&gt;"لا"),0,MAX(0,MIN($F356,EOMONTH(DATE(cfg_FY,12,1),0))-$E356+1))</f>
        <v>0</v>
      </c>
      <c r="AT356" s="57" t="n">
        <f aca="false">IF(OR(OR($B356="",$E356="",$F356=""),$K356&lt;&gt;"نعم",$M356="نعم"),0,MAX(0,MIN($F356,EOMONTH(DATE(cfg_FY,1,1),0))-MAX($E356,DATE(cfg_FY,1,1))+1))</f>
        <v>0</v>
      </c>
      <c r="AU356" s="57" t="n">
        <f aca="false">IF(OR(OR($B356="",$E356="",$F356=""),$K356&lt;&gt;"نعم",$M356="نعم"),0,MAX(0,MIN($F356,EOMONTH(DATE(cfg_FY,2,1),0))-MAX($E356,DATE(cfg_FY,2,1))+1))</f>
        <v>0</v>
      </c>
      <c r="AV356" s="57" t="n">
        <f aca="false">IF(OR(OR($B356="",$E356="",$F356=""),$K356&lt;&gt;"نعم",$M356="نعم"),0,MAX(0,MIN($F356,EOMONTH(DATE(cfg_FY,3,1),0))-MAX($E356,DATE(cfg_FY,3,1))+1))</f>
        <v>0</v>
      </c>
      <c r="AW356" s="57" t="n">
        <f aca="false">IF(OR(OR($B356="",$E356="",$F356=""),$K356&lt;&gt;"نعم",$M356="نعم"),0,MAX(0,MIN($F356,EOMONTH(DATE(cfg_FY,4,1),0))-MAX($E356,DATE(cfg_FY,4,1))+1))</f>
        <v>0</v>
      </c>
      <c r="AX356" s="57" t="n">
        <f aca="false">IF(OR(OR($B356="",$E356="",$F356=""),$K356&lt;&gt;"نعم",$M356="نعم"),0,MAX(0,MIN($F356,EOMONTH(DATE(cfg_FY,5,1),0))-MAX($E356,DATE(cfg_FY,5,1))+1))</f>
        <v>0</v>
      </c>
      <c r="AY356" s="57" t="n">
        <f aca="false">IF(OR(OR($B356="",$E356="",$F356=""),$K356&lt;&gt;"نعم",$M356="نعم"),0,MAX(0,MIN($F356,EOMONTH(DATE(cfg_FY,6,1),0))-MAX($E356,DATE(cfg_FY,6,1))+1))</f>
        <v>0</v>
      </c>
      <c r="AZ356" s="57" t="n">
        <f aca="false">IF(OR(OR($B356="",$E356="",$F356=""),$K356&lt;&gt;"نعم",$M356="نعم"),0,MAX(0,MIN($F356,EOMONTH(DATE(cfg_FY,7,1),0))-MAX($E356,DATE(cfg_FY,7,1))+1))</f>
        <v>0</v>
      </c>
      <c r="BA356" s="57" t="n">
        <f aca="false">IF(OR(OR($B356="",$E356="",$F356=""),$K356&lt;&gt;"نعم",$M356="نعم"),0,MAX(0,MIN($F356,EOMONTH(DATE(cfg_FY,8,1),0))-MAX($E356,DATE(cfg_FY,8,1))+1))</f>
        <v>0</v>
      </c>
      <c r="BB356" s="57" t="n">
        <f aca="false">IF(OR(OR($B356="",$E356="",$F356=""),$K356&lt;&gt;"نعم",$M356="نعم"),0,MAX(0,MIN($F356,EOMONTH(DATE(cfg_FY,9,1),0))-MAX($E356,DATE(cfg_FY,9,1))+1))</f>
        <v>0</v>
      </c>
      <c r="BC356" s="57" t="n">
        <f aca="false">IF(OR(OR($B356="",$E356="",$F356=""),$K356&lt;&gt;"نعم",$M356="نعم"),0,MAX(0,MIN($F356,EOMONTH(DATE(cfg_FY,10,1),0))-MAX($E356,DATE(cfg_FY,10,1))+1))</f>
        <v>0</v>
      </c>
      <c r="BD356" s="57" t="n">
        <f aca="false">IF(OR(OR($B356="",$E356="",$F356=""),$K356&lt;&gt;"نعم",$M356="نعم"),0,MAX(0,MIN($F356,EOMONTH(DATE(cfg_FY,11,1),0))-MAX($E356,DATE(cfg_FY,11,1))+1))</f>
        <v>0</v>
      </c>
      <c r="BE356" s="57" t="n">
        <f aca="false">IF(OR(OR($B356="",$E356="",$F356=""),$K356&lt;&gt;"نعم",$M356="نعم"),0,MAX(0,MIN($F356,EOMONTH(DATE(cfg_FY,12,1),0))-MAX($E356,DATE(cfg_FY,12,1))+1))</f>
        <v>0</v>
      </c>
    </row>
    <row r="357" customFormat="false" ht="15" hidden="false" customHeight="false" outlineLevel="0" collapsed="false">
      <c r="A357" s="100" t="str">
        <f aca="false">IF(B357="","",ROW()-5)</f>
        <v/>
      </c>
      <c r="B357" s="79"/>
      <c r="C357" s="102" t="str">
        <f aca="false">IF(B357="","",IFERROR(INDEX(الموظفون!$C$6:$C$105,MATCH(B357,الموظفون!$B$6:$B$105,0)),"✖ رقم غير موجود"))</f>
        <v/>
      </c>
      <c r="D357" s="79"/>
      <c r="E357" s="94"/>
      <c r="F357" s="94"/>
      <c r="G357" s="110" t="str">
        <f aca="false">IF(OR($B357="",$E357="",$F357=""),"",MAX(0,F357-E357+1))</f>
        <v/>
      </c>
      <c r="H357" s="111" t="str">
        <f aca="false">IF(D357="","",IFERROR(VLOOKUP(D357,cfg_LT,2,FALSE()),1))</f>
        <v/>
      </c>
      <c r="I357" s="82"/>
      <c r="J357" s="111" t="str">
        <f aca="false">IF(D357="","",IF(I357&lt;&gt;"",I357,H357))</f>
        <v/>
      </c>
      <c r="K357" s="102" t="str">
        <f aca="false">IF(D357="","",IFERROR(VLOOKUP($D357,cfg_LT,3,FALSE()),""))</f>
        <v/>
      </c>
      <c r="L357" s="102" t="str">
        <f aca="false">IF(D357="","",IFERROR(VLOOKUP($D357,cfg_LT,4,FALSE()),""))</f>
        <v/>
      </c>
      <c r="M357" s="102" t="str">
        <f aca="false">IF(D357="","",IFERROR(VLOOKUP($D357,cfg_LT,5,FALSE()),""))</f>
        <v/>
      </c>
      <c r="N357" s="101" t="n">
        <f aca="false">IF(OR(OR($B357="",$E357="",$F357=""),M357&lt;&gt;"نعم"),0,G357*J357*IFERROR(INDEX(الموظفون!$R$6:$R$105,MATCH(B357,الموظفون!$B$6:$B$105,0)),0)/cfg_DAYS_M)</f>
        <v>0</v>
      </c>
      <c r="O357" s="100" t="str">
        <f aca="false">IF(OR(OR($B357="",$E357="",$F357=""),M357&lt;&gt;"نعم"),"",IF(YEAR(E357)=cfg_FY,MONTH(E357),""))</f>
        <v/>
      </c>
      <c r="P357" s="102" t="str">
        <f aca="false">IF(B357="","",IF(OR(D357="",E357="",F357=""),"⚠ أكمل النوع والتواريخ",IF(F357&lt;E357,"✖ النهاية قبل البداية",IF(COUNTIFS($B$6:$B$505,B357,$E$6:$E$505,"&lt;="&amp;F357,$F$6:$F$505,"&gt;="&amp;E357)&gt;1,"⚠ تداخل مع سجل آخر",IF(E357&gt;cfg_VAL_DATE,"⏳ قادمة",IF(F357&lt;cfg_VAL_DATE,"✔ منتهية","✈ جارية في تاريخ التقرير"))))))</f>
        <v/>
      </c>
      <c r="Q357" s="79"/>
      <c r="R357" s="110" t="n">
        <f aca="false">IF(OR(OR($B357="",$E357="",$F357=""),L357&lt;&gt;"لا"),0,MAX(0,MIN(F357,cfg_Y_START-1)-E357+1))</f>
        <v>0</v>
      </c>
      <c r="S357" s="110" t="n">
        <f aca="false">IF(OR(OR($B357="",$E357="",$F357=""),L357&lt;&gt;"لا"),0,MAX(0,MIN(F357,cfg_VAL_DATE)-E357+1))</f>
        <v>0</v>
      </c>
      <c r="T357" s="110" t="n">
        <f aca="false">IF(OR(OR($B357="",$E357="",$F357=""),K357&lt;&gt;"نعم"),0,IF(M357="نعم",IF(AND(ISNUMBER(O357),N(O357)&lt;=cfg_VAL_M),G357,0),MAX(0,MIN(F357,cfg_VAL_DATE)-MAX(E357,cfg_Y_START)+1)))</f>
        <v>0</v>
      </c>
      <c r="V357" s="110" t="n">
        <f aca="false">IF(OR($B357="",$E357="",$F357=""),0,MAX(0,MIN($F357,EOMONTH(DATE(cfg_FY,1,1),0))-MAX($E357,DATE(cfg_FY,1,1))+1)*(1-IF($M357="نعم",0,N($J357))))</f>
        <v>0</v>
      </c>
      <c r="W357" s="110" t="n">
        <f aca="false">IF(OR($B357="",$E357="",$F357=""),0,MAX(0,MIN($F357,EOMONTH(DATE(cfg_FY,2,1),0))-MAX($E357,DATE(cfg_FY,2,1))+1)*(1-IF($M357="نعم",0,N($J357))))</f>
        <v>0</v>
      </c>
      <c r="X357" s="110" t="n">
        <f aca="false">IF(OR($B357="",$E357="",$F357=""),0,MAX(0,MIN($F357,EOMONTH(DATE(cfg_FY,3,1),0))-MAX($E357,DATE(cfg_FY,3,1))+1)*(1-IF($M357="نعم",0,N($J357))))</f>
        <v>0</v>
      </c>
      <c r="Y357" s="110" t="n">
        <f aca="false">IF(OR($B357="",$E357="",$F357=""),0,MAX(0,MIN($F357,EOMONTH(DATE(cfg_FY,4,1),0))-MAX($E357,DATE(cfg_FY,4,1))+1)*(1-IF($M357="نعم",0,N($J357))))</f>
        <v>0</v>
      </c>
      <c r="Z357" s="110" t="n">
        <f aca="false">IF(OR($B357="",$E357="",$F357=""),0,MAX(0,MIN($F357,EOMONTH(DATE(cfg_FY,5,1),0))-MAX($E357,DATE(cfg_FY,5,1))+1)*(1-IF($M357="نعم",0,N($J357))))</f>
        <v>0</v>
      </c>
      <c r="AA357" s="110" t="n">
        <f aca="false">IF(OR($B357="",$E357="",$F357=""),0,MAX(0,MIN($F357,EOMONTH(DATE(cfg_FY,6,1),0))-MAX($E357,DATE(cfg_FY,6,1))+1)*(1-IF($M357="نعم",0,N($J357))))</f>
        <v>0</v>
      </c>
      <c r="AB357" s="110" t="n">
        <f aca="false">IF(OR($B357="",$E357="",$F357=""),0,MAX(0,MIN($F357,EOMONTH(DATE(cfg_FY,7,1),0))-MAX($E357,DATE(cfg_FY,7,1))+1)*(1-IF($M357="نعم",0,N($J357))))</f>
        <v>0</v>
      </c>
      <c r="AC357" s="110" t="n">
        <f aca="false">IF(OR($B357="",$E357="",$F357=""),0,MAX(0,MIN($F357,EOMONTH(DATE(cfg_FY,8,1),0))-MAX($E357,DATE(cfg_FY,8,1))+1)*(1-IF($M357="نعم",0,N($J357))))</f>
        <v>0</v>
      </c>
      <c r="AD357" s="110" t="n">
        <f aca="false">IF(OR($B357="",$E357="",$F357=""),0,MAX(0,MIN($F357,EOMONTH(DATE(cfg_FY,9,1),0))-MAX($E357,DATE(cfg_FY,9,1))+1)*(1-IF($M357="نعم",0,N($J357))))</f>
        <v>0</v>
      </c>
      <c r="AE357" s="110" t="n">
        <f aca="false">IF(OR($B357="",$E357="",$F357=""),0,MAX(0,MIN($F357,EOMONTH(DATE(cfg_FY,10,1),0))-MAX($E357,DATE(cfg_FY,10,1))+1)*(1-IF($M357="نعم",0,N($J357))))</f>
        <v>0</v>
      </c>
      <c r="AF357" s="110" t="n">
        <f aca="false">IF(OR($B357="",$E357="",$F357=""),0,MAX(0,MIN($F357,EOMONTH(DATE(cfg_FY,11,1),0))-MAX($E357,DATE(cfg_FY,11,1))+1)*(1-IF($M357="نعم",0,N($J357))))</f>
        <v>0</v>
      </c>
      <c r="AG357" s="110" t="n">
        <f aca="false">IF(OR($B357="",$E357="",$F357=""),0,MAX(0,MIN($F357,EOMONTH(DATE(cfg_FY,12,1),0))-MAX($E357,DATE(cfg_FY,12,1))+1)*(1-IF($M357="نعم",0,N($J357))))</f>
        <v>0</v>
      </c>
      <c r="AH357" s="110" t="n">
        <f aca="false">IF(OR(OR($B357="",$E357="",$F357=""),$L357&lt;&gt;"لا"),0,MAX(0,MIN($F357,EOMONTH(DATE(cfg_FY,1,1),0))-$E357+1))</f>
        <v>0</v>
      </c>
      <c r="AI357" s="110" t="n">
        <f aca="false">IF(OR(OR($B357="",$E357="",$F357=""),$L357&lt;&gt;"لا"),0,MAX(0,MIN($F357,EOMONTH(DATE(cfg_FY,2,1),0))-$E357+1))</f>
        <v>0</v>
      </c>
      <c r="AJ357" s="110" t="n">
        <f aca="false">IF(OR(OR($B357="",$E357="",$F357=""),$L357&lt;&gt;"لا"),0,MAX(0,MIN($F357,EOMONTH(DATE(cfg_FY,3,1),0))-$E357+1))</f>
        <v>0</v>
      </c>
      <c r="AK357" s="110" t="n">
        <f aca="false">IF(OR(OR($B357="",$E357="",$F357=""),$L357&lt;&gt;"لا"),0,MAX(0,MIN($F357,EOMONTH(DATE(cfg_FY,4,1),0))-$E357+1))</f>
        <v>0</v>
      </c>
      <c r="AL357" s="110" t="n">
        <f aca="false">IF(OR(OR($B357="",$E357="",$F357=""),$L357&lt;&gt;"لا"),0,MAX(0,MIN($F357,EOMONTH(DATE(cfg_FY,5,1),0))-$E357+1))</f>
        <v>0</v>
      </c>
      <c r="AM357" s="110" t="n">
        <f aca="false">IF(OR(OR($B357="",$E357="",$F357=""),$L357&lt;&gt;"لا"),0,MAX(0,MIN($F357,EOMONTH(DATE(cfg_FY,6,1),0))-$E357+1))</f>
        <v>0</v>
      </c>
      <c r="AN357" s="110" t="n">
        <f aca="false">IF(OR(OR($B357="",$E357="",$F357=""),$L357&lt;&gt;"لا"),0,MAX(0,MIN($F357,EOMONTH(DATE(cfg_FY,7,1),0))-$E357+1))</f>
        <v>0</v>
      </c>
      <c r="AO357" s="110" t="n">
        <f aca="false">IF(OR(OR($B357="",$E357="",$F357=""),$L357&lt;&gt;"لا"),0,MAX(0,MIN($F357,EOMONTH(DATE(cfg_FY,8,1),0))-$E357+1))</f>
        <v>0</v>
      </c>
      <c r="AP357" s="110" t="n">
        <f aca="false">IF(OR(OR($B357="",$E357="",$F357=""),$L357&lt;&gt;"لا"),0,MAX(0,MIN($F357,EOMONTH(DATE(cfg_FY,9,1),0))-$E357+1))</f>
        <v>0</v>
      </c>
      <c r="AQ357" s="110" t="n">
        <f aca="false">IF(OR(OR($B357="",$E357="",$F357=""),$L357&lt;&gt;"لا"),0,MAX(0,MIN($F357,EOMONTH(DATE(cfg_FY,10,1),0))-$E357+1))</f>
        <v>0</v>
      </c>
      <c r="AR357" s="110" t="n">
        <f aca="false">IF(OR(OR($B357="",$E357="",$F357=""),$L357&lt;&gt;"لا"),0,MAX(0,MIN($F357,EOMONTH(DATE(cfg_FY,11,1),0))-$E357+1))</f>
        <v>0</v>
      </c>
      <c r="AS357" s="110" t="n">
        <f aca="false">IF(OR(OR($B357="",$E357="",$F357=""),$L357&lt;&gt;"لا"),0,MAX(0,MIN($F357,EOMONTH(DATE(cfg_FY,12,1),0))-$E357+1))</f>
        <v>0</v>
      </c>
      <c r="AT357" s="110" t="n">
        <f aca="false">IF(OR(OR($B357="",$E357="",$F357=""),$K357&lt;&gt;"نعم",$M357="نعم"),0,MAX(0,MIN($F357,EOMONTH(DATE(cfg_FY,1,1),0))-MAX($E357,DATE(cfg_FY,1,1))+1))</f>
        <v>0</v>
      </c>
      <c r="AU357" s="110" t="n">
        <f aca="false">IF(OR(OR($B357="",$E357="",$F357=""),$K357&lt;&gt;"نعم",$M357="نعم"),0,MAX(0,MIN($F357,EOMONTH(DATE(cfg_FY,2,1),0))-MAX($E357,DATE(cfg_FY,2,1))+1))</f>
        <v>0</v>
      </c>
      <c r="AV357" s="110" t="n">
        <f aca="false">IF(OR(OR($B357="",$E357="",$F357=""),$K357&lt;&gt;"نعم",$M357="نعم"),0,MAX(0,MIN($F357,EOMONTH(DATE(cfg_FY,3,1),0))-MAX($E357,DATE(cfg_FY,3,1))+1))</f>
        <v>0</v>
      </c>
      <c r="AW357" s="110" t="n">
        <f aca="false">IF(OR(OR($B357="",$E357="",$F357=""),$K357&lt;&gt;"نعم",$M357="نعم"),0,MAX(0,MIN($F357,EOMONTH(DATE(cfg_FY,4,1),0))-MAX($E357,DATE(cfg_FY,4,1))+1))</f>
        <v>0</v>
      </c>
      <c r="AX357" s="110" t="n">
        <f aca="false">IF(OR(OR($B357="",$E357="",$F357=""),$K357&lt;&gt;"نعم",$M357="نعم"),0,MAX(0,MIN($F357,EOMONTH(DATE(cfg_FY,5,1),0))-MAX($E357,DATE(cfg_FY,5,1))+1))</f>
        <v>0</v>
      </c>
      <c r="AY357" s="110" t="n">
        <f aca="false">IF(OR(OR($B357="",$E357="",$F357=""),$K357&lt;&gt;"نعم",$M357="نعم"),0,MAX(0,MIN($F357,EOMONTH(DATE(cfg_FY,6,1),0))-MAX($E357,DATE(cfg_FY,6,1))+1))</f>
        <v>0</v>
      </c>
      <c r="AZ357" s="110" t="n">
        <f aca="false">IF(OR(OR($B357="",$E357="",$F357=""),$K357&lt;&gt;"نعم",$M357="نعم"),0,MAX(0,MIN($F357,EOMONTH(DATE(cfg_FY,7,1),0))-MAX($E357,DATE(cfg_FY,7,1))+1))</f>
        <v>0</v>
      </c>
      <c r="BA357" s="110" t="n">
        <f aca="false">IF(OR(OR($B357="",$E357="",$F357=""),$K357&lt;&gt;"نعم",$M357="نعم"),0,MAX(0,MIN($F357,EOMONTH(DATE(cfg_FY,8,1),0))-MAX($E357,DATE(cfg_FY,8,1))+1))</f>
        <v>0</v>
      </c>
      <c r="BB357" s="110" t="n">
        <f aca="false">IF(OR(OR($B357="",$E357="",$F357=""),$K357&lt;&gt;"نعم",$M357="نعم"),0,MAX(0,MIN($F357,EOMONTH(DATE(cfg_FY,9,1),0))-MAX($E357,DATE(cfg_FY,9,1))+1))</f>
        <v>0</v>
      </c>
      <c r="BC357" s="110" t="n">
        <f aca="false">IF(OR(OR($B357="",$E357="",$F357=""),$K357&lt;&gt;"نعم",$M357="نعم"),0,MAX(0,MIN($F357,EOMONTH(DATE(cfg_FY,10,1),0))-MAX($E357,DATE(cfg_FY,10,1))+1))</f>
        <v>0</v>
      </c>
      <c r="BD357" s="110" t="n">
        <f aca="false">IF(OR(OR($B357="",$E357="",$F357=""),$K357&lt;&gt;"نعم",$M357="نعم"),0,MAX(0,MIN($F357,EOMONTH(DATE(cfg_FY,11,1),0))-MAX($E357,DATE(cfg_FY,11,1))+1))</f>
        <v>0</v>
      </c>
      <c r="BE357" s="110" t="n">
        <f aca="false">IF(OR(OR($B357="",$E357="",$F357=""),$K357&lt;&gt;"نعم",$M357="نعم"),0,MAX(0,MIN($F357,EOMONTH(DATE(cfg_FY,12,1),0))-MAX($E357,DATE(cfg_FY,12,1))+1))</f>
        <v>0</v>
      </c>
    </row>
    <row r="358" customFormat="false" ht="15" hidden="false" customHeight="false" outlineLevel="0" collapsed="false">
      <c r="A358" s="93" t="str">
        <f aca="false">IF(B358="","",ROW()-5)</f>
        <v/>
      </c>
      <c r="B358" s="79"/>
      <c r="C358" s="80" t="str">
        <f aca="false">IF(B358="","",IFERROR(INDEX(الموظفون!$C$6:$C$105,MATCH(B358,الموظفون!$B$6:$B$105,0)),"✖ رقم غير موجود"))</f>
        <v/>
      </c>
      <c r="D358" s="79"/>
      <c r="E358" s="94"/>
      <c r="F358" s="94"/>
      <c r="G358" s="57" t="str">
        <f aca="false">IF(OR($B358="",$E358="",$F358=""),"",MAX(0,F358-E358+1))</f>
        <v/>
      </c>
      <c r="H358" s="58" t="str">
        <f aca="false">IF(D358="","",IFERROR(VLOOKUP(D358,cfg_LT,2,FALSE()),1))</f>
        <v/>
      </c>
      <c r="I358" s="82"/>
      <c r="J358" s="58" t="str">
        <f aca="false">IF(D358="","",IF(I358&lt;&gt;"",I358,H358))</f>
        <v/>
      </c>
      <c r="K358" s="80" t="str">
        <f aca="false">IF(D358="","",IFERROR(VLOOKUP($D358,cfg_LT,3,FALSE()),""))</f>
        <v/>
      </c>
      <c r="L358" s="80" t="str">
        <f aca="false">IF(D358="","",IFERROR(VLOOKUP($D358,cfg_LT,4,FALSE()),""))</f>
        <v/>
      </c>
      <c r="M358" s="80" t="str">
        <f aca="false">IF(D358="","",IFERROR(VLOOKUP($D358,cfg_LT,5,FALSE()),""))</f>
        <v/>
      </c>
      <c r="N358" s="97" t="n">
        <f aca="false">IF(OR(OR($B358="",$E358="",$F358=""),M358&lt;&gt;"نعم"),0,G358*J358*IFERROR(INDEX(الموظفون!$R$6:$R$105,MATCH(B358,الموظفون!$B$6:$B$105,0)),0)/cfg_DAYS_M)</f>
        <v>0</v>
      </c>
      <c r="O358" s="93" t="str">
        <f aca="false">IF(OR(OR($B358="",$E358="",$F358=""),M358&lt;&gt;"نعم"),"",IF(YEAR(E358)=cfg_FY,MONTH(E358),""))</f>
        <v/>
      </c>
      <c r="P358" s="80" t="str">
        <f aca="false">IF(B358="","",IF(OR(D358="",E358="",F358=""),"⚠ أكمل النوع والتواريخ",IF(F358&lt;E358,"✖ النهاية قبل البداية",IF(COUNTIFS($B$6:$B$505,B358,$E$6:$E$505,"&lt;="&amp;F358,$F$6:$F$505,"&gt;="&amp;E358)&gt;1,"⚠ تداخل مع سجل آخر",IF(E358&gt;cfg_VAL_DATE,"⏳ قادمة",IF(F358&lt;cfg_VAL_DATE,"✔ منتهية","✈ جارية في تاريخ التقرير"))))))</f>
        <v/>
      </c>
      <c r="Q358" s="79"/>
      <c r="R358" s="57" t="n">
        <f aca="false">IF(OR(OR($B358="",$E358="",$F358=""),L358&lt;&gt;"لا"),0,MAX(0,MIN(F358,cfg_Y_START-1)-E358+1))</f>
        <v>0</v>
      </c>
      <c r="S358" s="57" t="n">
        <f aca="false">IF(OR(OR($B358="",$E358="",$F358=""),L358&lt;&gt;"لا"),0,MAX(0,MIN(F358,cfg_VAL_DATE)-E358+1))</f>
        <v>0</v>
      </c>
      <c r="T358" s="57" t="n">
        <f aca="false">IF(OR(OR($B358="",$E358="",$F358=""),K358&lt;&gt;"نعم"),0,IF(M358="نعم",IF(AND(ISNUMBER(O358),N(O358)&lt;=cfg_VAL_M),G358,0),MAX(0,MIN(F358,cfg_VAL_DATE)-MAX(E358,cfg_Y_START)+1)))</f>
        <v>0</v>
      </c>
      <c r="V358" s="57" t="n">
        <f aca="false">IF(OR($B358="",$E358="",$F358=""),0,MAX(0,MIN($F358,EOMONTH(DATE(cfg_FY,1,1),0))-MAX($E358,DATE(cfg_FY,1,1))+1)*(1-IF($M358="نعم",0,N($J358))))</f>
        <v>0</v>
      </c>
      <c r="W358" s="57" t="n">
        <f aca="false">IF(OR($B358="",$E358="",$F358=""),0,MAX(0,MIN($F358,EOMONTH(DATE(cfg_FY,2,1),0))-MAX($E358,DATE(cfg_FY,2,1))+1)*(1-IF($M358="نعم",0,N($J358))))</f>
        <v>0</v>
      </c>
      <c r="X358" s="57" t="n">
        <f aca="false">IF(OR($B358="",$E358="",$F358=""),0,MAX(0,MIN($F358,EOMONTH(DATE(cfg_FY,3,1),0))-MAX($E358,DATE(cfg_FY,3,1))+1)*(1-IF($M358="نعم",0,N($J358))))</f>
        <v>0</v>
      </c>
      <c r="Y358" s="57" t="n">
        <f aca="false">IF(OR($B358="",$E358="",$F358=""),0,MAX(0,MIN($F358,EOMONTH(DATE(cfg_FY,4,1),0))-MAX($E358,DATE(cfg_FY,4,1))+1)*(1-IF($M358="نعم",0,N($J358))))</f>
        <v>0</v>
      </c>
      <c r="Z358" s="57" t="n">
        <f aca="false">IF(OR($B358="",$E358="",$F358=""),0,MAX(0,MIN($F358,EOMONTH(DATE(cfg_FY,5,1),0))-MAX($E358,DATE(cfg_FY,5,1))+1)*(1-IF($M358="نعم",0,N($J358))))</f>
        <v>0</v>
      </c>
      <c r="AA358" s="57" t="n">
        <f aca="false">IF(OR($B358="",$E358="",$F358=""),0,MAX(0,MIN($F358,EOMONTH(DATE(cfg_FY,6,1),0))-MAX($E358,DATE(cfg_FY,6,1))+1)*(1-IF($M358="نعم",0,N($J358))))</f>
        <v>0</v>
      </c>
      <c r="AB358" s="57" t="n">
        <f aca="false">IF(OR($B358="",$E358="",$F358=""),0,MAX(0,MIN($F358,EOMONTH(DATE(cfg_FY,7,1),0))-MAX($E358,DATE(cfg_FY,7,1))+1)*(1-IF($M358="نعم",0,N($J358))))</f>
        <v>0</v>
      </c>
      <c r="AC358" s="57" t="n">
        <f aca="false">IF(OR($B358="",$E358="",$F358=""),0,MAX(0,MIN($F358,EOMONTH(DATE(cfg_FY,8,1),0))-MAX($E358,DATE(cfg_FY,8,1))+1)*(1-IF($M358="نعم",0,N($J358))))</f>
        <v>0</v>
      </c>
      <c r="AD358" s="57" t="n">
        <f aca="false">IF(OR($B358="",$E358="",$F358=""),0,MAX(0,MIN($F358,EOMONTH(DATE(cfg_FY,9,1),0))-MAX($E358,DATE(cfg_FY,9,1))+1)*(1-IF($M358="نعم",0,N($J358))))</f>
        <v>0</v>
      </c>
      <c r="AE358" s="57" t="n">
        <f aca="false">IF(OR($B358="",$E358="",$F358=""),0,MAX(0,MIN($F358,EOMONTH(DATE(cfg_FY,10,1),0))-MAX($E358,DATE(cfg_FY,10,1))+1)*(1-IF($M358="نعم",0,N($J358))))</f>
        <v>0</v>
      </c>
      <c r="AF358" s="57" t="n">
        <f aca="false">IF(OR($B358="",$E358="",$F358=""),0,MAX(0,MIN($F358,EOMONTH(DATE(cfg_FY,11,1),0))-MAX($E358,DATE(cfg_FY,11,1))+1)*(1-IF($M358="نعم",0,N($J358))))</f>
        <v>0</v>
      </c>
      <c r="AG358" s="57" t="n">
        <f aca="false">IF(OR($B358="",$E358="",$F358=""),0,MAX(0,MIN($F358,EOMONTH(DATE(cfg_FY,12,1),0))-MAX($E358,DATE(cfg_FY,12,1))+1)*(1-IF($M358="نعم",0,N($J358))))</f>
        <v>0</v>
      </c>
      <c r="AH358" s="57" t="n">
        <f aca="false">IF(OR(OR($B358="",$E358="",$F358=""),$L358&lt;&gt;"لا"),0,MAX(0,MIN($F358,EOMONTH(DATE(cfg_FY,1,1),0))-$E358+1))</f>
        <v>0</v>
      </c>
      <c r="AI358" s="57" t="n">
        <f aca="false">IF(OR(OR($B358="",$E358="",$F358=""),$L358&lt;&gt;"لا"),0,MAX(0,MIN($F358,EOMONTH(DATE(cfg_FY,2,1),0))-$E358+1))</f>
        <v>0</v>
      </c>
      <c r="AJ358" s="57" t="n">
        <f aca="false">IF(OR(OR($B358="",$E358="",$F358=""),$L358&lt;&gt;"لا"),0,MAX(0,MIN($F358,EOMONTH(DATE(cfg_FY,3,1),0))-$E358+1))</f>
        <v>0</v>
      </c>
      <c r="AK358" s="57" t="n">
        <f aca="false">IF(OR(OR($B358="",$E358="",$F358=""),$L358&lt;&gt;"لا"),0,MAX(0,MIN($F358,EOMONTH(DATE(cfg_FY,4,1),0))-$E358+1))</f>
        <v>0</v>
      </c>
      <c r="AL358" s="57" t="n">
        <f aca="false">IF(OR(OR($B358="",$E358="",$F358=""),$L358&lt;&gt;"لا"),0,MAX(0,MIN($F358,EOMONTH(DATE(cfg_FY,5,1),0))-$E358+1))</f>
        <v>0</v>
      </c>
      <c r="AM358" s="57" t="n">
        <f aca="false">IF(OR(OR($B358="",$E358="",$F358=""),$L358&lt;&gt;"لا"),0,MAX(0,MIN($F358,EOMONTH(DATE(cfg_FY,6,1),0))-$E358+1))</f>
        <v>0</v>
      </c>
      <c r="AN358" s="57" t="n">
        <f aca="false">IF(OR(OR($B358="",$E358="",$F358=""),$L358&lt;&gt;"لا"),0,MAX(0,MIN($F358,EOMONTH(DATE(cfg_FY,7,1),0))-$E358+1))</f>
        <v>0</v>
      </c>
      <c r="AO358" s="57" t="n">
        <f aca="false">IF(OR(OR($B358="",$E358="",$F358=""),$L358&lt;&gt;"لا"),0,MAX(0,MIN($F358,EOMONTH(DATE(cfg_FY,8,1),0))-$E358+1))</f>
        <v>0</v>
      </c>
      <c r="AP358" s="57" t="n">
        <f aca="false">IF(OR(OR($B358="",$E358="",$F358=""),$L358&lt;&gt;"لا"),0,MAX(0,MIN($F358,EOMONTH(DATE(cfg_FY,9,1),0))-$E358+1))</f>
        <v>0</v>
      </c>
      <c r="AQ358" s="57" t="n">
        <f aca="false">IF(OR(OR($B358="",$E358="",$F358=""),$L358&lt;&gt;"لا"),0,MAX(0,MIN($F358,EOMONTH(DATE(cfg_FY,10,1),0))-$E358+1))</f>
        <v>0</v>
      </c>
      <c r="AR358" s="57" t="n">
        <f aca="false">IF(OR(OR($B358="",$E358="",$F358=""),$L358&lt;&gt;"لا"),0,MAX(0,MIN($F358,EOMONTH(DATE(cfg_FY,11,1),0))-$E358+1))</f>
        <v>0</v>
      </c>
      <c r="AS358" s="57" t="n">
        <f aca="false">IF(OR(OR($B358="",$E358="",$F358=""),$L358&lt;&gt;"لا"),0,MAX(0,MIN($F358,EOMONTH(DATE(cfg_FY,12,1),0))-$E358+1))</f>
        <v>0</v>
      </c>
      <c r="AT358" s="57" t="n">
        <f aca="false">IF(OR(OR($B358="",$E358="",$F358=""),$K358&lt;&gt;"نعم",$M358="نعم"),0,MAX(0,MIN($F358,EOMONTH(DATE(cfg_FY,1,1),0))-MAX($E358,DATE(cfg_FY,1,1))+1))</f>
        <v>0</v>
      </c>
      <c r="AU358" s="57" t="n">
        <f aca="false">IF(OR(OR($B358="",$E358="",$F358=""),$K358&lt;&gt;"نعم",$M358="نعم"),0,MAX(0,MIN($F358,EOMONTH(DATE(cfg_FY,2,1),0))-MAX($E358,DATE(cfg_FY,2,1))+1))</f>
        <v>0</v>
      </c>
      <c r="AV358" s="57" t="n">
        <f aca="false">IF(OR(OR($B358="",$E358="",$F358=""),$K358&lt;&gt;"نعم",$M358="نعم"),0,MAX(0,MIN($F358,EOMONTH(DATE(cfg_FY,3,1),0))-MAX($E358,DATE(cfg_FY,3,1))+1))</f>
        <v>0</v>
      </c>
      <c r="AW358" s="57" t="n">
        <f aca="false">IF(OR(OR($B358="",$E358="",$F358=""),$K358&lt;&gt;"نعم",$M358="نعم"),0,MAX(0,MIN($F358,EOMONTH(DATE(cfg_FY,4,1),0))-MAX($E358,DATE(cfg_FY,4,1))+1))</f>
        <v>0</v>
      </c>
      <c r="AX358" s="57" t="n">
        <f aca="false">IF(OR(OR($B358="",$E358="",$F358=""),$K358&lt;&gt;"نعم",$M358="نعم"),0,MAX(0,MIN($F358,EOMONTH(DATE(cfg_FY,5,1),0))-MAX($E358,DATE(cfg_FY,5,1))+1))</f>
        <v>0</v>
      </c>
      <c r="AY358" s="57" t="n">
        <f aca="false">IF(OR(OR($B358="",$E358="",$F358=""),$K358&lt;&gt;"نعم",$M358="نعم"),0,MAX(0,MIN($F358,EOMONTH(DATE(cfg_FY,6,1),0))-MAX($E358,DATE(cfg_FY,6,1))+1))</f>
        <v>0</v>
      </c>
      <c r="AZ358" s="57" t="n">
        <f aca="false">IF(OR(OR($B358="",$E358="",$F358=""),$K358&lt;&gt;"نعم",$M358="نعم"),0,MAX(0,MIN($F358,EOMONTH(DATE(cfg_FY,7,1),0))-MAX($E358,DATE(cfg_FY,7,1))+1))</f>
        <v>0</v>
      </c>
      <c r="BA358" s="57" t="n">
        <f aca="false">IF(OR(OR($B358="",$E358="",$F358=""),$K358&lt;&gt;"نعم",$M358="نعم"),0,MAX(0,MIN($F358,EOMONTH(DATE(cfg_FY,8,1),0))-MAX($E358,DATE(cfg_FY,8,1))+1))</f>
        <v>0</v>
      </c>
      <c r="BB358" s="57" t="n">
        <f aca="false">IF(OR(OR($B358="",$E358="",$F358=""),$K358&lt;&gt;"نعم",$M358="نعم"),0,MAX(0,MIN($F358,EOMONTH(DATE(cfg_FY,9,1),0))-MAX($E358,DATE(cfg_FY,9,1))+1))</f>
        <v>0</v>
      </c>
      <c r="BC358" s="57" t="n">
        <f aca="false">IF(OR(OR($B358="",$E358="",$F358=""),$K358&lt;&gt;"نعم",$M358="نعم"),0,MAX(0,MIN($F358,EOMONTH(DATE(cfg_FY,10,1),0))-MAX($E358,DATE(cfg_FY,10,1))+1))</f>
        <v>0</v>
      </c>
      <c r="BD358" s="57" t="n">
        <f aca="false">IF(OR(OR($B358="",$E358="",$F358=""),$K358&lt;&gt;"نعم",$M358="نعم"),0,MAX(0,MIN($F358,EOMONTH(DATE(cfg_FY,11,1),0))-MAX($E358,DATE(cfg_FY,11,1))+1))</f>
        <v>0</v>
      </c>
      <c r="BE358" s="57" t="n">
        <f aca="false">IF(OR(OR($B358="",$E358="",$F358=""),$K358&lt;&gt;"نعم",$M358="نعم"),0,MAX(0,MIN($F358,EOMONTH(DATE(cfg_FY,12,1),0))-MAX($E358,DATE(cfg_FY,12,1))+1))</f>
        <v>0</v>
      </c>
    </row>
    <row r="359" customFormat="false" ht="15" hidden="false" customHeight="false" outlineLevel="0" collapsed="false">
      <c r="A359" s="100" t="str">
        <f aca="false">IF(B359="","",ROW()-5)</f>
        <v/>
      </c>
      <c r="B359" s="79"/>
      <c r="C359" s="102" t="str">
        <f aca="false">IF(B359="","",IFERROR(INDEX(الموظفون!$C$6:$C$105,MATCH(B359,الموظفون!$B$6:$B$105,0)),"✖ رقم غير موجود"))</f>
        <v/>
      </c>
      <c r="D359" s="79"/>
      <c r="E359" s="94"/>
      <c r="F359" s="94"/>
      <c r="G359" s="110" t="str">
        <f aca="false">IF(OR($B359="",$E359="",$F359=""),"",MAX(0,F359-E359+1))</f>
        <v/>
      </c>
      <c r="H359" s="111" t="str">
        <f aca="false">IF(D359="","",IFERROR(VLOOKUP(D359,cfg_LT,2,FALSE()),1))</f>
        <v/>
      </c>
      <c r="I359" s="82"/>
      <c r="J359" s="111" t="str">
        <f aca="false">IF(D359="","",IF(I359&lt;&gt;"",I359,H359))</f>
        <v/>
      </c>
      <c r="K359" s="102" t="str">
        <f aca="false">IF(D359="","",IFERROR(VLOOKUP($D359,cfg_LT,3,FALSE()),""))</f>
        <v/>
      </c>
      <c r="L359" s="102" t="str">
        <f aca="false">IF(D359="","",IFERROR(VLOOKUP($D359,cfg_LT,4,FALSE()),""))</f>
        <v/>
      </c>
      <c r="M359" s="102" t="str">
        <f aca="false">IF(D359="","",IFERROR(VLOOKUP($D359,cfg_LT,5,FALSE()),""))</f>
        <v/>
      </c>
      <c r="N359" s="101" t="n">
        <f aca="false">IF(OR(OR($B359="",$E359="",$F359=""),M359&lt;&gt;"نعم"),0,G359*J359*IFERROR(INDEX(الموظفون!$R$6:$R$105,MATCH(B359,الموظفون!$B$6:$B$105,0)),0)/cfg_DAYS_M)</f>
        <v>0</v>
      </c>
      <c r="O359" s="100" t="str">
        <f aca="false">IF(OR(OR($B359="",$E359="",$F359=""),M359&lt;&gt;"نعم"),"",IF(YEAR(E359)=cfg_FY,MONTH(E359),""))</f>
        <v/>
      </c>
      <c r="P359" s="102" t="str">
        <f aca="false">IF(B359="","",IF(OR(D359="",E359="",F359=""),"⚠ أكمل النوع والتواريخ",IF(F359&lt;E359,"✖ النهاية قبل البداية",IF(COUNTIFS($B$6:$B$505,B359,$E$6:$E$505,"&lt;="&amp;F359,$F$6:$F$505,"&gt;="&amp;E359)&gt;1,"⚠ تداخل مع سجل آخر",IF(E359&gt;cfg_VAL_DATE,"⏳ قادمة",IF(F359&lt;cfg_VAL_DATE,"✔ منتهية","✈ جارية في تاريخ التقرير"))))))</f>
        <v/>
      </c>
      <c r="Q359" s="79"/>
      <c r="R359" s="110" t="n">
        <f aca="false">IF(OR(OR($B359="",$E359="",$F359=""),L359&lt;&gt;"لا"),0,MAX(0,MIN(F359,cfg_Y_START-1)-E359+1))</f>
        <v>0</v>
      </c>
      <c r="S359" s="110" t="n">
        <f aca="false">IF(OR(OR($B359="",$E359="",$F359=""),L359&lt;&gt;"لا"),0,MAX(0,MIN(F359,cfg_VAL_DATE)-E359+1))</f>
        <v>0</v>
      </c>
      <c r="T359" s="110" t="n">
        <f aca="false">IF(OR(OR($B359="",$E359="",$F359=""),K359&lt;&gt;"نعم"),0,IF(M359="نعم",IF(AND(ISNUMBER(O359),N(O359)&lt;=cfg_VAL_M),G359,0),MAX(0,MIN(F359,cfg_VAL_DATE)-MAX(E359,cfg_Y_START)+1)))</f>
        <v>0</v>
      </c>
      <c r="V359" s="110" t="n">
        <f aca="false">IF(OR($B359="",$E359="",$F359=""),0,MAX(0,MIN($F359,EOMONTH(DATE(cfg_FY,1,1),0))-MAX($E359,DATE(cfg_FY,1,1))+1)*(1-IF($M359="نعم",0,N($J359))))</f>
        <v>0</v>
      </c>
      <c r="W359" s="110" t="n">
        <f aca="false">IF(OR($B359="",$E359="",$F359=""),0,MAX(0,MIN($F359,EOMONTH(DATE(cfg_FY,2,1),0))-MAX($E359,DATE(cfg_FY,2,1))+1)*(1-IF($M359="نعم",0,N($J359))))</f>
        <v>0</v>
      </c>
      <c r="X359" s="110" t="n">
        <f aca="false">IF(OR($B359="",$E359="",$F359=""),0,MAX(0,MIN($F359,EOMONTH(DATE(cfg_FY,3,1),0))-MAX($E359,DATE(cfg_FY,3,1))+1)*(1-IF($M359="نعم",0,N($J359))))</f>
        <v>0</v>
      </c>
      <c r="Y359" s="110" t="n">
        <f aca="false">IF(OR($B359="",$E359="",$F359=""),0,MAX(0,MIN($F359,EOMONTH(DATE(cfg_FY,4,1),0))-MAX($E359,DATE(cfg_FY,4,1))+1)*(1-IF($M359="نعم",0,N($J359))))</f>
        <v>0</v>
      </c>
      <c r="Z359" s="110" t="n">
        <f aca="false">IF(OR($B359="",$E359="",$F359=""),0,MAX(0,MIN($F359,EOMONTH(DATE(cfg_FY,5,1),0))-MAX($E359,DATE(cfg_FY,5,1))+1)*(1-IF($M359="نعم",0,N($J359))))</f>
        <v>0</v>
      </c>
      <c r="AA359" s="110" t="n">
        <f aca="false">IF(OR($B359="",$E359="",$F359=""),0,MAX(0,MIN($F359,EOMONTH(DATE(cfg_FY,6,1),0))-MAX($E359,DATE(cfg_FY,6,1))+1)*(1-IF($M359="نعم",0,N($J359))))</f>
        <v>0</v>
      </c>
      <c r="AB359" s="110" t="n">
        <f aca="false">IF(OR($B359="",$E359="",$F359=""),0,MAX(0,MIN($F359,EOMONTH(DATE(cfg_FY,7,1),0))-MAX($E359,DATE(cfg_FY,7,1))+1)*(1-IF($M359="نعم",0,N($J359))))</f>
        <v>0</v>
      </c>
      <c r="AC359" s="110" t="n">
        <f aca="false">IF(OR($B359="",$E359="",$F359=""),0,MAX(0,MIN($F359,EOMONTH(DATE(cfg_FY,8,1),0))-MAX($E359,DATE(cfg_FY,8,1))+1)*(1-IF($M359="نعم",0,N($J359))))</f>
        <v>0</v>
      </c>
      <c r="AD359" s="110" t="n">
        <f aca="false">IF(OR($B359="",$E359="",$F359=""),0,MAX(0,MIN($F359,EOMONTH(DATE(cfg_FY,9,1),0))-MAX($E359,DATE(cfg_FY,9,1))+1)*(1-IF($M359="نعم",0,N($J359))))</f>
        <v>0</v>
      </c>
      <c r="AE359" s="110" t="n">
        <f aca="false">IF(OR($B359="",$E359="",$F359=""),0,MAX(0,MIN($F359,EOMONTH(DATE(cfg_FY,10,1),0))-MAX($E359,DATE(cfg_FY,10,1))+1)*(1-IF($M359="نعم",0,N($J359))))</f>
        <v>0</v>
      </c>
      <c r="AF359" s="110" t="n">
        <f aca="false">IF(OR($B359="",$E359="",$F359=""),0,MAX(0,MIN($F359,EOMONTH(DATE(cfg_FY,11,1),0))-MAX($E359,DATE(cfg_FY,11,1))+1)*(1-IF($M359="نعم",0,N($J359))))</f>
        <v>0</v>
      </c>
      <c r="AG359" s="110" t="n">
        <f aca="false">IF(OR($B359="",$E359="",$F359=""),0,MAX(0,MIN($F359,EOMONTH(DATE(cfg_FY,12,1),0))-MAX($E359,DATE(cfg_FY,12,1))+1)*(1-IF($M359="نعم",0,N($J359))))</f>
        <v>0</v>
      </c>
      <c r="AH359" s="110" t="n">
        <f aca="false">IF(OR(OR($B359="",$E359="",$F359=""),$L359&lt;&gt;"لا"),0,MAX(0,MIN($F359,EOMONTH(DATE(cfg_FY,1,1),0))-$E359+1))</f>
        <v>0</v>
      </c>
      <c r="AI359" s="110" t="n">
        <f aca="false">IF(OR(OR($B359="",$E359="",$F359=""),$L359&lt;&gt;"لا"),0,MAX(0,MIN($F359,EOMONTH(DATE(cfg_FY,2,1),0))-$E359+1))</f>
        <v>0</v>
      </c>
      <c r="AJ359" s="110" t="n">
        <f aca="false">IF(OR(OR($B359="",$E359="",$F359=""),$L359&lt;&gt;"لا"),0,MAX(0,MIN($F359,EOMONTH(DATE(cfg_FY,3,1),0))-$E359+1))</f>
        <v>0</v>
      </c>
      <c r="AK359" s="110" t="n">
        <f aca="false">IF(OR(OR($B359="",$E359="",$F359=""),$L359&lt;&gt;"لا"),0,MAX(0,MIN($F359,EOMONTH(DATE(cfg_FY,4,1),0))-$E359+1))</f>
        <v>0</v>
      </c>
      <c r="AL359" s="110" t="n">
        <f aca="false">IF(OR(OR($B359="",$E359="",$F359=""),$L359&lt;&gt;"لا"),0,MAX(0,MIN($F359,EOMONTH(DATE(cfg_FY,5,1),0))-$E359+1))</f>
        <v>0</v>
      </c>
      <c r="AM359" s="110" t="n">
        <f aca="false">IF(OR(OR($B359="",$E359="",$F359=""),$L359&lt;&gt;"لا"),0,MAX(0,MIN($F359,EOMONTH(DATE(cfg_FY,6,1),0))-$E359+1))</f>
        <v>0</v>
      </c>
      <c r="AN359" s="110" t="n">
        <f aca="false">IF(OR(OR($B359="",$E359="",$F359=""),$L359&lt;&gt;"لا"),0,MAX(0,MIN($F359,EOMONTH(DATE(cfg_FY,7,1),0))-$E359+1))</f>
        <v>0</v>
      </c>
      <c r="AO359" s="110" t="n">
        <f aca="false">IF(OR(OR($B359="",$E359="",$F359=""),$L359&lt;&gt;"لا"),0,MAX(0,MIN($F359,EOMONTH(DATE(cfg_FY,8,1),0))-$E359+1))</f>
        <v>0</v>
      </c>
      <c r="AP359" s="110" t="n">
        <f aca="false">IF(OR(OR($B359="",$E359="",$F359=""),$L359&lt;&gt;"لا"),0,MAX(0,MIN($F359,EOMONTH(DATE(cfg_FY,9,1),0))-$E359+1))</f>
        <v>0</v>
      </c>
      <c r="AQ359" s="110" t="n">
        <f aca="false">IF(OR(OR($B359="",$E359="",$F359=""),$L359&lt;&gt;"لا"),0,MAX(0,MIN($F359,EOMONTH(DATE(cfg_FY,10,1),0))-$E359+1))</f>
        <v>0</v>
      </c>
      <c r="AR359" s="110" t="n">
        <f aca="false">IF(OR(OR($B359="",$E359="",$F359=""),$L359&lt;&gt;"لا"),0,MAX(0,MIN($F359,EOMONTH(DATE(cfg_FY,11,1),0))-$E359+1))</f>
        <v>0</v>
      </c>
      <c r="AS359" s="110" t="n">
        <f aca="false">IF(OR(OR($B359="",$E359="",$F359=""),$L359&lt;&gt;"لا"),0,MAX(0,MIN($F359,EOMONTH(DATE(cfg_FY,12,1),0))-$E359+1))</f>
        <v>0</v>
      </c>
      <c r="AT359" s="110" t="n">
        <f aca="false">IF(OR(OR($B359="",$E359="",$F359=""),$K359&lt;&gt;"نعم",$M359="نعم"),0,MAX(0,MIN($F359,EOMONTH(DATE(cfg_FY,1,1),0))-MAX($E359,DATE(cfg_FY,1,1))+1))</f>
        <v>0</v>
      </c>
      <c r="AU359" s="110" t="n">
        <f aca="false">IF(OR(OR($B359="",$E359="",$F359=""),$K359&lt;&gt;"نعم",$M359="نعم"),0,MAX(0,MIN($F359,EOMONTH(DATE(cfg_FY,2,1),0))-MAX($E359,DATE(cfg_FY,2,1))+1))</f>
        <v>0</v>
      </c>
      <c r="AV359" s="110" t="n">
        <f aca="false">IF(OR(OR($B359="",$E359="",$F359=""),$K359&lt;&gt;"نعم",$M359="نعم"),0,MAX(0,MIN($F359,EOMONTH(DATE(cfg_FY,3,1),0))-MAX($E359,DATE(cfg_FY,3,1))+1))</f>
        <v>0</v>
      </c>
      <c r="AW359" s="110" t="n">
        <f aca="false">IF(OR(OR($B359="",$E359="",$F359=""),$K359&lt;&gt;"نعم",$M359="نعم"),0,MAX(0,MIN($F359,EOMONTH(DATE(cfg_FY,4,1),0))-MAX($E359,DATE(cfg_FY,4,1))+1))</f>
        <v>0</v>
      </c>
      <c r="AX359" s="110" t="n">
        <f aca="false">IF(OR(OR($B359="",$E359="",$F359=""),$K359&lt;&gt;"نعم",$M359="نعم"),0,MAX(0,MIN($F359,EOMONTH(DATE(cfg_FY,5,1),0))-MAX($E359,DATE(cfg_FY,5,1))+1))</f>
        <v>0</v>
      </c>
      <c r="AY359" s="110" t="n">
        <f aca="false">IF(OR(OR($B359="",$E359="",$F359=""),$K359&lt;&gt;"نعم",$M359="نعم"),0,MAX(0,MIN($F359,EOMONTH(DATE(cfg_FY,6,1),0))-MAX($E359,DATE(cfg_FY,6,1))+1))</f>
        <v>0</v>
      </c>
      <c r="AZ359" s="110" t="n">
        <f aca="false">IF(OR(OR($B359="",$E359="",$F359=""),$K359&lt;&gt;"نعم",$M359="نعم"),0,MAX(0,MIN($F359,EOMONTH(DATE(cfg_FY,7,1),0))-MAX($E359,DATE(cfg_FY,7,1))+1))</f>
        <v>0</v>
      </c>
      <c r="BA359" s="110" t="n">
        <f aca="false">IF(OR(OR($B359="",$E359="",$F359=""),$K359&lt;&gt;"نعم",$M359="نعم"),0,MAX(0,MIN($F359,EOMONTH(DATE(cfg_FY,8,1),0))-MAX($E359,DATE(cfg_FY,8,1))+1))</f>
        <v>0</v>
      </c>
      <c r="BB359" s="110" t="n">
        <f aca="false">IF(OR(OR($B359="",$E359="",$F359=""),$K359&lt;&gt;"نعم",$M359="نعم"),0,MAX(0,MIN($F359,EOMONTH(DATE(cfg_FY,9,1),0))-MAX($E359,DATE(cfg_FY,9,1))+1))</f>
        <v>0</v>
      </c>
      <c r="BC359" s="110" t="n">
        <f aca="false">IF(OR(OR($B359="",$E359="",$F359=""),$K359&lt;&gt;"نعم",$M359="نعم"),0,MAX(0,MIN($F359,EOMONTH(DATE(cfg_FY,10,1),0))-MAX($E359,DATE(cfg_FY,10,1))+1))</f>
        <v>0</v>
      </c>
      <c r="BD359" s="110" t="n">
        <f aca="false">IF(OR(OR($B359="",$E359="",$F359=""),$K359&lt;&gt;"نعم",$M359="نعم"),0,MAX(0,MIN($F359,EOMONTH(DATE(cfg_FY,11,1),0))-MAX($E359,DATE(cfg_FY,11,1))+1))</f>
        <v>0</v>
      </c>
      <c r="BE359" s="110" t="n">
        <f aca="false">IF(OR(OR($B359="",$E359="",$F359=""),$K359&lt;&gt;"نعم",$M359="نعم"),0,MAX(0,MIN($F359,EOMONTH(DATE(cfg_FY,12,1),0))-MAX($E359,DATE(cfg_FY,12,1))+1))</f>
        <v>0</v>
      </c>
    </row>
    <row r="360" customFormat="false" ht="15" hidden="false" customHeight="false" outlineLevel="0" collapsed="false">
      <c r="A360" s="93" t="str">
        <f aca="false">IF(B360="","",ROW()-5)</f>
        <v/>
      </c>
      <c r="B360" s="79"/>
      <c r="C360" s="80" t="str">
        <f aca="false">IF(B360="","",IFERROR(INDEX(الموظفون!$C$6:$C$105,MATCH(B360,الموظفون!$B$6:$B$105,0)),"✖ رقم غير موجود"))</f>
        <v/>
      </c>
      <c r="D360" s="79"/>
      <c r="E360" s="94"/>
      <c r="F360" s="94"/>
      <c r="G360" s="57" t="str">
        <f aca="false">IF(OR($B360="",$E360="",$F360=""),"",MAX(0,F360-E360+1))</f>
        <v/>
      </c>
      <c r="H360" s="58" t="str">
        <f aca="false">IF(D360="","",IFERROR(VLOOKUP(D360,cfg_LT,2,FALSE()),1))</f>
        <v/>
      </c>
      <c r="I360" s="82"/>
      <c r="J360" s="58" t="str">
        <f aca="false">IF(D360="","",IF(I360&lt;&gt;"",I360,H360))</f>
        <v/>
      </c>
      <c r="K360" s="80" t="str">
        <f aca="false">IF(D360="","",IFERROR(VLOOKUP($D360,cfg_LT,3,FALSE()),""))</f>
        <v/>
      </c>
      <c r="L360" s="80" t="str">
        <f aca="false">IF(D360="","",IFERROR(VLOOKUP($D360,cfg_LT,4,FALSE()),""))</f>
        <v/>
      </c>
      <c r="M360" s="80" t="str">
        <f aca="false">IF(D360="","",IFERROR(VLOOKUP($D360,cfg_LT,5,FALSE()),""))</f>
        <v/>
      </c>
      <c r="N360" s="97" t="n">
        <f aca="false">IF(OR(OR($B360="",$E360="",$F360=""),M360&lt;&gt;"نعم"),0,G360*J360*IFERROR(INDEX(الموظفون!$R$6:$R$105,MATCH(B360,الموظفون!$B$6:$B$105,0)),0)/cfg_DAYS_M)</f>
        <v>0</v>
      </c>
      <c r="O360" s="93" t="str">
        <f aca="false">IF(OR(OR($B360="",$E360="",$F360=""),M360&lt;&gt;"نعم"),"",IF(YEAR(E360)=cfg_FY,MONTH(E360),""))</f>
        <v/>
      </c>
      <c r="P360" s="80" t="str">
        <f aca="false">IF(B360="","",IF(OR(D360="",E360="",F360=""),"⚠ أكمل النوع والتواريخ",IF(F360&lt;E360,"✖ النهاية قبل البداية",IF(COUNTIFS($B$6:$B$505,B360,$E$6:$E$505,"&lt;="&amp;F360,$F$6:$F$505,"&gt;="&amp;E360)&gt;1,"⚠ تداخل مع سجل آخر",IF(E360&gt;cfg_VAL_DATE,"⏳ قادمة",IF(F360&lt;cfg_VAL_DATE,"✔ منتهية","✈ جارية في تاريخ التقرير"))))))</f>
        <v/>
      </c>
      <c r="Q360" s="79"/>
      <c r="R360" s="57" t="n">
        <f aca="false">IF(OR(OR($B360="",$E360="",$F360=""),L360&lt;&gt;"لا"),0,MAX(0,MIN(F360,cfg_Y_START-1)-E360+1))</f>
        <v>0</v>
      </c>
      <c r="S360" s="57" t="n">
        <f aca="false">IF(OR(OR($B360="",$E360="",$F360=""),L360&lt;&gt;"لا"),0,MAX(0,MIN(F360,cfg_VAL_DATE)-E360+1))</f>
        <v>0</v>
      </c>
      <c r="T360" s="57" t="n">
        <f aca="false">IF(OR(OR($B360="",$E360="",$F360=""),K360&lt;&gt;"نعم"),0,IF(M360="نعم",IF(AND(ISNUMBER(O360),N(O360)&lt;=cfg_VAL_M),G360,0),MAX(0,MIN(F360,cfg_VAL_DATE)-MAX(E360,cfg_Y_START)+1)))</f>
        <v>0</v>
      </c>
      <c r="V360" s="57" t="n">
        <f aca="false">IF(OR($B360="",$E360="",$F360=""),0,MAX(0,MIN($F360,EOMONTH(DATE(cfg_FY,1,1),0))-MAX($E360,DATE(cfg_FY,1,1))+1)*(1-IF($M360="نعم",0,N($J360))))</f>
        <v>0</v>
      </c>
      <c r="W360" s="57" t="n">
        <f aca="false">IF(OR($B360="",$E360="",$F360=""),0,MAX(0,MIN($F360,EOMONTH(DATE(cfg_FY,2,1),0))-MAX($E360,DATE(cfg_FY,2,1))+1)*(1-IF($M360="نعم",0,N($J360))))</f>
        <v>0</v>
      </c>
      <c r="X360" s="57" t="n">
        <f aca="false">IF(OR($B360="",$E360="",$F360=""),0,MAX(0,MIN($F360,EOMONTH(DATE(cfg_FY,3,1),0))-MAX($E360,DATE(cfg_FY,3,1))+1)*(1-IF($M360="نعم",0,N($J360))))</f>
        <v>0</v>
      </c>
      <c r="Y360" s="57" t="n">
        <f aca="false">IF(OR($B360="",$E360="",$F360=""),0,MAX(0,MIN($F360,EOMONTH(DATE(cfg_FY,4,1),0))-MAX($E360,DATE(cfg_FY,4,1))+1)*(1-IF($M360="نعم",0,N($J360))))</f>
        <v>0</v>
      </c>
      <c r="Z360" s="57" t="n">
        <f aca="false">IF(OR($B360="",$E360="",$F360=""),0,MAX(0,MIN($F360,EOMONTH(DATE(cfg_FY,5,1),0))-MAX($E360,DATE(cfg_FY,5,1))+1)*(1-IF($M360="نعم",0,N($J360))))</f>
        <v>0</v>
      </c>
      <c r="AA360" s="57" t="n">
        <f aca="false">IF(OR($B360="",$E360="",$F360=""),0,MAX(0,MIN($F360,EOMONTH(DATE(cfg_FY,6,1),0))-MAX($E360,DATE(cfg_FY,6,1))+1)*(1-IF($M360="نعم",0,N($J360))))</f>
        <v>0</v>
      </c>
      <c r="AB360" s="57" t="n">
        <f aca="false">IF(OR($B360="",$E360="",$F360=""),0,MAX(0,MIN($F360,EOMONTH(DATE(cfg_FY,7,1),0))-MAX($E360,DATE(cfg_FY,7,1))+1)*(1-IF($M360="نعم",0,N($J360))))</f>
        <v>0</v>
      </c>
      <c r="AC360" s="57" t="n">
        <f aca="false">IF(OR($B360="",$E360="",$F360=""),0,MAX(0,MIN($F360,EOMONTH(DATE(cfg_FY,8,1),0))-MAX($E360,DATE(cfg_FY,8,1))+1)*(1-IF($M360="نعم",0,N($J360))))</f>
        <v>0</v>
      </c>
      <c r="AD360" s="57" t="n">
        <f aca="false">IF(OR($B360="",$E360="",$F360=""),0,MAX(0,MIN($F360,EOMONTH(DATE(cfg_FY,9,1),0))-MAX($E360,DATE(cfg_FY,9,1))+1)*(1-IF($M360="نعم",0,N($J360))))</f>
        <v>0</v>
      </c>
      <c r="AE360" s="57" t="n">
        <f aca="false">IF(OR($B360="",$E360="",$F360=""),0,MAX(0,MIN($F360,EOMONTH(DATE(cfg_FY,10,1),0))-MAX($E360,DATE(cfg_FY,10,1))+1)*(1-IF($M360="نعم",0,N($J360))))</f>
        <v>0</v>
      </c>
      <c r="AF360" s="57" t="n">
        <f aca="false">IF(OR($B360="",$E360="",$F360=""),0,MAX(0,MIN($F360,EOMONTH(DATE(cfg_FY,11,1),0))-MAX($E360,DATE(cfg_FY,11,1))+1)*(1-IF($M360="نعم",0,N($J360))))</f>
        <v>0</v>
      </c>
      <c r="AG360" s="57" t="n">
        <f aca="false">IF(OR($B360="",$E360="",$F360=""),0,MAX(0,MIN($F360,EOMONTH(DATE(cfg_FY,12,1),0))-MAX($E360,DATE(cfg_FY,12,1))+1)*(1-IF($M360="نعم",0,N($J360))))</f>
        <v>0</v>
      </c>
      <c r="AH360" s="57" t="n">
        <f aca="false">IF(OR(OR($B360="",$E360="",$F360=""),$L360&lt;&gt;"لا"),0,MAX(0,MIN($F360,EOMONTH(DATE(cfg_FY,1,1),0))-$E360+1))</f>
        <v>0</v>
      </c>
      <c r="AI360" s="57" t="n">
        <f aca="false">IF(OR(OR($B360="",$E360="",$F360=""),$L360&lt;&gt;"لا"),0,MAX(0,MIN($F360,EOMONTH(DATE(cfg_FY,2,1),0))-$E360+1))</f>
        <v>0</v>
      </c>
      <c r="AJ360" s="57" t="n">
        <f aca="false">IF(OR(OR($B360="",$E360="",$F360=""),$L360&lt;&gt;"لا"),0,MAX(0,MIN($F360,EOMONTH(DATE(cfg_FY,3,1),0))-$E360+1))</f>
        <v>0</v>
      </c>
      <c r="AK360" s="57" t="n">
        <f aca="false">IF(OR(OR($B360="",$E360="",$F360=""),$L360&lt;&gt;"لا"),0,MAX(0,MIN($F360,EOMONTH(DATE(cfg_FY,4,1),0))-$E360+1))</f>
        <v>0</v>
      </c>
      <c r="AL360" s="57" t="n">
        <f aca="false">IF(OR(OR($B360="",$E360="",$F360=""),$L360&lt;&gt;"لا"),0,MAX(0,MIN($F360,EOMONTH(DATE(cfg_FY,5,1),0))-$E360+1))</f>
        <v>0</v>
      </c>
      <c r="AM360" s="57" t="n">
        <f aca="false">IF(OR(OR($B360="",$E360="",$F360=""),$L360&lt;&gt;"لا"),0,MAX(0,MIN($F360,EOMONTH(DATE(cfg_FY,6,1),0))-$E360+1))</f>
        <v>0</v>
      </c>
      <c r="AN360" s="57" t="n">
        <f aca="false">IF(OR(OR($B360="",$E360="",$F360=""),$L360&lt;&gt;"لا"),0,MAX(0,MIN($F360,EOMONTH(DATE(cfg_FY,7,1),0))-$E360+1))</f>
        <v>0</v>
      </c>
      <c r="AO360" s="57" t="n">
        <f aca="false">IF(OR(OR($B360="",$E360="",$F360=""),$L360&lt;&gt;"لا"),0,MAX(0,MIN($F360,EOMONTH(DATE(cfg_FY,8,1),0))-$E360+1))</f>
        <v>0</v>
      </c>
      <c r="AP360" s="57" t="n">
        <f aca="false">IF(OR(OR($B360="",$E360="",$F360=""),$L360&lt;&gt;"لا"),0,MAX(0,MIN($F360,EOMONTH(DATE(cfg_FY,9,1),0))-$E360+1))</f>
        <v>0</v>
      </c>
      <c r="AQ360" s="57" t="n">
        <f aca="false">IF(OR(OR($B360="",$E360="",$F360=""),$L360&lt;&gt;"لا"),0,MAX(0,MIN($F360,EOMONTH(DATE(cfg_FY,10,1),0))-$E360+1))</f>
        <v>0</v>
      </c>
      <c r="AR360" s="57" t="n">
        <f aca="false">IF(OR(OR($B360="",$E360="",$F360=""),$L360&lt;&gt;"لا"),0,MAX(0,MIN($F360,EOMONTH(DATE(cfg_FY,11,1),0))-$E360+1))</f>
        <v>0</v>
      </c>
      <c r="AS360" s="57" t="n">
        <f aca="false">IF(OR(OR($B360="",$E360="",$F360=""),$L360&lt;&gt;"لا"),0,MAX(0,MIN($F360,EOMONTH(DATE(cfg_FY,12,1),0))-$E360+1))</f>
        <v>0</v>
      </c>
      <c r="AT360" s="57" t="n">
        <f aca="false">IF(OR(OR($B360="",$E360="",$F360=""),$K360&lt;&gt;"نعم",$M360="نعم"),0,MAX(0,MIN($F360,EOMONTH(DATE(cfg_FY,1,1),0))-MAX($E360,DATE(cfg_FY,1,1))+1))</f>
        <v>0</v>
      </c>
      <c r="AU360" s="57" t="n">
        <f aca="false">IF(OR(OR($B360="",$E360="",$F360=""),$K360&lt;&gt;"نعم",$M360="نعم"),0,MAX(0,MIN($F360,EOMONTH(DATE(cfg_FY,2,1),0))-MAX($E360,DATE(cfg_FY,2,1))+1))</f>
        <v>0</v>
      </c>
      <c r="AV360" s="57" t="n">
        <f aca="false">IF(OR(OR($B360="",$E360="",$F360=""),$K360&lt;&gt;"نعم",$M360="نعم"),0,MAX(0,MIN($F360,EOMONTH(DATE(cfg_FY,3,1),0))-MAX($E360,DATE(cfg_FY,3,1))+1))</f>
        <v>0</v>
      </c>
      <c r="AW360" s="57" t="n">
        <f aca="false">IF(OR(OR($B360="",$E360="",$F360=""),$K360&lt;&gt;"نعم",$M360="نعم"),0,MAX(0,MIN($F360,EOMONTH(DATE(cfg_FY,4,1),0))-MAX($E360,DATE(cfg_FY,4,1))+1))</f>
        <v>0</v>
      </c>
      <c r="AX360" s="57" t="n">
        <f aca="false">IF(OR(OR($B360="",$E360="",$F360=""),$K360&lt;&gt;"نعم",$M360="نعم"),0,MAX(0,MIN($F360,EOMONTH(DATE(cfg_FY,5,1),0))-MAX($E360,DATE(cfg_FY,5,1))+1))</f>
        <v>0</v>
      </c>
      <c r="AY360" s="57" t="n">
        <f aca="false">IF(OR(OR($B360="",$E360="",$F360=""),$K360&lt;&gt;"نعم",$M360="نعم"),0,MAX(0,MIN($F360,EOMONTH(DATE(cfg_FY,6,1),0))-MAX($E360,DATE(cfg_FY,6,1))+1))</f>
        <v>0</v>
      </c>
      <c r="AZ360" s="57" t="n">
        <f aca="false">IF(OR(OR($B360="",$E360="",$F360=""),$K360&lt;&gt;"نعم",$M360="نعم"),0,MAX(0,MIN($F360,EOMONTH(DATE(cfg_FY,7,1),0))-MAX($E360,DATE(cfg_FY,7,1))+1))</f>
        <v>0</v>
      </c>
      <c r="BA360" s="57" t="n">
        <f aca="false">IF(OR(OR($B360="",$E360="",$F360=""),$K360&lt;&gt;"نعم",$M360="نعم"),0,MAX(0,MIN($F360,EOMONTH(DATE(cfg_FY,8,1),0))-MAX($E360,DATE(cfg_FY,8,1))+1))</f>
        <v>0</v>
      </c>
      <c r="BB360" s="57" t="n">
        <f aca="false">IF(OR(OR($B360="",$E360="",$F360=""),$K360&lt;&gt;"نعم",$M360="نعم"),0,MAX(0,MIN($F360,EOMONTH(DATE(cfg_FY,9,1),0))-MAX($E360,DATE(cfg_FY,9,1))+1))</f>
        <v>0</v>
      </c>
      <c r="BC360" s="57" t="n">
        <f aca="false">IF(OR(OR($B360="",$E360="",$F360=""),$K360&lt;&gt;"نعم",$M360="نعم"),0,MAX(0,MIN($F360,EOMONTH(DATE(cfg_FY,10,1),0))-MAX($E360,DATE(cfg_FY,10,1))+1))</f>
        <v>0</v>
      </c>
      <c r="BD360" s="57" t="n">
        <f aca="false">IF(OR(OR($B360="",$E360="",$F360=""),$K360&lt;&gt;"نعم",$M360="نعم"),0,MAX(0,MIN($F360,EOMONTH(DATE(cfg_FY,11,1),0))-MAX($E360,DATE(cfg_FY,11,1))+1))</f>
        <v>0</v>
      </c>
      <c r="BE360" s="57" t="n">
        <f aca="false">IF(OR(OR($B360="",$E360="",$F360=""),$K360&lt;&gt;"نعم",$M360="نعم"),0,MAX(0,MIN($F360,EOMONTH(DATE(cfg_FY,12,1),0))-MAX($E360,DATE(cfg_FY,12,1))+1))</f>
        <v>0</v>
      </c>
    </row>
    <row r="361" customFormat="false" ht="15" hidden="false" customHeight="false" outlineLevel="0" collapsed="false">
      <c r="A361" s="100" t="str">
        <f aca="false">IF(B361="","",ROW()-5)</f>
        <v/>
      </c>
      <c r="B361" s="79"/>
      <c r="C361" s="102" t="str">
        <f aca="false">IF(B361="","",IFERROR(INDEX(الموظفون!$C$6:$C$105,MATCH(B361,الموظفون!$B$6:$B$105,0)),"✖ رقم غير موجود"))</f>
        <v/>
      </c>
      <c r="D361" s="79"/>
      <c r="E361" s="94"/>
      <c r="F361" s="94"/>
      <c r="G361" s="110" t="str">
        <f aca="false">IF(OR($B361="",$E361="",$F361=""),"",MAX(0,F361-E361+1))</f>
        <v/>
      </c>
      <c r="H361" s="111" t="str">
        <f aca="false">IF(D361="","",IFERROR(VLOOKUP(D361,cfg_LT,2,FALSE()),1))</f>
        <v/>
      </c>
      <c r="I361" s="82"/>
      <c r="J361" s="111" t="str">
        <f aca="false">IF(D361="","",IF(I361&lt;&gt;"",I361,H361))</f>
        <v/>
      </c>
      <c r="K361" s="102" t="str">
        <f aca="false">IF(D361="","",IFERROR(VLOOKUP($D361,cfg_LT,3,FALSE()),""))</f>
        <v/>
      </c>
      <c r="L361" s="102" t="str">
        <f aca="false">IF(D361="","",IFERROR(VLOOKUP($D361,cfg_LT,4,FALSE()),""))</f>
        <v/>
      </c>
      <c r="M361" s="102" t="str">
        <f aca="false">IF(D361="","",IFERROR(VLOOKUP($D361,cfg_LT,5,FALSE()),""))</f>
        <v/>
      </c>
      <c r="N361" s="101" t="n">
        <f aca="false">IF(OR(OR($B361="",$E361="",$F361=""),M361&lt;&gt;"نعم"),0,G361*J361*IFERROR(INDEX(الموظفون!$R$6:$R$105,MATCH(B361,الموظفون!$B$6:$B$105,0)),0)/cfg_DAYS_M)</f>
        <v>0</v>
      </c>
      <c r="O361" s="100" t="str">
        <f aca="false">IF(OR(OR($B361="",$E361="",$F361=""),M361&lt;&gt;"نعم"),"",IF(YEAR(E361)=cfg_FY,MONTH(E361),""))</f>
        <v/>
      </c>
      <c r="P361" s="102" t="str">
        <f aca="false">IF(B361="","",IF(OR(D361="",E361="",F361=""),"⚠ أكمل النوع والتواريخ",IF(F361&lt;E361,"✖ النهاية قبل البداية",IF(COUNTIFS($B$6:$B$505,B361,$E$6:$E$505,"&lt;="&amp;F361,$F$6:$F$505,"&gt;="&amp;E361)&gt;1,"⚠ تداخل مع سجل آخر",IF(E361&gt;cfg_VAL_DATE,"⏳ قادمة",IF(F361&lt;cfg_VAL_DATE,"✔ منتهية","✈ جارية في تاريخ التقرير"))))))</f>
        <v/>
      </c>
      <c r="Q361" s="79"/>
      <c r="R361" s="110" t="n">
        <f aca="false">IF(OR(OR($B361="",$E361="",$F361=""),L361&lt;&gt;"لا"),0,MAX(0,MIN(F361,cfg_Y_START-1)-E361+1))</f>
        <v>0</v>
      </c>
      <c r="S361" s="110" t="n">
        <f aca="false">IF(OR(OR($B361="",$E361="",$F361=""),L361&lt;&gt;"لا"),0,MAX(0,MIN(F361,cfg_VAL_DATE)-E361+1))</f>
        <v>0</v>
      </c>
      <c r="T361" s="110" t="n">
        <f aca="false">IF(OR(OR($B361="",$E361="",$F361=""),K361&lt;&gt;"نعم"),0,IF(M361="نعم",IF(AND(ISNUMBER(O361),N(O361)&lt;=cfg_VAL_M),G361,0),MAX(0,MIN(F361,cfg_VAL_DATE)-MAX(E361,cfg_Y_START)+1)))</f>
        <v>0</v>
      </c>
      <c r="V361" s="110" t="n">
        <f aca="false">IF(OR($B361="",$E361="",$F361=""),0,MAX(0,MIN($F361,EOMONTH(DATE(cfg_FY,1,1),0))-MAX($E361,DATE(cfg_FY,1,1))+1)*(1-IF($M361="نعم",0,N($J361))))</f>
        <v>0</v>
      </c>
      <c r="W361" s="110" t="n">
        <f aca="false">IF(OR($B361="",$E361="",$F361=""),0,MAX(0,MIN($F361,EOMONTH(DATE(cfg_FY,2,1),0))-MAX($E361,DATE(cfg_FY,2,1))+1)*(1-IF($M361="نعم",0,N($J361))))</f>
        <v>0</v>
      </c>
      <c r="X361" s="110" t="n">
        <f aca="false">IF(OR($B361="",$E361="",$F361=""),0,MAX(0,MIN($F361,EOMONTH(DATE(cfg_FY,3,1),0))-MAX($E361,DATE(cfg_FY,3,1))+1)*(1-IF($M361="نعم",0,N($J361))))</f>
        <v>0</v>
      </c>
      <c r="Y361" s="110" t="n">
        <f aca="false">IF(OR($B361="",$E361="",$F361=""),0,MAX(0,MIN($F361,EOMONTH(DATE(cfg_FY,4,1),0))-MAX($E361,DATE(cfg_FY,4,1))+1)*(1-IF($M361="نعم",0,N($J361))))</f>
        <v>0</v>
      </c>
      <c r="Z361" s="110" t="n">
        <f aca="false">IF(OR($B361="",$E361="",$F361=""),0,MAX(0,MIN($F361,EOMONTH(DATE(cfg_FY,5,1),0))-MAX($E361,DATE(cfg_FY,5,1))+1)*(1-IF($M361="نعم",0,N($J361))))</f>
        <v>0</v>
      </c>
      <c r="AA361" s="110" t="n">
        <f aca="false">IF(OR($B361="",$E361="",$F361=""),0,MAX(0,MIN($F361,EOMONTH(DATE(cfg_FY,6,1),0))-MAX($E361,DATE(cfg_FY,6,1))+1)*(1-IF($M361="نعم",0,N($J361))))</f>
        <v>0</v>
      </c>
      <c r="AB361" s="110" t="n">
        <f aca="false">IF(OR($B361="",$E361="",$F361=""),0,MAX(0,MIN($F361,EOMONTH(DATE(cfg_FY,7,1),0))-MAX($E361,DATE(cfg_FY,7,1))+1)*(1-IF($M361="نعم",0,N($J361))))</f>
        <v>0</v>
      </c>
      <c r="AC361" s="110" t="n">
        <f aca="false">IF(OR($B361="",$E361="",$F361=""),0,MAX(0,MIN($F361,EOMONTH(DATE(cfg_FY,8,1),0))-MAX($E361,DATE(cfg_FY,8,1))+1)*(1-IF($M361="نعم",0,N($J361))))</f>
        <v>0</v>
      </c>
      <c r="AD361" s="110" t="n">
        <f aca="false">IF(OR($B361="",$E361="",$F361=""),0,MAX(0,MIN($F361,EOMONTH(DATE(cfg_FY,9,1),0))-MAX($E361,DATE(cfg_FY,9,1))+1)*(1-IF($M361="نعم",0,N($J361))))</f>
        <v>0</v>
      </c>
      <c r="AE361" s="110" t="n">
        <f aca="false">IF(OR($B361="",$E361="",$F361=""),0,MAX(0,MIN($F361,EOMONTH(DATE(cfg_FY,10,1),0))-MAX($E361,DATE(cfg_FY,10,1))+1)*(1-IF($M361="نعم",0,N($J361))))</f>
        <v>0</v>
      </c>
      <c r="AF361" s="110" t="n">
        <f aca="false">IF(OR($B361="",$E361="",$F361=""),0,MAX(0,MIN($F361,EOMONTH(DATE(cfg_FY,11,1),0))-MAX($E361,DATE(cfg_FY,11,1))+1)*(1-IF($M361="نعم",0,N($J361))))</f>
        <v>0</v>
      </c>
      <c r="AG361" s="110" t="n">
        <f aca="false">IF(OR($B361="",$E361="",$F361=""),0,MAX(0,MIN($F361,EOMONTH(DATE(cfg_FY,12,1),0))-MAX($E361,DATE(cfg_FY,12,1))+1)*(1-IF($M361="نعم",0,N($J361))))</f>
        <v>0</v>
      </c>
      <c r="AH361" s="110" t="n">
        <f aca="false">IF(OR(OR($B361="",$E361="",$F361=""),$L361&lt;&gt;"لا"),0,MAX(0,MIN($F361,EOMONTH(DATE(cfg_FY,1,1),0))-$E361+1))</f>
        <v>0</v>
      </c>
      <c r="AI361" s="110" t="n">
        <f aca="false">IF(OR(OR($B361="",$E361="",$F361=""),$L361&lt;&gt;"لا"),0,MAX(0,MIN($F361,EOMONTH(DATE(cfg_FY,2,1),0))-$E361+1))</f>
        <v>0</v>
      </c>
      <c r="AJ361" s="110" t="n">
        <f aca="false">IF(OR(OR($B361="",$E361="",$F361=""),$L361&lt;&gt;"لا"),0,MAX(0,MIN($F361,EOMONTH(DATE(cfg_FY,3,1),0))-$E361+1))</f>
        <v>0</v>
      </c>
      <c r="AK361" s="110" t="n">
        <f aca="false">IF(OR(OR($B361="",$E361="",$F361=""),$L361&lt;&gt;"لا"),0,MAX(0,MIN($F361,EOMONTH(DATE(cfg_FY,4,1),0))-$E361+1))</f>
        <v>0</v>
      </c>
      <c r="AL361" s="110" t="n">
        <f aca="false">IF(OR(OR($B361="",$E361="",$F361=""),$L361&lt;&gt;"لا"),0,MAX(0,MIN($F361,EOMONTH(DATE(cfg_FY,5,1),0))-$E361+1))</f>
        <v>0</v>
      </c>
      <c r="AM361" s="110" t="n">
        <f aca="false">IF(OR(OR($B361="",$E361="",$F361=""),$L361&lt;&gt;"لا"),0,MAX(0,MIN($F361,EOMONTH(DATE(cfg_FY,6,1),0))-$E361+1))</f>
        <v>0</v>
      </c>
      <c r="AN361" s="110" t="n">
        <f aca="false">IF(OR(OR($B361="",$E361="",$F361=""),$L361&lt;&gt;"لا"),0,MAX(0,MIN($F361,EOMONTH(DATE(cfg_FY,7,1),0))-$E361+1))</f>
        <v>0</v>
      </c>
      <c r="AO361" s="110" t="n">
        <f aca="false">IF(OR(OR($B361="",$E361="",$F361=""),$L361&lt;&gt;"لا"),0,MAX(0,MIN($F361,EOMONTH(DATE(cfg_FY,8,1),0))-$E361+1))</f>
        <v>0</v>
      </c>
      <c r="AP361" s="110" t="n">
        <f aca="false">IF(OR(OR($B361="",$E361="",$F361=""),$L361&lt;&gt;"لا"),0,MAX(0,MIN($F361,EOMONTH(DATE(cfg_FY,9,1),0))-$E361+1))</f>
        <v>0</v>
      </c>
      <c r="AQ361" s="110" t="n">
        <f aca="false">IF(OR(OR($B361="",$E361="",$F361=""),$L361&lt;&gt;"لا"),0,MAX(0,MIN($F361,EOMONTH(DATE(cfg_FY,10,1),0))-$E361+1))</f>
        <v>0</v>
      </c>
      <c r="AR361" s="110" t="n">
        <f aca="false">IF(OR(OR($B361="",$E361="",$F361=""),$L361&lt;&gt;"لا"),0,MAX(0,MIN($F361,EOMONTH(DATE(cfg_FY,11,1),0))-$E361+1))</f>
        <v>0</v>
      </c>
      <c r="AS361" s="110" t="n">
        <f aca="false">IF(OR(OR($B361="",$E361="",$F361=""),$L361&lt;&gt;"لا"),0,MAX(0,MIN($F361,EOMONTH(DATE(cfg_FY,12,1),0))-$E361+1))</f>
        <v>0</v>
      </c>
      <c r="AT361" s="110" t="n">
        <f aca="false">IF(OR(OR($B361="",$E361="",$F361=""),$K361&lt;&gt;"نعم",$M361="نعم"),0,MAX(0,MIN($F361,EOMONTH(DATE(cfg_FY,1,1),0))-MAX($E361,DATE(cfg_FY,1,1))+1))</f>
        <v>0</v>
      </c>
      <c r="AU361" s="110" t="n">
        <f aca="false">IF(OR(OR($B361="",$E361="",$F361=""),$K361&lt;&gt;"نعم",$M361="نعم"),0,MAX(0,MIN($F361,EOMONTH(DATE(cfg_FY,2,1),0))-MAX($E361,DATE(cfg_FY,2,1))+1))</f>
        <v>0</v>
      </c>
      <c r="AV361" s="110" t="n">
        <f aca="false">IF(OR(OR($B361="",$E361="",$F361=""),$K361&lt;&gt;"نعم",$M361="نعم"),0,MAX(0,MIN($F361,EOMONTH(DATE(cfg_FY,3,1),0))-MAX($E361,DATE(cfg_FY,3,1))+1))</f>
        <v>0</v>
      </c>
      <c r="AW361" s="110" t="n">
        <f aca="false">IF(OR(OR($B361="",$E361="",$F361=""),$K361&lt;&gt;"نعم",$M361="نعم"),0,MAX(0,MIN($F361,EOMONTH(DATE(cfg_FY,4,1),0))-MAX($E361,DATE(cfg_FY,4,1))+1))</f>
        <v>0</v>
      </c>
      <c r="AX361" s="110" t="n">
        <f aca="false">IF(OR(OR($B361="",$E361="",$F361=""),$K361&lt;&gt;"نعم",$M361="نعم"),0,MAX(0,MIN($F361,EOMONTH(DATE(cfg_FY,5,1),0))-MAX($E361,DATE(cfg_FY,5,1))+1))</f>
        <v>0</v>
      </c>
      <c r="AY361" s="110" t="n">
        <f aca="false">IF(OR(OR($B361="",$E361="",$F361=""),$K361&lt;&gt;"نعم",$M361="نعم"),0,MAX(0,MIN($F361,EOMONTH(DATE(cfg_FY,6,1),0))-MAX($E361,DATE(cfg_FY,6,1))+1))</f>
        <v>0</v>
      </c>
      <c r="AZ361" s="110" t="n">
        <f aca="false">IF(OR(OR($B361="",$E361="",$F361=""),$K361&lt;&gt;"نعم",$M361="نعم"),0,MAX(0,MIN($F361,EOMONTH(DATE(cfg_FY,7,1),0))-MAX($E361,DATE(cfg_FY,7,1))+1))</f>
        <v>0</v>
      </c>
      <c r="BA361" s="110" t="n">
        <f aca="false">IF(OR(OR($B361="",$E361="",$F361=""),$K361&lt;&gt;"نعم",$M361="نعم"),0,MAX(0,MIN($F361,EOMONTH(DATE(cfg_FY,8,1),0))-MAX($E361,DATE(cfg_FY,8,1))+1))</f>
        <v>0</v>
      </c>
      <c r="BB361" s="110" t="n">
        <f aca="false">IF(OR(OR($B361="",$E361="",$F361=""),$K361&lt;&gt;"نعم",$M361="نعم"),0,MAX(0,MIN($F361,EOMONTH(DATE(cfg_FY,9,1),0))-MAX($E361,DATE(cfg_FY,9,1))+1))</f>
        <v>0</v>
      </c>
      <c r="BC361" s="110" t="n">
        <f aca="false">IF(OR(OR($B361="",$E361="",$F361=""),$K361&lt;&gt;"نعم",$M361="نعم"),0,MAX(0,MIN($F361,EOMONTH(DATE(cfg_FY,10,1),0))-MAX($E361,DATE(cfg_FY,10,1))+1))</f>
        <v>0</v>
      </c>
      <c r="BD361" s="110" t="n">
        <f aca="false">IF(OR(OR($B361="",$E361="",$F361=""),$K361&lt;&gt;"نعم",$M361="نعم"),0,MAX(0,MIN($F361,EOMONTH(DATE(cfg_FY,11,1),0))-MAX($E361,DATE(cfg_FY,11,1))+1))</f>
        <v>0</v>
      </c>
      <c r="BE361" s="110" t="n">
        <f aca="false">IF(OR(OR($B361="",$E361="",$F361=""),$K361&lt;&gt;"نعم",$M361="نعم"),0,MAX(0,MIN($F361,EOMONTH(DATE(cfg_FY,12,1),0))-MAX($E361,DATE(cfg_FY,12,1))+1))</f>
        <v>0</v>
      </c>
    </row>
    <row r="362" customFormat="false" ht="15" hidden="false" customHeight="false" outlineLevel="0" collapsed="false">
      <c r="A362" s="93" t="str">
        <f aca="false">IF(B362="","",ROW()-5)</f>
        <v/>
      </c>
      <c r="B362" s="79"/>
      <c r="C362" s="80" t="str">
        <f aca="false">IF(B362="","",IFERROR(INDEX(الموظفون!$C$6:$C$105,MATCH(B362,الموظفون!$B$6:$B$105,0)),"✖ رقم غير موجود"))</f>
        <v/>
      </c>
      <c r="D362" s="79"/>
      <c r="E362" s="94"/>
      <c r="F362" s="94"/>
      <c r="G362" s="57" t="str">
        <f aca="false">IF(OR($B362="",$E362="",$F362=""),"",MAX(0,F362-E362+1))</f>
        <v/>
      </c>
      <c r="H362" s="58" t="str">
        <f aca="false">IF(D362="","",IFERROR(VLOOKUP(D362,cfg_LT,2,FALSE()),1))</f>
        <v/>
      </c>
      <c r="I362" s="82"/>
      <c r="J362" s="58" t="str">
        <f aca="false">IF(D362="","",IF(I362&lt;&gt;"",I362,H362))</f>
        <v/>
      </c>
      <c r="K362" s="80" t="str">
        <f aca="false">IF(D362="","",IFERROR(VLOOKUP($D362,cfg_LT,3,FALSE()),""))</f>
        <v/>
      </c>
      <c r="L362" s="80" t="str">
        <f aca="false">IF(D362="","",IFERROR(VLOOKUP($D362,cfg_LT,4,FALSE()),""))</f>
        <v/>
      </c>
      <c r="M362" s="80" t="str">
        <f aca="false">IF(D362="","",IFERROR(VLOOKUP($D362,cfg_LT,5,FALSE()),""))</f>
        <v/>
      </c>
      <c r="N362" s="97" t="n">
        <f aca="false">IF(OR(OR($B362="",$E362="",$F362=""),M362&lt;&gt;"نعم"),0,G362*J362*IFERROR(INDEX(الموظفون!$R$6:$R$105,MATCH(B362,الموظفون!$B$6:$B$105,0)),0)/cfg_DAYS_M)</f>
        <v>0</v>
      </c>
      <c r="O362" s="93" t="str">
        <f aca="false">IF(OR(OR($B362="",$E362="",$F362=""),M362&lt;&gt;"نعم"),"",IF(YEAR(E362)=cfg_FY,MONTH(E362),""))</f>
        <v/>
      </c>
      <c r="P362" s="80" t="str">
        <f aca="false">IF(B362="","",IF(OR(D362="",E362="",F362=""),"⚠ أكمل النوع والتواريخ",IF(F362&lt;E362,"✖ النهاية قبل البداية",IF(COUNTIFS($B$6:$B$505,B362,$E$6:$E$505,"&lt;="&amp;F362,$F$6:$F$505,"&gt;="&amp;E362)&gt;1,"⚠ تداخل مع سجل آخر",IF(E362&gt;cfg_VAL_DATE,"⏳ قادمة",IF(F362&lt;cfg_VAL_DATE,"✔ منتهية","✈ جارية في تاريخ التقرير"))))))</f>
        <v/>
      </c>
      <c r="Q362" s="79"/>
      <c r="R362" s="57" t="n">
        <f aca="false">IF(OR(OR($B362="",$E362="",$F362=""),L362&lt;&gt;"لا"),0,MAX(0,MIN(F362,cfg_Y_START-1)-E362+1))</f>
        <v>0</v>
      </c>
      <c r="S362" s="57" t="n">
        <f aca="false">IF(OR(OR($B362="",$E362="",$F362=""),L362&lt;&gt;"لا"),0,MAX(0,MIN(F362,cfg_VAL_DATE)-E362+1))</f>
        <v>0</v>
      </c>
      <c r="T362" s="57" t="n">
        <f aca="false">IF(OR(OR($B362="",$E362="",$F362=""),K362&lt;&gt;"نعم"),0,IF(M362="نعم",IF(AND(ISNUMBER(O362),N(O362)&lt;=cfg_VAL_M),G362,0),MAX(0,MIN(F362,cfg_VAL_DATE)-MAX(E362,cfg_Y_START)+1)))</f>
        <v>0</v>
      </c>
      <c r="V362" s="57" t="n">
        <f aca="false">IF(OR($B362="",$E362="",$F362=""),0,MAX(0,MIN($F362,EOMONTH(DATE(cfg_FY,1,1),0))-MAX($E362,DATE(cfg_FY,1,1))+1)*(1-IF($M362="نعم",0,N($J362))))</f>
        <v>0</v>
      </c>
      <c r="W362" s="57" t="n">
        <f aca="false">IF(OR($B362="",$E362="",$F362=""),0,MAX(0,MIN($F362,EOMONTH(DATE(cfg_FY,2,1),0))-MAX($E362,DATE(cfg_FY,2,1))+1)*(1-IF($M362="نعم",0,N($J362))))</f>
        <v>0</v>
      </c>
      <c r="X362" s="57" t="n">
        <f aca="false">IF(OR($B362="",$E362="",$F362=""),0,MAX(0,MIN($F362,EOMONTH(DATE(cfg_FY,3,1),0))-MAX($E362,DATE(cfg_FY,3,1))+1)*(1-IF($M362="نعم",0,N($J362))))</f>
        <v>0</v>
      </c>
      <c r="Y362" s="57" t="n">
        <f aca="false">IF(OR($B362="",$E362="",$F362=""),0,MAX(0,MIN($F362,EOMONTH(DATE(cfg_FY,4,1),0))-MAX($E362,DATE(cfg_FY,4,1))+1)*(1-IF($M362="نعم",0,N($J362))))</f>
        <v>0</v>
      </c>
      <c r="Z362" s="57" t="n">
        <f aca="false">IF(OR($B362="",$E362="",$F362=""),0,MAX(0,MIN($F362,EOMONTH(DATE(cfg_FY,5,1),0))-MAX($E362,DATE(cfg_FY,5,1))+1)*(1-IF($M362="نعم",0,N($J362))))</f>
        <v>0</v>
      </c>
      <c r="AA362" s="57" t="n">
        <f aca="false">IF(OR($B362="",$E362="",$F362=""),0,MAX(0,MIN($F362,EOMONTH(DATE(cfg_FY,6,1),0))-MAX($E362,DATE(cfg_FY,6,1))+1)*(1-IF($M362="نعم",0,N($J362))))</f>
        <v>0</v>
      </c>
      <c r="AB362" s="57" t="n">
        <f aca="false">IF(OR($B362="",$E362="",$F362=""),0,MAX(0,MIN($F362,EOMONTH(DATE(cfg_FY,7,1),0))-MAX($E362,DATE(cfg_FY,7,1))+1)*(1-IF($M362="نعم",0,N($J362))))</f>
        <v>0</v>
      </c>
      <c r="AC362" s="57" t="n">
        <f aca="false">IF(OR($B362="",$E362="",$F362=""),0,MAX(0,MIN($F362,EOMONTH(DATE(cfg_FY,8,1),0))-MAX($E362,DATE(cfg_FY,8,1))+1)*(1-IF($M362="نعم",0,N($J362))))</f>
        <v>0</v>
      </c>
      <c r="AD362" s="57" t="n">
        <f aca="false">IF(OR($B362="",$E362="",$F362=""),0,MAX(0,MIN($F362,EOMONTH(DATE(cfg_FY,9,1),0))-MAX($E362,DATE(cfg_FY,9,1))+1)*(1-IF($M362="نعم",0,N($J362))))</f>
        <v>0</v>
      </c>
      <c r="AE362" s="57" t="n">
        <f aca="false">IF(OR($B362="",$E362="",$F362=""),0,MAX(0,MIN($F362,EOMONTH(DATE(cfg_FY,10,1),0))-MAX($E362,DATE(cfg_FY,10,1))+1)*(1-IF($M362="نعم",0,N($J362))))</f>
        <v>0</v>
      </c>
      <c r="AF362" s="57" t="n">
        <f aca="false">IF(OR($B362="",$E362="",$F362=""),0,MAX(0,MIN($F362,EOMONTH(DATE(cfg_FY,11,1),0))-MAX($E362,DATE(cfg_FY,11,1))+1)*(1-IF($M362="نعم",0,N($J362))))</f>
        <v>0</v>
      </c>
      <c r="AG362" s="57" t="n">
        <f aca="false">IF(OR($B362="",$E362="",$F362=""),0,MAX(0,MIN($F362,EOMONTH(DATE(cfg_FY,12,1),0))-MAX($E362,DATE(cfg_FY,12,1))+1)*(1-IF($M362="نعم",0,N($J362))))</f>
        <v>0</v>
      </c>
      <c r="AH362" s="57" t="n">
        <f aca="false">IF(OR(OR($B362="",$E362="",$F362=""),$L362&lt;&gt;"لا"),0,MAX(0,MIN($F362,EOMONTH(DATE(cfg_FY,1,1),0))-$E362+1))</f>
        <v>0</v>
      </c>
      <c r="AI362" s="57" t="n">
        <f aca="false">IF(OR(OR($B362="",$E362="",$F362=""),$L362&lt;&gt;"لا"),0,MAX(0,MIN($F362,EOMONTH(DATE(cfg_FY,2,1),0))-$E362+1))</f>
        <v>0</v>
      </c>
      <c r="AJ362" s="57" t="n">
        <f aca="false">IF(OR(OR($B362="",$E362="",$F362=""),$L362&lt;&gt;"لا"),0,MAX(0,MIN($F362,EOMONTH(DATE(cfg_FY,3,1),0))-$E362+1))</f>
        <v>0</v>
      </c>
      <c r="AK362" s="57" t="n">
        <f aca="false">IF(OR(OR($B362="",$E362="",$F362=""),$L362&lt;&gt;"لا"),0,MAX(0,MIN($F362,EOMONTH(DATE(cfg_FY,4,1),0))-$E362+1))</f>
        <v>0</v>
      </c>
      <c r="AL362" s="57" t="n">
        <f aca="false">IF(OR(OR($B362="",$E362="",$F362=""),$L362&lt;&gt;"لا"),0,MAX(0,MIN($F362,EOMONTH(DATE(cfg_FY,5,1),0))-$E362+1))</f>
        <v>0</v>
      </c>
      <c r="AM362" s="57" t="n">
        <f aca="false">IF(OR(OR($B362="",$E362="",$F362=""),$L362&lt;&gt;"لا"),0,MAX(0,MIN($F362,EOMONTH(DATE(cfg_FY,6,1),0))-$E362+1))</f>
        <v>0</v>
      </c>
      <c r="AN362" s="57" t="n">
        <f aca="false">IF(OR(OR($B362="",$E362="",$F362=""),$L362&lt;&gt;"لا"),0,MAX(0,MIN($F362,EOMONTH(DATE(cfg_FY,7,1),0))-$E362+1))</f>
        <v>0</v>
      </c>
      <c r="AO362" s="57" t="n">
        <f aca="false">IF(OR(OR($B362="",$E362="",$F362=""),$L362&lt;&gt;"لا"),0,MAX(0,MIN($F362,EOMONTH(DATE(cfg_FY,8,1),0))-$E362+1))</f>
        <v>0</v>
      </c>
      <c r="AP362" s="57" t="n">
        <f aca="false">IF(OR(OR($B362="",$E362="",$F362=""),$L362&lt;&gt;"لا"),0,MAX(0,MIN($F362,EOMONTH(DATE(cfg_FY,9,1),0))-$E362+1))</f>
        <v>0</v>
      </c>
      <c r="AQ362" s="57" t="n">
        <f aca="false">IF(OR(OR($B362="",$E362="",$F362=""),$L362&lt;&gt;"لا"),0,MAX(0,MIN($F362,EOMONTH(DATE(cfg_FY,10,1),0))-$E362+1))</f>
        <v>0</v>
      </c>
      <c r="AR362" s="57" t="n">
        <f aca="false">IF(OR(OR($B362="",$E362="",$F362=""),$L362&lt;&gt;"لا"),0,MAX(0,MIN($F362,EOMONTH(DATE(cfg_FY,11,1),0))-$E362+1))</f>
        <v>0</v>
      </c>
      <c r="AS362" s="57" t="n">
        <f aca="false">IF(OR(OR($B362="",$E362="",$F362=""),$L362&lt;&gt;"لا"),0,MAX(0,MIN($F362,EOMONTH(DATE(cfg_FY,12,1),0))-$E362+1))</f>
        <v>0</v>
      </c>
      <c r="AT362" s="57" t="n">
        <f aca="false">IF(OR(OR($B362="",$E362="",$F362=""),$K362&lt;&gt;"نعم",$M362="نعم"),0,MAX(0,MIN($F362,EOMONTH(DATE(cfg_FY,1,1),0))-MAX($E362,DATE(cfg_FY,1,1))+1))</f>
        <v>0</v>
      </c>
      <c r="AU362" s="57" t="n">
        <f aca="false">IF(OR(OR($B362="",$E362="",$F362=""),$K362&lt;&gt;"نعم",$M362="نعم"),0,MAX(0,MIN($F362,EOMONTH(DATE(cfg_FY,2,1),0))-MAX($E362,DATE(cfg_FY,2,1))+1))</f>
        <v>0</v>
      </c>
      <c r="AV362" s="57" t="n">
        <f aca="false">IF(OR(OR($B362="",$E362="",$F362=""),$K362&lt;&gt;"نعم",$M362="نعم"),0,MAX(0,MIN($F362,EOMONTH(DATE(cfg_FY,3,1),0))-MAX($E362,DATE(cfg_FY,3,1))+1))</f>
        <v>0</v>
      </c>
      <c r="AW362" s="57" t="n">
        <f aca="false">IF(OR(OR($B362="",$E362="",$F362=""),$K362&lt;&gt;"نعم",$M362="نعم"),0,MAX(0,MIN($F362,EOMONTH(DATE(cfg_FY,4,1),0))-MAX($E362,DATE(cfg_FY,4,1))+1))</f>
        <v>0</v>
      </c>
      <c r="AX362" s="57" t="n">
        <f aca="false">IF(OR(OR($B362="",$E362="",$F362=""),$K362&lt;&gt;"نعم",$M362="نعم"),0,MAX(0,MIN($F362,EOMONTH(DATE(cfg_FY,5,1),0))-MAX($E362,DATE(cfg_FY,5,1))+1))</f>
        <v>0</v>
      </c>
      <c r="AY362" s="57" t="n">
        <f aca="false">IF(OR(OR($B362="",$E362="",$F362=""),$K362&lt;&gt;"نعم",$M362="نعم"),0,MAX(0,MIN($F362,EOMONTH(DATE(cfg_FY,6,1),0))-MAX($E362,DATE(cfg_FY,6,1))+1))</f>
        <v>0</v>
      </c>
      <c r="AZ362" s="57" t="n">
        <f aca="false">IF(OR(OR($B362="",$E362="",$F362=""),$K362&lt;&gt;"نعم",$M362="نعم"),0,MAX(0,MIN($F362,EOMONTH(DATE(cfg_FY,7,1),0))-MAX($E362,DATE(cfg_FY,7,1))+1))</f>
        <v>0</v>
      </c>
      <c r="BA362" s="57" t="n">
        <f aca="false">IF(OR(OR($B362="",$E362="",$F362=""),$K362&lt;&gt;"نعم",$M362="نعم"),0,MAX(0,MIN($F362,EOMONTH(DATE(cfg_FY,8,1),0))-MAX($E362,DATE(cfg_FY,8,1))+1))</f>
        <v>0</v>
      </c>
      <c r="BB362" s="57" t="n">
        <f aca="false">IF(OR(OR($B362="",$E362="",$F362=""),$K362&lt;&gt;"نعم",$M362="نعم"),0,MAX(0,MIN($F362,EOMONTH(DATE(cfg_FY,9,1),0))-MAX($E362,DATE(cfg_FY,9,1))+1))</f>
        <v>0</v>
      </c>
      <c r="BC362" s="57" t="n">
        <f aca="false">IF(OR(OR($B362="",$E362="",$F362=""),$K362&lt;&gt;"نعم",$M362="نعم"),0,MAX(0,MIN($F362,EOMONTH(DATE(cfg_FY,10,1),0))-MAX($E362,DATE(cfg_FY,10,1))+1))</f>
        <v>0</v>
      </c>
      <c r="BD362" s="57" t="n">
        <f aca="false">IF(OR(OR($B362="",$E362="",$F362=""),$K362&lt;&gt;"نعم",$M362="نعم"),0,MAX(0,MIN($F362,EOMONTH(DATE(cfg_FY,11,1),0))-MAX($E362,DATE(cfg_FY,11,1))+1))</f>
        <v>0</v>
      </c>
      <c r="BE362" s="57" t="n">
        <f aca="false">IF(OR(OR($B362="",$E362="",$F362=""),$K362&lt;&gt;"نعم",$M362="نعم"),0,MAX(0,MIN($F362,EOMONTH(DATE(cfg_FY,12,1),0))-MAX($E362,DATE(cfg_FY,12,1))+1))</f>
        <v>0</v>
      </c>
    </row>
    <row r="363" customFormat="false" ht="15" hidden="false" customHeight="false" outlineLevel="0" collapsed="false">
      <c r="A363" s="100" t="str">
        <f aca="false">IF(B363="","",ROW()-5)</f>
        <v/>
      </c>
      <c r="B363" s="79"/>
      <c r="C363" s="102" t="str">
        <f aca="false">IF(B363="","",IFERROR(INDEX(الموظفون!$C$6:$C$105,MATCH(B363,الموظفون!$B$6:$B$105,0)),"✖ رقم غير موجود"))</f>
        <v/>
      </c>
      <c r="D363" s="79"/>
      <c r="E363" s="94"/>
      <c r="F363" s="94"/>
      <c r="G363" s="110" t="str">
        <f aca="false">IF(OR($B363="",$E363="",$F363=""),"",MAX(0,F363-E363+1))</f>
        <v/>
      </c>
      <c r="H363" s="111" t="str">
        <f aca="false">IF(D363="","",IFERROR(VLOOKUP(D363,cfg_LT,2,FALSE()),1))</f>
        <v/>
      </c>
      <c r="I363" s="82"/>
      <c r="J363" s="111" t="str">
        <f aca="false">IF(D363="","",IF(I363&lt;&gt;"",I363,H363))</f>
        <v/>
      </c>
      <c r="K363" s="102" t="str">
        <f aca="false">IF(D363="","",IFERROR(VLOOKUP($D363,cfg_LT,3,FALSE()),""))</f>
        <v/>
      </c>
      <c r="L363" s="102" t="str">
        <f aca="false">IF(D363="","",IFERROR(VLOOKUP($D363,cfg_LT,4,FALSE()),""))</f>
        <v/>
      </c>
      <c r="M363" s="102" t="str">
        <f aca="false">IF(D363="","",IFERROR(VLOOKUP($D363,cfg_LT,5,FALSE()),""))</f>
        <v/>
      </c>
      <c r="N363" s="101" t="n">
        <f aca="false">IF(OR(OR($B363="",$E363="",$F363=""),M363&lt;&gt;"نعم"),0,G363*J363*IFERROR(INDEX(الموظفون!$R$6:$R$105,MATCH(B363,الموظفون!$B$6:$B$105,0)),0)/cfg_DAYS_M)</f>
        <v>0</v>
      </c>
      <c r="O363" s="100" t="str">
        <f aca="false">IF(OR(OR($B363="",$E363="",$F363=""),M363&lt;&gt;"نعم"),"",IF(YEAR(E363)=cfg_FY,MONTH(E363),""))</f>
        <v/>
      </c>
      <c r="P363" s="102" t="str">
        <f aca="false">IF(B363="","",IF(OR(D363="",E363="",F363=""),"⚠ أكمل النوع والتواريخ",IF(F363&lt;E363,"✖ النهاية قبل البداية",IF(COUNTIFS($B$6:$B$505,B363,$E$6:$E$505,"&lt;="&amp;F363,$F$6:$F$505,"&gt;="&amp;E363)&gt;1,"⚠ تداخل مع سجل آخر",IF(E363&gt;cfg_VAL_DATE,"⏳ قادمة",IF(F363&lt;cfg_VAL_DATE,"✔ منتهية","✈ جارية في تاريخ التقرير"))))))</f>
        <v/>
      </c>
      <c r="Q363" s="79"/>
      <c r="R363" s="110" t="n">
        <f aca="false">IF(OR(OR($B363="",$E363="",$F363=""),L363&lt;&gt;"لا"),0,MAX(0,MIN(F363,cfg_Y_START-1)-E363+1))</f>
        <v>0</v>
      </c>
      <c r="S363" s="110" t="n">
        <f aca="false">IF(OR(OR($B363="",$E363="",$F363=""),L363&lt;&gt;"لا"),0,MAX(0,MIN(F363,cfg_VAL_DATE)-E363+1))</f>
        <v>0</v>
      </c>
      <c r="T363" s="110" t="n">
        <f aca="false">IF(OR(OR($B363="",$E363="",$F363=""),K363&lt;&gt;"نعم"),0,IF(M363="نعم",IF(AND(ISNUMBER(O363),N(O363)&lt;=cfg_VAL_M),G363,0),MAX(0,MIN(F363,cfg_VAL_DATE)-MAX(E363,cfg_Y_START)+1)))</f>
        <v>0</v>
      </c>
      <c r="V363" s="110" t="n">
        <f aca="false">IF(OR($B363="",$E363="",$F363=""),0,MAX(0,MIN($F363,EOMONTH(DATE(cfg_FY,1,1),0))-MAX($E363,DATE(cfg_FY,1,1))+1)*(1-IF($M363="نعم",0,N($J363))))</f>
        <v>0</v>
      </c>
      <c r="W363" s="110" t="n">
        <f aca="false">IF(OR($B363="",$E363="",$F363=""),0,MAX(0,MIN($F363,EOMONTH(DATE(cfg_FY,2,1),0))-MAX($E363,DATE(cfg_FY,2,1))+1)*(1-IF($M363="نعم",0,N($J363))))</f>
        <v>0</v>
      </c>
      <c r="X363" s="110" t="n">
        <f aca="false">IF(OR($B363="",$E363="",$F363=""),0,MAX(0,MIN($F363,EOMONTH(DATE(cfg_FY,3,1),0))-MAX($E363,DATE(cfg_FY,3,1))+1)*(1-IF($M363="نعم",0,N($J363))))</f>
        <v>0</v>
      </c>
      <c r="Y363" s="110" t="n">
        <f aca="false">IF(OR($B363="",$E363="",$F363=""),0,MAX(0,MIN($F363,EOMONTH(DATE(cfg_FY,4,1),0))-MAX($E363,DATE(cfg_FY,4,1))+1)*(1-IF($M363="نعم",0,N($J363))))</f>
        <v>0</v>
      </c>
      <c r="Z363" s="110" t="n">
        <f aca="false">IF(OR($B363="",$E363="",$F363=""),0,MAX(0,MIN($F363,EOMONTH(DATE(cfg_FY,5,1),0))-MAX($E363,DATE(cfg_FY,5,1))+1)*(1-IF($M363="نعم",0,N($J363))))</f>
        <v>0</v>
      </c>
      <c r="AA363" s="110" t="n">
        <f aca="false">IF(OR($B363="",$E363="",$F363=""),0,MAX(0,MIN($F363,EOMONTH(DATE(cfg_FY,6,1),0))-MAX($E363,DATE(cfg_FY,6,1))+1)*(1-IF($M363="نعم",0,N($J363))))</f>
        <v>0</v>
      </c>
      <c r="AB363" s="110" t="n">
        <f aca="false">IF(OR($B363="",$E363="",$F363=""),0,MAX(0,MIN($F363,EOMONTH(DATE(cfg_FY,7,1),0))-MAX($E363,DATE(cfg_FY,7,1))+1)*(1-IF($M363="نعم",0,N($J363))))</f>
        <v>0</v>
      </c>
      <c r="AC363" s="110" t="n">
        <f aca="false">IF(OR($B363="",$E363="",$F363=""),0,MAX(0,MIN($F363,EOMONTH(DATE(cfg_FY,8,1),0))-MAX($E363,DATE(cfg_FY,8,1))+1)*(1-IF($M363="نعم",0,N($J363))))</f>
        <v>0</v>
      </c>
      <c r="AD363" s="110" t="n">
        <f aca="false">IF(OR($B363="",$E363="",$F363=""),0,MAX(0,MIN($F363,EOMONTH(DATE(cfg_FY,9,1),0))-MAX($E363,DATE(cfg_FY,9,1))+1)*(1-IF($M363="نعم",0,N($J363))))</f>
        <v>0</v>
      </c>
      <c r="AE363" s="110" t="n">
        <f aca="false">IF(OR($B363="",$E363="",$F363=""),0,MAX(0,MIN($F363,EOMONTH(DATE(cfg_FY,10,1),0))-MAX($E363,DATE(cfg_FY,10,1))+1)*(1-IF($M363="نعم",0,N($J363))))</f>
        <v>0</v>
      </c>
      <c r="AF363" s="110" t="n">
        <f aca="false">IF(OR($B363="",$E363="",$F363=""),0,MAX(0,MIN($F363,EOMONTH(DATE(cfg_FY,11,1),0))-MAX($E363,DATE(cfg_FY,11,1))+1)*(1-IF($M363="نعم",0,N($J363))))</f>
        <v>0</v>
      </c>
      <c r="AG363" s="110" t="n">
        <f aca="false">IF(OR($B363="",$E363="",$F363=""),0,MAX(0,MIN($F363,EOMONTH(DATE(cfg_FY,12,1),0))-MAX($E363,DATE(cfg_FY,12,1))+1)*(1-IF($M363="نعم",0,N($J363))))</f>
        <v>0</v>
      </c>
      <c r="AH363" s="110" t="n">
        <f aca="false">IF(OR(OR($B363="",$E363="",$F363=""),$L363&lt;&gt;"لا"),0,MAX(0,MIN($F363,EOMONTH(DATE(cfg_FY,1,1),0))-$E363+1))</f>
        <v>0</v>
      </c>
      <c r="AI363" s="110" t="n">
        <f aca="false">IF(OR(OR($B363="",$E363="",$F363=""),$L363&lt;&gt;"لا"),0,MAX(0,MIN($F363,EOMONTH(DATE(cfg_FY,2,1),0))-$E363+1))</f>
        <v>0</v>
      </c>
      <c r="AJ363" s="110" t="n">
        <f aca="false">IF(OR(OR($B363="",$E363="",$F363=""),$L363&lt;&gt;"لا"),0,MAX(0,MIN($F363,EOMONTH(DATE(cfg_FY,3,1),0))-$E363+1))</f>
        <v>0</v>
      </c>
      <c r="AK363" s="110" t="n">
        <f aca="false">IF(OR(OR($B363="",$E363="",$F363=""),$L363&lt;&gt;"لا"),0,MAX(0,MIN($F363,EOMONTH(DATE(cfg_FY,4,1),0))-$E363+1))</f>
        <v>0</v>
      </c>
      <c r="AL363" s="110" t="n">
        <f aca="false">IF(OR(OR($B363="",$E363="",$F363=""),$L363&lt;&gt;"لا"),0,MAX(0,MIN($F363,EOMONTH(DATE(cfg_FY,5,1),0))-$E363+1))</f>
        <v>0</v>
      </c>
      <c r="AM363" s="110" t="n">
        <f aca="false">IF(OR(OR($B363="",$E363="",$F363=""),$L363&lt;&gt;"لا"),0,MAX(0,MIN($F363,EOMONTH(DATE(cfg_FY,6,1),0))-$E363+1))</f>
        <v>0</v>
      </c>
      <c r="AN363" s="110" t="n">
        <f aca="false">IF(OR(OR($B363="",$E363="",$F363=""),$L363&lt;&gt;"لا"),0,MAX(0,MIN($F363,EOMONTH(DATE(cfg_FY,7,1),0))-$E363+1))</f>
        <v>0</v>
      </c>
      <c r="AO363" s="110" t="n">
        <f aca="false">IF(OR(OR($B363="",$E363="",$F363=""),$L363&lt;&gt;"لا"),0,MAX(0,MIN($F363,EOMONTH(DATE(cfg_FY,8,1),0))-$E363+1))</f>
        <v>0</v>
      </c>
      <c r="AP363" s="110" t="n">
        <f aca="false">IF(OR(OR($B363="",$E363="",$F363=""),$L363&lt;&gt;"لا"),0,MAX(0,MIN($F363,EOMONTH(DATE(cfg_FY,9,1),0))-$E363+1))</f>
        <v>0</v>
      </c>
      <c r="AQ363" s="110" t="n">
        <f aca="false">IF(OR(OR($B363="",$E363="",$F363=""),$L363&lt;&gt;"لا"),0,MAX(0,MIN($F363,EOMONTH(DATE(cfg_FY,10,1),0))-$E363+1))</f>
        <v>0</v>
      </c>
      <c r="AR363" s="110" t="n">
        <f aca="false">IF(OR(OR($B363="",$E363="",$F363=""),$L363&lt;&gt;"لا"),0,MAX(0,MIN($F363,EOMONTH(DATE(cfg_FY,11,1),0))-$E363+1))</f>
        <v>0</v>
      </c>
      <c r="AS363" s="110" t="n">
        <f aca="false">IF(OR(OR($B363="",$E363="",$F363=""),$L363&lt;&gt;"لا"),0,MAX(0,MIN($F363,EOMONTH(DATE(cfg_FY,12,1),0))-$E363+1))</f>
        <v>0</v>
      </c>
      <c r="AT363" s="110" t="n">
        <f aca="false">IF(OR(OR($B363="",$E363="",$F363=""),$K363&lt;&gt;"نعم",$M363="نعم"),0,MAX(0,MIN($F363,EOMONTH(DATE(cfg_FY,1,1),0))-MAX($E363,DATE(cfg_FY,1,1))+1))</f>
        <v>0</v>
      </c>
      <c r="AU363" s="110" t="n">
        <f aca="false">IF(OR(OR($B363="",$E363="",$F363=""),$K363&lt;&gt;"نعم",$M363="نعم"),0,MAX(0,MIN($F363,EOMONTH(DATE(cfg_FY,2,1),0))-MAX($E363,DATE(cfg_FY,2,1))+1))</f>
        <v>0</v>
      </c>
      <c r="AV363" s="110" t="n">
        <f aca="false">IF(OR(OR($B363="",$E363="",$F363=""),$K363&lt;&gt;"نعم",$M363="نعم"),0,MAX(0,MIN($F363,EOMONTH(DATE(cfg_FY,3,1),0))-MAX($E363,DATE(cfg_FY,3,1))+1))</f>
        <v>0</v>
      </c>
      <c r="AW363" s="110" t="n">
        <f aca="false">IF(OR(OR($B363="",$E363="",$F363=""),$K363&lt;&gt;"نعم",$M363="نعم"),0,MAX(0,MIN($F363,EOMONTH(DATE(cfg_FY,4,1),0))-MAX($E363,DATE(cfg_FY,4,1))+1))</f>
        <v>0</v>
      </c>
      <c r="AX363" s="110" t="n">
        <f aca="false">IF(OR(OR($B363="",$E363="",$F363=""),$K363&lt;&gt;"نعم",$M363="نعم"),0,MAX(0,MIN($F363,EOMONTH(DATE(cfg_FY,5,1),0))-MAX($E363,DATE(cfg_FY,5,1))+1))</f>
        <v>0</v>
      </c>
      <c r="AY363" s="110" t="n">
        <f aca="false">IF(OR(OR($B363="",$E363="",$F363=""),$K363&lt;&gt;"نعم",$M363="نعم"),0,MAX(0,MIN($F363,EOMONTH(DATE(cfg_FY,6,1),0))-MAX($E363,DATE(cfg_FY,6,1))+1))</f>
        <v>0</v>
      </c>
      <c r="AZ363" s="110" t="n">
        <f aca="false">IF(OR(OR($B363="",$E363="",$F363=""),$K363&lt;&gt;"نعم",$M363="نعم"),0,MAX(0,MIN($F363,EOMONTH(DATE(cfg_FY,7,1),0))-MAX($E363,DATE(cfg_FY,7,1))+1))</f>
        <v>0</v>
      </c>
      <c r="BA363" s="110" t="n">
        <f aca="false">IF(OR(OR($B363="",$E363="",$F363=""),$K363&lt;&gt;"نعم",$M363="نعم"),0,MAX(0,MIN($F363,EOMONTH(DATE(cfg_FY,8,1),0))-MAX($E363,DATE(cfg_FY,8,1))+1))</f>
        <v>0</v>
      </c>
      <c r="BB363" s="110" t="n">
        <f aca="false">IF(OR(OR($B363="",$E363="",$F363=""),$K363&lt;&gt;"نعم",$M363="نعم"),0,MAX(0,MIN($F363,EOMONTH(DATE(cfg_FY,9,1),0))-MAX($E363,DATE(cfg_FY,9,1))+1))</f>
        <v>0</v>
      </c>
      <c r="BC363" s="110" t="n">
        <f aca="false">IF(OR(OR($B363="",$E363="",$F363=""),$K363&lt;&gt;"نعم",$M363="نعم"),0,MAX(0,MIN($F363,EOMONTH(DATE(cfg_FY,10,1),0))-MAX($E363,DATE(cfg_FY,10,1))+1))</f>
        <v>0</v>
      </c>
      <c r="BD363" s="110" t="n">
        <f aca="false">IF(OR(OR($B363="",$E363="",$F363=""),$K363&lt;&gt;"نعم",$M363="نعم"),0,MAX(0,MIN($F363,EOMONTH(DATE(cfg_FY,11,1),0))-MAX($E363,DATE(cfg_FY,11,1))+1))</f>
        <v>0</v>
      </c>
      <c r="BE363" s="110" t="n">
        <f aca="false">IF(OR(OR($B363="",$E363="",$F363=""),$K363&lt;&gt;"نعم",$M363="نعم"),0,MAX(0,MIN($F363,EOMONTH(DATE(cfg_FY,12,1),0))-MAX($E363,DATE(cfg_FY,12,1))+1))</f>
        <v>0</v>
      </c>
    </row>
    <row r="364" customFormat="false" ht="15" hidden="false" customHeight="false" outlineLevel="0" collapsed="false">
      <c r="A364" s="93" t="str">
        <f aca="false">IF(B364="","",ROW()-5)</f>
        <v/>
      </c>
      <c r="B364" s="79"/>
      <c r="C364" s="80" t="str">
        <f aca="false">IF(B364="","",IFERROR(INDEX(الموظفون!$C$6:$C$105,MATCH(B364,الموظفون!$B$6:$B$105,0)),"✖ رقم غير موجود"))</f>
        <v/>
      </c>
      <c r="D364" s="79"/>
      <c r="E364" s="94"/>
      <c r="F364" s="94"/>
      <c r="G364" s="57" t="str">
        <f aca="false">IF(OR($B364="",$E364="",$F364=""),"",MAX(0,F364-E364+1))</f>
        <v/>
      </c>
      <c r="H364" s="58" t="str">
        <f aca="false">IF(D364="","",IFERROR(VLOOKUP(D364,cfg_LT,2,FALSE()),1))</f>
        <v/>
      </c>
      <c r="I364" s="82"/>
      <c r="J364" s="58" t="str">
        <f aca="false">IF(D364="","",IF(I364&lt;&gt;"",I364,H364))</f>
        <v/>
      </c>
      <c r="K364" s="80" t="str">
        <f aca="false">IF(D364="","",IFERROR(VLOOKUP($D364,cfg_LT,3,FALSE()),""))</f>
        <v/>
      </c>
      <c r="L364" s="80" t="str">
        <f aca="false">IF(D364="","",IFERROR(VLOOKUP($D364,cfg_LT,4,FALSE()),""))</f>
        <v/>
      </c>
      <c r="M364" s="80" t="str">
        <f aca="false">IF(D364="","",IFERROR(VLOOKUP($D364,cfg_LT,5,FALSE()),""))</f>
        <v/>
      </c>
      <c r="N364" s="97" t="n">
        <f aca="false">IF(OR(OR($B364="",$E364="",$F364=""),M364&lt;&gt;"نعم"),0,G364*J364*IFERROR(INDEX(الموظفون!$R$6:$R$105,MATCH(B364,الموظفون!$B$6:$B$105,0)),0)/cfg_DAYS_M)</f>
        <v>0</v>
      </c>
      <c r="O364" s="93" t="str">
        <f aca="false">IF(OR(OR($B364="",$E364="",$F364=""),M364&lt;&gt;"نعم"),"",IF(YEAR(E364)=cfg_FY,MONTH(E364),""))</f>
        <v/>
      </c>
      <c r="P364" s="80" t="str">
        <f aca="false">IF(B364="","",IF(OR(D364="",E364="",F364=""),"⚠ أكمل النوع والتواريخ",IF(F364&lt;E364,"✖ النهاية قبل البداية",IF(COUNTIFS($B$6:$B$505,B364,$E$6:$E$505,"&lt;="&amp;F364,$F$6:$F$505,"&gt;="&amp;E364)&gt;1,"⚠ تداخل مع سجل آخر",IF(E364&gt;cfg_VAL_DATE,"⏳ قادمة",IF(F364&lt;cfg_VAL_DATE,"✔ منتهية","✈ جارية في تاريخ التقرير"))))))</f>
        <v/>
      </c>
      <c r="Q364" s="79"/>
      <c r="R364" s="57" t="n">
        <f aca="false">IF(OR(OR($B364="",$E364="",$F364=""),L364&lt;&gt;"لا"),0,MAX(0,MIN(F364,cfg_Y_START-1)-E364+1))</f>
        <v>0</v>
      </c>
      <c r="S364" s="57" t="n">
        <f aca="false">IF(OR(OR($B364="",$E364="",$F364=""),L364&lt;&gt;"لا"),0,MAX(0,MIN(F364,cfg_VAL_DATE)-E364+1))</f>
        <v>0</v>
      </c>
      <c r="T364" s="57" t="n">
        <f aca="false">IF(OR(OR($B364="",$E364="",$F364=""),K364&lt;&gt;"نعم"),0,IF(M364="نعم",IF(AND(ISNUMBER(O364),N(O364)&lt;=cfg_VAL_M),G364,0),MAX(0,MIN(F364,cfg_VAL_DATE)-MAX(E364,cfg_Y_START)+1)))</f>
        <v>0</v>
      </c>
      <c r="V364" s="57" t="n">
        <f aca="false">IF(OR($B364="",$E364="",$F364=""),0,MAX(0,MIN($F364,EOMONTH(DATE(cfg_FY,1,1),0))-MAX($E364,DATE(cfg_FY,1,1))+1)*(1-IF($M364="نعم",0,N($J364))))</f>
        <v>0</v>
      </c>
      <c r="W364" s="57" t="n">
        <f aca="false">IF(OR($B364="",$E364="",$F364=""),0,MAX(0,MIN($F364,EOMONTH(DATE(cfg_FY,2,1),0))-MAX($E364,DATE(cfg_FY,2,1))+1)*(1-IF($M364="نعم",0,N($J364))))</f>
        <v>0</v>
      </c>
      <c r="X364" s="57" t="n">
        <f aca="false">IF(OR($B364="",$E364="",$F364=""),0,MAX(0,MIN($F364,EOMONTH(DATE(cfg_FY,3,1),0))-MAX($E364,DATE(cfg_FY,3,1))+1)*(1-IF($M364="نعم",0,N($J364))))</f>
        <v>0</v>
      </c>
      <c r="Y364" s="57" t="n">
        <f aca="false">IF(OR($B364="",$E364="",$F364=""),0,MAX(0,MIN($F364,EOMONTH(DATE(cfg_FY,4,1),0))-MAX($E364,DATE(cfg_FY,4,1))+1)*(1-IF($M364="نعم",0,N($J364))))</f>
        <v>0</v>
      </c>
      <c r="Z364" s="57" t="n">
        <f aca="false">IF(OR($B364="",$E364="",$F364=""),0,MAX(0,MIN($F364,EOMONTH(DATE(cfg_FY,5,1),0))-MAX($E364,DATE(cfg_FY,5,1))+1)*(1-IF($M364="نعم",0,N($J364))))</f>
        <v>0</v>
      </c>
      <c r="AA364" s="57" t="n">
        <f aca="false">IF(OR($B364="",$E364="",$F364=""),0,MAX(0,MIN($F364,EOMONTH(DATE(cfg_FY,6,1),0))-MAX($E364,DATE(cfg_FY,6,1))+1)*(1-IF($M364="نعم",0,N($J364))))</f>
        <v>0</v>
      </c>
      <c r="AB364" s="57" t="n">
        <f aca="false">IF(OR($B364="",$E364="",$F364=""),0,MAX(0,MIN($F364,EOMONTH(DATE(cfg_FY,7,1),0))-MAX($E364,DATE(cfg_FY,7,1))+1)*(1-IF($M364="نعم",0,N($J364))))</f>
        <v>0</v>
      </c>
      <c r="AC364" s="57" t="n">
        <f aca="false">IF(OR($B364="",$E364="",$F364=""),0,MAX(0,MIN($F364,EOMONTH(DATE(cfg_FY,8,1),0))-MAX($E364,DATE(cfg_FY,8,1))+1)*(1-IF($M364="نعم",0,N($J364))))</f>
        <v>0</v>
      </c>
      <c r="AD364" s="57" t="n">
        <f aca="false">IF(OR($B364="",$E364="",$F364=""),0,MAX(0,MIN($F364,EOMONTH(DATE(cfg_FY,9,1),0))-MAX($E364,DATE(cfg_FY,9,1))+1)*(1-IF($M364="نعم",0,N($J364))))</f>
        <v>0</v>
      </c>
      <c r="AE364" s="57" t="n">
        <f aca="false">IF(OR($B364="",$E364="",$F364=""),0,MAX(0,MIN($F364,EOMONTH(DATE(cfg_FY,10,1),0))-MAX($E364,DATE(cfg_FY,10,1))+1)*(1-IF($M364="نعم",0,N($J364))))</f>
        <v>0</v>
      </c>
      <c r="AF364" s="57" t="n">
        <f aca="false">IF(OR($B364="",$E364="",$F364=""),0,MAX(0,MIN($F364,EOMONTH(DATE(cfg_FY,11,1),0))-MAX($E364,DATE(cfg_FY,11,1))+1)*(1-IF($M364="نعم",0,N($J364))))</f>
        <v>0</v>
      </c>
      <c r="AG364" s="57" t="n">
        <f aca="false">IF(OR($B364="",$E364="",$F364=""),0,MAX(0,MIN($F364,EOMONTH(DATE(cfg_FY,12,1),0))-MAX($E364,DATE(cfg_FY,12,1))+1)*(1-IF($M364="نعم",0,N($J364))))</f>
        <v>0</v>
      </c>
      <c r="AH364" s="57" t="n">
        <f aca="false">IF(OR(OR($B364="",$E364="",$F364=""),$L364&lt;&gt;"لا"),0,MAX(0,MIN($F364,EOMONTH(DATE(cfg_FY,1,1),0))-$E364+1))</f>
        <v>0</v>
      </c>
      <c r="AI364" s="57" t="n">
        <f aca="false">IF(OR(OR($B364="",$E364="",$F364=""),$L364&lt;&gt;"لا"),0,MAX(0,MIN($F364,EOMONTH(DATE(cfg_FY,2,1),0))-$E364+1))</f>
        <v>0</v>
      </c>
      <c r="AJ364" s="57" t="n">
        <f aca="false">IF(OR(OR($B364="",$E364="",$F364=""),$L364&lt;&gt;"لا"),0,MAX(0,MIN($F364,EOMONTH(DATE(cfg_FY,3,1),0))-$E364+1))</f>
        <v>0</v>
      </c>
      <c r="AK364" s="57" t="n">
        <f aca="false">IF(OR(OR($B364="",$E364="",$F364=""),$L364&lt;&gt;"لا"),0,MAX(0,MIN($F364,EOMONTH(DATE(cfg_FY,4,1),0))-$E364+1))</f>
        <v>0</v>
      </c>
      <c r="AL364" s="57" t="n">
        <f aca="false">IF(OR(OR($B364="",$E364="",$F364=""),$L364&lt;&gt;"لا"),0,MAX(0,MIN($F364,EOMONTH(DATE(cfg_FY,5,1),0))-$E364+1))</f>
        <v>0</v>
      </c>
      <c r="AM364" s="57" t="n">
        <f aca="false">IF(OR(OR($B364="",$E364="",$F364=""),$L364&lt;&gt;"لا"),0,MAX(0,MIN($F364,EOMONTH(DATE(cfg_FY,6,1),0))-$E364+1))</f>
        <v>0</v>
      </c>
      <c r="AN364" s="57" t="n">
        <f aca="false">IF(OR(OR($B364="",$E364="",$F364=""),$L364&lt;&gt;"لا"),0,MAX(0,MIN($F364,EOMONTH(DATE(cfg_FY,7,1),0))-$E364+1))</f>
        <v>0</v>
      </c>
      <c r="AO364" s="57" t="n">
        <f aca="false">IF(OR(OR($B364="",$E364="",$F364=""),$L364&lt;&gt;"لا"),0,MAX(0,MIN($F364,EOMONTH(DATE(cfg_FY,8,1),0))-$E364+1))</f>
        <v>0</v>
      </c>
      <c r="AP364" s="57" t="n">
        <f aca="false">IF(OR(OR($B364="",$E364="",$F364=""),$L364&lt;&gt;"لا"),0,MAX(0,MIN($F364,EOMONTH(DATE(cfg_FY,9,1),0))-$E364+1))</f>
        <v>0</v>
      </c>
      <c r="AQ364" s="57" t="n">
        <f aca="false">IF(OR(OR($B364="",$E364="",$F364=""),$L364&lt;&gt;"لا"),0,MAX(0,MIN($F364,EOMONTH(DATE(cfg_FY,10,1),0))-$E364+1))</f>
        <v>0</v>
      </c>
      <c r="AR364" s="57" t="n">
        <f aca="false">IF(OR(OR($B364="",$E364="",$F364=""),$L364&lt;&gt;"لا"),0,MAX(0,MIN($F364,EOMONTH(DATE(cfg_FY,11,1),0))-$E364+1))</f>
        <v>0</v>
      </c>
      <c r="AS364" s="57" t="n">
        <f aca="false">IF(OR(OR($B364="",$E364="",$F364=""),$L364&lt;&gt;"لا"),0,MAX(0,MIN($F364,EOMONTH(DATE(cfg_FY,12,1),0))-$E364+1))</f>
        <v>0</v>
      </c>
      <c r="AT364" s="57" t="n">
        <f aca="false">IF(OR(OR($B364="",$E364="",$F364=""),$K364&lt;&gt;"نعم",$M364="نعم"),0,MAX(0,MIN($F364,EOMONTH(DATE(cfg_FY,1,1),0))-MAX($E364,DATE(cfg_FY,1,1))+1))</f>
        <v>0</v>
      </c>
      <c r="AU364" s="57" t="n">
        <f aca="false">IF(OR(OR($B364="",$E364="",$F364=""),$K364&lt;&gt;"نعم",$M364="نعم"),0,MAX(0,MIN($F364,EOMONTH(DATE(cfg_FY,2,1),0))-MAX($E364,DATE(cfg_FY,2,1))+1))</f>
        <v>0</v>
      </c>
      <c r="AV364" s="57" t="n">
        <f aca="false">IF(OR(OR($B364="",$E364="",$F364=""),$K364&lt;&gt;"نعم",$M364="نعم"),0,MAX(0,MIN($F364,EOMONTH(DATE(cfg_FY,3,1),0))-MAX($E364,DATE(cfg_FY,3,1))+1))</f>
        <v>0</v>
      </c>
      <c r="AW364" s="57" t="n">
        <f aca="false">IF(OR(OR($B364="",$E364="",$F364=""),$K364&lt;&gt;"نعم",$M364="نعم"),0,MAX(0,MIN($F364,EOMONTH(DATE(cfg_FY,4,1),0))-MAX($E364,DATE(cfg_FY,4,1))+1))</f>
        <v>0</v>
      </c>
      <c r="AX364" s="57" t="n">
        <f aca="false">IF(OR(OR($B364="",$E364="",$F364=""),$K364&lt;&gt;"نعم",$M364="نعم"),0,MAX(0,MIN($F364,EOMONTH(DATE(cfg_FY,5,1),0))-MAX($E364,DATE(cfg_FY,5,1))+1))</f>
        <v>0</v>
      </c>
      <c r="AY364" s="57" t="n">
        <f aca="false">IF(OR(OR($B364="",$E364="",$F364=""),$K364&lt;&gt;"نعم",$M364="نعم"),0,MAX(0,MIN($F364,EOMONTH(DATE(cfg_FY,6,1),0))-MAX($E364,DATE(cfg_FY,6,1))+1))</f>
        <v>0</v>
      </c>
      <c r="AZ364" s="57" t="n">
        <f aca="false">IF(OR(OR($B364="",$E364="",$F364=""),$K364&lt;&gt;"نعم",$M364="نعم"),0,MAX(0,MIN($F364,EOMONTH(DATE(cfg_FY,7,1),0))-MAX($E364,DATE(cfg_FY,7,1))+1))</f>
        <v>0</v>
      </c>
      <c r="BA364" s="57" t="n">
        <f aca="false">IF(OR(OR($B364="",$E364="",$F364=""),$K364&lt;&gt;"نعم",$M364="نعم"),0,MAX(0,MIN($F364,EOMONTH(DATE(cfg_FY,8,1),0))-MAX($E364,DATE(cfg_FY,8,1))+1))</f>
        <v>0</v>
      </c>
      <c r="BB364" s="57" t="n">
        <f aca="false">IF(OR(OR($B364="",$E364="",$F364=""),$K364&lt;&gt;"نعم",$M364="نعم"),0,MAX(0,MIN($F364,EOMONTH(DATE(cfg_FY,9,1),0))-MAX($E364,DATE(cfg_FY,9,1))+1))</f>
        <v>0</v>
      </c>
      <c r="BC364" s="57" t="n">
        <f aca="false">IF(OR(OR($B364="",$E364="",$F364=""),$K364&lt;&gt;"نعم",$M364="نعم"),0,MAX(0,MIN($F364,EOMONTH(DATE(cfg_FY,10,1),0))-MAX($E364,DATE(cfg_FY,10,1))+1))</f>
        <v>0</v>
      </c>
      <c r="BD364" s="57" t="n">
        <f aca="false">IF(OR(OR($B364="",$E364="",$F364=""),$K364&lt;&gt;"نعم",$M364="نعم"),0,MAX(0,MIN($F364,EOMONTH(DATE(cfg_FY,11,1),0))-MAX($E364,DATE(cfg_FY,11,1))+1))</f>
        <v>0</v>
      </c>
      <c r="BE364" s="57" t="n">
        <f aca="false">IF(OR(OR($B364="",$E364="",$F364=""),$K364&lt;&gt;"نعم",$M364="نعم"),0,MAX(0,MIN($F364,EOMONTH(DATE(cfg_FY,12,1),0))-MAX($E364,DATE(cfg_FY,12,1))+1))</f>
        <v>0</v>
      </c>
    </row>
    <row r="365" customFormat="false" ht="15" hidden="false" customHeight="false" outlineLevel="0" collapsed="false">
      <c r="A365" s="100" t="str">
        <f aca="false">IF(B365="","",ROW()-5)</f>
        <v/>
      </c>
      <c r="B365" s="79"/>
      <c r="C365" s="102" t="str">
        <f aca="false">IF(B365="","",IFERROR(INDEX(الموظفون!$C$6:$C$105,MATCH(B365,الموظفون!$B$6:$B$105,0)),"✖ رقم غير موجود"))</f>
        <v/>
      </c>
      <c r="D365" s="79"/>
      <c r="E365" s="94"/>
      <c r="F365" s="94"/>
      <c r="G365" s="110" t="str">
        <f aca="false">IF(OR($B365="",$E365="",$F365=""),"",MAX(0,F365-E365+1))</f>
        <v/>
      </c>
      <c r="H365" s="111" t="str">
        <f aca="false">IF(D365="","",IFERROR(VLOOKUP(D365,cfg_LT,2,FALSE()),1))</f>
        <v/>
      </c>
      <c r="I365" s="82"/>
      <c r="J365" s="111" t="str">
        <f aca="false">IF(D365="","",IF(I365&lt;&gt;"",I365,H365))</f>
        <v/>
      </c>
      <c r="K365" s="102" t="str">
        <f aca="false">IF(D365="","",IFERROR(VLOOKUP($D365,cfg_LT,3,FALSE()),""))</f>
        <v/>
      </c>
      <c r="L365" s="102" t="str">
        <f aca="false">IF(D365="","",IFERROR(VLOOKUP($D365,cfg_LT,4,FALSE()),""))</f>
        <v/>
      </c>
      <c r="M365" s="102" t="str">
        <f aca="false">IF(D365="","",IFERROR(VLOOKUP($D365,cfg_LT,5,FALSE()),""))</f>
        <v/>
      </c>
      <c r="N365" s="101" t="n">
        <f aca="false">IF(OR(OR($B365="",$E365="",$F365=""),M365&lt;&gt;"نعم"),0,G365*J365*IFERROR(INDEX(الموظفون!$R$6:$R$105,MATCH(B365,الموظفون!$B$6:$B$105,0)),0)/cfg_DAYS_M)</f>
        <v>0</v>
      </c>
      <c r="O365" s="100" t="str">
        <f aca="false">IF(OR(OR($B365="",$E365="",$F365=""),M365&lt;&gt;"نعم"),"",IF(YEAR(E365)=cfg_FY,MONTH(E365),""))</f>
        <v/>
      </c>
      <c r="P365" s="102" t="str">
        <f aca="false">IF(B365="","",IF(OR(D365="",E365="",F365=""),"⚠ أكمل النوع والتواريخ",IF(F365&lt;E365,"✖ النهاية قبل البداية",IF(COUNTIFS($B$6:$B$505,B365,$E$6:$E$505,"&lt;="&amp;F365,$F$6:$F$505,"&gt;="&amp;E365)&gt;1,"⚠ تداخل مع سجل آخر",IF(E365&gt;cfg_VAL_DATE,"⏳ قادمة",IF(F365&lt;cfg_VAL_DATE,"✔ منتهية","✈ جارية في تاريخ التقرير"))))))</f>
        <v/>
      </c>
      <c r="Q365" s="79"/>
      <c r="R365" s="110" t="n">
        <f aca="false">IF(OR(OR($B365="",$E365="",$F365=""),L365&lt;&gt;"لا"),0,MAX(0,MIN(F365,cfg_Y_START-1)-E365+1))</f>
        <v>0</v>
      </c>
      <c r="S365" s="110" t="n">
        <f aca="false">IF(OR(OR($B365="",$E365="",$F365=""),L365&lt;&gt;"لا"),0,MAX(0,MIN(F365,cfg_VAL_DATE)-E365+1))</f>
        <v>0</v>
      </c>
      <c r="T365" s="110" t="n">
        <f aca="false">IF(OR(OR($B365="",$E365="",$F365=""),K365&lt;&gt;"نعم"),0,IF(M365="نعم",IF(AND(ISNUMBER(O365),N(O365)&lt;=cfg_VAL_M),G365,0),MAX(0,MIN(F365,cfg_VAL_DATE)-MAX(E365,cfg_Y_START)+1)))</f>
        <v>0</v>
      </c>
      <c r="V365" s="110" t="n">
        <f aca="false">IF(OR($B365="",$E365="",$F365=""),0,MAX(0,MIN($F365,EOMONTH(DATE(cfg_FY,1,1),0))-MAX($E365,DATE(cfg_FY,1,1))+1)*(1-IF($M365="نعم",0,N($J365))))</f>
        <v>0</v>
      </c>
      <c r="W365" s="110" t="n">
        <f aca="false">IF(OR($B365="",$E365="",$F365=""),0,MAX(0,MIN($F365,EOMONTH(DATE(cfg_FY,2,1),0))-MAX($E365,DATE(cfg_FY,2,1))+1)*(1-IF($M365="نعم",0,N($J365))))</f>
        <v>0</v>
      </c>
      <c r="X365" s="110" t="n">
        <f aca="false">IF(OR($B365="",$E365="",$F365=""),0,MAX(0,MIN($F365,EOMONTH(DATE(cfg_FY,3,1),0))-MAX($E365,DATE(cfg_FY,3,1))+1)*(1-IF($M365="نعم",0,N($J365))))</f>
        <v>0</v>
      </c>
      <c r="Y365" s="110" t="n">
        <f aca="false">IF(OR($B365="",$E365="",$F365=""),0,MAX(0,MIN($F365,EOMONTH(DATE(cfg_FY,4,1),0))-MAX($E365,DATE(cfg_FY,4,1))+1)*(1-IF($M365="نعم",0,N($J365))))</f>
        <v>0</v>
      </c>
      <c r="Z365" s="110" t="n">
        <f aca="false">IF(OR($B365="",$E365="",$F365=""),0,MAX(0,MIN($F365,EOMONTH(DATE(cfg_FY,5,1),0))-MAX($E365,DATE(cfg_FY,5,1))+1)*(1-IF($M365="نعم",0,N($J365))))</f>
        <v>0</v>
      </c>
      <c r="AA365" s="110" t="n">
        <f aca="false">IF(OR($B365="",$E365="",$F365=""),0,MAX(0,MIN($F365,EOMONTH(DATE(cfg_FY,6,1),0))-MAX($E365,DATE(cfg_FY,6,1))+1)*(1-IF($M365="نعم",0,N($J365))))</f>
        <v>0</v>
      </c>
      <c r="AB365" s="110" t="n">
        <f aca="false">IF(OR($B365="",$E365="",$F365=""),0,MAX(0,MIN($F365,EOMONTH(DATE(cfg_FY,7,1),0))-MAX($E365,DATE(cfg_FY,7,1))+1)*(1-IF($M365="نعم",0,N($J365))))</f>
        <v>0</v>
      </c>
      <c r="AC365" s="110" t="n">
        <f aca="false">IF(OR($B365="",$E365="",$F365=""),0,MAX(0,MIN($F365,EOMONTH(DATE(cfg_FY,8,1),0))-MAX($E365,DATE(cfg_FY,8,1))+1)*(1-IF($M365="نعم",0,N($J365))))</f>
        <v>0</v>
      </c>
      <c r="AD365" s="110" t="n">
        <f aca="false">IF(OR($B365="",$E365="",$F365=""),0,MAX(0,MIN($F365,EOMONTH(DATE(cfg_FY,9,1),0))-MAX($E365,DATE(cfg_FY,9,1))+1)*(1-IF($M365="نعم",0,N($J365))))</f>
        <v>0</v>
      </c>
      <c r="AE365" s="110" t="n">
        <f aca="false">IF(OR($B365="",$E365="",$F365=""),0,MAX(0,MIN($F365,EOMONTH(DATE(cfg_FY,10,1),0))-MAX($E365,DATE(cfg_FY,10,1))+1)*(1-IF($M365="نعم",0,N($J365))))</f>
        <v>0</v>
      </c>
      <c r="AF365" s="110" t="n">
        <f aca="false">IF(OR($B365="",$E365="",$F365=""),0,MAX(0,MIN($F365,EOMONTH(DATE(cfg_FY,11,1),0))-MAX($E365,DATE(cfg_FY,11,1))+1)*(1-IF($M365="نعم",0,N($J365))))</f>
        <v>0</v>
      </c>
      <c r="AG365" s="110" t="n">
        <f aca="false">IF(OR($B365="",$E365="",$F365=""),0,MAX(0,MIN($F365,EOMONTH(DATE(cfg_FY,12,1),0))-MAX($E365,DATE(cfg_FY,12,1))+1)*(1-IF($M365="نعم",0,N($J365))))</f>
        <v>0</v>
      </c>
      <c r="AH365" s="110" t="n">
        <f aca="false">IF(OR(OR($B365="",$E365="",$F365=""),$L365&lt;&gt;"لا"),0,MAX(0,MIN($F365,EOMONTH(DATE(cfg_FY,1,1),0))-$E365+1))</f>
        <v>0</v>
      </c>
      <c r="AI365" s="110" t="n">
        <f aca="false">IF(OR(OR($B365="",$E365="",$F365=""),$L365&lt;&gt;"لا"),0,MAX(0,MIN($F365,EOMONTH(DATE(cfg_FY,2,1),0))-$E365+1))</f>
        <v>0</v>
      </c>
      <c r="AJ365" s="110" t="n">
        <f aca="false">IF(OR(OR($B365="",$E365="",$F365=""),$L365&lt;&gt;"لا"),0,MAX(0,MIN($F365,EOMONTH(DATE(cfg_FY,3,1),0))-$E365+1))</f>
        <v>0</v>
      </c>
      <c r="AK365" s="110" t="n">
        <f aca="false">IF(OR(OR($B365="",$E365="",$F365=""),$L365&lt;&gt;"لا"),0,MAX(0,MIN($F365,EOMONTH(DATE(cfg_FY,4,1),0))-$E365+1))</f>
        <v>0</v>
      </c>
      <c r="AL365" s="110" t="n">
        <f aca="false">IF(OR(OR($B365="",$E365="",$F365=""),$L365&lt;&gt;"لا"),0,MAX(0,MIN($F365,EOMONTH(DATE(cfg_FY,5,1),0))-$E365+1))</f>
        <v>0</v>
      </c>
      <c r="AM365" s="110" t="n">
        <f aca="false">IF(OR(OR($B365="",$E365="",$F365=""),$L365&lt;&gt;"لا"),0,MAX(0,MIN($F365,EOMONTH(DATE(cfg_FY,6,1),0))-$E365+1))</f>
        <v>0</v>
      </c>
      <c r="AN365" s="110" t="n">
        <f aca="false">IF(OR(OR($B365="",$E365="",$F365=""),$L365&lt;&gt;"لا"),0,MAX(0,MIN($F365,EOMONTH(DATE(cfg_FY,7,1),0))-$E365+1))</f>
        <v>0</v>
      </c>
      <c r="AO365" s="110" t="n">
        <f aca="false">IF(OR(OR($B365="",$E365="",$F365=""),$L365&lt;&gt;"لا"),0,MAX(0,MIN($F365,EOMONTH(DATE(cfg_FY,8,1),0))-$E365+1))</f>
        <v>0</v>
      </c>
      <c r="AP365" s="110" t="n">
        <f aca="false">IF(OR(OR($B365="",$E365="",$F365=""),$L365&lt;&gt;"لا"),0,MAX(0,MIN($F365,EOMONTH(DATE(cfg_FY,9,1),0))-$E365+1))</f>
        <v>0</v>
      </c>
      <c r="AQ365" s="110" t="n">
        <f aca="false">IF(OR(OR($B365="",$E365="",$F365=""),$L365&lt;&gt;"لا"),0,MAX(0,MIN($F365,EOMONTH(DATE(cfg_FY,10,1),0))-$E365+1))</f>
        <v>0</v>
      </c>
      <c r="AR365" s="110" t="n">
        <f aca="false">IF(OR(OR($B365="",$E365="",$F365=""),$L365&lt;&gt;"لا"),0,MAX(0,MIN($F365,EOMONTH(DATE(cfg_FY,11,1),0))-$E365+1))</f>
        <v>0</v>
      </c>
      <c r="AS365" s="110" t="n">
        <f aca="false">IF(OR(OR($B365="",$E365="",$F365=""),$L365&lt;&gt;"لا"),0,MAX(0,MIN($F365,EOMONTH(DATE(cfg_FY,12,1),0))-$E365+1))</f>
        <v>0</v>
      </c>
      <c r="AT365" s="110" t="n">
        <f aca="false">IF(OR(OR($B365="",$E365="",$F365=""),$K365&lt;&gt;"نعم",$M365="نعم"),0,MAX(0,MIN($F365,EOMONTH(DATE(cfg_FY,1,1),0))-MAX($E365,DATE(cfg_FY,1,1))+1))</f>
        <v>0</v>
      </c>
      <c r="AU365" s="110" t="n">
        <f aca="false">IF(OR(OR($B365="",$E365="",$F365=""),$K365&lt;&gt;"نعم",$M365="نعم"),0,MAX(0,MIN($F365,EOMONTH(DATE(cfg_FY,2,1),0))-MAX($E365,DATE(cfg_FY,2,1))+1))</f>
        <v>0</v>
      </c>
      <c r="AV365" s="110" t="n">
        <f aca="false">IF(OR(OR($B365="",$E365="",$F365=""),$K365&lt;&gt;"نعم",$M365="نعم"),0,MAX(0,MIN($F365,EOMONTH(DATE(cfg_FY,3,1),0))-MAX($E365,DATE(cfg_FY,3,1))+1))</f>
        <v>0</v>
      </c>
      <c r="AW365" s="110" t="n">
        <f aca="false">IF(OR(OR($B365="",$E365="",$F365=""),$K365&lt;&gt;"نعم",$M365="نعم"),0,MAX(0,MIN($F365,EOMONTH(DATE(cfg_FY,4,1),0))-MAX($E365,DATE(cfg_FY,4,1))+1))</f>
        <v>0</v>
      </c>
      <c r="AX365" s="110" t="n">
        <f aca="false">IF(OR(OR($B365="",$E365="",$F365=""),$K365&lt;&gt;"نعم",$M365="نعم"),0,MAX(0,MIN($F365,EOMONTH(DATE(cfg_FY,5,1),0))-MAX($E365,DATE(cfg_FY,5,1))+1))</f>
        <v>0</v>
      </c>
      <c r="AY365" s="110" t="n">
        <f aca="false">IF(OR(OR($B365="",$E365="",$F365=""),$K365&lt;&gt;"نعم",$M365="نعم"),0,MAX(0,MIN($F365,EOMONTH(DATE(cfg_FY,6,1),0))-MAX($E365,DATE(cfg_FY,6,1))+1))</f>
        <v>0</v>
      </c>
      <c r="AZ365" s="110" t="n">
        <f aca="false">IF(OR(OR($B365="",$E365="",$F365=""),$K365&lt;&gt;"نعم",$M365="نعم"),0,MAX(0,MIN($F365,EOMONTH(DATE(cfg_FY,7,1),0))-MAX($E365,DATE(cfg_FY,7,1))+1))</f>
        <v>0</v>
      </c>
      <c r="BA365" s="110" t="n">
        <f aca="false">IF(OR(OR($B365="",$E365="",$F365=""),$K365&lt;&gt;"نعم",$M365="نعم"),0,MAX(0,MIN($F365,EOMONTH(DATE(cfg_FY,8,1),0))-MAX($E365,DATE(cfg_FY,8,1))+1))</f>
        <v>0</v>
      </c>
      <c r="BB365" s="110" t="n">
        <f aca="false">IF(OR(OR($B365="",$E365="",$F365=""),$K365&lt;&gt;"نعم",$M365="نعم"),0,MAX(0,MIN($F365,EOMONTH(DATE(cfg_FY,9,1),0))-MAX($E365,DATE(cfg_FY,9,1))+1))</f>
        <v>0</v>
      </c>
      <c r="BC365" s="110" t="n">
        <f aca="false">IF(OR(OR($B365="",$E365="",$F365=""),$K365&lt;&gt;"نعم",$M365="نعم"),0,MAX(0,MIN($F365,EOMONTH(DATE(cfg_FY,10,1),0))-MAX($E365,DATE(cfg_FY,10,1))+1))</f>
        <v>0</v>
      </c>
      <c r="BD365" s="110" t="n">
        <f aca="false">IF(OR(OR($B365="",$E365="",$F365=""),$K365&lt;&gt;"نعم",$M365="نعم"),0,MAX(0,MIN($F365,EOMONTH(DATE(cfg_FY,11,1),0))-MAX($E365,DATE(cfg_FY,11,1))+1))</f>
        <v>0</v>
      </c>
      <c r="BE365" s="110" t="n">
        <f aca="false">IF(OR(OR($B365="",$E365="",$F365=""),$K365&lt;&gt;"نعم",$M365="نعم"),0,MAX(0,MIN($F365,EOMONTH(DATE(cfg_FY,12,1),0))-MAX($E365,DATE(cfg_FY,12,1))+1))</f>
        <v>0</v>
      </c>
    </row>
    <row r="366" customFormat="false" ht="15" hidden="false" customHeight="false" outlineLevel="0" collapsed="false">
      <c r="A366" s="93" t="str">
        <f aca="false">IF(B366="","",ROW()-5)</f>
        <v/>
      </c>
      <c r="B366" s="79"/>
      <c r="C366" s="80" t="str">
        <f aca="false">IF(B366="","",IFERROR(INDEX(الموظفون!$C$6:$C$105,MATCH(B366,الموظفون!$B$6:$B$105,0)),"✖ رقم غير موجود"))</f>
        <v/>
      </c>
      <c r="D366" s="79"/>
      <c r="E366" s="94"/>
      <c r="F366" s="94"/>
      <c r="G366" s="57" t="str">
        <f aca="false">IF(OR($B366="",$E366="",$F366=""),"",MAX(0,F366-E366+1))</f>
        <v/>
      </c>
      <c r="H366" s="58" t="str">
        <f aca="false">IF(D366="","",IFERROR(VLOOKUP(D366,cfg_LT,2,FALSE()),1))</f>
        <v/>
      </c>
      <c r="I366" s="82"/>
      <c r="J366" s="58" t="str">
        <f aca="false">IF(D366="","",IF(I366&lt;&gt;"",I366,H366))</f>
        <v/>
      </c>
      <c r="K366" s="80" t="str">
        <f aca="false">IF(D366="","",IFERROR(VLOOKUP($D366,cfg_LT,3,FALSE()),""))</f>
        <v/>
      </c>
      <c r="L366" s="80" t="str">
        <f aca="false">IF(D366="","",IFERROR(VLOOKUP($D366,cfg_LT,4,FALSE()),""))</f>
        <v/>
      </c>
      <c r="M366" s="80" t="str">
        <f aca="false">IF(D366="","",IFERROR(VLOOKUP($D366,cfg_LT,5,FALSE()),""))</f>
        <v/>
      </c>
      <c r="N366" s="97" t="n">
        <f aca="false">IF(OR(OR($B366="",$E366="",$F366=""),M366&lt;&gt;"نعم"),0,G366*J366*IFERROR(INDEX(الموظفون!$R$6:$R$105,MATCH(B366,الموظفون!$B$6:$B$105,0)),0)/cfg_DAYS_M)</f>
        <v>0</v>
      </c>
      <c r="O366" s="93" t="str">
        <f aca="false">IF(OR(OR($B366="",$E366="",$F366=""),M366&lt;&gt;"نعم"),"",IF(YEAR(E366)=cfg_FY,MONTH(E366),""))</f>
        <v/>
      </c>
      <c r="P366" s="80" t="str">
        <f aca="false">IF(B366="","",IF(OR(D366="",E366="",F366=""),"⚠ أكمل النوع والتواريخ",IF(F366&lt;E366,"✖ النهاية قبل البداية",IF(COUNTIFS($B$6:$B$505,B366,$E$6:$E$505,"&lt;="&amp;F366,$F$6:$F$505,"&gt;="&amp;E366)&gt;1,"⚠ تداخل مع سجل آخر",IF(E366&gt;cfg_VAL_DATE,"⏳ قادمة",IF(F366&lt;cfg_VAL_DATE,"✔ منتهية","✈ جارية في تاريخ التقرير"))))))</f>
        <v/>
      </c>
      <c r="Q366" s="79"/>
      <c r="R366" s="57" t="n">
        <f aca="false">IF(OR(OR($B366="",$E366="",$F366=""),L366&lt;&gt;"لا"),0,MAX(0,MIN(F366,cfg_Y_START-1)-E366+1))</f>
        <v>0</v>
      </c>
      <c r="S366" s="57" t="n">
        <f aca="false">IF(OR(OR($B366="",$E366="",$F366=""),L366&lt;&gt;"لا"),0,MAX(0,MIN(F366,cfg_VAL_DATE)-E366+1))</f>
        <v>0</v>
      </c>
      <c r="T366" s="57" t="n">
        <f aca="false">IF(OR(OR($B366="",$E366="",$F366=""),K366&lt;&gt;"نعم"),0,IF(M366="نعم",IF(AND(ISNUMBER(O366),N(O366)&lt;=cfg_VAL_M),G366,0),MAX(0,MIN(F366,cfg_VAL_DATE)-MAX(E366,cfg_Y_START)+1)))</f>
        <v>0</v>
      </c>
      <c r="V366" s="57" t="n">
        <f aca="false">IF(OR($B366="",$E366="",$F366=""),0,MAX(0,MIN($F366,EOMONTH(DATE(cfg_FY,1,1),0))-MAX($E366,DATE(cfg_FY,1,1))+1)*(1-IF($M366="نعم",0,N($J366))))</f>
        <v>0</v>
      </c>
      <c r="W366" s="57" t="n">
        <f aca="false">IF(OR($B366="",$E366="",$F366=""),0,MAX(0,MIN($F366,EOMONTH(DATE(cfg_FY,2,1),0))-MAX($E366,DATE(cfg_FY,2,1))+1)*(1-IF($M366="نعم",0,N($J366))))</f>
        <v>0</v>
      </c>
      <c r="X366" s="57" t="n">
        <f aca="false">IF(OR($B366="",$E366="",$F366=""),0,MAX(0,MIN($F366,EOMONTH(DATE(cfg_FY,3,1),0))-MAX($E366,DATE(cfg_FY,3,1))+1)*(1-IF($M366="نعم",0,N($J366))))</f>
        <v>0</v>
      </c>
      <c r="Y366" s="57" t="n">
        <f aca="false">IF(OR($B366="",$E366="",$F366=""),0,MAX(0,MIN($F366,EOMONTH(DATE(cfg_FY,4,1),0))-MAX($E366,DATE(cfg_FY,4,1))+1)*(1-IF($M366="نعم",0,N($J366))))</f>
        <v>0</v>
      </c>
      <c r="Z366" s="57" t="n">
        <f aca="false">IF(OR($B366="",$E366="",$F366=""),0,MAX(0,MIN($F366,EOMONTH(DATE(cfg_FY,5,1),0))-MAX($E366,DATE(cfg_FY,5,1))+1)*(1-IF($M366="نعم",0,N($J366))))</f>
        <v>0</v>
      </c>
      <c r="AA366" s="57" t="n">
        <f aca="false">IF(OR($B366="",$E366="",$F366=""),0,MAX(0,MIN($F366,EOMONTH(DATE(cfg_FY,6,1),0))-MAX($E366,DATE(cfg_FY,6,1))+1)*(1-IF($M366="نعم",0,N($J366))))</f>
        <v>0</v>
      </c>
      <c r="AB366" s="57" t="n">
        <f aca="false">IF(OR($B366="",$E366="",$F366=""),0,MAX(0,MIN($F366,EOMONTH(DATE(cfg_FY,7,1),0))-MAX($E366,DATE(cfg_FY,7,1))+1)*(1-IF($M366="نعم",0,N($J366))))</f>
        <v>0</v>
      </c>
      <c r="AC366" s="57" t="n">
        <f aca="false">IF(OR($B366="",$E366="",$F366=""),0,MAX(0,MIN($F366,EOMONTH(DATE(cfg_FY,8,1),0))-MAX($E366,DATE(cfg_FY,8,1))+1)*(1-IF($M366="نعم",0,N($J366))))</f>
        <v>0</v>
      </c>
      <c r="AD366" s="57" t="n">
        <f aca="false">IF(OR($B366="",$E366="",$F366=""),0,MAX(0,MIN($F366,EOMONTH(DATE(cfg_FY,9,1),0))-MAX($E366,DATE(cfg_FY,9,1))+1)*(1-IF($M366="نعم",0,N($J366))))</f>
        <v>0</v>
      </c>
      <c r="AE366" s="57" t="n">
        <f aca="false">IF(OR($B366="",$E366="",$F366=""),0,MAX(0,MIN($F366,EOMONTH(DATE(cfg_FY,10,1),0))-MAX($E366,DATE(cfg_FY,10,1))+1)*(1-IF($M366="نعم",0,N($J366))))</f>
        <v>0</v>
      </c>
      <c r="AF366" s="57" t="n">
        <f aca="false">IF(OR($B366="",$E366="",$F366=""),0,MAX(0,MIN($F366,EOMONTH(DATE(cfg_FY,11,1),0))-MAX($E366,DATE(cfg_FY,11,1))+1)*(1-IF($M366="نعم",0,N($J366))))</f>
        <v>0</v>
      </c>
      <c r="AG366" s="57" t="n">
        <f aca="false">IF(OR($B366="",$E366="",$F366=""),0,MAX(0,MIN($F366,EOMONTH(DATE(cfg_FY,12,1),0))-MAX($E366,DATE(cfg_FY,12,1))+1)*(1-IF($M366="نعم",0,N($J366))))</f>
        <v>0</v>
      </c>
      <c r="AH366" s="57" t="n">
        <f aca="false">IF(OR(OR($B366="",$E366="",$F366=""),$L366&lt;&gt;"لا"),0,MAX(0,MIN($F366,EOMONTH(DATE(cfg_FY,1,1),0))-$E366+1))</f>
        <v>0</v>
      </c>
      <c r="AI366" s="57" t="n">
        <f aca="false">IF(OR(OR($B366="",$E366="",$F366=""),$L366&lt;&gt;"لا"),0,MAX(0,MIN($F366,EOMONTH(DATE(cfg_FY,2,1),0))-$E366+1))</f>
        <v>0</v>
      </c>
      <c r="AJ366" s="57" t="n">
        <f aca="false">IF(OR(OR($B366="",$E366="",$F366=""),$L366&lt;&gt;"لا"),0,MAX(0,MIN($F366,EOMONTH(DATE(cfg_FY,3,1),0))-$E366+1))</f>
        <v>0</v>
      </c>
      <c r="AK366" s="57" t="n">
        <f aca="false">IF(OR(OR($B366="",$E366="",$F366=""),$L366&lt;&gt;"لا"),0,MAX(0,MIN($F366,EOMONTH(DATE(cfg_FY,4,1),0))-$E366+1))</f>
        <v>0</v>
      </c>
      <c r="AL366" s="57" t="n">
        <f aca="false">IF(OR(OR($B366="",$E366="",$F366=""),$L366&lt;&gt;"لا"),0,MAX(0,MIN($F366,EOMONTH(DATE(cfg_FY,5,1),0))-$E366+1))</f>
        <v>0</v>
      </c>
      <c r="AM366" s="57" t="n">
        <f aca="false">IF(OR(OR($B366="",$E366="",$F366=""),$L366&lt;&gt;"لا"),0,MAX(0,MIN($F366,EOMONTH(DATE(cfg_FY,6,1),0))-$E366+1))</f>
        <v>0</v>
      </c>
      <c r="AN366" s="57" t="n">
        <f aca="false">IF(OR(OR($B366="",$E366="",$F366=""),$L366&lt;&gt;"لا"),0,MAX(0,MIN($F366,EOMONTH(DATE(cfg_FY,7,1),0))-$E366+1))</f>
        <v>0</v>
      </c>
      <c r="AO366" s="57" t="n">
        <f aca="false">IF(OR(OR($B366="",$E366="",$F366=""),$L366&lt;&gt;"لا"),0,MAX(0,MIN($F366,EOMONTH(DATE(cfg_FY,8,1),0))-$E366+1))</f>
        <v>0</v>
      </c>
      <c r="AP366" s="57" t="n">
        <f aca="false">IF(OR(OR($B366="",$E366="",$F366=""),$L366&lt;&gt;"لا"),0,MAX(0,MIN($F366,EOMONTH(DATE(cfg_FY,9,1),0))-$E366+1))</f>
        <v>0</v>
      </c>
      <c r="AQ366" s="57" t="n">
        <f aca="false">IF(OR(OR($B366="",$E366="",$F366=""),$L366&lt;&gt;"لا"),0,MAX(0,MIN($F366,EOMONTH(DATE(cfg_FY,10,1),0))-$E366+1))</f>
        <v>0</v>
      </c>
      <c r="AR366" s="57" t="n">
        <f aca="false">IF(OR(OR($B366="",$E366="",$F366=""),$L366&lt;&gt;"لا"),0,MAX(0,MIN($F366,EOMONTH(DATE(cfg_FY,11,1),0))-$E366+1))</f>
        <v>0</v>
      </c>
      <c r="AS366" s="57" t="n">
        <f aca="false">IF(OR(OR($B366="",$E366="",$F366=""),$L366&lt;&gt;"لا"),0,MAX(0,MIN($F366,EOMONTH(DATE(cfg_FY,12,1),0))-$E366+1))</f>
        <v>0</v>
      </c>
      <c r="AT366" s="57" t="n">
        <f aca="false">IF(OR(OR($B366="",$E366="",$F366=""),$K366&lt;&gt;"نعم",$M366="نعم"),0,MAX(0,MIN($F366,EOMONTH(DATE(cfg_FY,1,1),0))-MAX($E366,DATE(cfg_FY,1,1))+1))</f>
        <v>0</v>
      </c>
      <c r="AU366" s="57" t="n">
        <f aca="false">IF(OR(OR($B366="",$E366="",$F366=""),$K366&lt;&gt;"نعم",$M366="نعم"),0,MAX(0,MIN($F366,EOMONTH(DATE(cfg_FY,2,1),0))-MAX($E366,DATE(cfg_FY,2,1))+1))</f>
        <v>0</v>
      </c>
      <c r="AV366" s="57" t="n">
        <f aca="false">IF(OR(OR($B366="",$E366="",$F366=""),$K366&lt;&gt;"نعم",$M366="نعم"),0,MAX(0,MIN($F366,EOMONTH(DATE(cfg_FY,3,1),0))-MAX($E366,DATE(cfg_FY,3,1))+1))</f>
        <v>0</v>
      </c>
      <c r="AW366" s="57" t="n">
        <f aca="false">IF(OR(OR($B366="",$E366="",$F366=""),$K366&lt;&gt;"نعم",$M366="نعم"),0,MAX(0,MIN($F366,EOMONTH(DATE(cfg_FY,4,1),0))-MAX($E366,DATE(cfg_FY,4,1))+1))</f>
        <v>0</v>
      </c>
      <c r="AX366" s="57" t="n">
        <f aca="false">IF(OR(OR($B366="",$E366="",$F366=""),$K366&lt;&gt;"نعم",$M366="نعم"),0,MAX(0,MIN($F366,EOMONTH(DATE(cfg_FY,5,1),0))-MAX($E366,DATE(cfg_FY,5,1))+1))</f>
        <v>0</v>
      </c>
      <c r="AY366" s="57" t="n">
        <f aca="false">IF(OR(OR($B366="",$E366="",$F366=""),$K366&lt;&gt;"نعم",$M366="نعم"),0,MAX(0,MIN($F366,EOMONTH(DATE(cfg_FY,6,1),0))-MAX($E366,DATE(cfg_FY,6,1))+1))</f>
        <v>0</v>
      </c>
      <c r="AZ366" s="57" t="n">
        <f aca="false">IF(OR(OR($B366="",$E366="",$F366=""),$K366&lt;&gt;"نعم",$M366="نعم"),0,MAX(0,MIN($F366,EOMONTH(DATE(cfg_FY,7,1),0))-MAX($E366,DATE(cfg_FY,7,1))+1))</f>
        <v>0</v>
      </c>
      <c r="BA366" s="57" t="n">
        <f aca="false">IF(OR(OR($B366="",$E366="",$F366=""),$K366&lt;&gt;"نعم",$M366="نعم"),0,MAX(0,MIN($F366,EOMONTH(DATE(cfg_FY,8,1),0))-MAX($E366,DATE(cfg_FY,8,1))+1))</f>
        <v>0</v>
      </c>
      <c r="BB366" s="57" t="n">
        <f aca="false">IF(OR(OR($B366="",$E366="",$F366=""),$K366&lt;&gt;"نعم",$M366="نعم"),0,MAX(0,MIN($F366,EOMONTH(DATE(cfg_FY,9,1),0))-MAX($E366,DATE(cfg_FY,9,1))+1))</f>
        <v>0</v>
      </c>
      <c r="BC366" s="57" t="n">
        <f aca="false">IF(OR(OR($B366="",$E366="",$F366=""),$K366&lt;&gt;"نعم",$M366="نعم"),0,MAX(0,MIN($F366,EOMONTH(DATE(cfg_FY,10,1),0))-MAX($E366,DATE(cfg_FY,10,1))+1))</f>
        <v>0</v>
      </c>
      <c r="BD366" s="57" t="n">
        <f aca="false">IF(OR(OR($B366="",$E366="",$F366=""),$K366&lt;&gt;"نعم",$M366="نعم"),0,MAX(0,MIN($F366,EOMONTH(DATE(cfg_FY,11,1),0))-MAX($E366,DATE(cfg_FY,11,1))+1))</f>
        <v>0</v>
      </c>
      <c r="BE366" s="57" t="n">
        <f aca="false">IF(OR(OR($B366="",$E366="",$F366=""),$K366&lt;&gt;"نعم",$M366="نعم"),0,MAX(0,MIN($F366,EOMONTH(DATE(cfg_FY,12,1),0))-MAX($E366,DATE(cfg_FY,12,1))+1))</f>
        <v>0</v>
      </c>
    </row>
    <row r="367" customFormat="false" ht="15" hidden="false" customHeight="false" outlineLevel="0" collapsed="false">
      <c r="A367" s="100" t="str">
        <f aca="false">IF(B367="","",ROW()-5)</f>
        <v/>
      </c>
      <c r="B367" s="79"/>
      <c r="C367" s="102" t="str">
        <f aca="false">IF(B367="","",IFERROR(INDEX(الموظفون!$C$6:$C$105,MATCH(B367,الموظفون!$B$6:$B$105,0)),"✖ رقم غير موجود"))</f>
        <v/>
      </c>
      <c r="D367" s="79"/>
      <c r="E367" s="94"/>
      <c r="F367" s="94"/>
      <c r="G367" s="110" t="str">
        <f aca="false">IF(OR($B367="",$E367="",$F367=""),"",MAX(0,F367-E367+1))</f>
        <v/>
      </c>
      <c r="H367" s="111" t="str">
        <f aca="false">IF(D367="","",IFERROR(VLOOKUP(D367,cfg_LT,2,FALSE()),1))</f>
        <v/>
      </c>
      <c r="I367" s="82"/>
      <c r="J367" s="111" t="str">
        <f aca="false">IF(D367="","",IF(I367&lt;&gt;"",I367,H367))</f>
        <v/>
      </c>
      <c r="K367" s="102" t="str">
        <f aca="false">IF(D367="","",IFERROR(VLOOKUP($D367,cfg_LT,3,FALSE()),""))</f>
        <v/>
      </c>
      <c r="L367" s="102" t="str">
        <f aca="false">IF(D367="","",IFERROR(VLOOKUP($D367,cfg_LT,4,FALSE()),""))</f>
        <v/>
      </c>
      <c r="M367" s="102" t="str">
        <f aca="false">IF(D367="","",IFERROR(VLOOKUP($D367,cfg_LT,5,FALSE()),""))</f>
        <v/>
      </c>
      <c r="N367" s="101" t="n">
        <f aca="false">IF(OR(OR($B367="",$E367="",$F367=""),M367&lt;&gt;"نعم"),0,G367*J367*IFERROR(INDEX(الموظفون!$R$6:$R$105,MATCH(B367,الموظفون!$B$6:$B$105,0)),0)/cfg_DAYS_M)</f>
        <v>0</v>
      </c>
      <c r="O367" s="100" t="str">
        <f aca="false">IF(OR(OR($B367="",$E367="",$F367=""),M367&lt;&gt;"نعم"),"",IF(YEAR(E367)=cfg_FY,MONTH(E367),""))</f>
        <v/>
      </c>
      <c r="P367" s="102" t="str">
        <f aca="false">IF(B367="","",IF(OR(D367="",E367="",F367=""),"⚠ أكمل النوع والتواريخ",IF(F367&lt;E367,"✖ النهاية قبل البداية",IF(COUNTIFS($B$6:$B$505,B367,$E$6:$E$505,"&lt;="&amp;F367,$F$6:$F$505,"&gt;="&amp;E367)&gt;1,"⚠ تداخل مع سجل آخر",IF(E367&gt;cfg_VAL_DATE,"⏳ قادمة",IF(F367&lt;cfg_VAL_DATE,"✔ منتهية","✈ جارية في تاريخ التقرير"))))))</f>
        <v/>
      </c>
      <c r="Q367" s="79"/>
      <c r="R367" s="110" t="n">
        <f aca="false">IF(OR(OR($B367="",$E367="",$F367=""),L367&lt;&gt;"لا"),0,MAX(0,MIN(F367,cfg_Y_START-1)-E367+1))</f>
        <v>0</v>
      </c>
      <c r="S367" s="110" t="n">
        <f aca="false">IF(OR(OR($B367="",$E367="",$F367=""),L367&lt;&gt;"لا"),0,MAX(0,MIN(F367,cfg_VAL_DATE)-E367+1))</f>
        <v>0</v>
      </c>
      <c r="T367" s="110" t="n">
        <f aca="false">IF(OR(OR($B367="",$E367="",$F367=""),K367&lt;&gt;"نعم"),0,IF(M367="نعم",IF(AND(ISNUMBER(O367),N(O367)&lt;=cfg_VAL_M),G367,0),MAX(0,MIN(F367,cfg_VAL_DATE)-MAX(E367,cfg_Y_START)+1)))</f>
        <v>0</v>
      </c>
      <c r="V367" s="110" t="n">
        <f aca="false">IF(OR($B367="",$E367="",$F367=""),0,MAX(0,MIN($F367,EOMONTH(DATE(cfg_FY,1,1),0))-MAX($E367,DATE(cfg_FY,1,1))+1)*(1-IF($M367="نعم",0,N($J367))))</f>
        <v>0</v>
      </c>
      <c r="W367" s="110" t="n">
        <f aca="false">IF(OR($B367="",$E367="",$F367=""),0,MAX(0,MIN($F367,EOMONTH(DATE(cfg_FY,2,1),0))-MAX($E367,DATE(cfg_FY,2,1))+1)*(1-IF($M367="نعم",0,N($J367))))</f>
        <v>0</v>
      </c>
      <c r="X367" s="110" t="n">
        <f aca="false">IF(OR($B367="",$E367="",$F367=""),0,MAX(0,MIN($F367,EOMONTH(DATE(cfg_FY,3,1),0))-MAX($E367,DATE(cfg_FY,3,1))+1)*(1-IF($M367="نعم",0,N($J367))))</f>
        <v>0</v>
      </c>
      <c r="Y367" s="110" t="n">
        <f aca="false">IF(OR($B367="",$E367="",$F367=""),0,MAX(0,MIN($F367,EOMONTH(DATE(cfg_FY,4,1),0))-MAX($E367,DATE(cfg_FY,4,1))+1)*(1-IF($M367="نعم",0,N($J367))))</f>
        <v>0</v>
      </c>
      <c r="Z367" s="110" t="n">
        <f aca="false">IF(OR($B367="",$E367="",$F367=""),0,MAX(0,MIN($F367,EOMONTH(DATE(cfg_FY,5,1),0))-MAX($E367,DATE(cfg_FY,5,1))+1)*(1-IF($M367="نعم",0,N($J367))))</f>
        <v>0</v>
      </c>
      <c r="AA367" s="110" t="n">
        <f aca="false">IF(OR($B367="",$E367="",$F367=""),0,MAX(0,MIN($F367,EOMONTH(DATE(cfg_FY,6,1),0))-MAX($E367,DATE(cfg_FY,6,1))+1)*(1-IF($M367="نعم",0,N($J367))))</f>
        <v>0</v>
      </c>
      <c r="AB367" s="110" t="n">
        <f aca="false">IF(OR($B367="",$E367="",$F367=""),0,MAX(0,MIN($F367,EOMONTH(DATE(cfg_FY,7,1),0))-MAX($E367,DATE(cfg_FY,7,1))+1)*(1-IF($M367="نعم",0,N($J367))))</f>
        <v>0</v>
      </c>
      <c r="AC367" s="110" t="n">
        <f aca="false">IF(OR($B367="",$E367="",$F367=""),0,MAX(0,MIN($F367,EOMONTH(DATE(cfg_FY,8,1),0))-MAX($E367,DATE(cfg_FY,8,1))+1)*(1-IF($M367="نعم",0,N($J367))))</f>
        <v>0</v>
      </c>
      <c r="AD367" s="110" t="n">
        <f aca="false">IF(OR($B367="",$E367="",$F367=""),0,MAX(0,MIN($F367,EOMONTH(DATE(cfg_FY,9,1),0))-MAX($E367,DATE(cfg_FY,9,1))+1)*(1-IF($M367="نعم",0,N($J367))))</f>
        <v>0</v>
      </c>
      <c r="AE367" s="110" t="n">
        <f aca="false">IF(OR($B367="",$E367="",$F367=""),0,MAX(0,MIN($F367,EOMONTH(DATE(cfg_FY,10,1),0))-MAX($E367,DATE(cfg_FY,10,1))+1)*(1-IF($M367="نعم",0,N($J367))))</f>
        <v>0</v>
      </c>
      <c r="AF367" s="110" t="n">
        <f aca="false">IF(OR($B367="",$E367="",$F367=""),0,MAX(0,MIN($F367,EOMONTH(DATE(cfg_FY,11,1),0))-MAX($E367,DATE(cfg_FY,11,1))+1)*(1-IF($M367="نعم",0,N($J367))))</f>
        <v>0</v>
      </c>
      <c r="AG367" s="110" t="n">
        <f aca="false">IF(OR($B367="",$E367="",$F367=""),0,MAX(0,MIN($F367,EOMONTH(DATE(cfg_FY,12,1),0))-MAX($E367,DATE(cfg_FY,12,1))+1)*(1-IF($M367="نعم",0,N($J367))))</f>
        <v>0</v>
      </c>
      <c r="AH367" s="110" t="n">
        <f aca="false">IF(OR(OR($B367="",$E367="",$F367=""),$L367&lt;&gt;"لا"),0,MAX(0,MIN($F367,EOMONTH(DATE(cfg_FY,1,1),0))-$E367+1))</f>
        <v>0</v>
      </c>
      <c r="AI367" s="110" t="n">
        <f aca="false">IF(OR(OR($B367="",$E367="",$F367=""),$L367&lt;&gt;"لا"),0,MAX(0,MIN($F367,EOMONTH(DATE(cfg_FY,2,1),0))-$E367+1))</f>
        <v>0</v>
      </c>
      <c r="AJ367" s="110" t="n">
        <f aca="false">IF(OR(OR($B367="",$E367="",$F367=""),$L367&lt;&gt;"لا"),0,MAX(0,MIN($F367,EOMONTH(DATE(cfg_FY,3,1),0))-$E367+1))</f>
        <v>0</v>
      </c>
      <c r="AK367" s="110" t="n">
        <f aca="false">IF(OR(OR($B367="",$E367="",$F367=""),$L367&lt;&gt;"لا"),0,MAX(0,MIN($F367,EOMONTH(DATE(cfg_FY,4,1),0))-$E367+1))</f>
        <v>0</v>
      </c>
      <c r="AL367" s="110" t="n">
        <f aca="false">IF(OR(OR($B367="",$E367="",$F367=""),$L367&lt;&gt;"لا"),0,MAX(0,MIN($F367,EOMONTH(DATE(cfg_FY,5,1),0))-$E367+1))</f>
        <v>0</v>
      </c>
      <c r="AM367" s="110" t="n">
        <f aca="false">IF(OR(OR($B367="",$E367="",$F367=""),$L367&lt;&gt;"لا"),0,MAX(0,MIN($F367,EOMONTH(DATE(cfg_FY,6,1),0))-$E367+1))</f>
        <v>0</v>
      </c>
      <c r="AN367" s="110" t="n">
        <f aca="false">IF(OR(OR($B367="",$E367="",$F367=""),$L367&lt;&gt;"لا"),0,MAX(0,MIN($F367,EOMONTH(DATE(cfg_FY,7,1),0))-$E367+1))</f>
        <v>0</v>
      </c>
      <c r="AO367" s="110" t="n">
        <f aca="false">IF(OR(OR($B367="",$E367="",$F367=""),$L367&lt;&gt;"لا"),0,MAX(0,MIN($F367,EOMONTH(DATE(cfg_FY,8,1),0))-$E367+1))</f>
        <v>0</v>
      </c>
      <c r="AP367" s="110" t="n">
        <f aca="false">IF(OR(OR($B367="",$E367="",$F367=""),$L367&lt;&gt;"لا"),0,MAX(0,MIN($F367,EOMONTH(DATE(cfg_FY,9,1),0))-$E367+1))</f>
        <v>0</v>
      </c>
      <c r="AQ367" s="110" t="n">
        <f aca="false">IF(OR(OR($B367="",$E367="",$F367=""),$L367&lt;&gt;"لا"),0,MAX(0,MIN($F367,EOMONTH(DATE(cfg_FY,10,1),0))-$E367+1))</f>
        <v>0</v>
      </c>
      <c r="AR367" s="110" t="n">
        <f aca="false">IF(OR(OR($B367="",$E367="",$F367=""),$L367&lt;&gt;"لا"),0,MAX(0,MIN($F367,EOMONTH(DATE(cfg_FY,11,1),0))-$E367+1))</f>
        <v>0</v>
      </c>
      <c r="AS367" s="110" t="n">
        <f aca="false">IF(OR(OR($B367="",$E367="",$F367=""),$L367&lt;&gt;"لا"),0,MAX(0,MIN($F367,EOMONTH(DATE(cfg_FY,12,1),0))-$E367+1))</f>
        <v>0</v>
      </c>
      <c r="AT367" s="110" t="n">
        <f aca="false">IF(OR(OR($B367="",$E367="",$F367=""),$K367&lt;&gt;"نعم",$M367="نعم"),0,MAX(0,MIN($F367,EOMONTH(DATE(cfg_FY,1,1),0))-MAX($E367,DATE(cfg_FY,1,1))+1))</f>
        <v>0</v>
      </c>
      <c r="AU367" s="110" t="n">
        <f aca="false">IF(OR(OR($B367="",$E367="",$F367=""),$K367&lt;&gt;"نعم",$M367="نعم"),0,MAX(0,MIN($F367,EOMONTH(DATE(cfg_FY,2,1),0))-MAX($E367,DATE(cfg_FY,2,1))+1))</f>
        <v>0</v>
      </c>
      <c r="AV367" s="110" t="n">
        <f aca="false">IF(OR(OR($B367="",$E367="",$F367=""),$K367&lt;&gt;"نعم",$M367="نعم"),0,MAX(0,MIN($F367,EOMONTH(DATE(cfg_FY,3,1),0))-MAX($E367,DATE(cfg_FY,3,1))+1))</f>
        <v>0</v>
      </c>
      <c r="AW367" s="110" t="n">
        <f aca="false">IF(OR(OR($B367="",$E367="",$F367=""),$K367&lt;&gt;"نعم",$M367="نعم"),0,MAX(0,MIN($F367,EOMONTH(DATE(cfg_FY,4,1),0))-MAX($E367,DATE(cfg_FY,4,1))+1))</f>
        <v>0</v>
      </c>
      <c r="AX367" s="110" t="n">
        <f aca="false">IF(OR(OR($B367="",$E367="",$F367=""),$K367&lt;&gt;"نعم",$M367="نعم"),0,MAX(0,MIN($F367,EOMONTH(DATE(cfg_FY,5,1),0))-MAX($E367,DATE(cfg_FY,5,1))+1))</f>
        <v>0</v>
      </c>
      <c r="AY367" s="110" t="n">
        <f aca="false">IF(OR(OR($B367="",$E367="",$F367=""),$K367&lt;&gt;"نعم",$M367="نعم"),0,MAX(0,MIN($F367,EOMONTH(DATE(cfg_FY,6,1),0))-MAX($E367,DATE(cfg_FY,6,1))+1))</f>
        <v>0</v>
      </c>
      <c r="AZ367" s="110" t="n">
        <f aca="false">IF(OR(OR($B367="",$E367="",$F367=""),$K367&lt;&gt;"نعم",$M367="نعم"),0,MAX(0,MIN($F367,EOMONTH(DATE(cfg_FY,7,1),0))-MAX($E367,DATE(cfg_FY,7,1))+1))</f>
        <v>0</v>
      </c>
      <c r="BA367" s="110" t="n">
        <f aca="false">IF(OR(OR($B367="",$E367="",$F367=""),$K367&lt;&gt;"نعم",$M367="نعم"),0,MAX(0,MIN($F367,EOMONTH(DATE(cfg_FY,8,1),0))-MAX($E367,DATE(cfg_FY,8,1))+1))</f>
        <v>0</v>
      </c>
      <c r="BB367" s="110" t="n">
        <f aca="false">IF(OR(OR($B367="",$E367="",$F367=""),$K367&lt;&gt;"نعم",$M367="نعم"),0,MAX(0,MIN($F367,EOMONTH(DATE(cfg_FY,9,1),0))-MAX($E367,DATE(cfg_FY,9,1))+1))</f>
        <v>0</v>
      </c>
      <c r="BC367" s="110" t="n">
        <f aca="false">IF(OR(OR($B367="",$E367="",$F367=""),$K367&lt;&gt;"نعم",$M367="نعم"),0,MAX(0,MIN($F367,EOMONTH(DATE(cfg_FY,10,1),0))-MAX($E367,DATE(cfg_FY,10,1))+1))</f>
        <v>0</v>
      </c>
      <c r="BD367" s="110" t="n">
        <f aca="false">IF(OR(OR($B367="",$E367="",$F367=""),$K367&lt;&gt;"نعم",$M367="نعم"),0,MAX(0,MIN($F367,EOMONTH(DATE(cfg_FY,11,1),0))-MAX($E367,DATE(cfg_FY,11,1))+1))</f>
        <v>0</v>
      </c>
      <c r="BE367" s="110" t="n">
        <f aca="false">IF(OR(OR($B367="",$E367="",$F367=""),$K367&lt;&gt;"نعم",$M367="نعم"),0,MAX(0,MIN($F367,EOMONTH(DATE(cfg_FY,12,1),0))-MAX($E367,DATE(cfg_FY,12,1))+1))</f>
        <v>0</v>
      </c>
    </row>
    <row r="368" customFormat="false" ht="15" hidden="false" customHeight="false" outlineLevel="0" collapsed="false">
      <c r="A368" s="93" t="str">
        <f aca="false">IF(B368="","",ROW()-5)</f>
        <v/>
      </c>
      <c r="B368" s="79"/>
      <c r="C368" s="80" t="str">
        <f aca="false">IF(B368="","",IFERROR(INDEX(الموظفون!$C$6:$C$105,MATCH(B368,الموظفون!$B$6:$B$105,0)),"✖ رقم غير موجود"))</f>
        <v/>
      </c>
      <c r="D368" s="79"/>
      <c r="E368" s="94"/>
      <c r="F368" s="94"/>
      <c r="G368" s="57" t="str">
        <f aca="false">IF(OR($B368="",$E368="",$F368=""),"",MAX(0,F368-E368+1))</f>
        <v/>
      </c>
      <c r="H368" s="58" t="str">
        <f aca="false">IF(D368="","",IFERROR(VLOOKUP(D368,cfg_LT,2,FALSE()),1))</f>
        <v/>
      </c>
      <c r="I368" s="82"/>
      <c r="J368" s="58" t="str">
        <f aca="false">IF(D368="","",IF(I368&lt;&gt;"",I368,H368))</f>
        <v/>
      </c>
      <c r="K368" s="80" t="str">
        <f aca="false">IF(D368="","",IFERROR(VLOOKUP($D368,cfg_LT,3,FALSE()),""))</f>
        <v/>
      </c>
      <c r="L368" s="80" t="str">
        <f aca="false">IF(D368="","",IFERROR(VLOOKUP($D368,cfg_LT,4,FALSE()),""))</f>
        <v/>
      </c>
      <c r="M368" s="80" t="str">
        <f aca="false">IF(D368="","",IFERROR(VLOOKUP($D368,cfg_LT,5,FALSE()),""))</f>
        <v/>
      </c>
      <c r="N368" s="97" t="n">
        <f aca="false">IF(OR(OR($B368="",$E368="",$F368=""),M368&lt;&gt;"نعم"),0,G368*J368*IFERROR(INDEX(الموظفون!$R$6:$R$105,MATCH(B368,الموظفون!$B$6:$B$105,0)),0)/cfg_DAYS_M)</f>
        <v>0</v>
      </c>
      <c r="O368" s="93" t="str">
        <f aca="false">IF(OR(OR($B368="",$E368="",$F368=""),M368&lt;&gt;"نعم"),"",IF(YEAR(E368)=cfg_FY,MONTH(E368),""))</f>
        <v/>
      </c>
      <c r="P368" s="80" t="str">
        <f aca="false">IF(B368="","",IF(OR(D368="",E368="",F368=""),"⚠ أكمل النوع والتواريخ",IF(F368&lt;E368,"✖ النهاية قبل البداية",IF(COUNTIFS($B$6:$B$505,B368,$E$6:$E$505,"&lt;="&amp;F368,$F$6:$F$505,"&gt;="&amp;E368)&gt;1,"⚠ تداخل مع سجل آخر",IF(E368&gt;cfg_VAL_DATE,"⏳ قادمة",IF(F368&lt;cfg_VAL_DATE,"✔ منتهية","✈ جارية في تاريخ التقرير"))))))</f>
        <v/>
      </c>
      <c r="Q368" s="79"/>
      <c r="R368" s="57" t="n">
        <f aca="false">IF(OR(OR($B368="",$E368="",$F368=""),L368&lt;&gt;"لا"),0,MAX(0,MIN(F368,cfg_Y_START-1)-E368+1))</f>
        <v>0</v>
      </c>
      <c r="S368" s="57" t="n">
        <f aca="false">IF(OR(OR($B368="",$E368="",$F368=""),L368&lt;&gt;"لا"),0,MAX(0,MIN(F368,cfg_VAL_DATE)-E368+1))</f>
        <v>0</v>
      </c>
      <c r="T368" s="57" t="n">
        <f aca="false">IF(OR(OR($B368="",$E368="",$F368=""),K368&lt;&gt;"نعم"),0,IF(M368="نعم",IF(AND(ISNUMBER(O368),N(O368)&lt;=cfg_VAL_M),G368,0),MAX(0,MIN(F368,cfg_VAL_DATE)-MAX(E368,cfg_Y_START)+1)))</f>
        <v>0</v>
      </c>
      <c r="V368" s="57" t="n">
        <f aca="false">IF(OR($B368="",$E368="",$F368=""),0,MAX(0,MIN($F368,EOMONTH(DATE(cfg_FY,1,1),0))-MAX($E368,DATE(cfg_FY,1,1))+1)*(1-IF($M368="نعم",0,N($J368))))</f>
        <v>0</v>
      </c>
      <c r="W368" s="57" t="n">
        <f aca="false">IF(OR($B368="",$E368="",$F368=""),0,MAX(0,MIN($F368,EOMONTH(DATE(cfg_FY,2,1),0))-MAX($E368,DATE(cfg_FY,2,1))+1)*(1-IF($M368="نعم",0,N($J368))))</f>
        <v>0</v>
      </c>
      <c r="X368" s="57" t="n">
        <f aca="false">IF(OR($B368="",$E368="",$F368=""),0,MAX(0,MIN($F368,EOMONTH(DATE(cfg_FY,3,1),0))-MAX($E368,DATE(cfg_FY,3,1))+1)*(1-IF($M368="نعم",0,N($J368))))</f>
        <v>0</v>
      </c>
      <c r="Y368" s="57" t="n">
        <f aca="false">IF(OR($B368="",$E368="",$F368=""),0,MAX(0,MIN($F368,EOMONTH(DATE(cfg_FY,4,1),0))-MAX($E368,DATE(cfg_FY,4,1))+1)*(1-IF($M368="نعم",0,N($J368))))</f>
        <v>0</v>
      </c>
      <c r="Z368" s="57" t="n">
        <f aca="false">IF(OR($B368="",$E368="",$F368=""),0,MAX(0,MIN($F368,EOMONTH(DATE(cfg_FY,5,1),0))-MAX($E368,DATE(cfg_FY,5,1))+1)*(1-IF($M368="نعم",0,N($J368))))</f>
        <v>0</v>
      </c>
      <c r="AA368" s="57" t="n">
        <f aca="false">IF(OR($B368="",$E368="",$F368=""),0,MAX(0,MIN($F368,EOMONTH(DATE(cfg_FY,6,1),0))-MAX($E368,DATE(cfg_FY,6,1))+1)*(1-IF($M368="نعم",0,N($J368))))</f>
        <v>0</v>
      </c>
      <c r="AB368" s="57" t="n">
        <f aca="false">IF(OR($B368="",$E368="",$F368=""),0,MAX(0,MIN($F368,EOMONTH(DATE(cfg_FY,7,1),0))-MAX($E368,DATE(cfg_FY,7,1))+1)*(1-IF($M368="نعم",0,N($J368))))</f>
        <v>0</v>
      </c>
      <c r="AC368" s="57" t="n">
        <f aca="false">IF(OR($B368="",$E368="",$F368=""),0,MAX(0,MIN($F368,EOMONTH(DATE(cfg_FY,8,1),0))-MAX($E368,DATE(cfg_FY,8,1))+1)*(1-IF($M368="نعم",0,N($J368))))</f>
        <v>0</v>
      </c>
      <c r="AD368" s="57" t="n">
        <f aca="false">IF(OR($B368="",$E368="",$F368=""),0,MAX(0,MIN($F368,EOMONTH(DATE(cfg_FY,9,1),0))-MAX($E368,DATE(cfg_FY,9,1))+1)*(1-IF($M368="نعم",0,N($J368))))</f>
        <v>0</v>
      </c>
      <c r="AE368" s="57" t="n">
        <f aca="false">IF(OR($B368="",$E368="",$F368=""),0,MAX(0,MIN($F368,EOMONTH(DATE(cfg_FY,10,1),0))-MAX($E368,DATE(cfg_FY,10,1))+1)*(1-IF($M368="نعم",0,N($J368))))</f>
        <v>0</v>
      </c>
      <c r="AF368" s="57" t="n">
        <f aca="false">IF(OR($B368="",$E368="",$F368=""),0,MAX(0,MIN($F368,EOMONTH(DATE(cfg_FY,11,1),0))-MAX($E368,DATE(cfg_FY,11,1))+1)*(1-IF($M368="نعم",0,N($J368))))</f>
        <v>0</v>
      </c>
      <c r="AG368" s="57" t="n">
        <f aca="false">IF(OR($B368="",$E368="",$F368=""),0,MAX(0,MIN($F368,EOMONTH(DATE(cfg_FY,12,1),0))-MAX($E368,DATE(cfg_FY,12,1))+1)*(1-IF($M368="نعم",0,N($J368))))</f>
        <v>0</v>
      </c>
      <c r="AH368" s="57" t="n">
        <f aca="false">IF(OR(OR($B368="",$E368="",$F368=""),$L368&lt;&gt;"لا"),0,MAX(0,MIN($F368,EOMONTH(DATE(cfg_FY,1,1),0))-$E368+1))</f>
        <v>0</v>
      </c>
      <c r="AI368" s="57" t="n">
        <f aca="false">IF(OR(OR($B368="",$E368="",$F368=""),$L368&lt;&gt;"لا"),0,MAX(0,MIN($F368,EOMONTH(DATE(cfg_FY,2,1),0))-$E368+1))</f>
        <v>0</v>
      </c>
      <c r="AJ368" s="57" t="n">
        <f aca="false">IF(OR(OR($B368="",$E368="",$F368=""),$L368&lt;&gt;"لا"),0,MAX(0,MIN($F368,EOMONTH(DATE(cfg_FY,3,1),0))-$E368+1))</f>
        <v>0</v>
      </c>
      <c r="AK368" s="57" t="n">
        <f aca="false">IF(OR(OR($B368="",$E368="",$F368=""),$L368&lt;&gt;"لا"),0,MAX(0,MIN($F368,EOMONTH(DATE(cfg_FY,4,1),0))-$E368+1))</f>
        <v>0</v>
      </c>
      <c r="AL368" s="57" t="n">
        <f aca="false">IF(OR(OR($B368="",$E368="",$F368=""),$L368&lt;&gt;"لا"),0,MAX(0,MIN($F368,EOMONTH(DATE(cfg_FY,5,1),0))-$E368+1))</f>
        <v>0</v>
      </c>
      <c r="AM368" s="57" t="n">
        <f aca="false">IF(OR(OR($B368="",$E368="",$F368=""),$L368&lt;&gt;"لا"),0,MAX(0,MIN($F368,EOMONTH(DATE(cfg_FY,6,1),0))-$E368+1))</f>
        <v>0</v>
      </c>
      <c r="AN368" s="57" t="n">
        <f aca="false">IF(OR(OR($B368="",$E368="",$F368=""),$L368&lt;&gt;"لا"),0,MAX(0,MIN($F368,EOMONTH(DATE(cfg_FY,7,1),0))-$E368+1))</f>
        <v>0</v>
      </c>
      <c r="AO368" s="57" t="n">
        <f aca="false">IF(OR(OR($B368="",$E368="",$F368=""),$L368&lt;&gt;"لا"),0,MAX(0,MIN($F368,EOMONTH(DATE(cfg_FY,8,1),0))-$E368+1))</f>
        <v>0</v>
      </c>
      <c r="AP368" s="57" t="n">
        <f aca="false">IF(OR(OR($B368="",$E368="",$F368=""),$L368&lt;&gt;"لا"),0,MAX(0,MIN($F368,EOMONTH(DATE(cfg_FY,9,1),0))-$E368+1))</f>
        <v>0</v>
      </c>
      <c r="AQ368" s="57" t="n">
        <f aca="false">IF(OR(OR($B368="",$E368="",$F368=""),$L368&lt;&gt;"لا"),0,MAX(0,MIN($F368,EOMONTH(DATE(cfg_FY,10,1),0))-$E368+1))</f>
        <v>0</v>
      </c>
      <c r="AR368" s="57" t="n">
        <f aca="false">IF(OR(OR($B368="",$E368="",$F368=""),$L368&lt;&gt;"لا"),0,MAX(0,MIN($F368,EOMONTH(DATE(cfg_FY,11,1),0))-$E368+1))</f>
        <v>0</v>
      </c>
      <c r="AS368" s="57" t="n">
        <f aca="false">IF(OR(OR($B368="",$E368="",$F368=""),$L368&lt;&gt;"لا"),0,MAX(0,MIN($F368,EOMONTH(DATE(cfg_FY,12,1),0))-$E368+1))</f>
        <v>0</v>
      </c>
      <c r="AT368" s="57" t="n">
        <f aca="false">IF(OR(OR($B368="",$E368="",$F368=""),$K368&lt;&gt;"نعم",$M368="نعم"),0,MAX(0,MIN($F368,EOMONTH(DATE(cfg_FY,1,1),0))-MAX($E368,DATE(cfg_FY,1,1))+1))</f>
        <v>0</v>
      </c>
      <c r="AU368" s="57" t="n">
        <f aca="false">IF(OR(OR($B368="",$E368="",$F368=""),$K368&lt;&gt;"نعم",$M368="نعم"),0,MAX(0,MIN($F368,EOMONTH(DATE(cfg_FY,2,1),0))-MAX($E368,DATE(cfg_FY,2,1))+1))</f>
        <v>0</v>
      </c>
      <c r="AV368" s="57" t="n">
        <f aca="false">IF(OR(OR($B368="",$E368="",$F368=""),$K368&lt;&gt;"نعم",$M368="نعم"),0,MAX(0,MIN($F368,EOMONTH(DATE(cfg_FY,3,1),0))-MAX($E368,DATE(cfg_FY,3,1))+1))</f>
        <v>0</v>
      </c>
      <c r="AW368" s="57" t="n">
        <f aca="false">IF(OR(OR($B368="",$E368="",$F368=""),$K368&lt;&gt;"نعم",$M368="نعم"),0,MAX(0,MIN($F368,EOMONTH(DATE(cfg_FY,4,1),0))-MAX($E368,DATE(cfg_FY,4,1))+1))</f>
        <v>0</v>
      </c>
      <c r="AX368" s="57" t="n">
        <f aca="false">IF(OR(OR($B368="",$E368="",$F368=""),$K368&lt;&gt;"نعم",$M368="نعم"),0,MAX(0,MIN($F368,EOMONTH(DATE(cfg_FY,5,1),0))-MAX($E368,DATE(cfg_FY,5,1))+1))</f>
        <v>0</v>
      </c>
      <c r="AY368" s="57" t="n">
        <f aca="false">IF(OR(OR($B368="",$E368="",$F368=""),$K368&lt;&gt;"نعم",$M368="نعم"),0,MAX(0,MIN($F368,EOMONTH(DATE(cfg_FY,6,1),0))-MAX($E368,DATE(cfg_FY,6,1))+1))</f>
        <v>0</v>
      </c>
      <c r="AZ368" s="57" t="n">
        <f aca="false">IF(OR(OR($B368="",$E368="",$F368=""),$K368&lt;&gt;"نعم",$M368="نعم"),0,MAX(0,MIN($F368,EOMONTH(DATE(cfg_FY,7,1),0))-MAX($E368,DATE(cfg_FY,7,1))+1))</f>
        <v>0</v>
      </c>
      <c r="BA368" s="57" t="n">
        <f aca="false">IF(OR(OR($B368="",$E368="",$F368=""),$K368&lt;&gt;"نعم",$M368="نعم"),0,MAX(0,MIN($F368,EOMONTH(DATE(cfg_FY,8,1),0))-MAX($E368,DATE(cfg_FY,8,1))+1))</f>
        <v>0</v>
      </c>
      <c r="BB368" s="57" t="n">
        <f aca="false">IF(OR(OR($B368="",$E368="",$F368=""),$K368&lt;&gt;"نعم",$M368="نعم"),0,MAX(0,MIN($F368,EOMONTH(DATE(cfg_FY,9,1),0))-MAX($E368,DATE(cfg_FY,9,1))+1))</f>
        <v>0</v>
      </c>
      <c r="BC368" s="57" t="n">
        <f aca="false">IF(OR(OR($B368="",$E368="",$F368=""),$K368&lt;&gt;"نعم",$M368="نعم"),0,MAX(0,MIN($F368,EOMONTH(DATE(cfg_FY,10,1),0))-MAX($E368,DATE(cfg_FY,10,1))+1))</f>
        <v>0</v>
      </c>
      <c r="BD368" s="57" t="n">
        <f aca="false">IF(OR(OR($B368="",$E368="",$F368=""),$K368&lt;&gt;"نعم",$M368="نعم"),0,MAX(0,MIN($F368,EOMONTH(DATE(cfg_FY,11,1),0))-MAX($E368,DATE(cfg_FY,11,1))+1))</f>
        <v>0</v>
      </c>
      <c r="BE368" s="57" t="n">
        <f aca="false">IF(OR(OR($B368="",$E368="",$F368=""),$K368&lt;&gt;"نعم",$M368="نعم"),0,MAX(0,MIN($F368,EOMONTH(DATE(cfg_FY,12,1),0))-MAX($E368,DATE(cfg_FY,12,1))+1))</f>
        <v>0</v>
      </c>
    </row>
    <row r="369" customFormat="false" ht="15" hidden="false" customHeight="false" outlineLevel="0" collapsed="false">
      <c r="A369" s="100" t="str">
        <f aca="false">IF(B369="","",ROW()-5)</f>
        <v/>
      </c>
      <c r="B369" s="79"/>
      <c r="C369" s="102" t="str">
        <f aca="false">IF(B369="","",IFERROR(INDEX(الموظفون!$C$6:$C$105,MATCH(B369,الموظفون!$B$6:$B$105,0)),"✖ رقم غير موجود"))</f>
        <v/>
      </c>
      <c r="D369" s="79"/>
      <c r="E369" s="94"/>
      <c r="F369" s="94"/>
      <c r="G369" s="110" t="str">
        <f aca="false">IF(OR($B369="",$E369="",$F369=""),"",MAX(0,F369-E369+1))</f>
        <v/>
      </c>
      <c r="H369" s="111" t="str">
        <f aca="false">IF(D369="","",IFERROR(VLOOKUP(D369,cfg_LT,2,FALSE()),1))</f>
        <v/>
      </c>
      <c r="I369" s="82"/>
      <c r="J369" s="111" t="str">
        <f aca="false">IF(D369="","",IF(I369&lt;&gt;"",I369,H369))</f>
        <v/>
      </c>
      <c r="K369" s="102" t="str">
        <f aca="false">IF(D369="","",IFERROR(VLOOKUP($D369,cfg_LT,3,FALSE()),""))</f>
        <v/>
      </c>
      <c r="L369" s="102" t="str">
        <f aca="false">IF(D369="","",IFERROR(VLOOKUP($D369,cfg_LT,4,FALSE()),""))</f>
        <v/>
      </c>
      <c r="M369" s="102" t="str">
        <f aca="false">IF(D369="","",IFERROR(VLOOKUP($D369,cfg_LT,5,FALSE()),""))</f>
        <v/>
      </c>
      <c r="N369" s="101" t="n">
        <f aca="false">IF(OR(OR($B369="",$E369="",$F369=""),M369&lt;&gt;"نعم"),0,G369*J369*IFERROR(INDEX(الموظفون!$R$6:$R$105,MATCH(B369,الموظفون!$B$6:$B$105,0)),0)/cfg_DAYS_M)</f>
        <v>0</v>
      </c>
      <c r="O369" s="100" t="str">
        <f aca="false">IF(OR(OR($B369="",$E369="",$F369=""),M369&lt;&gt;"نعم"),"",IF(YEAR(E369)=cfg_FY,MONTH(E369),""))</f>
        <v/>
      </c>
      <c r="P369" s="102" t="str">
        <f aca="false">IF(B369="","",IF(OR(D369="",E369="",F369=""),"⚠ أكمل النوع والتواريخ",IF(F369&lt;E369,"✖ النهاية قبل البداية",IF(COUNTIFS($B$6:$B$505,B369,$E$6:$E$505,"&lt;="&amp;F369,$F$6:$F$505,"&gt;="&amp;E369)&gt;1,"⚠ تداخل مع سجل آخر",IF(E369&gt;cfg_VAL_DATE,"⏳ قادمة",IF(F369&lt;cfg_VAL_DATE,"✔ منتهية","✈ جارية في تاريخ التقرير"))))))</f>
        <v/>
      </c>
      <c r="Q369" s="79"/>
      <c r="R369" s="110" t="n">
        <f aca="false">IF(OR(OR($B369="",$E369="",$F369=""),L369&lt;&gt;"لا"),0,MAX(0,MIN(F369,cfg_Y_START-1)-E369+1))</f>
        <v>0</v>
      </c>
      <c r="S369" s="110" t="n">
        <f aca="false">IF(OR(OR($B369="",$E369="",$F369=""),L369&lt;&gt;"لا"),0,MAX(0,MIN(F369,cfg_VAL_DATE)-E369+1))</f>
        <v>0</v>
      </c>
      <c r="T369" s="110" t="n">
        <f aca="false">IF(OR(OR($B369="",$E369="",$F369=""),K369&lt;&gt;"نعم"),0,IF(M369="نعم",IF(AND(ISNUMBER(O369),N(O369)&lt;=cfg_VAL_M),G369,0),MAX(0,MIN(F369,cfg_VAL_DATE)-MAX(E369,cfg_Y_START)+1)))</f>
        <v>0</v>
      </c>
      <c r="V369" s="110" t="n">
        <f aca="false">IF(OR($B369="",$E369="",$F369=""),0,MAX(0,MIN($F369,EOMONTH(DATE(cfg_FY,1,1),0))-MAX($E369,DATE(cfg_FY,1,1))+1)*(1-IF($M369="نعم",0,N($J369))))</f>
        <v>0</v>
      </c>
      <c r="W369" s="110" t="n">
        <f aca="false">IF(OR($B369="",$E369="",$F369=""),0,MAX(0,MIN($F369,EOMONTH(DATE(cfg_FY,2,1),0))-MAX($E369,DATE(cfg_FY,2,1))+1)*(1-IF($M369="نعم",0,N($J369))))</f>
        <v>0</v>
      </c>
      <c r="X369" s="110" t="n">
        <f aca="false">IF(OR($B369="",$E369="",$F369=""),0,MAX(0,MIN($F369,EOMONTH(DATE(cfg_FY,3,1),0))-MAX($E369,DATE(cfg_FY,3,1))+1)*(1-IF($M369="نعم",0,N($J369))))</f>
        <v>0</v>
      </c>
      <c r="Y369" s="110" t="n">
        <f aca="false">IF(OR($B369="",$E369="",$F369=""),0,MAX(0,MIN($F369,EOMONTH(DATE(cfg_FY,4,1),0))-MAX($E369,DATE(cfg_FY,4,1))+1)*(1-IF($M369="نعم",0,N($J369))))</f>
        <v>0</v>
      </c>
      <c r="Z369" s="110" t="n">
        <f aca="false">IF(OR($B369="",$E369="",$F369=""),0,MAX(0,MIN($F369,EOMONTH(DATE(cfg_FY,5,1),0))-MAX($E369,DATE(cfg_FY,5,1))+1)*(1-IF($M369="نعم",0,N($J369))))</f>
        <v>0</v>
      </c>
      <c r="AA369" s="110" t="n">
        <f aca="false">IF(OR($B369="",$E369="",$F369=""),0,MAX(0,MIN($F369,EOMONTH(DATE(cfg_FY,6,1),0))-MAX($E369,DATE(cfg_FY,6,1))+1)*(1-IF($M369="نعم",0,N($J369))))</f>
        <v>0</v>
      </c>
      <c r="AB369" s="110" t="n">
        <f aca="false">IF(OR($B369="",$E369="",$F369=""),0,MAX(0,MIN($F369,EOMONTH(DATE(cfg_FY,7,1),0))-MAX($E369,DATE(cfg_FY,7,1))+1)*(1-IF($M369="نعم",0,N($J369))))</f>
        <v>0</v>
      </c>
      <c r="AC369" s="110" t="n">
        <f aca="false">IF(OR($B369="",$E369="",$F369=""),0,MAX(0,MIN($F369,EOMONTH(DATE(cfg_FY,8,1),0))-MAX($E369,DATE(cfg_FY,8,1))+1)*(1-IF($M369="نعم",0,N($J369))))</f>
        <v>0</v>
      </c>
      <c r="AD369" s="110" t="n">
        <f aca="false">IF(OR($B369="",$E369="",$F369=""),0,MAX(0,MIN($F369,EOMONTH(DATE(cfg_FY,9,1),0))-MAX($E369,DATE(cfg_FY,9,1))+1)*(1-IF($M369="نعم",0,N($J369))))</f>
        <v>0</v>
      </c>
      <c r="AE369" s="110" t="n">
        <f aca="false">IF(OR($B369="",$E369="",$F369=""),0,MAX(0,MIN($F369,EOMONTH(DATE(cfg_FY,10,1),0))-MAX($E369,DATE(cfg_FY,10,1))+1)*(1-IF($M369="نعم",0,N($J369))))</f>
        <v>0</v>
      </c>
      <c r="AF369" s="110" t="n">
        <f aca="false">IF(OR($B369="",$E369="",$F369=""),0,MAX(0,MIN($F369,EOMONTH(DATE(cfg_FY,11,1),0))-MAX($E369,DATE(cfg_FY,11,1))+1)*(1-IF($M369="نعم",0,N($J369))))</f>
        <v>0</v>
      </c>
      <c r="AG369" s="110" t="n">
        <f aca="false">IF(OR($B369="",$E369="",$F369=""),0,MAX(0,MIN($F369,EOMONTH(DATE(cfg_FY,12,1),0))-MAX($E369,DATE(cfg_FY,12,1))+1)*(1-IF($M369="نعم",0,N($J369))))</f>
        <v>0</v>
      </c>
      <c r="AH369" s="110" t="n">
        <f aca="false">IF(OR(OR($B369="",$E369="",$F369=""),$L369&lt;&gt;"لا"),0,MAX(0,MIN($F369,EOMONTH(DATE(cfg_FY,1,1),0))-$E369+1))</f>
        <v>0</v>
      </c>
      <c r="AI369" s="110" t="n">
        <f aca="false">IF(OR(OR($B369="",$E369="",$F369=""),$L369&lt;&gt;"لا"),0,MAX(0,MIN($F369,EOMONTH(DATE(cfg_FY,2,1),0))-$E369+1))</f>
        <v>0</v>
      </c>
      <c r="AJ369" s="110" t="n">
        <f aca="false">IF(OR(OR($B369="",$E369="",$F369=""),$L369&lt;&gt;"لا"),0,MAX(0,MIN($F369,EOMONTH(DATE(cfg_FY,3,1),0))-$E369+1))</f>
        <v>0</v>
      </c>
      <c r="AK369" s="110" t="n">
        <f aca="false">IF(OR(OR($B369="",$E369="",$F369=""),$L369&lt;&gt;"لا"),0,MAX(0,MIN($F369,EOMONTH(DATE(cfg_FY,4,1),0))-$E369+1))</f>
        <v>0</v>
      </c>
      <c r="AL369" s="110" t="n">
        <f aca="false">IF(OR(OR($B369="",$E369="",$F369=""),$L369&lt;&gt;"لا"),0,MAX(0,MIN($F369,EOMONTH(DATE(cfg_FY,5,1),0))-$E369+1))</f>
        <v>0</v>
      </c>
      <c r="AM369" s="110" t="n">
        <f aca="false">IF(OR(OR($B369="",$E369="",$F369=""),$L369&lt;&gt;"لا"),0,MAX(0,MIN($F369,EOMONTH(DATE(cfg_FY,6,1),0))-$E369+1))</f>
        <v>0</v>
      </c>
      <c r="AN369" s="110" t="n">
        <f aca="false">IF(OR(OR($B369="",$E369="",$F369=""),$L369&lt;&gt;"لا"),0,MAX(0,MIN($F369,EOMONTH(DATE(cfg_FY,7,1),0))-$E369+1))</f>
        <v>0</v>
      </c>
      <c r="AO369" s="110" t="n">
        <f aca="false">IF(OR(OR($B369="",$E369="",$F369=""),$L369&lt;&gt;"لا"),0,MAX(0,MIN($F369,EOMONTH(DATE(cfg_FY,8,1),0))-$E369+1))</f>
        <v>0</v>
      </c>
      <c r="AP369" s="110" t="n">
        <f aca="false">IF(OR(OR($B369="",$E369="",$F369=""),$L369&lt;&gt;"لا"),0,MAX(0,MIN($F369,EOMONTH(DATE(cfg_FY,9,1),0))-$E369+1))</f>
        <v>0</v>
      </c>
      <c r="AQ369" s="110" t="n">
        <f aca="false">IF(OR(OR($B369="",$E369="",$F369=""),$L369&lt;&gt;"لا"),0,MAX(0,MIN($F369,EOMONTH(DATE(cfg_FY,10,1),0))-$E369+1))</f>
        <v>0</v>
      </c>
      <c r="AR369" s="110" t="n">
        <f aca="false">IF(OR(OR($B369="",$E369="",$F369=""),$L369&lt;&gt;"لا"),0,MAX(0,MIN($F369,EOMONTH(DATE(cfg_FY,11,1),0))-$E369+1))</f>
        <v>0</v>
      </c>
      <c r="AS369" s="110" t="n">
        <f aca="false">IF(OR(OR($B369="",$E369="",$F369=""),$L369&lt;&gt;"لا"),0,MAX(0,MIN($F369,EOMONTH(DATE(cfg_FY,12,1),0))-$E369+1))</f>
        <v>0</v>
      </c>
      <c r="AT369" s="110" t="n">
        <f aca="false">IF(OR(OR($B369="",$E369="",$F369=""),$K369&lt;&gt;"نعم",$M369="نعم"),0,MAX(0,MIN($F369,EOMONTH(DATE(cfg_FY,1,1),0))-MAX($E369,DATE(cfg_FY,1,1))+1))</f>
        <v>0</v>
      </c>
      <c r="AU369" s="110" t="n">
        <f aca="false">IF(OR(OR($B369="",$E369="",$F369=""),$K369&lt;&gt;"نعم",$M369="نعم"),0,MAX(0,MIN($F369,EOMONTH(DATE(cfg_FY,2,1),0))-MAX($E369,DATE(cfg_FY,2,1))+1))</f>
        <v>0</v>
      </c>
      <c r="AV369" s="110" t="n">
        <f aca="false">IF(OR(OR($B369="",$E369="",$F369=""),$K369&lt;&gt;"نعم",$M369="نعم"),0,MAX(0,MIN($F369,EOMONTH(DATE(cfg_FY,3,1),0))-MAX($E369,DATE(cfg_FY,3,1))+1))</f>
        <v>0</v>
      </c>
      <c r="AW369" s="110" t="n">
        <f aca="false">IF(OR(OR($B369="",$E369="",$F369=""),$K369&lt;&gt;"نعم",$M369="نعم"),0,MAX(0,MIN($F369,EOMONTH(DATE(cfg_FY,4,1),0))-MAX($E369,DATE(cfg_FY,4,1))+1))</f>
        <v>0</v>
      </c>
      <c r="AX369" s="110" t="n">
        <f aca="false">IF(OR(OR($B369="",$E369="",$F369=""),$K369&lt;&gt;"نعم",$M369="نعم"),0,MAX(0,MIN($F369,EOMONTH(DATE(cfg_FY,5,1),0))-MAX($E369,DATE(cfg_FY,5,1))+1))</f>
        <v>0</v>
      </c>
      <c r="AY369" s="110" t="n">
        <f aca="false">IF(OR(OR($B369="",$E369="",$F369=""),$K369&lt;&gt;"نعم",$M369="نعم"),0,MAX(0,MIN($F369,EOMONTH(DATE(cfg_FY,6,1),0))-MAX($E369,DATE(cfg_FY,6,1))+1))</f>
        <v>0</v>
      </c>
      <c r="AZ369" s="110" t="n">
        <f aca="false">IF(OR(OR($B369="",$E369="",$F369=""),$K369&lt;&gt;"نعم",$M369="نعم"),0,MAX(0,MIN($F369,EOMONTH(DATE(cfg_FY,7,1),0))-MAX($E369,DATE(cfg_FY,7,1))+1))</f>
        <v>0</v>
      </c>
      <c r="BA369" s="110" t="n">
        <f aca="false">IF(OR(OR($B369="",$E369="",$F369=""),$K369&lt;&gt;"نعم",$M369="نعم"),0,MAX(0,MIN($F369,EOMONTH(DATE(cfg_FY,8,1),0))-MAX($E369,DATE(cfg_FY,8,1))+1))</f>
        <v>0</v>
      </c>
      <c r="BB369" s="110" t="n">
        <f aca="false">IF(OR(OR($B369="",$E369="",$F369=""),$K369&lt;&gt;"نعم",$M369="نعم"),0,MAX(0,MIN($F369,EOMONTH(DATE(cfg_FY,9,1),0))-MAX($E369,DATE(cfg_FY,9,1))+1))</f>
        <v>0</v>
      </c>
      <c r="BC369" s="110" t="n">
        <f aca="false">IF(OR(OR($B369="",$E369="",$F369=""),$K369&lt;&gt;"نعم",$M369="نعم"),0,MAX(0,MIN($F369,EOMONTH(DATE(cfg_FY,10,1),0))-MAX($E369,DATE(cfg_FY,10,1))+1))</f>
        <v>0</v>
      </c>
      <c r="BD369" s="110" t="n">
        <f aca="false">IF(OR(OR($B369="",$E369="",$F369=""),$K369&lt;&gt;"نعم",$M369="نعم"),0,MAX(0,MIN($F369,EOMONTH(DATE(cfg_FY,11,1),0))-MAX($E369,DATE(cfg_FY,11,1))+1))</f>
        <v>0</v>
      </c>
      <c r="BE369" s="110" t="n">
        <f aca="false">IF(OR(OR($B369="",$E369="",$F369=""),$K369&lt;&gt;"نعم",$M369="نعم"),0,MAX(0,MIN($F369,EOMONTH(DATE(cfg_FY,12,1),0))-MAX($E369,DATE(cfg_FY,12,1))+1))</f>
        <v>0</v>
      </c>
    </row>
    <row r="370" customFormat="false" ht="15" hidden="false" customHeight="false" outlineLevel="0" collapsed="false">
      <c r="A370" s="93" t="str">
        <f aca="false">IF(B370="","",ROW()-5)</f>
        <v/>
      </c>
      <c r="B370" s="79"/>
      <c r="C370" s="80" t="str">
        <f aca="false">IF(B370="","",IFERROR(INDEX(الموظفون!$C$6:$C$105,MATCH(B370,الموظفون!$B$6:$B$105,0)),"✖ رقم غير موجود"))</f>
        <v/>
      </c>
      <c r="D370" s="79"/>
      <c r="E370" s="94"/>
      <c r="F370" s="94"/>
      <c r="G370" s="57" t="str">
        <f aca="false">IF(OR($B370="",$E370="",$F370=""),"",MAX(0,F370-E370+1))</f>
        <v/>
      </c>
      <c r="H370" s="58" t="str">
        <f aca="false">IF(D370="","",IFERROR(VLOOKUP(D370,cfg_LT,2,FALSE()),1))</f>
        <v/>
      </c>
      <c r="I370" s="82"/>
      <c r="J370" s="58" t="str">
        <f aca="false">IF(D370="","",IF(I370&lt;&gt;"",I370,H370))</f>
        <v/>
      </c>
      <c r="K370" s="80" t="str">
        <f aca="false">IF(D370="","",IFERROR(VLOOKUP($D370,cfg_LT,3,FALSE()),""))</f>
        <v/>
      </c>
      <c r="L370" s="80" t="str">
        <f aca="false">IF(D370="","",IFERROR(VLOOKUP($D370,cfg_LT,4,FALSE()),""))</f>
        <v/>
      </c>
      <c r="M370" s="80" t="str">
        <f aca="false">IF(D370="","",IFERROR(VLOOKUP($D370,cfg_LT,5,FALSE()),""))</f>
        <v/>
      </c>
      <c r="N370" s="97" t="n">
        <f aca="false">IF(OR(OR($B370="",$E370="",$F370=""),M370&lt;&gt;"نعم"),0,G370*J370*IFERROR(INDEX(الموظفون!$R$6:$R$105,MATCH(B370,الموظفون!$B$6:$B$105,0)),0)/cfg_DAYS_M)</f>
        <v>0</v>
      </c>
      <c r="O370" s="93" t="str">
        <f aca="false">IF(OR(OR($B370="",$E370="",$F370=""),M370&lt;&gt;"نعم"),"",IF(YEAR(E370)=cfg_FY,MONTH(E370),""))</f>
        <v/>
      </c>
      <c r="P370" s="80" t="str">
        <f aca="false">IF(B370="","",IF(OR(D370="",E370="",F370=""),"⚠ أكمل النوع والتواريخ",IF(F370&lt;E370,"✖ النهاية قبل البداية",IF(COUNTIFS($B$6:$B$505,B370,$E$6:$E$505,"&lt;="&amp;F370,$F$6:$F$505,"&gt;="&amp;E370)&gt;1,"⚠ تداخل مع سجل آخر",IF(E370&gt;cfg_VAL_DATE,"⏳ قادمة",IF(F370&lt;cfg_VAL_DATE,"✔ منتهية","✈ جارية في تاريخ التقرير"))))))</f>
        <v/>
      </c>
      <c r="Q370" s="79"/>
      <c r="R370" s="57" t="n">
        <f aca="false">IF(OR(OR($B370="",$E370="",$F370=""),L370&lt;&gt;"لا"),0,MAX(0,MIN(F370,cfg_Y_START-1)-E370+1))</f>
        <v>0</v>
      </c>
      <c r="S370" s="57" t="n">
        <f aca="false">IF(OR(OR($B370="",$E370="",$F370=""),L370&lt;&gt;"لا"),0,MAX(0,MIN(F370,cfg_VAL_DATE)-E370+1))</f>
        <v>0</v>
      </c>
      <c r="T370" s="57" t="n">
        <f aca="false">IF(OR(OR($B370="",$E370="",$F370=""),K370&lt;&gt;"نعم"),0,IF(M370="نعم",IF(AND(ISNUMBER(O370),N(O370)&lt;=cfg_VAL_M),G370,0),MAX(0,MIN(F370,cfg_VAL_DATE)-MAX(E370,cfg_Y_START)+1)))</f>
        <v>0</v>
      </c>
      <c r="V370" s="57" t="n">
        <f aca="false">IF(OR($B370="",$E370="",$F370=""),0,MAX(0,MIN($F370,EOMONTH(DATE(cfg_FY,1,1),0))-MAX($E370,DATE(cfg_FY,1,1))+1)*(1-IF($M370="نعم",0,N($J370))))</f>
        <v>0</v>
      </c>
      <c r="W370" s="57" t="n">
        <f aca="false">IF(OR($B370="",$E370="",$F370=""),0,MAX(0,MIN($F370,EOMONTH(DATE(cfg_FY,2,1),0))-MAX($E370,DATE(cfg_FY,2,1))+1)*(1-IF($M370="نعم",0,N($J370))))</f>
        <v>0</v>
      </c>
      <c r="X370" s="57" t="n">
        <f aca="false">IF(OR($B370="",$E370="",$F370=""),0,MAX(0,MIN($F370,EOMONTH(DATE(cfg_FY,3,1),0))-MAX($E370,DATE(cfg_FY,3,1))+1)*(1-IF($M370="نعم",0,N($J370))))</f>
        <v>0</v>
      </c>
      <c r="Y370" s="57" t="n">
        <f aca="false">IF(OR($B370="",$E370="",$F370=""),0,MAX(0,MIN($F370,EOMONTH(DATE(cfg_FY,4,1),0))-MAX($E370,DATE(cfg_FY,4,1))+1)*(1-IF($M370="نعم",0,N($J370))))</f>
        <v>0</v>
      </c>
      <c r="Z370" s="57" t="n">
        <f aca="false">IF(OR($B370="",$E370="",$F370=""),0,MAX(0,MIN($F370,EOMONTH(DATE(cfg_FY,5,1),0))-MAX($E370,DATE(cfg_FY,5,1))+1)*(1-IF($M370="نعم",0,N($J370))))</f>
        <v>0</v>
      </c>
      <c r="AA370" s="57" t="n">
        <f aca="false">IF(OR($B370="",$E370="",$F370=""),0,MAX(0,MIN($F370,EOMONTH(DATE(cfg_FY,6,1),0))-MAX($E370,DATE(cfg_FY,6,1))+1)*(1-IF($M370="نعم",0,N($J370))))</f>
        <v>0</v>
      </c>
      <c r="AB370" s="57" t="n">
        <f aca="false">IF(OR($B370="",$E370="",$F370=""),0,MAX(0,MIN($F370,EOMONTH(DATE(cfg_FY,7,1),0))-MAX($E370,DATE(cfg_FY,7,1))+1)*(1-IF($M370="نعم",0,N($J370))))</f>
        <v>0</v>
      </c>
      <c r="AC370" s="57" t="n">
        <f aca="false">IF(OR($B370="",$E370="",$F370=""),0,MAX(0,MIN($F370,EOMONTH(DATE(cfg_FY,8,1),0))-MAX($E370,DATE(cfg_FY,8,1))+1)*(1-IF($M370="نعم",0,N($J370))))</f>
        <v>0</v>
      </c>
      <c r="AD370" s="57" t="n">
        <f aca="false">IF(OR($B370="",$E370="",$F370=""),0,MAX(0,MIN($F370,EOMONTH(DATE(cfg_FY,9,1),0))-MAX($E370,DATE(cfg_FY,9,1))+1)*(1-IF($M370="نعم",0,N($J370))))</f>
        <v>0</v>
      </c>
      <c r="AE370" s="57" t="n">
        <f aca="false">IF(OR($B370="",$E370="",$F370=""),0,MAX(0,MIN($F370,EOMONTH(DATE(cfg_FY,10,1),0))-MAX($E370,DATE(cfg_FY,10,1))+1)*(1-IF($M370="نعم",0,N($J370))))</f>
        <v>0</v>
      </c>
      <c r="AF370" s="57" t="n">
        <f aca="false">IF(OR($B370="",$E370="",$F370=""),0,MAX(0,MIN($F370,EOMONTH(DATE(cfg_FY,11,1),0))-MAX($E370,DATE(cfg_FY,11,1))+1)*(1-IF($M370="نعم",0,N($J370))))</f>
        <v>0</v>
      </c>
      <c r="AG370" s="57" t="n">
        <f aca="false">IF(OR($B370="",$E370="",$F370=""),0,MAX(0,MIN($F370,EOMONTH(DATE(cfg_FY,12,1),0))-MAX($E370,DATE(cfg_FY,12,1))+1)*(1-IF($M370="نعم",0,N($J370))))</f>
        <v>0</v>
      </c>
      <c r="AH370" s="57" t="n">
        <f aca="false">IF(OR(OR($B370="",$E370="",$F370=""),$L370&lt;&gt;"لا"),0,MAX(0,MIN($F370,EOMONTH(DATE(cfg_FY,1,1),0))-$E370+1))</f>
        <v>0</v>
      </c>
      <c r="AI370" s="57" t="n">
        <f aca="false">IF(OR(OR($B370="",$E370="",$F370=""),$L370&lt;&gt;"لا"),0,MAX(0,MIN($F370,EOMONTH(DATE(cfg_FY,2,1),0))-$E370+1))</f>
        <v>0</v>
      </c>
      <c r="AJ370" s="57" t="n">
        <f aca="false">IF(OR(OR($B370="",$E370="",$F370=""),$L370&lt;&gt;"لا"),0,MAX(0,MIN($F370,EOMONTH(DATE(cfg_FY,3,1),0))-$E370+1))</f>
        <v>0</v>
      </c>
      <c r="AK370" s="57" t="n">
        <f aca="false">IF(OR(OR($B370="",$E370="",$F370=""),$L370&lt;&gt;"لا"),0,MAX(0,MIN($F370,EOMONTH(DATE(cfg_FY,4,1),0))-$E370+1))</f>
        <v>0</v>
      </c>
      <c r="AL370" s="57" t="n">
        <f aca="false">IF(OR(OR($B370="",$E370="",$F370=""),$L370&lt;&gt;"لا"),0,MAX(0,MIN($F370,EOMONTH(DATE(cfg_FY,5,1),0))-$E370+1))</f>
        <v>0</v>
      </c>
      <c r="AM370" s="57" t="n">
        <f aca="false">IF(OR(OR($B370="",$E370="",$F370=""),$L370&lt;&gt;"لا"),0,MAX(0,MIN($F370,EOMONTH(DATE(cfg_FY,6,1),0))-$E370+1))</f>
        <v>0</v>
      </c>
      <c r="AN370" s="57" t="n">
        <f aca="false">IF(OR(OR($B370="",$E370="",$F370=""),$L370&lt;&gt;"لا"),0,MAX(0,MIN($F370,EOMONTH(DATE(cfg_FY,7,1),0))-$E370+1))</f>
        <v>0</v>
      </c>
      <c r="AO370" s="57" t="n">
        <f aca="false">IF(OR(OR($B370="",$E370="",$F370=""),$L370&lt;&gt;"لا"),0,MAX(0,MIN($F370,EOMONTH(DATE(cfg_FY,8,1),0))-$E370+1))</f>
        <v>0</v>
      </c>
      <c r="AP370" s="57" t="n">
        <f aca="false">IF(OR(OR($B370="",$E370="",$F370=""),$L370&lt;&gt;"لا"),0,MAX(0,MIN($F370,EOMONTH(DATE(cfg_FY,9,1),0))-$E370+1))</f>
        <v>0</v>
      </c>
      <c r="AQ370" s="57" t="n">
        <f aca="false">IF(OR(OR($B370="",$E370="",$F370=""),$L370&lt;&gt;"لا"),0,MAX(0,MIN($F370,EOMONTH(DATE(cfg_FY,10,1),0))-$E370+1))</f>
        <v>0</v>
      </c>
      <c r="AR370" s="57" t="n">
        <f aca="false">IF(OR(OR($B370="",$E370="",$F370=""),$L370&lt;&gt;"لا"),0,MAX(0,MIN($F370,EOMONTH(DATE(cfg_FY,11,1),0))-$E370+1))</f>
        <v>0</v>
      </c>
      <c r="AS370" s="57" t="n">
        <f aca="false">IF(OR(OR($B370="",$E370="",$F370=""),$L370&lt;&gt;"لا"),0,MAX(0,MIN($F370,EOMONTH(DATE(cfg_FY,12,1),0))-$E370+1))</f>
        <v>0</v>
      </c>
      <c r="AT370" s="57" t="n">
        <f aca="false">IF(OR(OR($B370="",$E370="",$F370=""),$K370&lt;&gt;"نعم",$M370="نعم"),0,MAX(0,MIN($F370,EOMONTH(DATE(cfg_FY,1,1),0))-MAX($E370,DATE(cfg_FY,1,1))+1))</f>
        <v>0</v>
      </c>
      <c r="AU370" s="57" t="n">
        <f aca="false">IF(OR(OR($B370="",$E370="",$F370=""),$K370&lt;&gt;"نعم",$M370="نعم"),0,MAX(0,MIN($F370,EOMONTH(DATE(cfg_FY,2,1),0))-MAX($E370,DATE(cfg_FY,2,1))+1))</f>
        <v>0</v>
      </c>
      <c r="AV370" s="57" t="n">
        <f aca="false">IF(OR(OR($B370="",$E370="",$F370=""),$K370&lt;&gt;"نعم",$M370="نعم"),0,MAX(0,MIN($F370,EOMONTH(DATE(cfg_FY,3,1),0))-MAX($E370,DATE(cfg_FY,3,1))+1))</f>
        <v>0</v>
      </c>
      <c r="AW370" s="57" t="n">
        <f aca="false">IF(OR(OR($B370="",$E370="",$F370=""),$K370&lt;&gt;"نعم",$M370="نعم"),0,MAX(0,MIN($F370,EOMONTH(DATE(cfg_FY,4,1),0))-MAX($E370,DATE(cfg_FY,4,1))+1))</f>
        <v>0</v>
      </c>
      <c r="AX370" s="57" t="n">
        <f aca="false">IF(OR(OR($B370="",$E370="",$F370=""),$K370&lt;&gt;"نعم",$M370="نعم"),0,MAX(0,MIN($F370,EOMONTH(DATE(cfg_FY,5,1),0))-MAX($E370,DATE(cfg_FY,5,1))+1))</f>
        <v>0</v>
      </c>
      <c r="AY370" s="57" t="n">
        <f aca="false">IF(OR(OR($B370="",$E370="",$F370=""),$K370&lt;&gt;"نعم",$M370="نعم"),0,MAX(0,MIN($F370,EOMONTH(DATE(cfg_FY,6,1),0))-MAX($E370,DATE(cfg_FY,6,1))+1))</f>
        <v>0</v>
      </c>
      <c r="AZ370" s="57" t="n">
        <f aca="false">IF(OR(OR($B370="",$E370="",$F370=""),$K370&lt;&gt;"نعم",$M370="نعم"),0,MAX(0,MIN($F370,EOMONTH(DATE(cfg_FY,7,1),0))-MAX($E370,DATE(cfg_FY,7,1))+1))</f>
        <v>0</v>
      </c>
      <c r="BA370" s="57" t="n">
        <f aca="false">IF(OR(OR($B370="",$E370="",$F370=""),$K370&lt;&gt;"نعم",$M370="نعم"),0,MAX(0,MIN($F370,EOMONTH(DATE(cfg_FY,8,1),0))-MAX($E370,DATE(cfg_FY,8,1))+1))</f>
        <v>0</v>
      </c>
      <c r="BB370" s="57" t="n">
        <f aca="false">IF(OR(OR($B370="",$E370="",$F370=""),$K370&lt;&gt;"نعم",$M370="نعم"),0,MAX(0,MIN($F370,EOMONTH(DATE(cfg_FY,9,1),0))-MAX($E370,DATE(cfg_FY,9,1))+1))</f>
        <v>0</v>
      </c>
      <c r="BC370" s="57" t="n">
        <f aca="false">IF(OR(OR($B370="",$E370="",$F370=""),$K370&lt;&gt;"نعم",$M370="نعم"),0,MAX(0,MIN($F370,EOMONTH(DATE(cfg_FY,10,1),0))-MAX($E370,DATE(cfg_FY,10,1))+1))</f>
        <v>0</v>
      </c>
      <c r="BD370" s="57" t="n">
        <f aca="false">IF(OR(OR($B370="",$E370="",$F370=""),$K370&lt;&gt;"نعم",$M370="نعم"),0,MAX(0,MIN($F370,EOMONTH(DATE(cfg_FY,11,1),0))-MAX($E370,DATE(cfg_FY,11,1))+1))</f>
        <v>0</v>
      </c>
      <c r="BE370" s="57" t="n">
        <f aca="false">IF(OR(OR($B370="",$E370="",$F370=""),$K370&lt;&gt;"نعم",$M370="نعم"),0,MAX(0,MIN($F370,EOMONTH(DATE(cfg_FY,12,1),0))-MAX($E370,DATE(cfg_FY,12,1))+1))</f>
        <v>0</v>
      </c>
    </row>
    <row r="371" customFormat="false" ht="15" hidden="false" customHeight="false" outlineLevel="0" collapsed="false">
      <c r="A371" s="100" t="str">
        <f aca="false">IF(B371="","",ROW()-5)</f>
        <v/>
      </c>
      <c r="B371" s="79"/>
      <c r="C371" s="102" t="str">
        <f aca="false">IF(B371="","",IFERROR(INDEX(الموظفون!$C$6:$C$105,MATCH(B371,الموظفون!$B$6:$B$105,0)),"✖ رقم غير موجود"))</f>
        <v/>
      </c>
      <c r="D371" s="79"/>
      <c r="E371" s="94"/>
      <c r="F371" s="94"/>
      <c r="G371" s="110" t="str">
        <f aca="false">IF(OR($B371="",$E371="",$F371=""),"",MAX(0,F371-E371+1))</f>
        <v/>
      </c>
      <c r="H371" s="111" t="str">
        <f aca="false">IF(D371="","",IFERROR(VLOOKUP(D371,cfg_LT,2,FALSE()),1))</f>
        <v/>
      </c>
      <c r="I371" s="82"/>
      <c r="J371" s="111" t="str">
        <f aca="false">IF(D371="","",IF(I371&lt;&gt;"",I371,H371))</f>
        <v/>
      </c>
      <c r="K371" s="102" t="str">
        <f aca="false">IF(D371="","",IFERROR(VLOOKUP($D371,cfg_LT,3,FALSE()),""))</f>
        <v/>
      </c>
      <c r="L371" s="102" t="str">
        <f aca="false">IF(D371="","",IFERROR(VLOOKUP($D371,cfg_LT,4,FALSE()),""))</f>
        <v/>
      </c>
      <c r="M371" s="102" t="str">
        <f aca="false">IF(D371="","",IFERROR(VLOOKUP($D371,cfg_LT,5,FALSE()),""))</f>
        <v/>
      </c>
      <c r="N371" s="101" t="n">
        <f aca="false">IF(OR(OR($B371="",$E371="",$F371=""),M371&lt;&gt;"نعم"),0,G371*J371*IFERROR(INDEX(الموظفون!$R$6:$R$105,MATCH(B371,الموظفون!$B$6:$B$105,0)),0)/cfg_DAYS_M)</f>
        <v>0</v>
      </c>
      <c r="O371" s="100" t="str">
        <f aca="false">IF(OR(OR($B371="",$E371="",$F371=""),M371&lt;&gt;"نعم"),"",IF(YEAR(E371)=cfg_FY,MONTH(E371),""))</f>
        <v/>
      </c>
      <c r="P371" s="102" t="str">
        <f aca="false">IF(B371="","",IF(OR(D371="",E371="",F371=""),"⚠ أكمل النوع والتواريخ",IF(F371&lt;E371,"✖ النهاية قبل البداية",IF(COUNTIFS($B$6:$B$505,B371,$E$6:$E$505,"&lt;="&amp;F371,$F$6:$F$505,"&gt;="&amp;E371)&gt;1,"⚠ تداخل مع سجل آخر",IF(E371&gt;cfg_VAL_DATE,"⏳ قادمة",IF(F371&lt;cfg_VAL_DATE,"✔ منتهية","✈ جارية في تاريخ التقرير"))))))</f>
        <v/>
      </c>
      <c r="Q371" s="79"/>
      <c r="R371" s="110" t="n">
        <f aca="false">IF(OR(OR($B371="",$E371="",$F371=""),L371&lt;&gt;"لا"),0,MAX(0,MIN(F371,cfg_Y_START-1)-E371+1))</f>
        <v>0</v>
      </c>
      <c r="S371" s="110" t="n">
        <f aca="false">IF(OR(OR($B371="",$E371="",$F371=""),L371&lt;&gt;"لا"),0,MAX(0,MIN(F371,cfg_VAL_DATE)-E371+1))</f>
        <v>0</v>
      </c>
      <c r="T371" s="110" t="n">
        <f aca="false">IF(OR(OR($B371="",$E371="",$F371=""),K371&lt;&gt;"نعم"),0,IF(M371="نعم",IF(AND(ISNUMBER(O371),N(O371)&lt;=cfg_VAL_M),G371,0),MAX(0,MIN(F371,cfg_VAL_DATE)-MAX(E371,cfg_Y_START)+1)))</f>
        <v>0</v>
      </c>
      <c r="V371" s="110" t="n">
        <f aca="false">IF(OR($B371="",$E371="",$F371=""),0,MAX(0,MIN($F371,EOMONTH(DATE(cfg_FY,1,1),0))-MAX($E371,DATE(cfg_FY,1,1))+1)*(1-IF($M371="نعم",0,N($J371))))</f>
        <v>0</v>
      </c>
      <c r="W371" s="110" t="n">
        <f aca="false">IF(OR($B371="",$E371="",$F371=""),0,MAX(0,MIN($F371,EOMONTH(DATE(cfg_FY,2,1),0))-MAX($E371,DATE(cfg_FY,2,1))+1)*(1-IF($M371="نعم",0,N($J371))))</f>
        <v>0</v>
      </c>
      <c r="X371" s="110" t="n">
        <f aca="false">IF(OR($B371="",$E371="",$F371=""),0,MAX(0,MIN($F371,EOMONTH(DATE(cfg_FY,3,1),0))-MAX($E371,DATE(cfg_FY,3,1))+1)*(1-IF($M371="نعم",0,N($J371))))</f>
        <v>0</v>
      </c>
      <c r="Y371" s="110" t="n">
        <f aca="false">IF(OR($B371="",$E371="",$F371=""),0,MAX(0,MIN($F371,EOMONTH(DATE(cfg_FY,4,1),0))-MAX($E371,DATE(cfg_FY,4,1))+1)*(1-IF($M371="نعم",0,N($J371))))</f>
        <v>0</v>
      </c>
      <c r="Z371" s="110" t="n">
        <f aca="false">IF(OR($B371="",$E371="",$F371=""),0,MAX(0,MIN($F371,EOMONTH(DATE(cfg_FY,5,1),0))-MAX($E371,DATE(cfg_FY,5,1))+1)*(1-IF($M371="نعم",0,N($J371))))</f>
        <v>0</v>
      </c>
      <c r="AA371" s="110" t="n">
        <f aca="false">IF(OR($B371="",$E371="",$F371=""),0,MAX(0,MIN($F371,EOMONTH(DATE(cfg_FY,6,1),0))-MAX($E371,DATE(cfg_FY,6,1))+1)*(1-IF($M371="نعم",0,N($J371))))</f>
        <v>0</v>
      </c>
      <c r="AB371" s="110" t="n">
        <f aca="false">IF(OR($B371="",$E371="",$F371=""),0,MAX(0,MIN($F371,EOMONTH(DATE(cfg_FY,7,1),0))-MAX($E371,DATE(cfg_FY,7,1))+1)*(1-IF($M371="نعم",0,N($J371))))</f>
        <v>0</v>
      </c>
      <c r="AC371" s="110" t="n">
        <f aca="false">IF(OR($B371="",$E371="",$F371=""),0,MAX(0,MIN($F371,EOMONTH(DATE(cfg_FY,8,1),0))-MAX($E371,DATE(cfg_FY,8,1))+1)*(1-IF($M371="نعم",0,N($J371))))</f>
        <v>0</v>
      </c>
      <c r="AD371" s="110" t="n">
        <f aca="false">IF(OR($B371="",$E371="",$F371=""),0,MAX(0,MIN($F371,EOMONTH(DATE(cfg_FY,9,1),0))-MAX($E371,DATE(cfg_FY,9,1))+1)*(1-IF($M371="نعم",0,N($J371))))</f>
        <v>0</v>
      </c>
      <c r="AE371" s="110" t="n">
        <f aca="false">IF(OR($B371="",$E371="",$F371=""),0,MAX(0,MIN($F371,EOMONTH(DATE(cfg_FY,10,1),0))-MAX($E371,DATE(cfg_FY,10,1))+1)*(1-IF($M371="نعم",0,N($J371))))</f>
        <v>0</v>
      </c>
      <c r="AF371" s="110" t="n">
        <f aca="false">IF(OR($B371="",$E371="",$F371=""),0,MAX(0,MIN($F371,EOMONTH(DATE(cfg_FY,11,1),0))-MAX($E371,DATE(cfg_FY,11,1))+1)*(1-IF($M371="نعم",0,N($J371))))</f>
        <v>0</v>
      </c>
      <c r="AG371" s="110" t="n">
        <f aca="false">IF(OR($B371="",$E371="",$F371=""),0,MAX(0,MIN($F371,EOMONTH(DATE(cfg_FY,12,1),0))-MAX($E371,DATE(cfg_FY,12,1))+1)*(1-IF($M371="نعم",0,N($J371))))</f>
        <v>0</v>
      </c>
      <c r="AH371" s="110" t="n">
        <f aca="false">IF(OR(OR($B371="",$E371="",$F371=""),$L371&lt;&gt;"لا"),0,MAX(0,MIN($F371,EOMONTH(DATE(cfg_FY,1,1),0))-$E371+1))</f>
        <v>0</v>
      </c>
      <c r="AI371" s="110" t="n">
        <f aca="false">IF(OR(OR($B371="",$E371="",$F371=""),$L371&lt;&gt;"لا"),0,MAX(0,MIN($F371,EOMONTH(DATE(cfg_FY,2,1),0))-$E371+1))</f>
        <v>0</v>
      </c>
      <c r="AJ371" s="110" t="n">
        <f aca="false">IF(OR(OR($B371="",$E371="",$F371=""),$L371&lt;&gt;"لا"),0,MAX(0,MIN($F371,EOMONTH(DATE(cfg_FY,3,1),0))-$E371+1))</f>
        <v>0</v>
      </c>
      <c r="AK371" s="110" t="n">
        <f aca="false">IF(OR(OR($B371="",$E371="",$F371=""),$L371&lt;&gt;"لا"),0,MAX(0,MIN($F371,EOMONTH(DATE(cfg_FY,4,1),0))-$E371+1))</f>
        <v>0</v>
      </c>
      <c r="AL371" s="110" t="n">
        <f aca="false">IF(OR(OR($B371="",$E371="",$F371=""),$L371&lt;&gt;"لا"),0,MAX(0,MIN($F371,EOMONTH(DATE(cfg_FY,5,1),0))-$E371+1))</f>
        <v>0</v>
      </c>
      <c r="AM371" s="110" t="n">
        <f aca="false">IF(OR(OR($B371="",$E371="",$F371=""),$L371&lt;&gt;"لا"),0,MAX(0,MIN($F371,EOMONTH(DATE(cfg_FY,6,1),0))-$E371+1))</f>
        <v>0</v>
      </c>
      <c r="AN371" s="110" t="n">
        <f aca="false">IF(OR(OR($B371="",$E371="",$F371=""),$L371&lt;&gt;"لا"),0,MAX(0,MIN($F371,EOMONTH(DATE(cfg_FY,7,1),0))-$E371+1))</f>
        <v>0</v>
      </c>
      <c r="AO371" s="110" t="n">
        <f aca="false">IF(OR(OR($B371="",$E371="",$F371=""),$L371&lt;&gt;"لا"),0,MAX(0,MIN($F371,EOMONTH(DATE(cfg_FY,8,1),0))-$E371+1))</f>
        <v>0</v>
      </c>
      <c r="AP371" s="110" t="n">
        <f aca="false">IF(OR(OR($B371="",$E371="",$F371=""),$L371&lt;&gt;"لا"),0,MAX(0,MIN($F371,EOMONTH(DATE(cfg_FY,9,1),0))-$E371+1))</f>
        <v>0</v>
      </c>
      <c r="AQ371" s="110" t="n">
        <f aca="false">IF(OR(OR($B371="",$E371="",$F371=""),$L371&lt;&gt;"لا"),0,MAX(0,MIN($F371,EOMONTH(DATE(cfg_FY,10,1),0))-$E371+1))</f>
        <v>0</v>
      </c>
      <c r="AR371" s="110" t="n">
        <f aca="false">IF(OR(OR($B371="",$E371="",$F371=""),$L371&lt;&gt;"لا"),0,MAX(0,MIN($F371,EOMONTH(DATE(cfg_FY,11,1),0))-$E371+1))</f>
        <v>0</v>
      </c>
      <c r="AS371" s="110" t="n">
        <f aca="false">IF(OR(OR($B371="",$E371="",$F371=""),$L371&lt;&gt;"لا"),0,MAX(0,MIN($F371,EOMONTH(DATE(cfg_FY,12,1),0))-$E371+1))</f>
        <v>0</v>
      </c>
      <c r="AT371" s="110" t="n">
        <f aca="false">IF(OR(OR($B371="",$E371="",$F371=""),$K371&lt;&gt;"نعم",$M371="نعم"),0,MAX(0,MIN($F371,EOMONTH(DATE(cfg_FY,1,1),0))-MAX($E371,DATE(cfg_FY,1,1))+1))</f>
        <v>0</v>
      </c>
      <c r="AU371" s="110" t="n">
        <f aca="false">IF(OR(OR($B371="",$E371="",$F371=""),$K371&lt;&gt;"نعم",$M371="نعم"),0,MAX(0,MIN($F371,EOMONTH(DATE(cfg_FY,2,1),0))-MAX($E371,DATE(cfg_FY,2,1))+1))</f>
        <v>0</v>
      </c>
      <c r="AV371" s="110" t="n">
        <f aca="false">IF(OR(OR($B371="",$E371="",$F371=""),$K371&lt;&gt;"نعم",$M371="نعم"),0,MAX(0,MIN($F371,EOMONTH(DATE(cfg_FY,3,1),0))-MAX($E371,DATE(cfg_FY,3,1))+1))</f>
        <v>0</v>
      </c>
      <c r="AW371" s="110" t="n">
        <f aca="false">IF(OR(OR($B371="",$E371="",$F371=""),$K371&lt;&gt;"نعم",$M371="نعم"),0,MAX(0,MIN($F371,EOMONTH(DATE(cfg_FY,4,1),0))-MAX($E371,DATE(cfg_FY,4,1))+1))</f>
        <v>0</v>
      </c>
      <c r="AX371" s="110" t="n">
        <f aca="false">IF(OR(OR($B371="",$E371="",$F371=""),$K371&lt;&gt;"نعم",$M371="نعم"),0,MAX(0,MIN($F371,EOMONTH(DATE(cfg_FY,5,1),0))-MAX($E371,DATE(cfg_FY,5,1))+1))</f>
        <v>0</v>
      </c>
      <c r="AY371" s="110" t="n">
        <f aca="false">IF(OR(OR($B371="",$E371="",$F371=""),$K371&lt;&gt;"نعم",$M371="نعم"),0,MAX(0,MIN($F371,EOMONTH(DATE(cfg_FY,6,1),0))-MAX($E371,DATE(cfg_FY,6,1))+1))</f>
        <v>0</v>
      </c>
      <c r="AZ371" s="110" t="n">
        <f aca="false">IF(OR(OR($B371="",$E371="",$F371=""),$K371&lt;&gt;"نعم",$M371="نعم"),0,MAX(0,MIN($F371,EOMONTH(DATE(cfg_FY,7,1),0))-MAX($E371,DATE(cfg_FY,7,1))+1))</f>
        <v>0</v>
      </c>
      <c r="BA371" s="110" t="n">
        <f aca="false">IF(OR(OR($B371="",$E371="",$F371=""),$K371&lt;&gt;"نعم",$M371="نعم"),0,MAX(0,MIN($F371,EOMONTH(DATE(cfg_FY,8,1),0))-MAX($E371,DATE(cfg_FY,8,1))+1))</f>
        <v>0</v>
      </c>
      <c r="BB371" s="110" t="n">
        <f aca="false">IF(OR(OR($B371="",$E371="",$F371=""),$K371&lt;&gt;"نعم",$M371="نعم"),0,MAX(0,MIN($F371,EOMONTH(DATE(cfg_FY,9,1),0))-MAX($E371,DATE(cfg_FY,9,1))+1))</f>
        <v>0</v>
      </c>
      <c r="BC371" s="110" t="n">
        <f aca="false">IF(OR(OR($B371="",$E371="",$F371=""),$K371&lt;&gt;"نعم",$M371="نعم"),0,MAX(0,MIN($F371,EOMONTH(DATE(cfg_FY,10,1),0))-MAX($E371,DATE(cfg_FY,10,1))+1))</f>
        <v>0</v>
      </c>
      <c r="BD371" s="110" t="n">
        <f aca="false">IF(OR(OR($B371="",$E371="",$F371=""),$K371&lt;&gt;"نعم",$M371="نعم"),0,MAX(0,MIN($F371,EOMONTH(DATE(cfg_FY,11,1),0))-MAX($E371,DATE(cfg_FY,11,1))+1))</f>
        <v>0</v>
      </c>
      <c r="BE371" s="110" t="n">
        <f aca="false">IF(OR(OR($B371="",$E371="",$F371=""),$K371&lt;&gt;"نعم",$M371="نعم"),0,MAX(0,MIN($F371,EOMONTH(DATE(cfg_FY,12,1),0))-MAX($E371,DATE(cfg_FY,12,1))+1))</f>
        <v>0</v>
      </c>
    </row>
    <row r="372" customFormat="false" ht="15" hidden="false" customHeight="false" outlineLevel="0" collapsed="false">
      <c r="A372" s="93" t="str">
        <f aca="false">IF(B372="","",ROW()-5)</f>
        <v/>
      </c>
      <c r="B372" s="79"/>
      <c r="C372" s="80" t="str">
        <f aca="false">IF(B372="","",IFERROR(INDEX(الموظفون!$C$6:$C$105,MATCH(B372,الموظفون!$B$6:$B$105,0)),"✖ رقم غير موجود"))</f>
        <v/>
      </c>
      <c r="D372" s="79"/>
      <c r="E372" s="94"/>
      <c r="F372" s="94"/>
      <c r="G372" s="57" t="str">
        <f aca="false">IF(OR($B372="",$E372="",$F372=""),"",MAX(0,F372-E372+1))</f>
        <v/>
      </c>
      <c r="H372" s="58" t="str">
        <f aca="false">IF(D372="","",IFERROR(VLOOKUP(D372,cfg_LT,2,FALSE()),1))</f>
        <v/>
      </c>
      <c r="I372" s="82"/>
      <c r="J372" s="58" t="str">
        <f aca="false">IF(D372="","",IF(I372&lt;&gt;"",I372,H372))</f>
        <v/>
      </c>
      <c r="K372" s="80" t="str">
        <f aca="false">IF(D372="","",IFERROR(VLOOKUP($D372,cfg_LT,3,FALSE()),""))</f>
        <v/>
      </c>
      <c r="L372" s="80" t="str">
        <f aca="false">IF(D372="","",IFERROR(VLOOKUP($D372,cfg_LT,4,FALSE()),""))</f>
        <v/>
      </c>
      <c r="M372" s="80" t="str">
        <f aca="false">IF(D372="","",IFERROR(VLOOKUP($D372,cfg_LT,5,FALSE()),""))</f>
        <v/>
      </c>
      <c r="N372" s="97" t="n">
        <f aca="false">IF(OR(OR($B372="",$E372="",$F372=""),M372&lt;&gt;"نعم"),0,G372*J372*IFERROR(INDEX(الموظفون!$R$6:$R$105,MATCH(B372,الموظفون!$B$6:$B$105,0)),0)/cfg_DAYS_M)</f>
        <v>0</v>
      </c>
      <c r="O372" s="93" t="str">
        <f aca="false">IF(OR(OR($B372="",$E372="",$F372=""),M372&lt;&gt;"نعم"),"",IF(YEAR(E372)=cfg_FY,MONTH(E372),""))</f>
        <v/>
      </c>
      <c r="P372" s="80" t="str">
        <f aca="false">IF(B372="","",IF(OR(D372="",E372="",F372=""),"⚠ أكمل النوع والتواريخ",IF(F372&lt;E372,"✖ النهاية قبل البداية",IF(COUNTIFS($B$6:$B$505,B372,$E$6:$E$505,"&lt;="&amp;F372,$F$6:$F$505,"&gt;="&amp;E372)&gt;1,"⚠ تداخل مع سجل آخر",IF(E372&gt;cfg_VAL_DATE,"⏳ قادمة",IF(F372&lt;cfg_VAL_DATE,"✔ منتهية","✈ جارية في تاريخ التقرير"))))))</f>
        <v/>
      </c>
      <c r="Q372" s="79"/>
      <c r="R372" s="57" t="n">
        <f aca="false">IF(OR(OR($B372="",$E372="",$F372=""),L372&lt;&gt;"لا"),0,MAX(0,MIN(F372,cfg_Y_START-1)-E372+1))</f>
        <v>0</v>
      </c>
      <c r="S372" s="57" t="n">
        <f aca="false">IF(OR(OR($B372="",$E372="",$F372=""),L372&lt;&gt;"لا"),0,MAX(0,MIN(F372,cfg_VAL_DATE)-E372+1))</f>
        <v>0</v>
      </c>
      <c r="T372" s="57" t="n">
        <f aca="false">IF(OR(OR($B372="",$E372="",$F372=""),K372&lt;&gt;"نعم"),0,IF(M372="نعم",IF(AND(ISNUMBER(O372),N(O372)&lt;=cfg_VAL_M),G372,0),MAX(0,MIN(F372,cfg_VAL_DATE)-MAX(E372,cfg_Y_START)+1)))</f>
        <v>0</v>
      </c>
      <c r="V372" s="57" t="n">
        <f aca="false">IF(OR($B372="",$E372="",$F372=""),0,MAX(0,MIN($F372,EOMONTH(DATE(cfg_FY,1,1),0))-MAX($E372,DATE(cfg_FY,1,1))+1)*(1-IF($M372="نعم",0,N($J372))))</f>
        <v>0</v>
      </c>
      <c r="W372" s="57" t="n">
        <f aca="false">IF(OR($B372="",$E372="",$F372=""),0,MAX(0,MIN($F372,EOMONTH(DATE(cfg_FY,2,1),0))-MAX($E372,DATE(cfg_FY,2,1))+1)*(1-IF($M372="نعم",0,N($J372))))</f>
        <v>0</v>
      </c>
      <c r="X372" s="57" t="n">
        <f aca="false">IF(OR($B372="",$E372="",$F372=""),0,MAX(0,MIN($F372,EOMONTH(DATE(cfg_FY,3,1),0))-MAX($E372,DATE(cfg_FY,3,1))+1)*(1-IF($M372="نعم",0,N($J372))))</f>
        <v>0</v>
      </c>
      <c r="Y372" s="57" t="n">
        <f aca="false">IF(OR($B372="",$E372="",$F372=""),0,MAX(0,MIN($F372,EOMONTH(DATE(cfg_FY,4,1),0))-MAX($E372,DATE(cfg_FY,4,1))+1)*(1-IF($M372="نعم",0,N($J372))))</f>
        <v>0</v>
      </c>
      <c r="Z372" s="57" t="n">
        <f aca="false">IF(OR($B372="",$E372="",$F372=""),0,MAX(0,MIN($F372,EOMONTH(DATE(cfg_FY,5,1),0))-MAX($E372,DATE(cfg_FY,5,1))+1)*(1-IF($M372="نعم",0,N($J372))))</f>
        <v>0</v>
      </c>
      <c r="AA372" s="57" t="n">
        <f aca="false">IF(OR($B372="",$E372="",$F372=""),0,MAX(0,MIN($F372,EOMONTH(DATE(cfg_FY,6,1),0))-MAX($E372,DATE(cfg_FY,6,1))+1)*(1-IF($M372="نعم",0,N($J372))))</f>
        <v>0</v>
      </c>
      <c r="AB372" s="57" t="n">
        <f aca="false">IF(OR($B372="",$E372="",$F372=""),0,MAX(0,MIN($F372,EOMONTH(DATE(cfg_FY,7,1),0))-MAX($E372,DATE(cfg_FY,7,1))+1)*(1-IF($M372="نعم",0,N($J372))))</f>
        <v>0</v>
      </c>
      <c r="AC372" s="57" t="n">
        <f aca="false">IF(OR($B372="",$E372="",$F372=""),0,MAX(0,MIN($F372,EOMONTH(DATE(cfg_FY,8,1),0))-MAX($E372,DATE(cfg_FY,8,1))+1)*(1-IF($M372="نعم",0,N($J372))))</f>
        <v>0</v>
      </c>
      <c r="AD372" s="57" t="n">
        <f aca="false">IF(OR($B372="",$E372="",$F372=""),0,MAX(0,MIN($F372,EOMONTH(DATE(cfg_FY,9,1),0))-MAX($E372,DATE(cfg_FY,9,1))+1)*(1-IF($M372="نعم",0,N($J372))))</f>
        <v>0</v>
      </c>
      <c r="AE372" s="57" t="n">
        <f aca="false">IF(OR($B372="",$E372="",$F372=""),0,MAX(0,MIN($F372,EOMONTH(DATE(cfg_FY,10,1),0))-MAX($E372,DATE(cfg_FY,10,1))+1)*(1-IF($M372="نعم",0,N($J372))))</f>
        <v>0</v>
      </c>
      <c r="AF372" s="57" t="n">
        <f aca="false">IF(OR($B372="",$E372="",$F372=""),0,MAX(0,MIN($F372,EOMONTH(DATE(cfg_FY,11,1),0))-MAX($E372,DATE(cfg_FY,11,1))+1)*(1-IF($M372="نعم",0,N($J372))))</f>
        <v>0</v>
      </c>
      <c r="AG372" s="57" t="n">
        <f aca="false">IF(OR($B372="",$E372="",$F372=""),0,MAX(0,MIN($F372,EOMONTH(DATE(cfg_FY,12,1),0))-MAX($E372,DATE(cfg_FY,12,1))+1)*(1-IF($M372="نعم",0,N($J372))))</f>
        <v>0</v>
      </c>
      <c r="AH372" s="57" t="n">
        <f aca="false">IF(OR(OR($B372="",$E372="",$F372=""),$L372&lt;&gt;"لا"),0,MAX(0,MIN($F372,EOMONTH(DATE(cfg_FY,1,1),0))-$E372+1))</f>
        <v>0</v>
      </c>
      <c r="AI372" s="57" t="n">
        <f aca="false">IF(OR(OR($B372="",$E372="",$F372=""),$L372&lt;&gt;"لا"),0,MAX(0,MIN($F372,EOMONTH(DATE(cfg_FY,2,1),0))-$E372+1))</f>
        <v>0</v>
      </c>
      <c r="AJ372" s="57" t="n">
        <f aca="false">IF(OR(OR($B372="",$E372="",$F372=""),$L372&lt;&gt;"لا"),0,MAX(0,MIN($F372,EOMONTH(DATE(cfg_FY,3,1),0))-$E372+1))</f>
        <v>0</v>
      </c>
      <c r="AK372" s="57" t="n">
        <f aca="false">IF(OR(OR($B372="",$E372="",$F372=""),$L372&lt;&gt;"لا"),0,MAX(0,MIN($F372,EOMONTH(DATE(cfg_FY,4,1),0))-$E372+1))</f>
        <v>0</v>
      </c>
      <c r="AL372" s="57" t="n">
        <f aca="false">IF(OR(OR($B372="",$E372="",$F372=""),$L372&lt;&gt;"لا"),0,MAX(0,MIN($F372,EOMONTH(DATE(cfg_FY,5,1),0))-$E372+1))</f>
        <v>0</v>
      </c>
      <c r="AM372" s="57" t="n">
        <f aca="false">IF(OR(OR($B372="",$E372="",$F372=""),$L372&lt;&gt;"لا"),0,MAX(0,MIN($F372,EOMONTH(DATE(cfg_FY,6,1),0))-$E372+1))</f>
        <v>0</v>
      </c>
      <c r="AN372" s="57" t="n">
        <f aca="false">IF(OR(OR($B372="",$E372="",$F372=""),$L372&lt;&gt;"لا"),0,MAX(0,MIN($F372,EOMONTH(DATE(cfg_FY,7,1),0))-$E372+1))</f>
        <v>0</v>
      </c>
      <c r="AO372" s="57" t="n">
        <f aca="false">IF(OR(OR($B372="",$E372="",$F372=""),$L372&lt;&gt;"لا"),0,MAX(0,MIN($F372,EOMONTH(DATE(cfg_FY,8,1),0))-$E372+1))</f>
        <v>0</v>
      </c>
      <c r="AP372" s="57" t="n">
        <f aca="false">IF(OR(OR($B372="",$E372="",$F372=""),$L372&lt;&gt;"لا"),0,MAX(0,MIN($F372,EOMONTH(DATE(cfg_FY,9,1),0))-$E372+1))</f>
        <v>0</v>
      </c>
      <c r="AQ372" s="57" t="n">
        <f aca="false">IF(OR(OR($B372="",$E372="",$F372=""),$L372&lt;&gt;"لا"),0,MAX(0,MIN($F372,EOMONTH(DATE(cfg_FY,10,1),0))-$E372+1))</f>
        <v>0</v>
      </c>
      <c r="AR372" s="57" t="n">
        <f aca="false">IF(OR(OR($B372="",$E372="",$F372=""),$L372&lt;&gt;"لا"),0,MAX(0,MIN($F372,EOMONTH(DATE(cfg_FY,11,1),0))-$E372+1))</f>
        <v>0</v>
      </c>
      <c r="AS372" s="57" t="n">
        <f aca="false">IF(OR(OR($B372="",$E372="",$F372=""),$L372&lt;&gt;"لا"),0,MAX(0,MIN($F372,EOMONTH(DATE(cfg_FY,12,1),0))-$E372+1))</f>
        <v>0</v>
      </c>
      <c r="AT372" s="57" t="n">
        <f aca="false">IF(OR(OR($B372="",$E372="",$F372=""),$K372&lt;&gt;"نعم",$M372="نعم"),0,MAX(0,MIN($F372,EOMONTH(DATE(cfg_FY,1,1),0))-MAX($E372,DATE(cfg_FY,1,1))+1))</f>
        <v>0</v>
      </c>
      <c r="AU372" s="57" t="n">
        <f aca="false">IF(OR(OR($B372="",$E372="",$F372=""),$K372&lt;&gt;"نعم",$M372="نعم"),0,MAX(0,MIN($F372,EOMONTH(DATE(cfg_FY,2,1),0))-MAX($E372,DATE(cfg_FY,2,1))+1))</f>
        <v>0</v>
      </c>
      <c r="AV372" s="57" t="n">
        <f aca="false">IF(OR(OR($B372="",$E372="",$F372=""),$K372&lt;&gt;"نعم",$M372="نعم"),0,MAX(0,MIN($F372,EOMONTH(DATE(cfg_FY,3,1),0))-MAX($E372,DATE(cfg_FY,3,1))+1))</f>
        <v>0</v>
      </c>
      <c r="AW372" s="57" t="n">
        <f aca="false">IF(OR(OR($B372="",$E372="",$F372=""),$K372&lt;&gt;"نعم",$M372="نعم"),0,MAX(0,MIN($F372,EOMONTH(DATE(cfg_FY,4,1),0))-MAX($E372,DATE(cfg_FY,4,1))+1))</f>
        <v>0</v>
      </c>
      <c r="AX372" s="57" t="n">
        <f aca="false">IF(OR(OR($B372="",$E372="",$F372=""),$K372&lt;&gt;"نعم",$M372="نعم"),0,MAX(0,MIN($F372,EOMONTH(DATE(cfg_FY,5,1),0))-MAX($E372,DATE(cfg_FY,5,1))+1))</f>
        <v>0</v>
      </c>
      <c r="AY372" s="57" t="n">
        <f aca="false">IF(OR(OR($B372="",$E372="",$F372=""),$K372&lt;&gt;"نعم",$M372="نعم"),0,MAX(0,MIN($F372,EOMONTH(DATE(cfg_FY,6,1),0))-MAX($E372,DATE(cfg_FY,6,1))+1))</f>
        <v>0</v>
      </c>
      <c r="AZ372" s="57" t="n">
        <f aca="false">IF(OR(OR($B372="",$E372="",$F372=""),$K372&lt;&gt;"نعم",$M372="نعم"),0,MAX(0,MIN($F372,EOMONTH(DATE(cfg_FY,7,1),0))-MAX($E372,DATE(cfg_FY,7,1))+1))</f>
        <v>0</v>
      </c>
      <c r="BA372" s="57" t="n">
        <f aca="false">IF(OR(OR($B372="",$E372="",$F372=""),$K372&lt;&gt;"نعم",$M372="نعم"),0,MAX(0,MIN($F372,EOMONTH(DATE(cfg_FY,8,1),0))-MAX($E372,DATE(cfg_FY,8,1))+1))</f>
        <v>0</v>
      </c>
      <c r="BB372" s="57" t="n">
        <f aca="false">IF(OR(OR($B372="",$E372="",$F372=""),$K372&lt;&gt;"نعم",$M372="نعم"),0,MAX(0,MIN($F372,EOMONTH(DATE(cfg_FY,9,1),0))-MAX($E372,DATE(cfg_FY,9,1))+1))</f>
        <v>0</v>
      </c>
      <c r="BC372" s="57" t="n">
        <f aca="false">IF(OR(OR($B372="",$E372="",$F372=""),$K372&lt;&gt;"نعم",$M372="نعم"),0,MAX(0,MIN($F372,EOMONTH(DATE(cfg_FY,10,1),0))-MAX($E372,DATE(cfg_FY,10,1))+1))</f>
        <v>0</v>
      </c>
      <c r="BD372" s="57" t="n">
        <f aca="false">IF(OR(OR($B372="",$E372="",$F372=""),$K372&lt;&gt;"نعم",$M372="نعم"),0,MAX(0,MIN($F372,EOMONTH(DATE(cfg_FY,11,1),0))-MAX($E372,DATE(cfg_FY,11,1))+1))</f>
        <v>0</v>
      </c>
      <c r="BE372" s="57" t="n">
        <f aca="false">IF(OR(OR($B372="",$E372="",$F372=""),$K372&lt;&gt;"نعم",$M372="نعم"),0,MAX(0,MIN($F372,EOMONTH(DATE(cfg_FY,12,1),0))-MAX($E372,DATE(cfg_FY,12,1))+1))</f>
        <v>0</v>
      </c>
    </row>
    <row r="373" customFormat="false" ht="15" hidden="false" customHeight="false" outlineLevel="0" collapsed="false">
      <c r="A373" s="100" t="str">
        <f aca="false">IF(B373="","",ROW()-5)</f>
        <v/>
      </c>
      <c r="B373" s="79"/>
      <c r="C373" s="102" t="str">
        <f aca="false">IF(B373="","",IFERROR(INDEX(الموظفون!$C$6:$C$105,MATCH(B373,الموظفون!$B$6:$B$105,0)),"✖ رقم غير موجود"))</f>
        <v/>
      </c>
      <c r="D373" s="79"/>
      <c r="E373" s="94"/>
      <c r="F373" s="94"/>
      <c r="G373" s="110" t="str">
        <f aca="false">IF(OR($B373="",$E373="",$F373=""),"",MAX(0,F373-E373+1))</f>
        <v/>
      </c>
      <c r="H373" s="111" t="str">
        <f aca="false">IF(D373="","",IFERROR(VLOOKUP(D373,cfg_LT,2,FALSE()),1))</f>
        <v/>
      </c>
      <c r="I373" s="82"/>
      <c r="J373" s="111" t="str">
        <f aca="false">IF(D373="","",IF(I373&lt;&gt;"",I373,H373))</f>
        <v/>
      </c>
      <c r="K373" s="102" t="str">
        <f aca="false">IF(D373="","",IFERROR(VLOOKUP($D373,cfg_LT,3,FALSE()),""))</f>
        <v/>
      </c>
      <c r="L373" s="102" t="str">
        <f aca="false">IF(D373="","",IFERROR(VLOOKUP($D373,cfg_LT,4,FALSE()),""))</f>
        <v/>
      </c>
      <c r="M373" s="102" t="str">
        <f aca="false">IF(D373="","",IFERROR(VLOOKUP($D373,cfg_LT,5,FALSE()),""))</f>
        <v/>
      </c>
      <c r="N373" s="101" t="n">
        <f aca="false">IF(OR(OR($B373="",$E373="",$F373=""),M373&lt;&gt;"نعم"),0,G373*J373*IFERROR(INDEX(الموظفون!$R$6:$R$105,MATCH(B373,الموظفون!$B$6:$B$105,0)),0)/cfg_DAYS_M)</f>
        <v>0</v>
      </c>
      <c r="O373" s="100" t="str">
        <f aca="false">IF(OR(OR($B373="",$E373="",$F373=""),M373&lt;&gt;"نعم"),"",IF(YEAR(E373)=cfg_FY,MONTH(E373),""))</f>
        <v/>
      </c>
      <c r="P373" s="102" t="str">
        <f aca="false">IF(B373="","",IF(OR(D373="",E373="",F373=""),"⚠ أكمل النوع والتواريخ",IF(F373&lt;E373,"✖ النهاية قبل البداية",IF(COUNTIFS($B$6:$B$505,B373,$E$6:$E$505,"&lt;="&amp;F373,$F$6:$F$505,"&gt;="&amp;E373)&gt;1,"⚠ تداخل مع سجل آخر",IF(E373&gt;cfg_VAL_DATE,"⏳ قادمة",IF(F373&lt;cfg_VAL_DATE,"✔ منتهية","✈ جارية في تاريخ التقرير"))))))</f>
        <v/>
      </c>
      <c r="Q373" s="79"/>
      <c r="R373" s="110" t="n">
        <f aca="false">IF(OR(OR($B373="",$E373="",$F373=""),L373&lt;&gt;"لا"),0,MAX(0,MIN(F373,cfg_Y_START-1)-E373+1))</f>
        <v>0</v>
      </c>
      <c r="S373" s="110" t="n">
        <f aca="false">IF(OR(OR($B373="",$E373="",$F373=""),L373&lt;&gt;"لا"),0,MAX(0,MIN(F373,cfg_VAL_DATE)-E373+1))</f>
        <v>0</v>
      </c>
      <c r="T373" s="110" t="n">
        <f aca="false">IF(OR(OR($B373="",$E373="",$F373=""),K373&lt;&gt;"نعم"),0,IF(M373="نعم",IF(AND(ISNUMBER(O373),N(O373)&lt;=cfg_VAL_M),G373,0),MAX(0,MIN(F373,cfg_VAL_DATE)-MAX(E373,cfg_Y_START)+1)))</f>
        <v>0</v>
      </c>
      <c r="V373" s="110" t="n">
        <f aca="false">IF(OR($B373="",$E373="",$F373=""),0,MAX(0,MIN($F373,EOMONTH(DATE(cfg_FY,1,1),0))-MAX($E373,DATE(cfg_FY,1,1))+1)*(1-IF($M373="نعم",0,N($J373))))</f>
        <v>0</v>
      </c>
      <c r="W373" s="110" t="n">
        <f aca="false">IF(OR($B373="",$E373="",$F373=""),0,MAX(0,MIN($F373,EOMONTH(DATE(cfg_FY,2,1),0))-MAX($E373,DATE(cfg_FY,2,1))+1)*(1-IF($M373="نعم",0,N($J373))))</f>
        <v>0</v>
      </c>
      <c r="X373" s="110" t="n">
        <f aca="false">IF(OR($B373="",$E373="",$F373=""),0,MAX(0,MIN($F373,EOMONTH(DATE(cfg_FY,3,1),0))-MAX($E373,DATE(cfg_FY,3,1))+1)*(1-IF($M373="نعم",0,N($J373))))</f>
        <v>0</v>
      </c>
      <c r="Y373" s="110" t="n">
        <f aca="false">IF(OR($B373="",$E373="",$F373=""),0,MAX(0,MIN($F373,EOMONTH(DATE(cfg_FY,4,1),0))-MAX($E373,DATE(cfg_FY,4,1))+1)*(1-IF($M373="نعم",0,N($J373))))</f>
        <v>0</v>
      </c>
      <c r="Z373" s="110" t="n">
        <f aca="false">IF(OR($B373="",$E373="",$F373=""),0,MAX(0,MIN($F373,EOMONTH(DATE(cfg_FY,5,1),0))-MAX($E373,DATE(cfg_FY,5,1))+1)*(1-IF($M373="نعم",0,N($J373))))</f>
        <v>0</v>
      </c>
      <c r="AA373" s="110" t="n">
        <f aca="false">IF(OR($B373="",$E373="",$F373=""),0,MAX(0,MIN($F373,EOMONTH(DATE(cfg_FY,6,1),0))-MAX($E373,DATE(cfg_FY,6,1))+1)*(1-IF($M373="نعم",0,N($J373))))</f>
        <v>0</v>
      </c>
      <c r="AB373" s="110" t="n">
        <f aca="false">IF(OR($B373="",$E373="",$F373=""),0,MAX(0,MIN($F373,EOMONTH(DATE(cfg_FY,7,1),0))-MAX($E373,DATE(cfg_FY,7,1))+1)*(1-IF($M373="نعم",0,N($J373))))</f>
        <v>0</v>
      </c>
      <c r="AC373" s="110" t="n">
        <f aca="false">IF(OR($B373="",$E373="",$F373=""),0,MAX(0,MIN($F373,EOMONTH(DATE(cfg_FY,8,1),0))-MAX($E373,DATE(cfg_FY,8,1))+1)*(1-IF($M373="نعم",0,N($J373))))</f>
        <v>0</v>
      </c>
      <c r="AD373" s="110" t="n">
        <f aca="false">IF(OR($B373="",$E373="",$F373=""),0,MAX(0,MIN($F373,EOMONTH(DATE(cfg_FY,9,1),0))-MAX($E373,DATE(cfg_FY,9,1))+1)*(1-IF($M373="نعم",0,N($J373))))</f>
        <v>0</v>
      </c>
      <c r="AE373" s="110" t="n">
        <f aca="false">IF(OR($B373="",$E373="",$F373=""),0,MAX(0,MIN($F373,EOMONTH(DATE(cfg_FY,10,1),0))-MAX($E373,DATE(cfg_FY,10,1))+1)*(1-IF($M373="نعم",0,N($J373))))</f>
        <v>0</v>
      </c>
      <c r="AF373" s="110" t="n">
        <f aca="false">IF(OR($B373="",$E373="",$F373=""),0,MAX(0,MIN($F373,EOMONTH(DATE(cfg_FY,11,1),0))-MAX($E373,DATE(cfg_FY,11,1))+1)*(1-IF($M373="نعم",0,N($J373))))</f>
        <v>0</v>
      </c>
      <c r="AG373" s="110" t="n">
        <f aca="false">IF(OR($B373="",$E373="",$F373=""),0,MAX(0,MIN($F373,EOMONTH(DATE(cfg_FY,12,1),0))-MAX($E373,DATE(cfg_FY,12,1))+1)*(1-IF($M373="نعم",0,N($J373))))</f>
        <v>0</v>
      </c>
      <c r="AH373" s="110" t="n">
        <f aca="false">IF(OR(OR($B373="",$E373="",$F373=""),$L373&lt;&gt;"لا"),0,MAX(0,MIN($F373,EOMONTH(DATE(cfg_FY,1,1),0))-$E373+1))</f>
        <v>0</v>
      </c>
      <c r="AI373" s="110" t="n">
        <f aca="false">IF(OR(OR($B373="",$E373="",$F373=""),$L373&lt;&gt;"لا"),0,MAX(0,MIN($F373,EOMONTH(DATE(cfg_FY,2,1),0))-$E373+1))</f>
        <v>0</v>
      </c>
      <c r="AJ373" s="110" t="n">
        <f aca="false">IF(OR(OR($B373="",$E373="",$F373=""),$L373&lt;&gt;"لا"),0,MAX(0,MIN($F373,EOMONTH(DATE(cfg_FY,3,1),0))-$E373+1))</f>
        <v>0</v>
      </c>
      <c r="AK373" s="110" t="n">
        <f aca="false">IF(OR(OR($B373="",$E373="",$F373=""),$L373&lt;&gt;"لا"),0,MAX(0,MIN($F373,EOMONTH(DATE(cfg_FY,4,1),0))-$E373+1))</f>
        <v>0</v>
      </c>
      <c r="AL373" s="110" t="n">
        <f aca="false">IF(OR(OR($B373="",$E373="",$F373=""),$L373&lt;&gt;"لا"),0,MAX(0,MIN($F373,EOMONTH(DATE(cfg_FY,5,1),0))-$E373+1))</f>
        <v>0</v>
      </c>
      <c r="AM373" s="110" t="n">
        <f aca="false">IF(OR(OR($B373="",$E373="",$F373=""),$L373&lt;&gt;"لا"),0,MAX(0,MIN($F373,EOMONTH(DATE(cfg_FY,6,1),0))-$E373+1))</f>
        <v>0</v>
      </c>
      <c r="AN373" s="110" t="n">
        <f aca="false">IF(OR(OR($B373="",$E373="",$F373=""),$L373&lt;&gt;"لا"),0,MAX(0,MIN($F373,EOMONTH(DATE(cfg_FY,7,1),0))-$E373+1))</f>
        <v>0</v>
      </c>
      <c r="AO373" s="110" t="n">
        <f aca="false">IF(OR(OR($B373="",$E373="",$F373=""),$L373&lt;&gt;"لا"),0,MAX(0,MIN($F373,EOMONTH(DATE(cfg_FY,8,1),0))-$E373+1))</f>
        <v>0</v>
      </c>
      <c r="AP373" s="110" t="n">
        <f aca="false">IF(OR(OR($B373="",$E373="",$F373=""),$L373&lt;&gt;"لا"),0,MAX(0,MIN($F373,EOMONTH(DATE(cfg_FY,9,1),0))-$E373+1))</f>
        <v>0</v>
      </c>
      <c r="AQ373" s="110" t="n">
        <f aca="false">IF(OR(OR($B373="",$E373="",$F373=""),$L373&lt;&gt;"لا"),0,MAX(0,MIN($F373,EOMONTH(DATE(cfg_FY,10,1),0))-$E373+1))</f>
        <v>0</v>
      </c>
      <c r="AR373" s="110" t="n">
        <f aca="false">IF(OR(OR($B373="",$E373="",$F373=""),$L373&lt;&gt;"لا"),0,MAX(0,MIN($F373,EOMONTH(DATE(cfg_FY,11,1),0))-$E373+1))</f>
        <v>0</v>
      </c>
      <c r="AS373" s="110" t="n">
        <f aca="false">IF(OR(OR($B373="",$E373="",$F373=""),$L373&lt;&gt;"لا"),0,MAX(0,MIN($F373,EOMONTH(DATE(cfg_FY,12,1),0))-$E373+1))</f>
        <v>0</v>
      </c>
      <c r="AT373" s="110" t="n">
        <f aca="false">IF(OR(OR($B373="",$E373="",$F373=""),$K373&lt;&gt;"نعم",$M373="نعم"),0,MAX(0,MIN($F373,EOMONTH(DATE(cfg_FY,1,1),0))-MAX($E373,DATE(cfg_FY,1,1))+1))</f>
        <v>0</v>
      </c>
      <c r="AU373" s="110" t="n">
        <f aca="false">IF(OR(OR($B373="",$E373="",$F373=""),$K373&lt;&gt;"نعم",$M373="نعم"),0,MAX(0,MIN($F373,EOMONTH(DATE(cfg_FY,2,1),0))-MAX($E373,DATE(cfg_FY,2,1))+1))</f>
        <v>0</v>
      </c>
      <c r="AV373" s="110" t="n">
        <f aca="false">IF(OR(OR($B373="",$E373="",$F373=""),$K373&lt;&gt;"نعم",$M373="نعم"),0,MAX(0,MIN($F373,EOMONTH(DATE(cfg_FY,3,1),0))-MAX($E373,DATE(cfg_FY,3,1))+1))</f>
        <v>0</v>
      </c>
      <c r="AW373" s="110" t="n">
        <f aca="false">IF(OR(OR($B373="",$E373="",$F373=""),$K373&lt;&gt;"نعم",$M373="نعم"),0,MAX(0,MIN($F373,EOMONTH(DATE(cfg_FY,4,1),0))-MAX($E373,DATE(cfg_FY,4,1))+1))</f>
        <v>0</v>
      </c>
      <c r="AX373" s="110" t="n">
        <f aca="false">IF(OR(OR($B373="",$E373="",$F373=""),$K373&lt;&gt;"نعم",$M373="نعم"),0,MAX(0,MIN($F373,EOMONTH(DATE(cfg_FY,5,1),0))-MAX($E373,DATE(cfg_FY,5,1))+1))</f>
        <v>0</v>
      </c>
      <c r="AY373" s="110" t="n">
        <f aca="false">IF(OR(OR($B373="",$E373="",$F373=""),$K373&lt;&gt;"نعم",$M373="نعم"),0,MAX(0,MIN($F373,EOMONTH(DATE(cfg_FY,6,1),0))-MAX($E373,DATE(cfg_FY,6,1))+1))</f>
        <v>0</v>
      </c>
      <c r="AZ373" s="110" t="n">
        <f aca="false">IF(OR(OR($B373="",$E373="",$F373=""),$K373&lt;&gt;"نعم",$M373="نعم"),0,MAX(0,MIN($F373,EOMONTH(DATE(cfg_FY,7,1),0))-MAX($E373,DATE(cfg_FY,7,1))+1))</f>
        <v>0</v>
      </c>
      <c r="BA373" s="110" t="n">
        <f aca="false">IF(OR(OR($B373="",$E373="",$F373=""),$K373&lt;&gt;"نعم",$M373="نعم"),0,MAX(0,MIN($F373,EOMONTH(DATE(cfg_FY,8,1),0))-MAX($E373,DATE(cfg_FY,8,1))+1))</f>
        <v>0</v>
      </c>
      <c r="BB373" s="110" t="n">
        <f aca="false">IF(OR(OR($B373="",$E373="",$F373=""),$K373&lt;&gt;"نعم",$M373="نعم"),0,MAX(0,MIN($F373,EOMONTH(DATE(cfg_FY,9,1),0))-MAX($E373,DATE(cfg_FY,9,1))+1))</f>
        <v>0</v>
      </c>
      <c r="BC373" s="110" t="n">
        <f aca="false">IF(OR(OR($B373="",$E373="",$F373=""),$K373&lt;&gt;"نعم",$M373="نعم"),0,MAX(0,MIN($F373,EOMONTH(DATE(cfg_FY,10,1),0))-MAX($E373,DATE(cfg_FY,10,1))+1))</f>
        <v>0</v>
      </c>
      <c r="BD373" s="110" t="n">
        <f aca="false">IF(OR(OR($B373="",$E373="",$F373=""),$K373&lt;&gt;"نعم",$M373="نعم"),0,MAX(0,MIN($F373,EOMONTH(DATE(cfg_FY,11,1),0))-MAX($E373,DATE(cfg_FY,11,1))+1))</f>
        <v>0</v>
      </c>
      <c r="BE373" s="110" t="n">
        <f aca="false">IF(OR(OR($B373="",$E373="",$F373=""),$K373&lt;&gt;"نعم",$M373="نعم"),0,MAX(0,MIN($F373,EOMONTH(DATE(cfg_FY,12,1),0))-MAX($E373,DATE(cfg_FY,12,1))+1))</f>
        <v>0</v>
      </c>
    </row>
    <row r="374" customFormat="false" ht="15" hidden="false" customHeight="false" outlineLevel="0" collapsed="false">
      <c r="A374" s="93" t="str">
        <f aca="false">IF(B374="","",ROW()-5)</f>
        <v/>
      </c>
      <c r="B374" s="79"/>
      <c r="C374" s="80" t="str">
        <f aca="false">IF(B374="","",IFERROR(INDEX(الموظفون!$C$6:$C$105,MATCH(B374,الموظفون!$B$6:$B$105,0)),"✖ رقم غير موجود"))</f>
        <v/>
      </c>
      <c r="D374" s="79"/>
      <c r="E374" s="94"/>
      <c r="F374" s="94"/>
      <c r="G374" s="57" t="str">
        <f aca="false">IF(OR($B374="",$E374="",$F374=""),"",MAX(0,F374-E374+1))</f>
        <v/>
      </c>
      <c r="H374" s="58" t="str">
        <f aca="false">IF(D374="","",IFERROR(VLOOKUP(D374,cfg_LT,2,FALSE()),1))</f>
        <v/>
      </c>
      <c r="I374" s="82"/>
      <c r="J374" s="58" t="str">
        <f aca="false">IF(D374="","",IF(I374&lt;&gt;"",I374,H374))</f>
        <v/>
      </c>
      <c r="K374" s="80" t="str">
        <f aca="false">IF(D374="","",IFERROR(VLOOKUP($D374,cfg_LT,3,FALSE()),""))</f>
        <v/>
      </c>
      <c r="L374" s="80" t="str">
        <f aca="false">IF(D374="","",IFERROR(VLOOKUP($D374,cfg_LT,4,FALSE()),""))</f>
        <v/>
      </c>
      <c r="M374" s="80" t="str">
        <f aca="false">IF(D374="","",IFERROR(VLOOKUP($D374,cfg_LT,5,FALSE()),""))</f>
        <v/>
      </c>
      <c r="N374" s="97" t="n">
        <f aca="false">IF(OR(OR($B374="",$E374="",$F374=""),M374&lt;&gt;"نعم"),0,G374*J374*IFERROR(INDEX(الموظفون!$R$6:$R$105,MATCH(B374,الموظفون!$B$6:$B$105,0)),0)/cfg_DAYS_M)</f>
        <v>0</v>
      </c>
      <c r="O374" s="93" t="str">
        <f aca="false">IF(OR(OR($B374="",$E374="",$F374=""),M374&lt;&gt;"نعم"),"",IF(YEAR(E374)=cfg_FY,MONTH(E374),""))</f>
        <v/>
      </c>
      <c r="P374" s="80" t="str">
        <f aca="false">IF(B374="","",IF(OR(D374="",E374="",F374=""),"⚠ أكمل النوع والتواريخ",IF(F374&lt;E374,"✖ النهاية قبل البداية",IF(COUNTIFS($B$6:$B$505,B374,$E$6:$E$505,"&lt;="&amp;F374,$F$6:$F$505,"&gt;="&amp;E374)&gt;1,"⚠ تداخل مع سجل آخر",IF(E374&gt;cfg_VAL_DATE,"⏳ قادمة",IF(F374&lt;cfg_VAL_DATE,"✔ منتهية","✈ جارية في تاريخ التقرير"))))))</f>
        <v/>
      </c>
      <c r="Q374" s="79"/>
      <c r="R374" s="57" t="n">
        <f aca="false">IF(OR(OR($B374="",$E374="",$F374=""),L374&lt;&gt;"لا"),0,MAX(0,MIN(F374,cfg_Y_START-1)-E374+1))</f>
        <v>0</v>
      </c>
      <c r="S374" s="57" t="n">
        <f aca="false">IF(OR(OR($B374="",$E374="",$F374=""),L374&lt;&gt;"لا"),0,MAX(0,MIN(F374,cfg_VAL_DATE)-E374+1))</f>
        <v>0</v>
      </c>
      <c r="T374" s="57" t="n">
        <f aca="false">IF(OR(OR($B374="",$E374="",$F374=""),K374&lt;&gt;"نعم"),0,IF(M374="نعم",IF(AND(ISNUMBER(O374),N(O374)&lt;=cfg_VAL_M),G374,0),MAX(0,MIN(F374,cfg_VAL_DATE)-MAX(E374,cfg_Y_START)+1)))</f>
        <v>0</v>
      </c>
      <c r="V374" s="57" t="n">
        <f aca="false">IF(OR($B374="",$E374="",$F374=""),0,MAX(0,MIN($F374,EOMONTH(DATE(cfg_FY,1,1),0))-MAX($E374,DATE(cfg_FY,1,1))+1)*(1-IF($M374="نعم",0,N($J374))))</f>
        <v>0</v>
      </c>
      <c r="W374" s="57" t="n">
        <f aca="false">IF(OR($B374="",$E374="",$F374=""),0,MAX(0,MIN($F374,EOMONTH(DATE(cfg_FY,2,1),0))-MAX($E374,DATE(cfg_FY,2,1))+1)*(1-IF($M374="نعم",0,N($J374))))</f>
        <v>0</v>
      </c>
      <c r="X374" s="57" t="n">
        <f aca="false">IF(OR($B374="",$E374="",$F374=""),0,MAX(0,MIN($F374,EOMONTH(DATE(cfg_FY,3,1),0))-MAX($E374,DATE(cfg_FY,3,1))+1)*(1-IF($M374="نعم",0,N($J374))))</f>
        <v>0</v>
      </c>
      <c r="Y374" s="57" t="n">
        <f aca="false">IF(OR($B374="",$E374="",$F374=""),0,MAX(0,MIN($F374,EOMONTH(DATE(cfg_FY,4,1),0))-MAX($E374,DATE(cfg_FY,4,1))+1)*(1-IF($M374="نعم",0,N($J374))))</f>
        <v>0</v>
      </c>
      <c r="Z374" s="57" t="n">
        <f aca="false">IF(OR($B374="",$E374="",$F374=""),0,MAX(0,MIN($F374,EOMONTH(DATE(cfg_FY,5,1),0))-MAX($E374,DATE(cfg_FY,5,1))+1)*(1-IF($M374="نعم",0,N($J374))))</f>
        <v>0</v>
      </c>
      <c r="AA374" s="57" t="n">
        <f aca="false">IF(OR($B374="",$E374="",$F374=""),0,MAX(0,MIN($F374,EOMONTH(DATE(cfg_FY,6,1),0))-MAX($E374,DATE(cfg_FY,6,1))+1)*(1-IF($M374="نعم",0,N($J374))))</f>
        <v>0</v>
      </c>
      <c r="AB374" s="57" t="n">
        <f aca="false">IF(OR($B374="",$E374="",$F374=""),0,MAX(0,MIN($F374,EOMONTH(DATE(cfg_FY,7,1),0))-MAX($E374,DATE(cfg_FY,7,1))+1)*(1-IF($M374="نعم",0,N($J374))))</f>
        <v>0</v>
      </c>
      <c r="AC374" s="57" t="n">
        <f aca="false">IF(OR($B374="",$E374="",$F374=""),0,MAX(0,MIN($F374,EOMONTH(DATE(cfg_FY,8,1),0))-MAX($E374,DATE(cfg_FY,8,1))+1)*(1-IF($M374="نعم",0,N($J374))))</f>
        <v>0</v>
      </c>
      <c r="AD374" s="57" t="n">
        <f aca="false">IF(OR($B374="",$E374="",$F374=""),0,MAX(0,MIN($F374,EOMONTH(DATE(cfg_FY,9,1),0))-MAX($E374,DATE(cfg_FY,9,1))+1)*(1-IF($M374="نعم",0,N($J374))))</f>
        <v>0</v>
      </c>
      <c r="AE374" s="57" t="n">
        <f aca="false">IF(OR($B374="",$E374="",$F374=""),0,MAX(0,MIN($F374,EOMONTH(DATE(cfg_FY,10,1),0))-MAX($E374,DATE(cfg_FY,10,1))+1)*(1-IF($M374="نعم",0,N($J374))))</f>
        <v>0</v>
      </c>
      <c r="AF374" s="57" t="n">
        <f aca="false">IF(OR($B374="",$E374="",$F374=""),0,MAX(0,MIN($F374,EOMONTH(DATE(cfg_FY,11,1),0))-MAX($E374,DATE(cfg_FY,11,1))+1)*(1-IF($M374="نعم",0,N($J374))))</f>
        <v>0</v>
      </c>
      <c r="AG374" s="57" t="n">
        <f aca="false">IF(OR($B374="",$E374="",$F374=""),0,MAX(0,MIN($F374,EOMONTH(DATE(cfg_FY,12,1),0))-MAX($E374,DATE(cfg_FY,12,1))+1)*(1-IF($M374="نعم",0,N($J374))))</f>
        <v>0</v>
      </c>
      <c r="AH374" s="57" t="n">
        <f aca="false">IF(OR(OR($B374="",$E374="",$F374=""),$L374&lt;&gt;"لا"),0,MAX(0,MIN($F374,EOMONTH(DATE(cfg_FY,1,1),0))-$E374+1))</f>
        <v>0</v>
      </c>
      <c r="AI374" s="57" t="n">
        <f aca="false">IF(OR(OR($B374="",$E374="",$F374=""),$L374&lt;&gt;"لا"),0,MAX(0,MIN($F374,EOMONTH(DATE(cfg_FY,2,1),0))-$E374+1))</f>
        <v>0</v>
      </c>
      <c r="AJ374" s="57" t="n">
        <f aca="false">IF(OR(OR($B374="",$E374="",$F374=""),$L374&lt;&gt;"لا"),0,MAX(0,MIN($F374,EOMONTH(DATE(cfg_FY,3,1),0))-$E374+1))</f>
        <v>0</v>
      </c>
      <c r="AK374" s="57" t="n">
        <f aca="false">IF(OR(OR($B374="",$E374="",$F374=""),$L374&lt;&gt;"لا"),0,MAX(0,MIN($F374,EOMONTH(DATE(cfg_FY,4,1),0))-$E374+1))</f>
        <v>0</v>
      </c>
      <c r="AL374" s="57" t="n">
        <f aca="false">IF(OR(OR($B374="",$E374="",$F374=""),$L374&lt;&gt;"لا"),0,MAX(0,MIN($F374,EOMONTH(DATE(cfg_FY,5,1),0))-$E374+1))</f>
        <v>0</v>
      </c>
      <c r="AM374" s="57" t="n">
        <f aca="false">IF(OR(OR($B374="",$E374="",$F374=""),$L374&lt;&gt;"لا"),0,MAX(0,MIN($F374,EOMONTH(DATE(cfg_FY,6,1),0))-$E374+1))</f>
        <v>0</v>
      </c>
      <c r="AN374" s="57" t="n">
        <f aca="false">IF(OR(OR($B374="",$E374="",$F374=""),$L374&lt;&gt;"لا"),0,MAX(0,MIN($F374,EOMONTH(DATE(cfg_FY,7,1),0))-$E374+1))</f>
        <v>0</v>
      </c>
      <c r="AO374" s="57" t="n">
        <f aca="false">IF(OR(OR($B374="",$E374="",$F374=""),$L374&lt;&gt;"لا"),0,MAX(0,MIN($F374,EOMONTH(DATE(cfg_FY,8,1),0))-$E374+1))</f>
        <v>0</v>
      </c>
      <c r="AP374" s="57" t="n">
        <f aca="false">IF(OR(OR($B374="",$E374="",$F374=""),$L374&lt;&gt;"لا"),0,MAX(0,MIN($F374,EOMONTH(DATE(cfg_FY,9,1),0))-$E374+1))</f>
        <v>0</v>
      </c>
      <c r="AQ374" s="57" t="n">
        <f aca="false">IF(OR(OR($B374="",$E374="",$F374=""),$L374&lt;&gt;"لا"),0,MAX(0,MIN($F374,EOMONTH(DATE(cfg_FY,10,1),0))-$E374+1))</f>
        <v>0</v>
      </c>
      <c r="AR374" s="57" t="n">
        <f aca="false">IF(OR(OR($B374="",$E374="",$F374=""),$L374&lt;&gt;"لا"),0,MAX(0,MIN($F374,EOMONTH(DATE(cfg_FY,11,1),0))-$E374+1))</f>
        <v>0</v>
      </c>
      <c r="AS374" s="57" t="n">
        <f aca="false">IF(OR(OR($B374="",$E374="",$F374=""),$L374&lt;&gt;"لا"),0,MAX(0,MIN($F374,EOMONTH(DATE(cfg_FY,12,1),0))-$E374+1))</f>
        <v>0</v>
      </c>
      <c r="AT374" s="57" t="n">
        <f aca="false">IF(OR(OR($B374="",$E374="",$F374=""),$K374&lt;&gt;"نعم",$M374="نعم"),0,MAX(0,MIN($F374,EOMONTH(DATE(cfg_FY,1,1),0))-MAX($E374,DATE(cfg_FY,1,1))+1))</f>
        <v>0</v>
      </c>
      <c r="AU374" s="57" t="n">
        <f aca="false">IF(OR(OR($B374="",$E374="",$F374=""),$K374&lt;&gt;"نعم",$M374="نعم"),0,MAX(0,MIN($F374,EOMONTH(DATE(cfg_FY,2,1),0))-MAX($E374,DATE(cfg_FY,2,1))+1))</f>
        <v>0</v>
      </c>
      <c r="AV374" s="57" t="n">
        <f aca="false">IF(OR(OR($B374="",$E374="",$F374=""),$K374&lt;&gt;"نعم",$M374="نعم"),0,MAX(0,MIN($F374,EOMONTH(DATE(cfg_FY,3,1),0))-MAX($E374,DATE(cfg_FY,3,1))+1))</f>
        <v>0</v>
      </c>
      <c r="AW374" s="57" t="n">
        <f aca="false">IF(OR(OR($B374="",$E374="",$F374=""),$K374&lt;&gt;"نعم",$M374="نعم"),0,MAX(0,MIN($F374,EOMONTH(DATE(cfg_FY,4,1),0))-MAX($E374,DATE(cfg_FY,4,1))+1))</f>
        <v>0</v>
      </c>
      <c r="AX374" s="57" t="n">
        <f aca="false">IF(OR(OR($B374="",$E374="",$F374=""),$K374&lt;&gt;"نعم",$M374="نعم"),0,MAX(0,MIN($F374,EOMONTH(DATE(cfg_FY,5,1),0))-MAX($E374,DATE(cfg_FY,5,1))+1))</f>
        <v>0</v>
      </c>
      <c r="AY374" s="57" t="n">
        <f aca="false">IF(OR(OR($B374="",$E374="",$F374=""),$K374&lt;&gt;"نعم",$M374="نعم"),0,MAX(0,MIN($F374,EOMONTH(DATE(cfg_FY,6,1),0))-MAX($E374,DATE(cfg_FY,6,1))+1))</f>
        <v>0</v>
      </c>
      <c r="AZ374" s="57" t="n">
        <f aca="false">IF(OR(OR($B374="",$E374="",$F374=""),$K374&lt;&gt;"نعم",$M374="نعم"),0,MAX(0,MIN($F374,EOMONTH(DATE(cfg_FY,7,1),0))-MAX($E374,DATE(cfg_FY,7,1))+1))</f>
        <v>0</v>
      </c>
      <c r="BA374" s="57" t="n">
        <f aca="false">IF(OR(OR($B374="",$E374="",$F374=""),$K374&lt;&gt;"نعم",$M374="نعم"),0,MAX(0,MIN($F374,EOMONTH(DATE(cfg_FY,8,1),0))-MAX($E374,DATE(cfg_FY,8,1))+1))</f>
        <v>0</v>
      </c>
      <c r="BB374" s="57" t="n">
        <f aca="false">IF(OR(OR($B374="",$E374="",$F374=""),$K374&lt;&gt;"نعم",$M374="نعم"),0,MAX(0,MIN($F374,EOMONTH(DATE(cfg_FY,9,1),0))-MAX($E374,DATE(cfg_FY,9,1))+1))</f>
        <v>0</v>
      </c>
      <c r="BC374" s="57" t="n">
        <f aca="false">IF(OR(OR($B374="",$E374="",$F374=""),$K374&lt;&gt;"نعم",$M374="نعم"),0,MAX(0,MIN($F374,EOMONTH(DATE(cfg_FY,10,1),0))-MAX($E374,DATE(cfg_FY,10,1))+1))</f>
        <v>0</v>
      </c>
      <c r="BD374" s="57" t="n">
        <f aca="false">IF(OR(OR($B374="",$E374="",$F374=""),$K374&lt;&gt;"نعم",$M374="نعم"),0,MAX(0,MIN($F374,EOMONTH(DATE(cfg_FY,11,1),0))-MAX($E374,DATE(cfg_FY,11,1))+1))</f>
        <v>0</v>
      </c>
      <c r="BE374" s="57" t="n">
        <f aca="false">IF(OR(OR($B374="",$E374="",$F374=""),$K374&lt;&gt;"نعم",$M374="نعم"),0,MAX(0,MIN($F374,EOMONTH(DATE(cfg_FY,12,1),0))-MAX($E374,DATE(cfg_FY,12,1))+1))</f>
        <v>0</v>
      </c>
    </row>
    <row r="375" customFormat="false" ht="15" hidden="false" customHeight="false" outlineLevel="0" collapsed="false">
      <c r="A375" s="100" t="str">
        <f aca="false">IF(B375="","",ROW()-5)</f>
        <v/>
      </c>
      <c r="B375" s="79"/>
      <c r="C375" s="102" t="str">
        <f aca="false">IF(B375="","",IFERROR(INDEX(الموظفون!$C$6:$C$105,MATCH(B375,الموظفون!$B$6:$B$105,0)),"✖ رقم غير موجود"))</f>
        <v/>
      </c>
      <c r="D375" s="79"/>
      <c r="E375" s="94"/>
      <c r="F375" s="94"/>
      <c r="G375" s="110" t="str">
        <f aca="false">IF(OR($B375="",$E375="",$F375=""),"",MAX(0,F375-E375+1))</f>
        <v/>
      </c>
      <c r="H375" s="111" t="str">
        <f aca="false">IF(D375="","",IFERROR(VLOOKUP(D375,cfg_LT,2,FALSE()),1))</f>
        <v/>
      </c>
      <c r="I375" s="82"/>
      <c r="J375" s="111" t="str">
        <f aca="false">IF(D375="","",IF(I375&lt;&gt;"",I375,H375))</f>
        <v/>
      </c>
      <c r="K375" s="102" t="str">
        <f aca="false">IF(D375="","",IFERROR(VLOOKUP($D375,cfg_LT,3,FALSE()),""))</f>
        <v/>
      </c>
      <c r="L375" s="102" t="str">
        <f aca="false">IF(D375="","",IFERROR(VLOOKUP($D375,cfg_LT,4,FALSE()),""))</f>
        <v/>
      </c>
      <c r="M375" s="102" t="str">
        <f aca="false">IF(D375="","",IFERROR(VLOOKUP($D375,cfg_LT,5,FALSE()),""))</f>
        <v/>
      </c>
      <c r="N375" s="101" t="n">
        <f aca="false">IF(OR(OR($B375="",$E375="",$F375=""),M375&lt;&gt;"نعم"),0,G375*J375*IFERROR(INDEX(الموظفون!$R$6:$R$105,MATCH(B375,الموظفون!$B$6:$B$105,0)),0)/cfg_DAYS_M)</f>
        <v>0</v>
      </c>
      <c r="O375" s="100" t="str">
        <f aca="false">IF(OR(OR($B375="",$E375="",$F375=""),M375&lt;&gt;"نعم"),"",IF(YEAR(E375)=cfg_FY,MONTH(E375),""))</f>
        <v/>
      </c>
      <c r="P375" s="102" t="str">
        <f aca="false">IF(B375="","",IF(OR(D375="",E375="",F375=""),"⚠ أكمل النوع والتواريخ",IF(F375&lt;E375,"✖ النهاية قبل البداية",IF(COUNTIFS($B$6:$B$505,B375,$E$6:$E$505,"&lt;="&amp;F375,$F$6:$F$505,"&gt;="&amp;E375)&gt;1,"⚠ تداخل مع سجل آخر",IF(E375&gt;cfg_VAL_DATE,"⏳ قادمة",IF(F375&lt;cfg_VAL_DATE,"✔ منتهية","✈ جارية في تاريخ التقرير"))))))</f>
        <v/>
      </c>
      <c r="Q375" s="79"/>
      <c r="R375" s="110" t="n">
        <f aca="false">IF(OR(OR($B375="",$E375="",$F375=""),L375&lt;&gt;"لا"),0,MAX(0,MIN(F375,cfg_Y_START-1)-E375+1))</f>
        <v>0</v>
      </c>
      <c r="S375" s="110" t="n">
        <f aca="false">IF(OR(OR($B375="",$E375="",$F375=""),L375&lt;&gt;"لا"),0,MAX(0,MIN(F375,cfg_VAL_DATE)-E375+1))</f>
        <v>0</v>
      </c>
      <c r="T375" s="110" t="n">
        <f aca="false">IF(OR(OR($B375="",$E375="",$F375=""),K375&lt;&gt;"نعم"),0,IF(M375="نعم",IF(AND(ISNUMBER(O375),N(O375)&lt;=cfg_VAL_M),G375,0),MAX(0,MIN(F375,cfg_VAL_DATE)-MAX(E375,cfg_Y_START)+1)))</f>
        <v>0</v>
      </c>
      <c r="V375" s="110" t="n">
        <f aca="false">IF(OR($B375="",$E375="",$F375=""),0,MAX(0,MIN($F375,EOMONTH(DATE(cfg_FY,1,1),0))-MAX($E375,DATE(cfg_FY,1,1))+1)*(1-IF($M375="نعم",0,N($J375))))</f>
        <v>0</v>
      </c>
      <c r="W375" s="110" t="n">
        <f aca="false">IF(OR($B375="",$E375="",$F375=""),0,MAX(0,MIN($F375,EOMONTH(DATE(cfg_FY,2,1),0))-MAX($E375,DATE(cfg_FY,2,1))+1)*(1-IF($M375="نعم",0,N($J375))))</f>
        <v>0</v>
      </c>
      <c r="X375" s="110" t="n">
        <f aca="false">IF(OR($B375="",$E375="",$F375=""),0,MAX(0,MIN($F375,EOMONTH(DATE(cfg_FY,3,1),0))-MAX($E375,DATE(cfg_FY,3,1))+1)*(1-IF($M375="نعم",0,N($J375))))</f>
        <v>0</v>
      </c>
      <c r="Y375" s="110" t="n">
        <f aca="false">IF(OR($B375="",$E375="",$F375=""),0,MAX(0,MIN($F375,EOMONTH(DATE(cfg_FY,4,1),0))-MAX($E375,DATE(cfg_FY,4,1))+1)*(1-IF($M375="نعم",0,N($J375))))</f>
        <v>0</v>
      </c>
      <c r="Z375" s="110" t="n">
        <f aca="false">IF(OR($B375="",$E375="",$F375=""),0,MAX(0,MIN($F375,EOMONTH(DATE(cfg_FY,5,1),0))-MAX($E375,DATE(cfg_FY,5,1))+1)*(1-IF($M375="نعم",0,N($J375))))</f>
        <v>0</v>
      </c>
      <c r="AA375" s="110" t="n">
        <f aca="false">IF(OR($B375="",$E375="",$F375=""),0,MAX(0,MIN($F375,EOMONTH(DATE(cfg_FY,6,1),0))-MAX($E375,DATE(cfg_FY,6,1))+1)*(1-IF($M375="نعم",0,N($J375))))</f>
        <v>0</v>
      </c>
      <c r="AB375" s="110" t="n">
        <f aca="false">IF(OR($B375="",$E375="",$F375=""),0,MAX(0,MIN($F375,EOMONTH(DATE(cfg_FY,7,1),0))-MAX($E375,DATE(cfg_FY,7,1))+1)*(1-IF($M375="نعم",0,N($J375))))</f>
        <v>0</v>
      </c>
      <c r="AC375" s="110" t="n">
        <f aca="false">IF(OR($B375="",$E375="",$F375=""),0,MAX(0,MIN($F375,EOMONTH(DATE(cfg_FY,8,1),0))-MAX($E375,DATE(cfg_FY,8,1))+1)*(1-IF($M375="نعم",0,N($J375))))</f>
        <v>0</v>
      </c>
      <c r="AD375" s="110" t="n">
        <f aca="false">IF(OR($B375="",$E375="",$F375=""),0,MAX(0,MIN($F375,EOMONTH(DATE(cfg_FY,9,1),0))-MAX($E375,DATE(cfg_FY,9,1))+1)*(1-IF($M375="نعم",0,N($J375))))</f>
        <v>0</v>
      </c>
      <c r="AE375" s="110" t="n">
        <f aca="false">IF(OR($B375="",$E375="",$F375=""),0,MAX(0,MIN($F375,EOMONTH(DATE(cfg_FY,10,1),0))-MAX($E375,DATE(cfg_FY,10,1))+1)*(1-IF($M375="نعم",0,N($J375))))</f>
        <v>0</v>
      </c>
      <c r="AF375" s="110" t="n">
        <f aca="false">IF(OR($B375="",$E375="",$F375=""),0,MAX(0,MIN($F375,EOMONTH(DATE(cfg_FY,11,1),0))-MAX($E375,DATE(cfg_FY,11,1))+1)*(1-IF($M375="نعم",0,N($J375))))</f>
        <v>0</v>
      </c>
      <c r="AG375" s="110" t="n">
        <f aca="false">IF(OR($B375="",$E375="",$F375=""),0,MAX(0,MIN($F375,EOMONTH(DATE(cfg_FY,12,1),0))-MAX($E375,DATE(cfg_FY,12,1))+1)*(1-IF($M375="نعم",0,N($J375))))</f>
        <v>0</v>
      </c>
      <c r="AH375" s="110" t="n">
        <f aca="false">IF(OR(OR($B375="",$E375="",$F375=""),$L375&lt;&gt;"لا"),0,MAX(0,MIN($F375,EOMONTH(DATE(cfg_FY,1,1),0))-$E375+1))</f>
        <v>0</v>
      </c>
      <c r="AI375" s="110" t="n">
        <f aca="false">IF(OR(OR($B375="",$E375="",$F375=""),$L375&lt;&gt;"لا"),0,MAX(0,MIN($F375,EOMONTH(DATE(cfg_FY,2,1),0))-$E375+1))</f>
        <v>0</v>
      </c>
      <c r="AJ375" s="110" t="n">
        <f aca="false">IF(OR(OR($B375="",$E375="",$F375=""),$L375&lt;&gt;"لا"),0,MAX(0,MIN($F375,EOMONTH(DATE(cfg_FY,3,1),0))-$E375+1))</f>
        <v>0</v>
      </c>
      <c r="AK375" s="110" t="n">
        <f aca="false">IF(OR(OR($B375="",$E375="",$F375=""),$L375&lt;&gt;"لا"),0,MAX(0,MIN($F375,EOMONTH(DATE(cfg_FY,4,1),0))-$E375+1))</f>
        <v>0</v>
      </c>
      <c r="AL375" s="110" t="n">
        <f aca="false">IF(OR(OR($B375="",$E375="",$F375=""),$L375&lt;&gt;"لا"),0,MAX(0,MIN($F375,EOMONTH(DATE(cfg_FY,5,1),0))-$E375+1))</f>
        <v>0</v>
      </c>
      <c r="AM375" s="110" t="n">
        <f aca="false">IF(OR(OR($B375="",$E375="",$F375=""),$L375&lt;&gt;"لا"),0,MAX(0,MIN($F375,EOMONTH(DATE(cfg_FY,6,1),0))-$E375+1))</f>
        <v>0</v>
      </c>
      <c r="AN375" s="110" t="n">
        <f aca="false">IF(OR(OR($B375="",$E375="",$F375=""),$L375&lt;&gt;"لا"),0,MAX(0,MIN($F375,EOMONTH(DATE(cfg_FY,7,1),0))-$E375+1))</f>
        <v>0</v>
      </c>
      <c r="AO375" s="110" t="n">
        <f aca="false">IF(OR(OR($B375="",$E375="",$F375=""),$L375&lt;&gt;"لا"),0,MAX(0,MIN($F375,EOMONTH(DATE(cfg_FY,8,1),0))-$E375+1))</f>
        <v>0</v>
      </c>
      <c r="AP375" s="110" t="n">
        <f aca="false">IF(OR(OR($B375="",$E375="",$F375=""),$L375&lt;&gt;"لا"),0,MAX(0,MIN($F375,EOMONTH(DATE(cfg_FY,9,1),0))-$E375+1))</f>
        <v>0</v>
      </c>
      <c r="AQ375" s="110" t="n">
        <f aca="false">IF(OR(OR($B375="",$E375="",$F375=""),$L375&lt;&gt;"لا"),0,MAX(0,MIN($F375,EOMONTH(DATE(cfg_FY,10,1),0))-$E375+1))</f>
        <v>0</v>
      </c>
      <c r="AR375" s="110" t="n">
        <f aca="false">IF(OR(OR($B375="",$E375="",$F375=""),$L375&lt;&gt;"لا"),0,MAX(0,MIN($F375,EOMONTH(DATE(cfg_FY,11,1),0))-$E375+1))</f>
        <v>0</v>
      </c>
      <c r="AS375" s="110" t="n">
        <f aca="false">IF(OR(OR($B375="",$E375="",$F375=""),$L375&lt;&gt;"لا"),0,MAX(0,MIN($F375,EOMONTH(DATE(cfg_FY,12,1),0))-$E375+1))</f>
        <v>0</v>
      </c>
      <c r="AT375" s="110" t="n">
        <f aca="false">IF(OR(OR($B375="",$E375="",$F375=""),$K375&lt;&gt;"نعم",$M375="نعم"),0,MAX(0,MIN($F375,EOMONTH(DATE(cfg_FY,1,1),0))-MAX($E375,DATE(cfg_FY,1,1))+1))</f>
        <v>0</v>
      </c>
      <c r="AU375" s="110" t="n">
        <f aca="false">IF(OR(OR($B375="",$E375="",$F375=""),$K375&lt;&gt;"نعم",$M375="نعم"),0,MAX(0,MIN($F375,EOMONTH(DATE(cfg_FY,2,1),0))-MAX($E375,DATE(cfg_FY,2,1))+1))</f>
        <v>0</v>
      </c>
      <c r="AV375" s="110" t="n">
        <f aca="false">IF(OR(OR($B375="",$E375="",$F375=""),$K375&lt;&gt;"نعم",$M375="نعم"),0,MAX(0,MIN($F375,EOMONTH(DATE(cfg_FY,3,1),0))-MAX($E375,DATE(cfg_FY,3,1))+1))</f>
        <v>0</v>
      </c>
      <c r="AW375" s="110" t="n">
        <f aca="false">IF(OR(OR($B375="",$E375="",$F375=""),$K375&lt;&gt;"نعم",$M375="نعم"),0,MAX(0,MIN($F375,EOMONTH(DATE(cfg_FY,4,1),0))-MAX($E375,DATE(cfg_FY,4,1))+1))</f>
        <v>0</v>
      </c>
      <c r="AX375" s="110" t="n">
        <f aca="false">IF(OR(OR($B375="",$E375="",$F375=""),$K375&lt;&gt;"نعم",$M375="نعم"),0,MAX(0,MIN($F375,EOMONTH(DATE(cfg_FY,5,1),0))-MAX($E375,DATE(cfg_FY,5,1))+1))</f>
        <v>0</v>
      </c>
      <c r="AY375" s="110" t="n">
        <f aca="false">IF(OR(OR($B375="",$E375="",$F375=""),$K375&lt;&gt;"نعم",$M375="نعم"),0,MAX(0,MIN($F375,EOMONTH(DATE(cfg_FY,6,1),0))-MAX($E375,DATE(cfg_FY,6,1))+1))</f>
        <v>0</v>
      </c>
      <c r="AZ375" s="110" t="n">
        <f aca="false">IF(OR(OR($B375="",$E375="",$F375=""),$K375&lt;&gt;"نعم",$M375="نعم"),0,MAX(0,MIN($F375,EOMONTH(DATE(cfg_FY,7,1),0))-MAX($E375,DATE(cfg_FY,7,1))+1))</f>
        <v>0</v>
      </c>
      <c r="BA375" s="110" t="n">
        <f aca="false">IF(OR(OR($B375="",$E375="",$F375=""),$K375&lt;&gt;"نعم",$M375="نعم"),0,MAX(0,MIN($F375,EOMONTH(DATE(cfg_FY,8,1),0))-MAX($E375,DATE(cfg_FY,8,1))+1))</f>
        <v>0</v>
      </c>
      <c r="BB375" s="110" t="n">
        <f aca="false">IF(OR(OR($B375="",$E375="",$F375=""),$K375&lt;&gt;"نعم",$M375="نعم"),0,MAX(0,MIN($F375,EOMONTH(DATE(cfg_FY,9,1),0))-MAX($E375,DATE(cfg_FY,9,1))+1))</f>
        <v>0</v>
      </c>
      <c r="BC375" s="110" t="n">
        <f aca="false">IF(OR(OR($B375="",$E375="",$F375=""),$K375&lt;&gt;"نعم",$M375="نعم"),0,MAX(0,MIN($F375,EOMONTH(DATE(cfg_FY,10,1),0))-MAX($E375,DATE(cfg_FY,10,1))+1))</f>
        <v>0</v>
      </c>
      <c r="BD375" s="110" t="n">
        <f aca="false">IF(OR(OR($B375="",$E375="",$F375=""),$K375&lt;&gt;"نعم",$M375="نعم"),0,MAX(0,MIN($F375,EOMONTH(DATE(cfg_FY,11,1),0))-MAX($E375,DATE(cfg_FY,11,1))+1))</f>
        <v>0</v>
      </c>
      <c r="BE375" s="110" t="n">
        <f aca="false">IF(OR(OR($B375="",$E375="",$F375=""),$K375&lt;&gt;"نعم",$M375="نعم"),0,MAX(0,MIN($F375,EOMONTH(DATE(cfg_FY,12,1),0))-MAX($E375,DATE(cfg_FY,12,1))+1))</f>
        <v>0</v>
      </c>
    </row>
    <row r="376" customFormat="false" ht="15" hidden="false" customHeight="false" outlineLevel="0" collapsed="false">
      <c r="A376" s="93" t="str">
        <f aca="false">IF(B376="","",ROW()-5)</f>
        <v/>
      </c>
      <c r="B376" s="79"/>
      <c r="C376" s="80" t="str">
        <f aca="false">IF(B376="","",IFERROR(INDEX(الموظفون!$C$6:$C$105,MATCH(B376,الموظفون!$B$6:$B$105,0)),"✖ رقم غير موجود"))</f>
        <v/>
      </c>
      <c r="D376" s="79"/>
      <c r="E376" s="94"/>
      <c r="F376" s="94"/>
      <c r="G376" s="57" t="str">
        <f aca="false">IF(OR($B376="",$E376="",$F376=""),"",MAX(0,F376-E376+1))</f>
        <v/>
      </c>
      <c r="H376" s="58" t="str">
        <f aca="false">IF(D376="","",IFERROR(VLOOKUP(D376,cfg_LT,2,FALSE()),1))</f>
        <v/>
      </c>
      <c r="I376" s="82"/>
      <c r="J376" s="58" t="str">
        <f aca="false">IF(D376="","",IF(I376&lt;&gt;"",I376,H376))</f>
        <v/>
      </c>
      <c r="K376" s="80" t="str">
        <f aca="false">IF(D376="","",IFERROR(VLOOKUP($D376,cfg_LT,3,FALSE()),""))</f>
        <v/>
      </c>
      <c r="L376" s="80" t="str">
        <f aca="false">IF(D376="","",IFERROR(VLOOKUP($D376,cfg_LT,4,FALSE()),""))</f>
        <v/>
      </c>
      <c r="M376" s="80" t="str">
        <f aca="false">IF(D376="","",IFERROR(VLOOKUP($D376,cfg_LT,5,FALSE()),""))</f>
        <v/>
      </c>
      <c r="N376" s="97" t="n">
        <f aca="false">IF(OR(OR($B376="",$E376="",$F376=""),M376&lt;&gt;"نعم"),0,G376*J376*IFERROR(INDEX(الموظفون!$R$6:$R$105,MATCH(B376,الموظفون!$B$6:$B$105,0)),0)/cfg_DAYS_M)</f>
        <v>0</v>
      </c>
      <c r="O376" s="93" t="str">
        <f aca="false">IF(OR(OR($B376="",$E376="",$F376=""),M376&lt;&gt;"نعم"),"",IF(YEAR(E376)=cfg_FY,MONTH(E376),""))</f>
        <v/>
      </c>
      <c r="P376" s="80" t="str">
        <f aca="false">IF(B376="","",IF(OR(D376="",E376="",F376=""),"⚠ أكمل النوع والتواريخ",IF(F376&lt;E376,"✖ النهاية قبل البداية",IF(COUNTIFS($B$6:$B$505,B376,$E$6:$E$505,"&lt;="&amp;F376,$F$6:$F$505,"&gt;="&amp;E376)&gt;1,"⚠ تداخل مع سجل آخر",IF(E376&gt;cfg_VAL_DATE,"⏳ قادمة",IF(F376&lt;cfg_VAL_DATE,"✔ منتهية","✈ جارية في تاريخ التقرير"))))))</f>
        <v/>
      </c>
      <c r="Q376" s="79"/>
      <c r="R376" s="57" t="n">
        <f aca="false">IF(OR(OR($B376="",$E376="",$F376=""),L376&lt;&gt;"لا"),0,MAX(0,MIN(F376,cfg_Y_START-1)-E376+1))</f>
        <v>0</v>
      </c>
      <c r="S376" s="57" t="n">
        <f aca="false">IF(OR(OR($B376="",$E376="",$F376=""),L376&lt;&gt;"لا"),0,MAX(0,MIN(F376,cfg_VAL_DATE)-E376+1))</f>
        <v>0</v>
      </c>
      <c r="T376" s="57" t="n">
        <f aca="false">IF(OR(OR($B376="",$E376="",$F376=""),K376&lt;&gt;"نعم"),0,IF(M376="نعم",IF(AND(ISNUMBER(O376),N(O376)&lt;=cfg_VAL_M),G376,0),MAX(0,MIN(F376,cfg_VAL_DATE)-MAX(E376,cfg_Y_START)+1)))</f>
        <v>0</v>
      </c>
      <c r="V376" s="57" t="n">
        <f aca="false">IF(OR($B376="",$E376="",$F376=""),0,MAX(0,MIN($F376,EOMONTH(DATE(cfg_FY,1,1),0))-MAX($E376,DATE(cfg_FY,1,1))+1)*(1-IF($M376="نعم",0,N($J376))))</f>
        <v>0</v>
      </c>
      <c r="W376" s="57" t="n">
        <f aca="false">IF(OR($B376="",$E376="",$F376=""),0,MAX(0,MIN($F376,EOMONTH(DATE(cfg_FY,2,1),0))-MAX($E376,DATE(cfg_FY,2,1))+1)*(1-IF($M376="نعم",0,N($J376))))</f>
        <v>0</v>
      </c>
      <c r="X376" s="57" t="n">
        <f aca="false">IF(OR($B376="",$E376="",$F376=""),0,MAX(0,MIN($F376,EOMONTH(DATE(cfg_FY,3,1),0))-MAX($E376,DATE(cfg_FY,3,1))+1)*(1-IF($M376="نعم",0,N($J376))))</f>
        <v>0</v>
      </c>
      <c r="Y376" s="57" t="n">
        <f aca="false">IF(OR($B376="",$E376="",$F376=""),0,MAX(0,MIN($F376,EOMONTH(DATE(cfg_FY,4,1),0))-MAX($E376,DATE(cfg_FY,4,1))+1)*(1-IF($M376="نعم",0,N($J376))))</f>
        <v>0</v>
      </c>
      <c r="Z376" s="57" t="n">
        <f aca="false">IF(OR($B376="",$E376="",$F376=""),0,MAX(0,MIN($F376,EOMONTH(DATE(cfg_FY,5,1),0))-MAX($E376,DATE(cfg_FY,5,1))+1)*(1-IF($M376="نعم",0,N($J376))))</f>
        <v>0</v>
      </c>
      <c r="AA376" s="57" t="n">
        <f aca="false">IF(OR($B376="",$E376="",$F376=""),0,MAX(0,MIN($F376,EOMONTH(DATE(cfg_FY,6,1),0))-MAX($E376,DATE(cfg_FY,6,1))+1)*(1-IF($M376="نعم",0,N($J376))))</f>
        <v>0</v>
      </c>
      <c r="AB376" s="57" t="n">
        <f aca="false">IF(OR($B376="",$E376="",$F376=""),0,MAX(0,MIN($F376,EOMONTH(DATE(cfg_FY,7,1),0))-MAX($E376,DATE(cfg_FY,7,1))+1)*(1-IF($M376="نعم",0,N($J376))))</f>
        <v>0</v>
      </c>
      <c r="AC376" s="57" t="n">
        <f aca="false">IF(OR($B376="",$E376="",$F376=""),0,MAX(0,MIN($F376,EOMONTH(DATE(cfg_FY,8,1),0))-MAX($E376,DATE(cfg_FY,8,1))+1)*(1-IF($M376="نعم",0,N($J376))))</f>
        <v>0</v>
      </c>
      <c r="AD376" s="57" t="n">
        <f aca="false">IF(OR($B376="",$E376="",$F376=""),0,MAX(0,MIN($F376,EOMONTH(DATE(cfg_FY,9,1),0))-MAX($E376,DATE(cfg_FY,9,1))+1)*(1-IF($M376="نعم",0,N($J376))))</f>
        <v>0</v>
      </c>
      <c r="AE376" s="57" t="n">
        <f aca="false">IF(OR($B376="",$E376="",$F376=""),0,MAX(0,MIN($F376,EOMONTH(DATE(cfg_FY,10,1),0))-MAX($E376,DATE(cfg_FY,10,1))+1)*(1-IF($M376="نعم",0,N($J376))))</f>
        <v>0</v>
      </c>
      <c r="AF376" s="57" t="n">
        <f aca="false">IF(OR($B376="",$E376="",$F376=""),0,MAX(0,MIN($F376,EOMONTH(DATE(cfg_FY,11,1),0))-MAX($E376,DATE(cfg_FY,11,1))+1)*(1-IF($M376="نعم",0,N($J376))))</f>
        <v>0</v>
      </c>
      <c r="AG376" s="57" t="n">
        <f aca="false">IF(OR($B376="",$E376="",$F376=""),0,MAX(0,MIN($F376,EOMONTH(DATE(cfg_FY,12,1),0))-MAX($E376,DATE(cfg_FY,12,1))+1)*(1-IF($M376="نعم",0,N($J376))))</f>
        <v>0</v>
      </c>
      <c r="AH376" s="57" t="n">
        <f aca="false">IF(OR(OR($B376="",$E376="",$F376=""),$L376&lt;&gt;"لا"),0,MAX(0,MIN($F376,EOMONTH(DATE(cfg_FY,1,1),0))-$E376+1))</f>
        <v>0</v>
      </c>
      <c r="AI376" s="57" t="n">
        <f aca="false">IF(OR(OR($B376="",$E376="",$F376=""),$L376&lt;&gt;"لا"),0,MAX(0,MIN($F376,EOMONTH(DATE(cfg_FY,2,1),0))-$E376+1))</f>
        <v>0</v>
      </c>
      <c r="AJ376" s="57" t="n">
        <f aca="false">IF(OR(OR($B376="",$E376="",$F376=""),$L376&lt;&gt;"لا"),0,MAX(0,MIN($F376,EOMONTH(DATE(cfg_FY,3,1),0))-$E376+1))</f>
        <v>0</v>
      </c>
      <c r="AK376" s="57" t="n">
        <f aca="false">IF(OR(OR($B376="",$E376="",$F376=""),$L376&lt;&gt;"لا"),0,MAX(0,MIN($F376,EOMONTH(DATE(cfg_FY,4,1),0))-$E376+1))</f>
        <v>0</v>
      </c>
      <c r="AL376" s="57" t="n">
        <f aca="false">IF(OR(OR($B376="",$E376="",$F376=""),$L376&lt;&gt;"لا"),0,MAX(0,MIN($F376,EOMONTH(DATE(cfg_FY,5,1),0))-$E376+1))</f>
        <v>0</v>
      </c>
      <c r="AM376" s="57" t="n">
        <f aca="false">IF(OR(OR($B376="",$E376="",$F376=""),$L376&lt;&gt;"لا"),0,MAX(0,MIN($F376,EOMONTH(DATE(cfg_FY,6,1),0))-$E376+1))</f>
        <v>0</v>
      </c>
      <c r="AN376" s="57" t="n">
        <f aca="false">IF(OR(OR($B376="",$E376="",$F376=""),$L376&lt;&gt;"لا"),0,MAX(0,MIN($F376,EOMONTH(DATE(cfg_FY,7,1),0))-$E376+1))</f>
        <v>0</v>
      </c>
      <c r="AO376" s="57" t="n">
        <f aca="false">IF(OR(OR($B376="",$E376="",$F376=""),$L376&lt;&gt;"لا"),0,MAX(0,MIN($F376,EOMONTH(DATE(cfg_FY,8,1),0))-$E376+1))</f>
        <v>0</v>
      </c>
      <c r="AP376" s="57" t="n">
        <f aca="false">IF(OR(OR($B376="",$E376="",$F376=""),$L376&lt;&gt;"لا"),0,MAX(0,MIN($F376,EOMONTH(DATE(cfg_FY,9,1),0))-$E376+1))</f>
        <v>0</v>
      </c>
      <c r="AQ376" s="57" t="n">
        <f aca="false">IF(OR(OR($B376="",$E376="",$F376=""),$L376&lt;&gt;"لا"),0,MAX(0,MIN($F376,EOMONTH(DATE(cfg_FY,10,1),0))-$E376+1))</f>
        <v>0</v>
      </c>
      <c r="AR376" s="57" t="n">
        <f aca="false">IF(OR(OR($B376="",$E376="",$F376=""),$L376&lt;&gt;"لا"),0,MAX(0,MIN($F376,EOMONTH(DATE(cfg_FY,11,1),0))-$E376+1))</f>
        <v>0</v>
      </c>
      <c r="AS376" s="57" t="n">
        <f aca="false">IF(OR(OR($B376="",$E376="",$F376=""),$L376&lt;&gt;"لا"),0,MAX(0,MIN($F376,EOMONTH(DATE(cfg_FY,12,1),0))-$E376+1))</f>
        <v>0</v>
      </c>
      <c r="AT376" s="57" t="n">
        <f aca="false">IF(OR(OR($B376="",$E376="",$F376=""),$K376&lt;&gt;"نعم",$M376="نعم"),0,MAX(0,MIN($F376,EOMONTH(DATE(cfg_FY,1,1),0))-MAX($E376,DATE(cfg_FY,1,1))+1))</f>
        <v>0</v>
      </c>
      <c r="AU376" s="57" t="n">
        <f aca="false">IF(OR(OR($B376="",$E376="",$F376=""),$K376&lt;&gt;"نعم",$M376="نعم"),0,MAX(0,MIN($F376,EOMONTH(DATE(cfg_FY,2,1),0))-MAX($E376,DATE(cfg_FY,2,1))+1))</f>
        <v>0</v>
      </c>
      <c r="AV376" s="57" t="n">
        <f aca="false">IF(OR(OR($B376="",$E376="",$F376=""),$K376&lt;&gt;"نعم",$M376="نعم"),0,MAX(0,MIN($F376,EOMONTH(DATE(cfg_FY,3,1),0))-MAX($E376,DATE(cfg_FY,3,1))+1))</f>
        <v>0</v>
      </c>
      <c r="AW376" s="57" t="n">
        <f aca="false">IF(OR(OR($B376="",$E376="",$F376=""),$K376&lt;&gt;"نعم",$M376="نعم"),0,MAX(0,MIN($F376,EOMONTH(DATE(cfg_FY,4,1),0))-MAX($E376,DATE(cfg_FY,4,1))+1))</f>
        <v>0</v>
      </c>
      <c r="AX376" s="57" t="n">
        <f aca="false">IF(OR(OR($B376="",$E376="",$F376=""),$K376&lt;&gt;"نعم",$M376="نعم"),0,MAX(0,MIN($F376,EOMONTH(DATE(cfg_FY,5,1),0))-MAX($E376,DATE(cfg_FY,5,1))+1))</f>
        <v>0</v>
      </c>
      <c r="AY376" s="57" t="n">
        <f aca="false">IF(OR(OR($B376="",$E376="",$F376=""),$K376&lt;&gt;"نعم",$M376="نعم"),0,MAX(0,MIN($F376,EOMONTH(DATE(cfg_FY,6,1),0))-MAX($E376,DATE(cfg_FY,6,1))+1))</f>
        <v>0</v>
      </c>
      <c r="AZ376" s="57" t="n">
        <f aca="false">IF(OR(OR($B376="",$E376="",$F376=""),$K376&lt;&gt;"نعم",$M376="نعم"),0,MAX(0,MIN($F376,EOMONTH(DATE(cfg_FY,7,1),0))-MAX($E376,DATE(cfg_FY,7,1))+1))</f>
        <v>0</v>
      </c>
      <c r="BA376" s="57" t="n">
        <f aca="false">IF(OR(OR($B376="",$E376="",$F376=""),$K376&lt;&gt;"نعم",$M376="نعم"),0,MAX(0,MIN($F376,EOMONTH(DATE(cfg_FY,8,1),0))-MAX($E376,DATE(cfg_FY,8,1))+1))</f>
        <v>0</v>
      </c>
      <c r="BB376" s="57" t="n">
        <f aca="false">IF(OR(OR($B376="",$E376="",$F376=""),$K376&lt;&gt;"نعم",$M376="نعم"),0,MAX(0,MIN($F376,EOMONTH(DATE(cfg_FY,9,1),0))-MAX($E376,DATE(cfg_FY,9,1))+1))</f>
        <v>0</v>
      </c>
      <c r="BC376" s="57" t="n">
        <f aca="false">IF(OR(OR($B376="",$E376="",$F376=""),$K376&lt;&gt;"نعم",$M376="نعم"),0,MAX(0,MIN($F376,EOMONTH(DATE(cfg_FY,10,1),0))-MAX($E376,DATE(cfg_FY,10,1))+1))</f>
        <v>0</v>
      </c>
      <c r="BD376" s="57" t="n">
        <f aca="false">IF(OR(OR($B376="",$E376="",$F376=""),$K376&lt;&gt;"نعم",$M376="نعم"),0,MAX(0,MIN($F376,EOMONTH(DATE(cfg_FY,11,1),0))-MAX($E376,DATE(cfg_FY,11,1))+1))</f>
        <v>0</v>
      </c>
      <c r="BE376" s="57" t="n">
        <f aca="false">IF(OR(OR($B376="",$E376="",$F376=""),$K376&lt;&gt;"نعم",$M376="نعم"),0,MAX(0,MIN($F376,EOMONTH(DATE(cfg_FY,12,1),0))-MAX($E376,DATE(cfg_FY,12,1))+1))</f>
        <v>0</v>
      </c>
    </row>
    <row r="377" customFormat="false" ht="15" hidden="false" customHeight="false" outlineLevel="0" collapsed="false">
      <c r="A377" s="100" t="str">
        <f aca="false">IF(B377="","",ROW()-5)</f>
        <v/>
      </c>
      <c r="B377" s="79"/>
      <c r="C377" s="102" t="str">
        <f aca="false">IF(B377="","",IFERROR(INDEX(الموظفون!$C$6:$C$105,MATCH(B377,الموظفون!$B$6:$B$105,0)),"✖ رقم غير موجود"))</f>
        <v/>
      </c>
      <c r="D377" s="79"/>
      <c r="E377" s="94"/>
      <c r="F377" s="94"/>
      <c r="G377" s="110" t="str">
        <f aca="false">IF(OR($B377="",$E377="",$F377=""),"",MAX(0,F377-E377+1))</f>
        <v/>
      </c>
      <c r="H377" s="111" t="str">
        <f aca="false">IF(D377="","",IFERROR(VLOOKUP(D377,cfg_LT,2,FALSE()),1))</f>
        <v/>
      </c>
      <c r="I377" s="82"/>
      <c r="J377" s="111" t="str">
        <f aca="false">IF(D377="","",IF(I377&lt;&gt;"",I377,H377))</f>
        <v/>
      </c>
      <c r="K377" s="102" t="str">
        <f aca="false">IF(D377="","",IFERROR(VLOOKUP($D377,cfg_LT,3,FALSE()),""))</f>
        <v/>
      </c>
      <c r="L377" s="102" t="str">
        <f aca="false">IF(D377="","",IFERROR(VLOOKUP($D377,cfg_LT,4,FALSE()),""))</f>
        <v/>
      </c>
      <c r="M377" s="102" t="str">
        <f aca="false">IF(D377="","",IFERROR(VLOOKUP($D377,cfg_LT,5,FALSE()),""))</f>
        <v/>
      </c>
      <c r="N377" s="101" t="n">
        <f aca="false">IF(OR(OR($B377="",$E377="",$F377=""),M377&lt;&gt;"نعم"),0,G377*J377*IFERROR(INDEX(الموظفون!$R$6:$R$105,MATCH(B377,الموظفون!$B$6:$B$105,0)),0)/cfg_DAYS_M)</f>
        <v>0</v>
      </c>
      <c r="O377" s="100" t="str">
        <f aca="false">IF(OR(OR($B377="",$E377="",$F377=""),M377&lt;&gt;"نعم"),"",IF(YEAR(E377)=cfg_FY,MONTH(E377),""))</f>
        <v/>
      </c>
      <c r="P377" s="102" t="str">
        <f aca="false">IF(B377="","",IF(OR(D377="",E377="",F377=""),"⚠ أكمل النوع والتواريخ",IF(F377&lt;E377,"✖ النهاية قبل البداية",IF(COUNTIFS($B$6:$B$505,B377,$E$6:$E$505,"&lt;="&amp;F377,$F$6:$F$505,"&gt;="&amp;E377)&gt;1,"⚠ تداخل مع سجل آخر",IF(E377&gt;cfg_VAL_DATE,"⏳ قادمة",IF(F377&lt;cfg_VAL_DATE,"✔ منتهية","✈ جارية في تاريخ التقرير"))))))</f>
        <v/>
      </c>
      <c r="Q377" s="79"/>
      <c r="R377" s="110" t="n">
        <f aca="false">IF(OR(OR($B377="",$E377="",$F377=""),L377&lt;&gt;"لا"),0,MAX(0,MIN(F377,cfg_Y_START-1)-E377+1))</f>
        <v>0</v>
      </c>
      <c r="S377" s="110" t="n">
        <f aca="false">IF(OR(OR($B377="",$E377="",$F377=""),L377&lt;&gt;"لا"),0,MAX(0,MIN(F377,cfg_VAL_DATE)-E377+1))</f>
        <v>0</v>
      </c>
      <c r="T377" s="110" t="n">
        <f aca="false">IF(OR(OR($B377="",$E377="",$F377=""),K377&lt;&gt;"نعم"),0,IF(M377="نعم",IF(AND(ISNUMBER(O377),N(O377)&lt;=cfg_VAL_M),G377,0),MAX(0,MIN(F377,cfg_VAL_DATE)-MAX(E377,cfg_Y_START)+1)))</f>
        <v>0</v>
      </c>
      <c r="V377" s="110" t="n">
        <f aca="false">IF(OR($B377="",$E377="",$F377=""),0,MAX(0,MIN($F377,EOMONTH(DATE(cfg_FY,1,1),0))-MAX($E377,DATE(cfg_FY,1,1))+1)*(1-IF($M377="نعم",0,N($J377))))</f>
        <v>0</v>
      </c>
      <c r="W377" s="110" t="n">
        <f aca="false">IF(OR($B377="",$E377="",$F377=""),0,MAX(0,MIN($F377,EOMONTH(DATE(cfg_FY,2,1),0))-MAX($E377,DATE(cfg_FY,2,1))+1)*(1-IF($M377="نعم",0,N($J377))))</f>
        <v>0</v>
      </c>
      <c r="X377" s="110" t="n">
        <f aca="false">IF(OR($B377="",$E377="",$F377=""),0,MAX(0,MIN($F377,EOMONTH(DATE(cfg_FY,3,1),0))-MAX($E377,DATE(cfg_FY,3,1))+1)*(1-IF($M377="نعم",0,N($J377))))</f>
        <v>0</v>
      </c>
      <c r="Y377" s="110" t="n">
        <f aca="false">IF(OR($B377="",$E377="",$F377=""),0,MAX(0,MIN($F377,EOMONTH(DATE(cfg_FY,4,1),0))-MAX($E377,DATE(cfg_FY,4,1))+1)*(1-IF($M377="نعم",0,N($J377))))</f>
        <v>0</v>
      </c>
      <c r="Z377" s="110" t="n">
        <f aca="false">IF(OR($B377="",$E377="",$F377=""),0,MAX(0,MIN($F377,EOMONTH(DATE(cfg_FY,5,1),0))-MAX($E377,DATE(cfg_FY,5,1))+1)*(1-IF($M377="نعم",0,N($J377))))</f>
        <v>0</v>
      </c>
      <c r="AA377" s="110" t="n">
        <f aca="false">IF(OR($B377="",$E377="",$F377=""),0,MAX(0,MIN($F377,EOMONTH(DATE(cfg_FY,6,1),0))-MAX($E377,DATE(cfg_FY,6,1))+1)*(1-IF($M377="نعم",0,N($J377))))</f>
        <v>0</v>
      </c>
      <c r="AB377" s="110" t="n">
        <f aca="false">IF(OR($B377="",$E377="",$F377=""),0,MAX(0,MIN($F377,EOMONTH(DATE(cfg_FY,7,1),0))-MAX($E377,DATE(cfg_FY,7,1))+1)*(1-IF($M377="نعم",0,N($J377))))</f>
        <v>0</v>
      </c>
      <c r="AC377" s="110" t="n">
        <f aca="false">IF(OR($B377="",$E377="",$F377=""),0,MAX(0,MIN($F377,EOMONTH(DATE(cfg_FY,8,1),0))-MAX($E377,DATE(cfg_FY,8,1))+1)*(1-IF($M377="نعم",0,N($J377))))</f>
        <v>0</v>
      </c>
      <c r="AD377" s="110" t="n">
        <f aca="false">IF(OR($B377="",$E377="",$F377=""),0,MAX(0,MIN($F377,EOMONTH(DATE(cfg_FY,9,1),0))-MAX($E377,DATE(cfg_FY,9,1))+1)*(1-IF($M377="نعم",0,N($J377))))</f>
        <v>0</v>
      </c>
      <c r="AE377" s="110" t="n">
        <f aca="false">IF(OR($B377="",$E377="",$F377=""),0,MAX(0,MIN($F377,EOMONTH(DATE(cfg_FY,10,1),0))-MAX($E377,DATE(cfg_FY,10,1))+1)*(1-IF($M377="نعم",0,N($J377))))</f>
        <v>0</v>
      </c>
      <c r="AF377" s="110" t="n">
        <f aca="false">IF(OR($B377="",$E377="",$F377=""),0,MAX(0,MIN($F377,EOMONTH(DATE(cfg_FY,11,1),0))-MAX($E377,DATE(cfg_FY,11,1))+1)*(1-IF($M377="نعم",0,N($J377))))</f>
        <v>0</v>
      </c>
      <c r="AG377" s="110" t="n">
        <f aca="false">IF(OR($B377="",$E377="",$F377=""),0,MAX(0,MIN($F377,EOMONTH(DATE(cfg_FY,12,1),0))-MAX($E377,DATE(cfg_FY,12,1))+1)*(1-IF($M377="نعم",0,N($J377))))</f>
        <v>0</v>
      </c>
      <c r="AH377" s="110" t="n">
        <f aca="false">IF(OR(OR($B377="",$E377="",$F377=""),$L377&lt;&gt;"لا"),0,MAX(0,MIN($F377,EOMONTH(DATE(cfg_FY,1,1),0))-$E377+1))</f>
        <v>0</v>
      </c>
      <c r="AI377" s="110" t="n">
        <f aca="false">IF(OR(OR($B377="",$E377="",$F377=""),$L377&lt;&gt;"لا"),0,MAX(0,MIN($F377,EOMONTH(DATE(cfg_FY,2,1),0))-$E377+1))</f>
        <v>0</v>
      </c>
      <c r="AJ377" s="110" t="n">
        <f aca="false">IF(OR(OR($B377="",$E377="",$F377=""),$L377&lt;&gt;"لا"),0,MAX(0,MIN($F377,EOMONTH(DATE(cfg_FY,3,1),0))-$E377+1))</f>
        <v>0</v>
      </c>
      <c r="AK377" s="110" t="n">
        <f aca="false">IF(OR(OR($B377="",$E377="",$F377=""),$L377&lt;&gt;"لا"),0,MAX(0,MIN($F377,EOMONTH(DATE(cfg_FY,4,1),0))-$E377+1))</f>
        <v>0</v>
      </c>
      <c r="AL377" s="110" t="n">
        <f aca="false">IF(OR(OR($B377="",$E377="",$F377=""),$L377&lt;&gt;"لا"),0,MAX(0,MIN($F377,EOMONTH(DATE(cfg_FY,5,1),0))-$E377+1))</f>
        <v>0</v>
      </c>
      <c r="AM377" s="110" t="n">
        <f aca="false">IF(OR(OR($B377="",$E377="",$F377=""),$L377&lt;&gt;"لا"),0,MAX(0,MIN($F377,EOMONTH(DATE(cfg_FY,6,1),0))-$E377+1))</f>
        <v>0</v>
      </c>
      <c r="AN377" s="110" t="n">
        <f aca="false">IF(OR(OR($B377="",$E377="",$F377=""),$L377&lt;&gt;"لا"),0,MAX(0,MIN($F377,EOMONTH(DATE(cfg_FY,7,1),0))-$E377+1))</f>
        <v>0</v>
      </c>
      <c r="AO377" s="110" t="n">
        <f aca="false">IF(OR(OR($B377="",$E377="",$F377=""),$L377&lt;&gt;"لا"),0,MAX(0,MIN($F377,EOMONTH(DATE(cfg_FY,8,1),0))-$E377+1))</f>
        <v>0</v>
      </c>
      <c r="AP377" s="110" t="n">
        <f aca="false">IF(OR(OR($B377="",$E377="",$F377=""),$L377&lt;&gt;"لا"),0,MAX(0,MIN($F377,EOMONTH(DATE(cfg_FY,9,1),0))-$E377+1))</f>
        <v>0</v>
      </c>
      <c r="AQ377" s="110" t="n">
        <f aca="false">IF(OR(OR($B377="",$E377="",$F377=""),$L377&lt;&gt;"لا"),0,MAX(0,MIN($F377,EOMONTH(DATE(cfg_FY,10,1),0))-$E377+1))</f>
        <v>0</v>
      </c>
      <c r="AR377" s="110" t="n">
        <f aca="false">IF(OR(OR($B377="",$E377="",$F377=""),$L377&lt;&gt;"لا"),0,MAX(0,MIN($F377,EOMONTH(DATE(cfg_FY,11,1),0))-$E377+1))</f>
        <v>0</v>
      </c>
      <c r="AS377" s="110" t="n">
        <f aca="false">IF(OR(OR($B377="",$E377="",$F377=""),$L377&lt;&gt;"لا"),0,MAX(0,MIN($F377,EOMONTH(DATE(cfg_FY,12,1),0))-$E377+1))</f>
        <v>0</v>
      </c>
      <c r="AT377" s="110" t="n">
        <f aca="false">IF(OR(OR($B377="",$E377="",$F377=""),$K377&lt;&gt;"نعم",$M377="نعم"),0,MAX(0,MIN($F377,EOMONTH(DATE(cfg_FY,1,1),0))-MAX($E377,DATE(cfg_FY,1,1))+1))</f>
        <v>0</v>
      </c>
      <c r="AU377" s="110" t="n">
        <f aca="false">IF(OR(OR($B377="",$E377="",$F377=""),$K377&lt;&gt;"نعم",$M377="نعم"),0,MAX(0,MIN($F377,EOMONTH(DATE(cfg_FY,2,1),0))-MAX($E377,DATE(cfg_FY,2,1))+1))</f>
        <v>0</v>
      </c>
      <c r="AV377" s="110" t="n">
        <f aca="false">IF(OR(OR($B377="",$E377="",$F377=""),$K377&lt;&gt;"نعم",$M377="نعم"),0,MAX(0,MIN($F377,EOMONTH(DATE(cfg_FY,3,1),0))-MAX($E377,DATE(cfg_FY,3,1))+1))</f>
        <v>0</v>
      </c>
      <c r="AW377" s="110" t="n">
        <f aca="false">IF(OR(OR($B377="",$E377="",$F377=""),$K377&lt;&gt;"نعم",$M377="نعم"),0,MAX(0,MIN($F377,EOMONTH(DATE(cfg_FY,4,1),0))-MAX($E377,DATE(cfg_FY,4,1))+1))</f>
        <v>0</v>
      </c>
      <c r="AX377" s="110" t="n">
        <f aca="false">IF(OR(OR($B377="",$E377="",$F377=""),$K377&lt;&gt;"نعم",$M377="نعم"),0,MAX(0,MIN($F377,EOMONTH(DATE(cfg_FY,5,1),0))-MAX($E377,DATE(cfg_FY,5,1))+1))</f>
        <v>0</v>
      </c>
      <c r="AY377" s="110" t="n">
        <f aca="false">IF(OR(OR($B377="",$E377="",$F377=""),$K377&lt;&gt;"نعم",$M377="نعم"),0,MAX(0,MIN($F377,EOMONTH(DATE(cfg_FY,6,1),0))-MAX($E377,DATE(cfg_FY,6,1))+1))</f>
        <v>0</v>
      </c>
      <c r="AZ377" s="110" t="n">
        <f aca="false">IF(OR(OR($B377="",$E377="",$F377=""),$K377&lt;&gt;"نعم",$M377="نعم"),0,MAX(0,MIN($F377,EOMONTH(DATE(cfg_FY,7,1),0))-MAX($E377,DATE(cfg_FY,7,1))+1))</f>
        <v>0</v>
      </c>
      <c r="BA377" s="110" t="n">
        <f aca="false">IF(OR(OR($B377="",$E377="",$F377=""),$K377&lt;&gt;"نعم",$M377="نعم"),0,MAX(0,MIN($F377,EOMONTH(DATE(cfg_FY,8,1),0))-MAX($E377,DATE(cfg_FY,8,1))+1))</f>
        <v>0</v>
      </c>
      <c r="BB377" s="110" t="n">
        <f aca="false">IF(OR(OR($B377="",$E377="",$F377=""),$K377&lt;&gt;"نعم",$M377="نعم"),0,MAX(0,MIN($F377,EOMONTH(DATE(cfg_FY,9,1),0))-MAX($E377,DATE(cfg_FY,9,1))+1))</f>
        <v>0</v>
      </c>
      <c r="BC377" s="110" t="n">
        <f aca="false">IF(OR(OR($B377="",$E377="",$F377=""),$K377&lt;&gt;"نعم",$M377="نعم"),0,MAX(0,MIN($F377,EOMONTH(DATE(cfg_FY,10,1),0))-MAX($E377,DATE(cfg_FY,10,1))+1))</f>
        <v>0</v>
      </c>
      <c r="BD377" s="110" t="n">
        <f aca="false">IF(OR(OR($B377="",$E377="",$F377=""),$K377&lt;&gt;"نعم",$M377="نعم"),0,MAX(0,MIN($F377,EOMONTH(DATE(cfg_FY,11,1),0))-MAX($E377,DATE(cfg_FY,11,1))+1))</f>
        <v>0</v>
      </c>
      <c r="BE377" s="110" t="n">
        <f aca="false">IF(OR(OR($B377="",$E377="",$F377=""),$K377&lt;&gt;"نعم",$M377="نعم"),0,MAX(0,MIN($F377,EOMONTH(DATE(cfg_FY,12,1),0))-MAX($E377,DATE(cfg_FY,12,1))+1))</f>
        <v>0</v>
      </c>
    </row>
    <row r="378" customFormat="false" ht="15" hidden="false" customHeight="false" outlineLevel="0" collapsed="false">
      <c r="A378" s="93" t="str">
        <f aca="false">IF(B378="","",ROW()-5)</f>
        <v/>
      </c>
      <c r="B378" s="79"/>
      <c r="C378" s="80" t="str">
        <f aca="false">IF(B378="","",IFERROR(INDEX(الموظفون!$C$6:$C$105,MATCH(B378,الموظفون!$B$6:$B$105,0)),"✖ رقم غير موجود"))</f>
        <v/>
      </c>
      <c r="D378" s="79"/>
      <c r="E378" s="94"/>
      <c r="F378" s="94"/>
      <c r="G378" s="57" t="str">
        <f aca="false">IF(OR($B378="",$E378="",$F378=""),"",MAX(0,F378-E378+1))</f>
        <v/>
      </c>
      <c r="H378" s="58" t="str">
        <f aca="false">IF(D378="","",IFERROR(VLOOKUP(D378,cfg_LT,2,FALSE()),1))</f>
        <v/>
      </c>
      <c r="I378" s="82"/>
      <c r="J378" s="58" t="str">
        <f aca="false">IF(D378="","",IF(I378&lt;&gt;"",I378,H378))</f>
        <v/>
      </c>
      <c r="K378" s="80" t="str">
        <f aca="false">IF(D378="","",IFERROR(VLOOKUP($D378,cfg_LT,3,FALSE()),""))</f>
        <v/>
      </c>
      <c r="L378" s="80" t="str">
        <f aca="false">IF(D378="","",IFERROR(VLOOKUP($D378,cfg_LT,4,FALSE()),""))</f>
        <v/>
      </c>
      <c r="M378" s="80" t="str">
        <f aca="false">IF(D378="","",IFERROR(VLOOKUP($D378,cfg_LT,5,FALSE()),""))</f>
        <v/>
      </c>
      <c r="N378" s="97" t="n">
        <f aca="false">IF(OR(OR($B378="",$E378="",$F378=""),M378&lt;&gt;"نعم"),0,G378*J378*IFERROR(INDEX(الموظفون!$R$6:$R$105,MATCH(B378,الموظفون!$B$6:$B$105,0)),0)/cfg_DAYS_M)</f>
        <v>0</v>
      </c>
      <c r="O378" s="93" t="str">
        <f aca="false">IF(OR(OR($B378="",$E378="",$F378=""),M378&lt;&gt;"نعم"),"",IF(YEAR(E378)=cfg_FY,MONTH(E378),""))</f>
        <v/>
      </c>
      <c r="P378" s="80" t="str">
        <f aca="false">IF(B378="","",IF(OR(D378="",E378="",F378=""),"⚠ أكمل النوع والتواريخ",IF(F378&lt;E378,"✖ النهاية قبل البداية",IF(COUNTIFS($B$6:$B$505,B378,$E$6:$E$505,"&lt;="&amp;F378,$F$6:$F$505,"&gt;="&amp;E378)&gt;1,"⚠ تداخل مع سجل آخر",IF(E378&gt;cfg_VAL_DATE,"⏳ قادمة",IF(F378&lt;cfg_VAL_DATE,"✔ منتهية","✈ جارية في تاريخ التقرير"))))))</f>
        <v/>
      </c>
      <c r="Q378" s="79"/>
      <c r="R378" s="57" t="n">
        <f aca="false">IF(OR(OR($B378="",$E378="",$F378=""),L378&lt;&gt;"لا"),0,MAX(0,MIN(F378,cfg_Y_START-1)-E378+1))</f>
        <v>0</v>
      </c>
      <c r="S378" s="57" t="n">
        <f aca="false">IF(OR(OR($B378="",$E378="",$F378=""),L378&lt;&gt;"لا"),0,MAX(0,MIN(F378,cfg_VAL_DATE)-E378+1))</f>
        <v>0</v>
      </c>
      <c r="T378" s="57" t="n">
        <f aca="false">IF(OR(OR($B378="",$E378="",$F378=""),K378&lt;&gt;"نعم"),0,IF(M378="نعم",IF(AND(ISNUMBER(O378),N(O378)&lt;=cfg_VAL_M),G378,0),MAX(0,MIN(F378,cfg_VAL_DATE)-MAX(E378,cfg_Y_START)+1)))</f>
        <v>0</v>
      </c>
      <c r="V378" s="57" t="n">
        <f aca="false">IF(OR($B378="",$E378="",$F378=""),0,MAX(0,MIN($F378,EOMONTH(DATE(cfg_FY,1,1),0))-MAX($E378,DATE(cfg_FY,1,1))+1)*(1-IF($M378="نعم",0,N($J378))))</f>
        <v>0</v>
      </c>
      <c r="W378" s="57" t="n">
        <f aca="false">IF(OR($B378="",$E378="",$F378=""),0,MAX(0,MIN($F378,EOMONTH(DATE(cfg_FY,2,1),0))-MAX($E378,DATE(cfg_FY,2,1))+1)*(1-IF($M378="نعم",0,N($J378))))</f>
        <v>0</v>
      </c>
      <c r="X378" s="57" t="n">
        <f aca="false">IF(OR($B378="",$E378="",$F378=""),0,MAX(0,MIN($F378,EOMONTH(DATE(cfg_FY,3,1),0))-MAX($E378,DATE(cfg_FY,3,1))+1)*(1-IF($M378="نعم",0,N($J378))))</f>
        <v>0</v>
      </c>
      <c r="Y378" s="57" t="n">
        <f aca="false">IF(OR($B378="",$E378="",$F378=""),0,MAX(0,MIN($F378,EOMONTH(DATE(cfg_FY,4,1),0))-MAX($E378,DATE(cfg_FY,4,1))+1)*(1-IF($M378="نعم",0,N($J378))))</f>
        <v>0</v>
      </c>
      <c r="Z378" s="57" t="n">
        <f aca="false">IF(OR($B378="",$E378="",$F378=""),0,MAX(0,MIN($F378,EOMONTH(DATE(cfg_FY,5,1),0))-MAX($E378,DATE(cfg_FY,5,1))+1)*(1-IF($M378="نعم",0,N($J378))))</f>
        <v>0</v>
      </c>
      <c r="AA378" s="57" t="n">
        <f aca="false">IF(OR($B378="",$E378="",$F378=""),0,MAX(0,MIN($F378,EOMONTH(DATE(cfg_FY,6,1),0))-MAX($E378,DATE(cfg_FY,6,1))+1)*(1-IF($M378="نعم",0,N($J378))))</f>
        <v>0</v>
      </c>
      <c r="AB378" s="57" t="n">
        <f aca="false">IF(OR($B378="",$E378="",$F378=""),0,MAX(0,MIN($F378,EOMONTH(DATE(cfg_FY,7,1),0))-MAX($E378,DATE(cfg_FY,7,1))+1)*(1-IF($M378="نعم",0,N($J378))))</f>
        <v>0</v>
      </c>
      <c r="AC378" s="57" t="n">
        <f aca="false">IF(OR($B378="",$E378="",$F378=""),0,MAX(0,MIN($F378,EOMONTH(DATE(cfg_FY,8,1),0))-MAX($E378,DATE(cfg_FY,8,1))+1)*(1-IF($M378="نعم",0,N($J378))))</f>
        <v>0</v>
      </c>
      <c r="AD378" s="57" t="n">
        <f aca="false">IF(OR($B378="",$E378="",$F378=""),0,MAX(0,MIN($F378,EOMONTH(DATE(cfg_FY,9,1),0))-MAX($E378,DATE(cfg_FY,9,1))+1)*(1-IF($M378="نعم",0,N($J378))))</f>
        <v>0</v>
      </c>
      <c r="AE378" s="57" t="n">
        <f aca="false">IF(OR($B378="",$E378="",$F378=""),0,MAX(0,MIN($F378,EOMONTH(DATE(cfg_FY,10,1),0))-MAX($E378,DATE(cfg_FY,10,1))+1)*(1-IF($M378="نعم",0,N($J378))))</f>
        <v>0</v>
      </c>
      <c r="AF378" s="57" t="n">
        <f aca="false">IF(OR($B378="",$E378="",$F378=""),0,MAX(0,MIN($F378,EOMONTH(DATE(cfg_FY,11,1),0))-MAX($E378,DATE(cfg_FY,11,1))+1)*(1-IF($M378="نعم",0,N($J378))))</f>
        <v>0</v>
      </c>
      <c r="AG378" s="57" t="n">
        <f aca="false">IF(OR($B378="",$E378="",$F378=""),0,MAX(0,MIN($F378,EOMONTH(DATE(cfg_FY,12,1),0))-MAX($E378,DATE(cfg_FY,12,1))+1)*(1-IF($M378="نعم",0,N($J378))))</f>
        <v>0</v>
      </c>
      <c r="AH378" s="57" t="n">
        <f aca="false">IF(OR(OR($B378="",$E378="",$F378=""),$L378&lt;&gt;"لا"),0,MAX(0,MIN($F378,EOMONTH(DATE(cfg_FY,1,1),0))-$E378+1))</f>
        <v>0</v>
      </c>
      <c r="AI378" s="57" t="n">
        <f aca="false">IF(OR(OR($B378="",$E378="",$F378=""),$L378&lt;&gt;"لا"),0,MAX(0,MIN($F378,EOMONTH(DATE(cfg_FY,2,1),0))-$E378+1))</f>
        <v>0</v>
      </c>
      <c r="AJ378" s="57" t="n">
        <f aca="false">IF(OR(OR($B378="",$E378="",$F378=""),$L378&lt;&gt;"لا"),0,MAX(0,MIN($F378,EOMONTH(DATE(cfg_FY,3,1),0))-$E378+1))</f>
        <v>0</v>
      </c>
      <c r="AK378" s="57" t="n">
        <f aca="false">IF(OR(OR($B378="",$E378="",$F378=""),$L378&lt;&gt;"لا"),0,MAX(0,MIN($F378,EOMONTH(DATE(cfg_FY,4,1),0))-$E378+1))</f>
        <v>0</v>
      </c>
      <c r="AL378" s="57" t="n">
        <f aca="false">IF(OR(OR($B378="",$E378="",$F378=""),$L378&lt;&gt;"لا"),0,MAX(0,MIN($F378,EOMONTH(DATE(cfg_FY,5,1),0))-$E378+1))</f>
        <v>0</v>
      </c>
      <c r="AM378" s="57" t="n">
        <f aca="false">IF(OR(OR($B378="",$E378="",$F378=""),$L378&lt;&gt;"لا"),0,MAX(0,MIN($F378,EOMONTH(DATE(cfg_FY,6,1),0))-$E378+1))</f>
        <v>0</v>
      </c>
      <c r="AN378" s="57" t="n">
        <f aca="false">IF(OR(OR($B378="",$E378="",$F378=""),$L378&lt;&gt;"لا"),0,MAX(0,MIN($F378,EOMONTH(DATE(cfg_FY,7,1),0))-$E378+1))</f>
        <v>0</v>
      </c>
      <c r="AO378" s="57" t="n">
        <f aca="false">IF(OR(OR($B378="",$E378="",$F378=""),$L378&lt;&gt;"لا"),0,MAX(0,MIN($F378,EOMONTH(DATE(cfg_FY,8,1),0))-$E378+1))</f>
        <v>0</v>
      </c>
      <c r="AP378" s="57" t="n">
        <f aca="false">IF(OR(OR($B378="",$E378="",$F378=""),$L378&lt;&gt;"لا"),0,MAX(0,MIN($F378,EOMONTH(DATE(cfg_FY,9,1),0))-$E378+1))</f>
        <v>0</v>
      </c>
      <c r="AQ378" s="57" t="n">
        <f aca="false">IF(OR(OR($B378="",$E378="",$F378=""),$L378&lt;&gt;"لا"),0,MAX(0,MIN($F378,EOMONTH(DATE(cfg_FY,10,1),0))-$E378+1))</f>
        <v>0</v>
      </c>
      <c r="AR378" s="57" t="n">
        <f aca="false">IF(OR(OR($B378="",$E378="",$F378=""),$L378&lt;&gt;"لا"),0,MAX(0,MIN($F378,EOMONTH(DATE(cfg_FY,11,1),0))-$E378+1))</f>
        <v>0</v>
      </c>
      <c r="AS378" s="57" t="n">
        <f aca="false">IF(OR(OR($B378="",$E378="",$F378=""),$L378&lt;&gt;"لا"),0,MAX(0,MIN($F378,EOMONTH(DATE(cfg_FY,12,1),0))-$E378+1))</f>
        <v>0</v>
      </c>
      <c r="AT378" s="57" t="n">
        <f aca="false">IF(OR(OR($B378="",$E378="",$F378=""),$K378&lt;&gt;"نعم",$M378="نعم"),0,MAX(0,MIN($F378,EOMONTH(DATE(cfg_FY,1,1),0))-MAX($E378,DATE(cfg_FY,1,1))+1))</f>
        <v>0</v>
      </c>
      <c r="AU378" s="57" t="n">
        <f aca="false">IF(OR(OR($B378="",$E378="",$F378=""),$K378&lt;&gt;"نعم",$M378="نعم"),0,MAX(0,MIN($F378,EOMONTH(DATE(cfg_FY,2,1),0))-MAX($E378,DATE(cfg_FY,2,1))+1))</f>
        <v>0</v>
      </c>
      <c r="AV378" s="57" t="n">
        <f aca="false">IF(OR(OR($B378="",$E378="",$F378=""),$K378&lt;&gt;"نعم",$M378="نعم"),0,MAX(0,MIN($F378,EOMONTH(DATE(cfg_FY,3,1),0))-MAX($E378,DATE(cfg_FY,3,1))+1))</f>
        <v>0</v>
      </c>
      <c r="AW378" s="57" t="n">
        <f aca="false">IF(OR(OR($B378="",$E378="",$F378=""),$K378&lt;&gt;"نعم",$M378="نعم"),0,MAX(0,MIN($F378,EOMONTH(DATE(cfg_FY,4,1),0))-MAX($E378,DATE(cfg_FY,4,1))+1))</f>
        <v>0</v>
      </c>
      <c r="AX378" s="57" t="n">
        <f aca="false">IF(OR(OR($B378="",$E378="",$F378=""),$K378&lt;&gt;"نعم",$M378="نعم"),0,MAX(0,MIN($F378,EOMONTH(DATE(cfg_FY,5,1),0))-MAX($E378,DATE(cfg_FY,5,1))+1))</f>
        <v>0</v>
      </c>
      <c r="AY378" s="57" t="n">
        <f aca="false">IF(OR(OR($B378="",$E378="",$F378=""),$K378&lt;&gt;"نعم",$M378="نعم"),0,MAX(0,MIN($F378,EOMONTH(DATE(cfg_FY,6,1),0))-MAX($E378,DATE(cfg_FY,6,1))+1))</f>
        <v>0</v>
      </c>
      <c r="AZ378" s="57" t="n">
        <f aca="false">IF(OR(OR($B378="",$E378="",$F378=""),$K378&lt;&gt;"نعم",$M378="نعم"),0,MAX(0,MIN($F378,EOMONTH(DATE(cfg_FY,7,1),0))-MAX($E378,DATE(cfg_FY,7,1))+1))</f>
        <v>0</v>
      </c>
      <c r="BA378" s="57" t="n">
        <f aca="false">IF(OR(OR($B378="",$E378="",$F378=""),$K378&lt;&gt;"نعم",$M378="نعم"),0,MAX(0,MIN($F378,EOMONTH(DATE(cfg_FY,8,1),0))-MAX($E378,DATE(cfg_FY,8,1))+1))</f>
        <v>0</v>
      </c>
      <c r="BB378" s="57" t="n">
        <f aca="false">IF(OR(OR($B378="",$E378="",$F378=""),$K378&lt;&gt;"نعم",$M378="نعم"),0,MAX(0,MIN($F378,EOMONTH(DATE(cfg_FY,9,1),0))-MAX($E378,DATE(cfg_FY,9,1))+1))</f>
        <v>0</v>
      </c>
      <c r="BC378" s="57" t="n">
        <f aca="false">IF(OR(OR($B378="",$E378="",$F378=""),$K378&lt;&gt;"نعم",$M378="نعم"),0,MAX(0,MIN($F378,EOMONTH(DATE(cfg_FY,10,1),0))-MAX($E378,DATE(cfg_FY,10,1))+1))</f>
        <v>0</v>
      </c>
      <c r="BD378" s="57" t="n">
        <f aca="false">IF(OR(OR($B378="",$E378="",$F378=""),$K378&lt;&gt;"نعم",$M378="نعم"),0,MAX(0,MIN($F378,EOMONTH(DATE(cfg_FY,11,1),0))-MAX($E378,DATE(cfg_FY,11,1))+1))</f>
        <v>0</v>
      </c>
      <c r="BE378" s="57" t="n">
        <f aca="false">IF(OR(OR($B378="",$E378="",$F378=""),$K378&lt;&gt;"نعم",$M378="نعم"),0,MAX(0,MIN($F378,EOMONTH(DATE(cfg_FY,12,1),0))-MAX($E378,DATE(cfg_FY,12,1))+1))</f>
        <v>0</v>
      </c>
    </row>
    <row r="379" customFormat="false" ht="15" hidden="false" customHeight="false" outlineLevel="0" collapsed="false">
      <c r="A379" s="100" t="str">
        <f aca="false">IF(B379="","",ROW()-5)</f>
        <v/>
      </c>
      <c r="B379" s="79"/>
      <c r="C379" s="102" t="str">
        <f aca="false">IF(B379="","",IFERROR(INDEX(الموظفون!$C$6:$C$105,MATCH(B379,الموظفون!$B$6:$B$105,0)),"✖ رقم غير موجود"))</f>
        <v/>
      </c>
      <c r="D379" s="79"/>
      <c r="E379" s="94"/>
      <c r="F379" s="94"/>
      <c r="G379" s="110" t="str">
        <f aca="false">IF(OR($B379="",$E379="",$F379=""),"",MAX(0,F379-E379+1))</f>
        <v/>
      </c>
      <c r="H379" s="111" t="str">
        <f aca="false">IF(D379="","",IFERROR(VLOOKUP(D379,cfg_LT,2,FALSE()),1))</f>
        <v/>
      </c>
      <c r="I379" s="82"/>
      <c r="J379" s="111" t="str">
        <f aca="false">IF(D379="","",IF(I379&lt;&gt;"",I379,H379))</f>
        <v/>
      </c>
      <c r="K379" s="102" t="str">
        <f aca="false">IF(D379="","",IFERROR(VLOOKUP($D379,cfg_LT,3,FALSE()),""))</f>
        <v/>
      </c>
      <c r="L379" s="102" t="str">
        <f aca="false">IF(D379="","",IFERROR(VLOOKUP($D379,cfg_LT,4,FALSE()),""))</f>
        <v/>
      </c>
      <c r="M379" s="102" t="str">
        <f aca="false">IF(D379="","",IFERROR(VLOOKUP($D379,cfg_LT,5,FALSE()),""))</f>
        <v/>
      </c>
      <c r="N379" s="101" t="n">
        <f aca="false">IF(OR(OR($B379="",$E379="",$F379=""),M379&lt;&gt;"نعم"),0,G379*J379*IFERROR(INDEX(الموظفون!$R$6:$R$105,MATCH(B379,الموظفون!$B$6:$B$105,0)),0)/cfg_DAYS_M)</f>
        <v>0</v>
      </c>
      <c r="O379" s="100" t="str">
        <f aca="false">IF(OR(OR($B379="",$E379="",$F379=""),M379&lt;&gt;"نعم"),"",IF(YEAR(E379)=cfg_FY,MONTH(E379),""))</f>
        <v/>
      </c>
      <c r="P379" s="102" t="str">
        <f aca="false">IF(B379="","",IF(OR(D379="",E379="",F379=""),"⚠ أكمل النوع والتواريخ",IF(F379&lt;E379,"✖ النهاية قبل البداية",IF(COUNTIFS($B$6:$B$505,B379,$E$6:$E$505,"&lt;="&amp;F379,$F$6:$F$505,"&gt;="&amp;E379)&gt;1,"⚠ تداخل مع سجل آخر",IF(E379&gt;cfg_VAL_DATE,"⏳ قادمة",IF(F379&lt;cfg_VAL_DATE,"✔ منتهية","✈ جارية في تاريخ التقرير"))))))</f>
        <v/>
      </c>
      <c r="Q379" s="79"/>
      <c r="R379" s="110" t="n">
        <f aca="false">IF(OR(OR($B379="",$E379="",$F379=""),L379&lt;&gt;"لا"),0,MAX(0,MIN(F379,cfg_Y_START-1)-E379+1))</f>
        <v>0</v>
      </c>
      <c r="S379" s="110" t="n">
        <f aca="false">IF(OR(OR($B379="",$E379="",$F379=""),L379&lt;&gt;"لا"),0,MAX(0,MIN(F379,cfg_VAL_DATE)-E379+1))</f>
        <v>0</v>
      </c>
      <c r="T379" s="110" t="n">
        <f aca="false">IF(OR(OR($B379="",$E379="",$F379=""),K379&lt;&gt;"نعم"),0,IF(M379="نعم",IF(AND(ISNUMBER(O379),N(O379)&lt;=cfg_VAL_M),G379,0),MAX(0,MIN(F379,cfg_VAL_DATE)-MAX(E379,cfg_Y_START)+1)))</f>
        <v>0</v>
      </c>
      <c r="V379" s="110" t="n">
        <f aca="false">IF(OR($B379="",$E379="",$F379=""),0,MAX(0,MIN($F379,EOMONTH(DATE(cfg_FY,1,1),0))-MAX($E379,DATE(cfg_FY,1,1))+1)*(1-IF($M379="نعم",0,N($J379))))</f>
        <v>0</v>
      </c>
      <c r="W379" s="110" t="n">
        <f aca="false">IF(OR($B379="",$E379="",$F379=""),0,MAX(0,MIN($F379,EOMONTH(DATE(cfg_FY,2,1),0))-MAX($E379,DATE(cfg_FY,2,1))+1)*(1-IF($M379="نعم",0,N($J379))))</f>
        <v>0</v>
      </c>
      <c r="X379" s="110" t="n">
        <f aca="false">IF(OR($B379="",$E379="",$F379=""),0,MAX(0,MIN($F379,EOMONTH(DATE(cfg_FY,3,1),0))-MAX($E379,DATE(cfg_FY,3,1))+1)*(1-IF($M379="نعم",0,N($J379))))</f>
        <v>0</v>
      </c>
      <c r="Y379" s="110" t="n">
        <f aca="false">IF(OR($B379="",$E379="",$F379=""),0,MAX(0,MIN($F379,EOMONTH(DATE(cfg_FY,4,1),0))-MAX($E379,DATE(cfg_FY,4,1))+1)*(1-IF($M379="نعم",0,N($J379))))</f>
        <v>0</v>
      </c>
      <c r="Z379" s="110" t="n">
        <f aca="false">IF(OR($B379="",$E379="",$F379=""),0,MAX(0,MIN($F379,EOMONTH(DATE(cfg_FY,5,1),0))-MAX($E379,DATE(cfg_FY,5,1))+1)*(1-IF($M379="نعم",0,N($J379))))</f>
        <v>0</v>
      </c>
      <c r="AA379" s="110" t="n">
        <f aca="false">IF(OR($B379="",$E379="",$F379=""),0,MAX(0,MIN($F379,EOMONTH(DATE(cfg_FY,6,1),0))-MAX($E379,DATE(cfg_FY,6,1))+1)*(1-IF($M379="نعم",0,N($J379))))</f>
        <v>0</v>
      </c>
      <c r="AB379" s="110" t="n">
        <f aca="false">IF(OR($B379="",$E379="",$F379=""),0,MAX(0,MIN($F379,EOMONTH(DATE(cfg_FY,7,1),0))-MAX($E379,DATE(cfg_FY,7,1))+1)*(1-IF($M379="نعم",0,N($J379))))</f>
        <v>0</v>
      </c>
      <c r="AC379" s="110" t="n">
        <f aca="false">IF(OR($B379="",$E379="",$F379=""),0,MAX(0,MIN($F379,EOMONTH(DATE(cfg_FY,8,1),0))-MAX($E379,DATE(cfg_FY,8,1))+1)*(1-IF($M379="نعم",0,N($J379))))</f>
        <v>0</v>
      </c>
      <c r="AD379" s="110" t="n">
        <f aca="false">IF(OR($B379="",$E379="",$F379=""),0,MAX(0,MIN($F379,EOMONTH(DATE(cfg_FY,9,1),0))-MAX($E379,DATE(cfg_FY,9,1))+1)*(1-IF($M379="نعم",0,N($J379))))</f>
        <v>0</v>
      </c>
      <c r="AE379" s="110" t="n">
        <f aca="false">IF(OR($B379="",$E379="",$F379=""),0,MAX(0,MIN($F379,EOMONTH(DATE(cfg_FY,10,1),0))-MAX($E379,DATE(cfg_FY,10,1))+1)*(1-IF($M379="نعم",0,N($J379))))</f>
        <v>0</v>
      </c>
      <c r="AF379" s="110" t="n">
        <f aca="false">IF(OR($B379="",$E379="",$F379=""),0,MAX(0,MIN($F379,EOMONTH(DATE(cfg_FY,11,1),0))-MAX($E379,DATE(cfg_FY,11,1))+1)*(1-IF($M379="نعم",0,N($J379))))</f>
        <v>0</v>
      </c>
      <c r="AG379" s="110" t="n">
        <f aca="false">IF(OR($B379="",$E379="",$F379=""),0,MAX(0,MIN($F379,EOMONTH(DATE(cfg_FY,12,1),0))-MAX($E379,DATE(cfg_FY,12,1))+1)*(1-IF($M379="نعم",0,N($J379))))</f>
        <v>0</v>
      </c>
      <c r="AH379" s="110" t="n">
        <f aca="false">IF(OR(OR($B379="",$E379="",$F379=""),$L379&lt;&gt;"لا"),0,MAX(0,MIN($F379,EOMONTH(DATE(cfg_FY,1,1),0))-$E379+1))</f>
        <v>0</v>
      </c>
      <c r="AI379" s="110" t="n">
        <f aca="false">IF(OR(OR($B379="",$E379="",$F379=""),$L379&lt;&gt;"لا"),0,MAX(0,MIN($F379,EOMONTH(DATE(cfg_FY,2,1),0))-$E379+1))</f>
        <v>0</v>
      </c>
      <c r="AJ379" s="110" t="n">
        <f aca="false">IF(OR(OR($B379="",$E379="",$F379=""),$L379&lt;&gt;"لا"),0,MAX(0,MIN($F379,EOMONTH(DATE(cfg_FY,3,1),0))-$E379+1))</f>
        <v>0</v>
      </c>
      <c r="AK379" s="110" t="n">
        <f aca="false">IF(OR(OR($B379="",$E379="",$F379=""),$L379&lt;&gt;"لا"),0,MAX(0,MIN($F379,EOMONTH(DATE(cfg_FY,4,1),0))-$E379+1))</f>
        <v>0</v>
      </c>
      <c r="AL379" s="110" t="n">
        <f aca="false">IF(OR(OR($B379="",$E379="",$F379=""),$L379&lt;&gt;"لا"),0,MAX(0,MIN($F379,EOMONTH(DATE(cfg_FY,5,1),0))-$E379+1))</f>
        <v>0</v>
      </c>
      <c r="AM379" s="110" t="n">
        <f aca="false">IF(OR(OR($B379="",$E379="",$F379=""),$L379&lt;&gt;"لا"),0,MAX(0,MIN($F379,EOMONTH(DATE(cfg_FY,6,1),0))-$E379+1))</f>
        <v>0</v>
      </c>
      <c r="AN379" s="110" t="n">
        <f aca="false">IF(OR(OR($B379="",$E379="",$F379=""),$L379&lt;&gt;"لا"),0,MAX(0,MIN($F379,EOMONTH(DATE(cfg_FY,7,1),0))-$E379+1))</f>
        <v>0</v>
      </c>
      <c r="AO379" s="110" t="n">
        <f aca="false">IF(OR(OR($B379="",$E379="",$F379=""),$L379&lt;&gt;"لا"),0,MAX(0,MIN($F379,EOMONTH(DATE(cfg_FY,8,1),0))-$E379+1))</f>
        <v>0</v>
      </c>
      <c r="AP379" s="110" t="n">
        <f aca="false">IF(OR(OR($B379="",$E379="",$F379=""),$L379&lt;&gt;"لا"),0,MAX(0,MIN($F379,EOMONTH(DATE(cfg_FY,9,1),0))-$E379+1))</f>
        <v>0</v>
      </c>
      <c r="AQ379" s="110" t="n">
        <f aca="false">IF(OR(OR($B379="",$E379="",$F379=""),$L379&lt;&gt;"لا"),0,MAX(0,MIN($F379,EOMONTH(DATE(cfg_FY,10,1),0))-$E379+1))</f>
        <v>0</v>
      </c>
      <c r="AR379" s="110" t="n">
        <f aca="false">IF(OR(OR($B379="",$E379="",$F379=""),$L379&lt;&gt;"لا"),0,MAX(0,MIN($F379,EOMONTH(DATE(cfg_FY,11,1),0))-$E379+1))</f>
        <v>0</v>
      </c>
      <c r="AS379" s="110" t="n">
        <f aca="false">IF(OR(OR($B379="",$E379="",$F379=""),$L379&lt;&gt;"لا"),0,MAX(0,MIN($F379,EOMONTH(DATE(cfg_FY,12,1),0))-$E379+1))</f>
        <v>0</v>
      </c>
      <c r="AT379" s="110" t="n">
        <f aca="false">IF(OR(OR($B379="",$E379="",$F379=""),$K379&lt;&gt;"نعم",$M379="نعم"),0,MAX(0,MIN($F379,EOMONTH(DATE(cfg_FY,1,1),0))-MAX($E379,DATE(cfg_FY,1,1))+1))</f>
        <v>0</v>
      </c>
      <c r="AU379" s="110" t="n">
        <f aca="false">IF(OR(OR($B379="",$E379="",$F379=""),$K379&lt;&gt;"نعم",$M379="نعم"),0,MAX(0,MIN($F379,EOMONTH(DATE(cfg_FY,2,1),0))-MAX($E379,DATE(cfg_FY,2,1))+1))</f>
        <v>0</v>
      </c>
      <c r="AV379" s="110" t="n">
        <f aca="false">IF(OR(OR($B379="",$E379="",$F379=""),$K379&lt;&gt;"نعم",$M379="نعم"),0,MAX(0,MIN($F379,EOMONTH(DATE(cfg_FY,3,1),0))-MAX($E379,DATE(cfg_FY,3,1))+1))</f>
        <v>0</v>
      </c>
      <c r="AW379" s="110" t="n">
        <f aca="false">IF(OR(OR($B379="",$E379="",$F379=""),$K379&lt;&gt;"نعم",$M379="نعم"),0,MAX(0,MIN($F379,EOMONTH(DATE(cfg_FY,4,1),0))-MAX($E379,DATE(cfg_FY,4,1))+1))</f>
        <v>0</v>
      </c>
      <c r="AX379" s="110" t="n">
        <f aca="false">IF(OR(OR($B379="",$E379="",$F379=""),$K379&lt;&gt;"نعم",$M379="نعم"),0,MAX(0,MIN($F379,EOMONTH(DATE(cfg_FY,5,1),0))-MAX($E379,DATE(cfg_FY,5,1))+1))</f>
        <v>0</v>
      </c>
      <c r="AY379" s="110" t="n">
        <f aca="false">IF(OR(OR($B379="",$E379="",$F379=""),$K379&lt;&gt;"نعم",$M379="نعم"),0,MAX(0,MIN($F379,EOMONTH(DATE(cfg_FY,6,1),0))-MAX($E379,DATE(cfg_FY,6,1))+1))</f>
        <v>0</v>
      </c>
      <c r="AZ379" s="110" t="n">
        <f aca="false">IF(OR(OR($B379="",$E379="",$F379=""),$K379&lt;&gt;"نعم",$M379="نعم"),0,MAX(0,MIN($F379,EOMONTH(DATE(cfg_FY,7,1),0))-MAX($E379,DATE(cfg_FY,7,1))+1))</f>
        <v>0</v>
      </c>
      <c r="BA379" s="110" t="n">
        <f aca="false">IF(OR(OR($B379="",$E379="",$F379=""),$K379&lt;&gt;"نعم",$M379="نعم"),0,MAX(0,MIN($F379,EOMONTH(DATE(cfg_FY,8,1),0))-MAX($E379,DATE(cfg_FY,8,1))+1))</f>
        <v>0</v>
      </c>
      <c r="BB379" s="110" t="n">
        <f aca="false">IF(OR(OR($B379="",$E379="",$F379=""),$K379&lt;&gt;"نعم",$M379="نعم"),0,MAX(0,MIN($F379,EOMONTH(DATE(cfg_FY,9,1),0))-MAX($E379,DATE(cfg_FY,9,1))+1))</f>
        <v>0</v>
      </c>
      <c r="BC379" s="110" t="n">
        <f aca="false">IF(OR(OR($B379="",$E379="",$F379=""),$K379&lt;&gt;"نعم",$M379="نعم"),0,MAX(0,MIN($F379,EOMONTH(DATE(cfg_FY,10,1),0))-MAX($E379,DATE(cfg_FY,10,1))+1))</f>
        <v>0</v>
      </c>
      <c r="BD379" s="110" t="n">
        <f aca="false">IF(OR(OR($B379="",$E379="",$F379=""),$K379&lt;&gt;"نعم",$M379="نعم"),0,MAX(0,MIN($F379,EOMONTH(DATE(cfg_FY,11,1),0))-MAX($E379,DATE(cfg_FY,11,1))+1))</f>
        <v>0</v>
      </c>
      <c r="BE379" s="110" t="n">
        <f aca="false">IF(OR(OR($B379="",$E379="",$F379=""),$K379&lt;&gt;"نعم",$M379="نعم"),0,MAX(0,MIN($F379,EOMONTH(DATE(cfg_FY,12,1),0))-MAX($E379,DATE(cfg_FY,12,1))+1))</f>
        <v>0</v>
      </c>
    </row>
    <row r="380" customFormat="false" ht="15" hidden="false" customHeight="false" outlineLevel="0" collapsed="false">
      <c r="A380" s="93" t="str">
        <f aca="false">IF(B380="","",ROW()-5)</f>
        <v/>
      </c>
      <c r="B380" s="79"/>
      <c r="C380" s="80" t="str">
        <f aca="false">IF(B380="","",IFERROR(INDEX(الموظفون!$C$6:$C$105,MATCH(B380,الموظفون!$B$6:$B$105,0)),"✖ رقم غير موجود"))</f>
        <v/>
      </c>
      <c r="D380" s="79"/>
      <c r="E380" s="94"/>
      <c r="F380" s="94"/>
      <c r="G380" s="57" t="str">
        <f aca="false">IF(OR($B380="",$E380="",$F380=""),"",MAX(0,F380-E380+1))</f>
        <v/>
      </c>
      <c r="H380" s="58" t="str">
        <f aca="false">IF(D380="","",IFERROR(VLOOKUP(D380,cfg_LT,2,FALSE()),1))</f>
        <v/>
      </c>
      <c r="I380" s="82"/>
      <c r="J380" s="58" t="str">
        <f aca="false">IF(D380="","",IF(I380&lt;&gt;"",I380,H380))</f>
        <v/>
      </c>
      <c r="K380" s="80" t="str">
        <f aca="false">IF(D380="","",IFERROR(VLOOKUP($D380,cfg_LT,3,FALSE()),""))</f>
        <v/>
      </c>
      <c r="L380" s="80" t="str">
        <f aca="false">IF(D380="","",IFERROR(VLOOKUP($D380,cfg_LT,4,FALSE()),""))</f>
        <v/>
      </c>
      <c r="M380" s="80" t="str">
        <f aca="false">IF(D380="","",IFERROR(VLOOKUP($D380,cfg_LT,5,FALSE()),""))</f>
        <v/>
      </c>
      <c r="N380" s="97" t="n">
        <f aca="false">IF(OR(OR($B380="",$E380="",$F380=""),M380&lt;&gt;"نعم"),0,G380*J380*IFERROR(INDEX(الموظفون!$R$6:$R$105,MATCH(B380,الموظفون!$B$6:$B$105,0)),0)/cfg_DAYS_M)</f>
        <v>0</v>
      </c>
      <c r="O380" s="93" t="str">
        <f aca="false">IF(OR(OR($B380="",$E380="",$F380=""),M380&lt;&gt;"نعم"),"",IF(YEAR(E380)=cfg_FY,MONTH(E380),""))</f>
        <v/>
      </c>
      <c r="P380" s="80" t="str">
        <f aca="false">IF(B380="","",IF(OR(D380="",E380="",F380=""),"⚠ أكمل النوع والتواريخ",IF(F380&lt;E380,"✖ النهاية قبل البداية",IF(COUNTIFS($B$6:$B$505,B380,$E$6:$E$505,"&lt;="&amp;F380,$F$6:$F$505,"&gt;="&amp;E380)&gt;1,"⚠ تداخل مع سجل آخر",IF(E380&gt;cfg_VAL_DATE,"⏳ قادمة",IF(F380&lt;cfg_VAL_DATE,"✔ منتهية","✈ جارية في تاريخ التقرير"))))))</f>
        <v/>
      </c>
      <c r="Q380" s="79"/>
      <c r="R380" s="57" t="n">
        <f aca="false">IF(OR(OR($B380="",$E380="",$F380=""),L380&lt;&gt;"لا"),0,MAX(0,MIN(F380,cfg_Y_START-1)-E380+1))</f>
        <v>0</v>
      </c>
      <c r="S380" s="57" t="n">
        <f aca="false">IF(OR(OR($B380="",$E380="",$F380=""),L380&lt;&gt;"لا"),0,MAX(0,MIN(F380,cfg_VAL_DATE)-E380+1))</f>
        <v>0</v>
      </c>
      <c r="T380" s="57" t="n">
        <f aca="false">IF(OR(OR($B380="",$E380="",$F380=""),K380&lt;&gt;"نعم"),0,IF(M380="نعم",IF(AND(ISNUMBER(O380),N(O380)&lt;=cfg_VAL_M),G380,0),MAX(0,MIN(F380,cfg_VAL_DATE)-MAX(E380,cfg_Y_START)+1)))</f>
        <v>0</v>
      </c>
      <c r="V380" s="57" t="n">
        <f aca="false">IF(OR($B380="",$E380="",$F380=""),0,MAX(0,MIN($F380,EOMONTH(DATE(cfg_FY,1,1),0))-MAX($E380,DATE(cfg_FY,1,1))+1)*(1-IF($M380="نعم",0,N($J380))))</f>
        <v>0</v>
      </c>
      <c r="W380" s="57" t="n">
        <f aca="false">IF(OR($B380="",$E380="",$F380=""),0,MAX(0,MIN($F380,EOMONTH(DATE(cfg_FY,2,1),0))-MAX($E380,DATE(cfg_FY,2,1))+1)*(1-IF($M380="نعم",0,N($J380))))</f>
        <v>0</v>
      </c>
      <c r="X380" s="57" t="n">
        <f aca="false">IF(OR($B380="",$E380="",$F380=""),0,MAX(0,MIN($F380,EOMONTH(DATE(cfg_FY,3,1),0))-MAX($E380,DATE(cfg_FY,3,1))+1)*(1-IF($M380="نعم",0,N($J380))))</f>
        <v>0</v>
      </c>
      <c r="Y380" s="57" t="n">
        <f aca="false">IF(OR($B380="",$E380="",$F380=""),0,MAX(0,MIN($F380,EOMONTH(DATE(cfg_FY,4,1),0))-MAX($E380,DATE(cfg_FY,4,1))+1)*(1-IF($M380="نعم",0,N($J380))))</f>
        <v>0</v>
      </c>
      <c r="Z380" s="57" t="n">
        <f aca="false">IF(OR($B380="",$E380="",$F380=""),0,MAX(0,MIN($F380,EOMONTH(DATE(cfg_FY,5,1),0))-MAX($E380,DATE(cfg_FY,5,1))+1)*(1-IF($M380="نعم",0,N($J380))))</f>
        <v>0</v>
      </c>
      <c r="AA380" s="57" t="n">
        <f aca="false">IF(OR($B380="",$E380="",$F380=""),0,MAX(0,MIN($F380,EOMONTH(DATE(cfg_FY,6,1),0))-MAX($E380,DATE(cfg_FY,6,1))+1)*(1-IF($M380="نعم",0,N($J380))))</f>
        <v>0</v>
      </c>
      <c r="AB380" s="57" t="n">
        <f aca="false">IF(OR($B380="",$E380="",$F380=""),0,MAX(0,MIN($F380,EOMONTH(DATE(cfg_FY,7,1),0))-MAX($E380,DATE(cfg_FY,7,1))+1)*(1-IF($M380="نعم",0,N($J380))))</f>
        <v>0</v>
      </c>
      <c r="AC380" s="57" t="n">
        <f aca="false">IF(OR($B380="",$E380="",$F380=""),0,MAX(0,MIN($F380,EOMONTH(DATE(cfg_FY,8,1),0))-MAX($E380,DATE(cfg_FY,8,1))+1)*(1-IF($M380="نعم",0,N($J380))))</f>
        <v>0</v>
      </c>
      <c r="AD380" s="57" t="n">
        <f aca="false">IF(OR($B380="",$E380="",$F380=""),0,MAX(0,MIN($F380,EOMONTH(DATE(cfg_FY,9,1),0))-MAX($E380,DATE(cfg_FY,9,1))+1)*(1-IF($M380="نعم",0,N($J380))))</f>
        <v>0</v>
      </c>
      <c r="AE380" s="57" t="n">
        <f aca="false">IF(OR($B380="",$E380="",$F380=""),0,MAX(0,MIN($F380,EOMONTH(DATE(cfg_FY,10,1),0))-MAX($E380,DATE(cfg_FY,10,1))+1)*(1-IF($M380="نعم",0,N($J380))))</f>
        <v>0</v>
      </c>
      <c r="AF380" s="57" t="n">
        <f aca="false">IF(OR($B380="",$E380="",$F380=""),0,MAX(0,MIN($F380,EOMONTH(DATE(cfg_FY,11,1),0))-MAX($E380,DATE(cfg_FY,11,1))+1)*(1-IF($M380="نعم",0,N($J380))))</f>
        <v>0</v>
      </c>
      <c r="AG380" s="57" t="n">
        <f aca="false">IF(OR($B380="",$E380="",$F380=""),0,MAX(0,MIN($F380,EOMONTH(DATE(cfg_FY,12,1),0))-MAX($E380,DATE(cfg_FY,12,1))+1)*(1-IF($M380="نعم",0,N($J380))))</f>
        <v>0</v>
      </c>
      <c r="AH380" s="57" t="n">
        <f aca="false">IF(OR(OR($B380="",$E380="",$F380=""),$L380&lt;&gt;"لا"),0,MAX(0,MIN($F380,EOMONTH(DATE(cfg_FY,1,1),0))-$E380+1))</f>
        <v>0</v>
      </c>
      <c r="AI380" s="57" t="n">
        <f aca="false">IF(OR(OR($B380="",$E380="",$F380=""),$L380&lt;&gt;"لا"),0,MAX(0,MIN($F380,EOMONTH(DATE(cfg_FY,2,1),0))-$E380+1))</f>
        <v>0</v>
      </c>
      <c r="AJ380" s="57" t="n">
        <f aca="false">IF(OR(OR($B380="",$E380="",$F380=""),$L380&lt;&gt;"لا"),0,MAX(0,MIN($F380,EOMONTH(DATE(cfg_FY,3,1),0))-$E380+1))</f>
        <v>0</v>
      </c>
      <c r="AK380" s="57" t="n">
        <f aca="false">IF(OR(OR($B380="",$E380="",$F380=""),$L380&lt;&gt;"لا"),0,MAX(0,MIN($F380,EOMONTH(DATE(cfg_FY,4,1),0))-$E380+1))</f>
        <v>0</v>
      </c>
      <c r="AL380" s="57" t="n">
        <f aca="false">IF(OR(OR($B380="",$E380="",$F380=""),$L380&lt;&gt;"لا"),0,MAX(0,MIN($F380,EOMONTH(DATE(cfg_FY,5,1),0))-$E380+1))</f>
        <v>0</v>
      </c>
      <c r="AM380" s="57" t="n">
        <f aca="false">IF(OR(OR($B380="",$E380="",$F380=""),$L380&lt;&gt;"لا"),0,MAX(0,MIN($F380,EOMONTH(DATE(cfg_FY,6,1),0))-$E380+1))</f>
        <v>0</v>
      </c>
      <c r="AN380" s="57" t="n">
        <f aca="false">IF(OR(OR($B380="",$E380="",$F380=""),$L380&lt;&gt;"لا"),0,MAX(0,MIN($F380,EOMONTH(DATE(cfg_FY,7,1),0))-$E380+1))</f>
        <v>0</v>
      </c>
      <c r="AO380" s="57" t="n">
        <f aca="false">IF(OR(OR($B380="",$E380="",$F380=""),$L380&lt;&gt;"لا"),0,MAX(0,MIN($F380,EOMONTH(DATE(cfg_FY,8,1),0))-$E380+1))</f>
        <v>0</v>
      </c>
      <c r="AP380" s="57" t="n">
        <f aca="false">IF(OR(OR($B380="",$E380="",$F380=""),$L380&lt;&gt;"لا"),0,MAX(0,MIN($F380,EOMONTH(DATE(cfg_FY,9,1),0))-$E380+1))</f>
        <v>0</v>
      </c>
      <c r="AQ380" s="57" t="n">
        <f aca="false">IF(OR(OR($B380="",$E380="",$F380=""),$L380&lt;&gt;"لا"),0,MAX(0,MIN($F380,EOMONTH(DATE(cfg_FY,10,1),0))-$E380+1))</f>
        <v>0</v>
      </c>
      <c r="AR380" s="57" t="n">
        <f aca="false">IF(OR(OR($B380="",$E380="",$F380=""),$L380&lt;&gt;"لا"),0,MAX(0,MIN($F380,EOMONTH(DATE(cfg_FY,11,1),0))-$E380+1))</f>
        <v>0</v>
      </c>
      <c r="AS380" s="57" t="n">
        <f aca="false">IF(OR(OR($B380="",$E380="",$F380=""),$L380&lt;&gt;"لا"),0,MAX(0,MIN($F380,EOMONTH(DATE(cfg_FY,12,1),0))-$E380+1))</f>
        <v>0</v>
      </c>
      <c r="AT380" s="57" t="n">
        <f aca="false">IF(OR(OR($B380="",$E380="",$F380=""),$K380&lt;&gt;"نعم",$M380="نعم"),0,MAX(0,MIN($F380,EOMONTH(DATE(cfg_FY,1,1),0))-MAX($E380,DATE(cfg_FY,1,1))+1))</f>
        <v>0</v>
      </c>
      <c r="AU380" s="57" t="n">
        <f aca="false">IF(OR(OR($B380="",$E380="",$F380=""),$K380&lt;&gt;"نعم",$M380="نعم"),0,MAX(0,MIN($F380,EOMONTH(DATE(cfg_FY,2,1),0))-MAX($E380,DATE(cfg_FY,2,1))+1))</f>
        <v>0</v>
      </c>
      <c r="AV380" s="57" t="n">
        <f aca="false">IF(OR(OR($B380="",$E380="",$F380=""),$K380&lt;&gt;"نعم",$M380="نعم"),0,MAX(0,MIN($F380,EOMONTH(DATE(cfg_FY,3,1),0))-MAX($E380,DATE(cfg_FY,3,1))+1))</f>
        <v>0</v>
      </c>
      <c r="AW380" s="57" t="n">
        <f aca="false">IF(OR(OR($B380="",$E380="",$F380=""),$K380&lt;&gt;"نعم",$M380="نعم"),0,MAX(0,MIN($F380,EOMONTH(DATE(cfg_FY,4,1),0))-MAX($E380,DATE(cfg_FY,4,1))+1))</f>
        <v>0</v>
      </c>
      <c r="AX380" s="57" t="n">
        <f aca="false">IF(OR(OR($B380="",$E380="",$F380=""),$K380&lt;&gt;"نعم",$M380="نعم"),0,MAX(0,MIN($F380,EOMONTH(DATE(cfg_FY,5,1),0))-MAX($E380,DATE(cfg_FY,5,1))+1))</f>
        <v>0</v>
      </c>
      <c r="AY380" s="57" t="n">
        <f aca="false">IF(OR(OR($B380="",$E380="",$F380=""),$K380&lt;&gt;"نعم",$M380="نعم"),0,MAX(0,MIN($F380,EOMONTH(DATE(cfg_FY,6,1),0))-MAX($E380,DATE(cfg_FY,6,1))+1))</f>
        <v>0</v>
      </c>
      <c r="AZ380" s="57" t="n">
        <f aca="false">IF(OR(OR($B380="",$E380="",$F380=""),$K380&lt;&gt;"نعم",$M380="نعم"),0,MAX(0,MIN($F380,EOMONTH(DATE(cfg_FY,7,1),0))-MAX($E380,DATE(cfg_FY,7,1))+1))</f>
        <v>0</v>
      </c>
      <c r="BA380" s="57" t="n">
        <f aca="false">IF(OR(OR($B380="",$E380="",$F380=""),$K380&lt;&gt;"نعم",$M380="نعم"),0,MAX(0,MIN($F380,EOMONTH(DATE(cfg_FY,8,1),0))-MAX($E380,DATE(cfg_FY,8,1))+1))</f>
        <v>0</v>
      </c>
      <c r="BB380" s="57" t="n">
        <f aca="false">IF(OR(OR($B380="",$E380="",$F380=""),$K380&lt;&gt;"نعم",$M380="نعم"),0,MAX(0,MIN($F380,EOMONTH(DATE(cfg_FY,9,1),0))-MAX($E380,DATE(cfg_FY,9,1))+1))</f>
        <v>0</v>
      </c>
      <c r="BC380" s="57" t="n">
        <f aca="false">IF(OR(OR($B380="",$E380="",$F380=""),$K380&lt;&gt;"نعم",$M380="نعم"),0,MAX(0,MIN($F380,EOMONTH(DATE(cfg_FY,10,1),0))-MAX($E380,DATE(cfg_FY,10,1))+1))</f>
        <v>0</v>
      </c>
      <c r="BD380" s="57" t="n">
        <f aca="false">IF(OR(OR($B380="",$E380="",$F380=""),$K380&lt;&gt;"نعم",$M380="نعم"),0,MAX(0,MIN($F380,EOMONTH(DATE(cfg_FY,11,1),0))-MAX($E380,DATE(cfg_FY,11,1))+1))</f>
        <v>0</v>
      </c>
      <c r="BE380" s="57" t="n">
        <f aca="false">IF(OR(OR($B380="",$E380="",$F380=""),$K380&lt;&gt;"نعم",$M380="نعم"),0,MAX(0,MIN($F380,EOMONTH(DATE(cfg_FY,12,1),0))-MAX($E380,DATE(cfg_FY,12,1))+1))</f>
        <v>0</v>
      </c>
    </row>
    <row r="381" customFormat="false" ht="15" hidden="false" customHeight="false" outlineLevel="0" collapsed="false">
      <c r="A381" s="100" t="str">
        <f aca="false">IF(B381="","",ROW()-5)</f>
        <v/>
      </c>
      <c r="B381" s="79"/>
      <c r="C381" s="102" t="str">
        <f aca="false">IF(B381="","",IFERROR(INDEX(الموظفون!$C$6:$C$105,MATCH(B381,الموظفون!$B$6:$B$105,0)),"✖ رقم غير موجود"))</f>
        <v/>
      </c>
      <c r="D381" s="79"/>
      <c r="E381" s="94"/>
      <c r="F381" s="94"/>
      <c r="G381" s="110" t="str">
        <f aca="false">IF(OR($B381="",$E381="",$F381=""),"",MAX(0,F381-E381+1))</f>
        <v/>
      </c>
      <c r="H381" s="111" t="str">
        <f aca="false">IF(D381="","",IFERROR(VLOOKUP(D381,cfg_LT,2,FALSE()),1))</f>
        <v/>
      </c>
      <c r="I381" s="82"/>
      <c r="J381" s="111" t="str">
        <f aca="false">IF(D381="","",IF(I381&lt;&gt;"",I381,H381))</f>
        <v/>
      </c>
      <c r="K381" s="102" t="str">
        <f aca="false">IF(D381="","",IFERROR(VLOOKUP($D381,cfg_LT,3,FALSE()),""))</f>
        <v/>
      </c>
      <c r="L381" s="102" t="str">
        <f aca="false">IF(D381="","",IFERROR(VLOOKUP($D381,cfg_LT,4,FALSE()),""))</f>
        <v/>
      </c>
      <c r="M381" s="102" t="str">
        <f aca="false">IF(D381="","",IFERROR(VLOOKUP($D381,cfg_LT,5,FALSE()),""))</f>
        <v/>
      </c>
      <c r="N381" s="101" t="n">
        <f aca="false">IF(OR(OR($B381="",$E381="",$F381=""),M381&lt;&gt;"نعم"),0,G381*J381*IFERROR(INDEX(الموظفون!$R$6:$R$105,MATCH(B381,الموظفون!$B$6:$B$105,0)),0)/cfg_DAYS_M)</f>
        <v>0</v>
      </c>
      <c r="O381" s="100" t="str">
        <f aca="false">IF(OR(OR($B381="",$E381="",$F381=""),M381&lt;&gt;"نعم"),"",IF(YEAR(E381)=cfg_FY,MONTH(E381),""))</f>
        <v/>
      </c>
      <c r="P381" s="102" t="str">
        <f aca="false">IF(B381="","",IF(OR(D381="",E381="",F381=""),"⚠ أكمل النوع والتواريخ",IF(F381&lt;E381,"✖ النهاية قبل البداية",IF(COUNTIFS($B$6:$B$505,B381,$E$6:$E$505,"&lt;="&amp;F381,$F$6:$F$505,"&gt;="&amp;E381)&gt;1,"⚠ تداخل مع سجل آخر",IF(E381&gt;cfg_VAL_DATE,"⏳ قادمة",IF(F381&lt;cfg_VAL_DATE,"✔ منتهية","✈ جارية في تاريخ التقرير"))))))</f>
        <v/>
      </c>
      <c r="Q381" s="79"/>
      <c r="R381" s="110" t="n">
        <f aca="false">IF(OR(OR($B381="",$E381="",$F381=""),L381&lt;&gt;"لا"),0,MAX(0,MIN(F381,cfg_Y_START-1)-E381+1))</f>
        <v>0</v>
      </c>
      <c r="S381" s="110" t="n">
        <f aca="false">IF(OR(OR($B381="",$E381="",$F381=""),L381&lt;&gt;"لا"),0,MAX(0,MIN(F381,cfg_VAL_DATE)-E381+1))</f>
        <v>0</v>
      </c>
      <c r="T381" s="110" t="n">
        <f aca="false">IF(OR(OR($B381="",$E381="",$F381=""),K381&lt;&gt;"نعم"),0,IF(M381="نعم",IF(AND(ISNUMBER(O381),N(O381)&lt;=cfg_VAL_M),G381,0),MAX(0,MIN(F381,cfg_VAL_DATE)-MAX(E381,cfg_Y_START)+1)))</f>
        <v>0</v>
      </c>
      <c r="V381" s="110" t="n">
        <f aca="false">IF(OR($B381="",$E381="",$F381=""),0,MAX(0,MIN($F381,EOMONTH(DATE(cfg_FY,1,1),0))-MAX($E381,DATE(cfg_FY,1,1))+1)*(1-IF($M381="نعم",0,N($J381))))</f>
        <v>0</v>
      </c>
      <c r="W381" s="110" t="n">
        <f aca="false">IF(OR($B381="",$E381="",$F381=""),0,MAX(0,MIN($F381,EOMONTH(DATE(cfg_FY,2,1),0))-MAX($E381,DATE(cfg_FY,2,1))+1)*(1-IF($M381="نعم",0,N($J381))))</f>
        <v>0</v>
      </c>
      <c r="X381" s="110" t="n">
        <f aca="false">IF(OR($B381="",$E381="",$F381=""),0,MAX(0,MIN($F381,EOMONTH(DATE(cfg_FY,3,1),0))-MAX($E381,DATE(cfg_FY,3,1))+1)*(1-IF($M381="نعم",0,N($J381))))</f>
        <v>0</v>
      </c>
      <c r="Y381" s="110" t="n">
        <f aca="false">IF(OR($B381="",$E381="",$F381=""),0,MAX(0,MIN($F381,EOMONTH(DATE(cfg_FY,4,1),0))-MAX($E381,DATE(cfg_FY,4,1))+1)*(1-IF($M381="نعم",0,N($J381))))</f>
        <v>0</v>
      </c>
      <c r="Z381" s="110" t="n">
        <f aca="false">IF(OR($B381="",$E381="",$F381=""),0,MAX(0,MIN($F381,EOMONTH(DATE(cfg_FY,5,1),0))-MAX($E381,DATE(cfg_FY,5,1))+1)*(1-IF($M381="نعم",0,N($J381))))</f>
        <v>0</v>
      </c>
      <c r="AA381" s="110" t="n">
        <f aca="false">IF(OR($B381="",$E381="",$F381=""),0,MAX(0,MIN($F381,EOMONTH(DATE(cfg_FY,6,1),0))-MAX($E381,DATE(cfg_FY,6,1))+1)*(1-IF($M381="نعم",0,N($J381))))</f>
        <v>0</v>
      </c>
      <c r="AB381" s="110" t="n">
        <f aca="false">IF(OR($B381="",$E381="",$F381=""),0,MAX(0,MIN($F381,EOMONTH(DATE(cfg_FY,7,1),0))-MAX($E381,DATE(cfg_FY,7,1))+1)*(1-IF($M381="نعم",0,N($J381))))</f>
        <v>0</v>
      </c>
      <c r="AC381" s="110" t="n">
        <f aca="false">IF(OR($B381="",$E381="",$F381=""),0,MAX(0,MIN($F381,EOMONTH(DATE(cfg_FY,8,1),0))-MAX($E381,DATE(cfg_FY,8,1))+1)*(1-IF($M381="نعم",0,N($J381))))</f>
        <v>0</v>
      </c>
      <c r="AD381" s="110" t="n">
        <f aca="false">IF(OR($B381="",$E381="",$F381=""),0,MAX(0,MIN($F381,EOMONTH(DATE(cfg_FY,9,1),0))-MAX($E381,DATE(cfg_FY,9,1))+1)*(1-IF($M381="نعم",0,N($J381))))</f>
        <v>0</v>
      </c>
      <c r="AE381" s="110" t="n">
        <f aca="false">IF(OR($B381="",$E381="",$F381=""),0,MAX(0,MIN($F381,EOMONTH(DATE(cfg_FY,10,1),0))-MAX($E381,DATE(cfg_FY,10,1))+1)*(1-IF($M381="نعم",0,N($J381))))</f>
        <v>0</v>
      </c>
      <c r="AF381" s="110" t="n">
        <f aca="false">IF(OR($B381="",$E381="",$F381=""),0,MAX(0,MIN($F381,EOMONTH(DATE(cfg_FY,11,1),0))-MAX($E381,DATE(cfg_FY,11,1))+1)*(1-IF($M381="نعم",0,N($J381))))</f>
        <v>0</v>
      </c>
      <c r="AG381" s="110" t="n">
        <f aca="false">IF(OR($B381="",$E381="",$F381=""),0,MAX(0,MIN($F381,EOMONTH(DATE(cfg_FY,12,1),0))-MAX($E381,DATE(cfg_FY,12,1))+1)*(1-IF($M381="نعم",0,N($J381))))</f>
        <v>0</v>
      </c>
      <c r="AH381" s="110" t="n">
        <f aca="false">IF(OR(OR($B381="",$E381="",$F381=""),$L381&lt;&gt;"لا"),0,MAX(0,MIN($F381,EOMONTH(DATE(cfg_FY,1,1),0))-$E381+1))</f>
        <v>0</v>
      </c>
      <c r="AI381" s="110" t="n">
        <f aca="false">IF(OR(OR($B381="",$E381="",$F381=""),$L381&lt;&gt;"لا"),0,MAX(0,MIN($F381,EOMONTH(DATE(cfg_FY,2,1),0))-$E381+1))</f>
        <v>0</v>
      </c>
      <c r="AJ381" s="110" t="n">
        <f aca="false">IF(OR(OR($B381="",$E381="",$F381=""),$L381&lt;&gt;"لا"),0,MAX(0,MIN($F381,EOMONTH(DATE(cfg_FY,3,1),0))-$E381+1))</f>
        <v>0</v>
      </c>
      <c r="AK381" s="110" t="n">
        <f aca="false">IF(OR(OR($B381="",$E381="",$F381=""),$L381&lt;&gt;"لا"),0,MAX(0,MIN($F381,EOMONTH(DATE(cfg_FY,4,1),0))-$E381+1))</f>
        <v>0</v>
      </c>
      <c r="AL381" s="110" t="n">
        <f aca="false">IF(OR(OR($B381="",$E381="",$F381=""),$L381&lt;&gt;"لا"),0,MAX(0,MIN($F381,EOMONTH(DATE(cfg_FY,5,1),0))-$E381+1))</f>
        <v>0</v>
      </c>
      <c r="AM381" s="110" t="n">
        <f aca="false">IF(OR(OR($B381="",$E381="",$F381=""),$L381&lt;&gt;"لا"),0,MAX(0,MIN($F381,EOMONTH(DATE(cfg_FY,6,1),0))-$E381+1))</f>
        <v>0</v>
      </c>
      <c r="AN381" s="110" t="n">
        <f aca="false">IF(OR(OR($B381="",$E381="",$F381=""),$L381&lt;&gt;"لا"),0,MAX(0,MIN($F381,EOMONTH(DATE(cfg_FY,7,1),0))-$E381+1))</f>
        <v>0</v>
      </c>
      <c r="AO381" s="110" t="n">
        <f aca="false">IF(OR(OR($B381="",$E381="",$F381=""),$L381&lt;&gt;"لا"),0,MAX(0,MIN($F381,EOMONTH(DATE(cfg_FY,8,1),0))-$E381+1))</f>
        <v>0</v>
      </c>
      <c r="AP381" s="110" t="n">
        <f aca="false">IF(OR(OR($B381="",$E381="",$F381=""),$L381&lt;&gt;"لا"),0,MAX(0,MIN($F381,EOMONTH(DATE(cfg_FY,9,1),0))-$E381+1))</f>
        <v>0</v>
      </c>
      <c r="AQ381" s="110" t="n">
        <f aca="false">IF(OR(OR($B381="",$E381="",$F381=""),$L381&lt;&gt;"لا"),0,MAX(0,MIN($F381,EOMONTH(DATE(cfg_FY,10,1),0))-$E381+1))</f>
        <v>0</v>
      </c>
      <c r="AR381" s="110" t="n">
        <f aca="false">IF(OR(OR($B381="",$E381="",$F381=""),$L381&lt;&gt;"لا"),0,MAX(0,MIN($F381,EOMONTH(DATE(cfg_FY,11,1),0))-$E381+1))</f>
        <v>0</v>
      </c>
      <c r="AS381" s="110" t="n">
        <f aca="false">IF(OR(OR($B381="",$E381="",$F381=""),$L381&lt;&gt;"لا"),0,MAX(0,MIN($F381,EOMONTH(DATE(cfg_FY,12,1),0))-$E381+1))</f>
        <v>0</v>
      </c>
      <c r="AT381" s="110" t="n">
        <f aca="false">IF(OR(OR($B381="",$E381="",$F381=""),$K381&lt;&gt;"نعم",$M381="نعم"),0,MAX(0,MIN($F381,EOMONTH(DATE(cfg_FY,1,1),0))-MAX($E381,DATE(cfg_FY,1,1))+1))</f>
        <v>0</v>
      </c>
      <c r="AU381" s="110" t="n">
        <f aca="false">IF(OR(OR($B381="",$E381="",$F381=""),$K381&lt;&gt;"نعم",$M381="نعم"),0,MAX(0,MIN($F381,EOMONTH(DATE(cfg_FY,2,1),0))-MAX($E381,DATE(cfg_FY,2,1))+1))</f>
        <v>0</v>
      </c>
      <c r="AV381" s="110" t="n">
        <f aca="false">IF(OR(OR($B381="",$E381="",$F381=""),$K381&lt;&gt;"نعم",$M381="نعم"),0,MAX(0,MIN($F381,EOMONTH(DATE(cfg_FY,3,1),0))-MAX($E381,DATE(cfg_FY,3,1))+1))</f>
        <v>0</v>
      </c>
      <c r="AW381" s="110" t="n">
        <f aca="false">IF(OR(OR($B381="",$E381="",$F381=""),$K381&lt;&gt;"نعم",$M381="نعم"),0,MAX(0,MIN($F381,EOMONTH(DATE(cfg_FY,4,1),0))-MAX($E381,DATE(cfg_FY,4,1))+1))</f>
        <v>0</v>
      </c>
      <c r="AX381" s="110" t="n">
        <f aca="false">IF(OR(OR($B381="",$E381="",$F381=""),$K381&lt;&gt;"نعم",$M381="نعم"),0,MAX(0,MIN($F381,EOMONTH(DATE(cfg_FY,5,1),0))-MAX($E381,DATE(cfg_FY,5,1))+1))</f>
        <v>0</v>
      </c>
      <c r="AY381" s="110" t="n">
        <f aca="false">IF(OR(OR($B381="",$E381="",$F381=""),$K381&lt;&gt;"نعم",$M381="نعم"),0,MAX(0,MIN($F381,EOMONTH(DATE(cfg_FY,6,1),0))-MAX($E381,DATE(cfg_FY,6,1))+1))</f>
        <v>0</v>
      </c>
      <c r="AZ381" s="110" t="n">
        <f aca="false">IF(OR(OR($B381="",$E381="",$F381=""),$K381&lt;&gt;"نعم",$M381="نعم"),0,MAX(0,MIN($F381,EOMONTH(DATE(cfg_FY,7,1),0))-MAX($E381,DATE(cfg_FY,7,1))+1))</f>
        <v>0</v>
      </c>
      <c r="BA381" s="110" t="n">
        <f aca="false">IF(OR(OR($B381="",$E381="",$F381=""),$K381&lt;&gt;"نعم",$M381="نعم"),0,MAX(0,MIN($F381,EOMONTH(DATE(cfg_FY,8,1),0))-MAX($E381,DATE(cfg_FY,8,1))+1))</f>
        <v>0</v>
      </c>
      <c r="BB381" s="110" t="n">
        <f aca="false">IF(OR(OR($B381="",$E381="",$F381=""),$K381&lt;&gt;"نعم",$M381="نعم"),0,MAX(0,MIN($F381,EOMONTH(DATE(cfg_FY,9,1),0))-MAX($E381,DATE(cfg_FY,9,1))+1))</f>
        <v>0</v>
      </c>
      <c r="BC381" s="110" t="n">
        <f aca="false">IF(OR(OR($B381="",$E381="",$F381=""),$K381&lt;&gt;"نعم",$M381="نعم"),0,MAX(0,MIN($F381,EOMONTH(DATE(cfg_FY,10,1),0))-MAX($E381,DATE(cfg_FY,10,1))+1))</f>
        <v>0</v>
      </c>
      <c r="BD381" s="110" t="n">
        <f aca="false">IF(OR(OR($B381="",$E381="",$F381=""),$K381&lt;&gt;"نعم",$M381="نعم"),0,MAX(0,MIN($F381,EOMONTH(DATE(cfg_FY,11,1),0))-MAX($E381,DATE(cfg_FY,11,1))+1))</f>
        <v>0</v>
      </c>
      <c r="BE381" s="110" t="n">
        <f aca="false">IF(OR(OR($B381="",$E381="",$F381=""),$K381&lt;&gt;"نعم",$M381="نعم"),0,MAX(0,MIN($F381,EOMONTH(DATE(cfg_FY,12,1),0))-MAX($E381,DATE(cfg_FY,12,1))+1))</f>
        <v>0</v>
      </c>
    </row>
    <row r="382" customFormat="false" ht="15" hidden="false" customHeight="false" outlineLevel="0" collapsed="false">
      <c r="A382" s="93" t="str">
        <f aca="false">IF(B382="","",ROW()-5)</f>
        <v/>
      </c>
      <c r="B382" s="79"/>
      <c r="C382" s="80" t="str">
        <f aca="false">IF(B382="","",IFERROR(INDEX(الموظفون!$C$6:$C$105,MATCH(B382,الموظفون!$B$6:$B$105,0)),"✖ رقم غير موجود"))</f>
        <v/>
      </c>
      <c r="D382" s="79"/>
      <c r="E382" s="94"/>
      <c r="F382" s="94"/>
      <c r="G382" s="57" t="str">
        <f aca="false">IF(OR($B382="",$E382="",$F382=""),"",MAX(0,F382-E382+1))</f>
        <v/>
      </c>
      <c r="H382" s="58" t="str">
        <f aca="false">IF(D382="","",IFERROR(VLOOKUP(D382,cfg_LT,2,FALSE()),1))</f>
        <v/>
      </c>
      <c r="I382" s="82"/>
      <c r="J382" s="58" t="str">
        <f aca="false">IF(D382="","",IF(I382&lt;&gt;"",I382,H382))</f>
        <v/>
      </c>
      <c r="K382" s="80" t="str">
        <f aca="false">IF(D382="","",IFERROR(VLOOKUP($D382,cfg_LT,3,FALSE()),""))</f>
        <v/>
      </c>
      <c r="L382" s="80" t="str">
        <f aca="false">IF(D382="","",IFERROR(VLOOKUP($D382,cfg_LT,4,FALSE()),""))</f>
        <v/>
      </c>
      <c r="M382" s="80" t="str">
        <f aca="false">IF(D382="","",IFERROR(VLOOKUP($D382,cfg_LT,5,FALSE()),""))</f>
        <v/>
      </c>
      <c r="N382" s="97" t="n">
        <f aca="false">IF(OR(OR($B382="",$E382="",$F382=""),M382&lt;&gt;"نعم"),0,G382*J382*IFERROR(INDEX(الموظفون!$R$6:$R$105,MATCH(B382,الموظفون!$B$6:$B$105,0)),0)/cfg_DAYS_M)</f>
        <v>0</v>
      </c>
      <c r="O382" s="93" t="str">
        <f aca="false">IF(OR(OR($B382="",$E382="",$F382=""),M382&lt;&gt;"نعم"),"",IF(YEAR(E382)=cfg_FY,MONTH(E382),""))</f>
        <v/>
      </c>
      <c r="P382" s="80" t="str">
        <f aca="false">IF(B382="","",IF(OR(D382="",E382="",F382=""),"⚠ أكمل النوع والتواريخ",IF(F382&lt;E382,"✖ النهاية قبل البداية",IF(COUNTIFS($B$6:$B$505,B382,$E$6:$E$505,"&lt;="&amp;F382,$F$6:$F$505,"&gt;="&amp;E382)&gt;1,"⚠ تداخل مع سجل آخر",IF(E382&gt;cfg_VAL_DATE,"⏳ قادمة",IF(F382&lt;cfg_VAL_DATE,"✔ منتهية","✈ جارية في تاريخ التقرير"))))))</f>
        <v/>
      </c>
      <c r="Q382" s="79"/>
      <c r="R382" s="57" t="n">
        <f aca="false">IF(OR(OR($B382="",$E382="",$F382=""),L382&lt;&gt;"لا"),0,MAX(0,MIN(F382,cfg_Y_START-1)-E382+1))</f>
        <v>0</v>
      </c>
      <c r="S382" s="57" t="n">
        <f aca="false">IF(OR(OR($B382="",$E382="",$F382=""),L382&lt;&gt;"لا"),0,MAX(0,MIN(F382,cfg_VAL_DATE)-E382+1))</f>
        <v>0</v>
      </c>
      <c r="T382" s="57" t="n">
        <f aca="false">IF(OR(OR($B382="",$E382="",$F382=""),K382&lt;&gt;"نعم"),0,IF(M382="نعم",IF(AND(ISNUMBER(O382),N(O382)&lt;=cfg_VAL_M),G382,0),MAX(0,MIN(F382,cfg_VAL_DATE)-MAX(E382,cfg_Y_START)+1)))</f>
        <v>0</v>
      </c>
      <c r="V382" s="57" t="n">
        <f aca="false">IF(OR($B382="",$E382="",$F382=""),0,MAX(0,MIN($F382,EOMONTH(DATE(cfg_FY,1,1),0))-MAX($E382,DATE(cfg_FY,1,1))+1)*(1-IF($M382="نعم",0,N($J382))))</f>
        <v>0</v>
      </c>
      <c r="W382" s="57" t="n">
        <f aca="false">IF(OR($B382="",$E382="",$F382=""),0,MAX(0,MIN($F382,EOMONTH(DATE(cfg_FY,2,1),0))-MAX($E382,DATE(cfg_FY,2,1))+1)*(1-IF($M382="نعم",0,N($J382))))</f>
        <v>0</v>
      </c>
      <c r="X382" s="57" t="n">
        <f aca="false">IF(OR($B382="",$E382="",$F382=""),0,MAX(0,MIN($F382,EOMONTH(DATE(cfg_FY,3,1),0))-MAX($E382,DATE(cfg_FY,3,1))+1)*(1-IF($M382="نعم",0,N($J382))))</f>
        <v>0</v>
      </c>
      <c r="Y382" s="57" t="n">
        <f aca="false">IF(OR($B382="",$E382="",$F382=""),0,MAX(0,MIN($F382,EOMONTH(DATE(cfg_FY,4,1),0))-MAX($E382,DATE(cfg_FY,4,1))+1)*(1-IF($M382="نعم",0,N($J382))))</f>
        <v>0</v>
      </c>
      <c r="Z382" s="57" t="n">
        <f aca="false">IF(OR($B382="",$E382="",$F382=""),0,MAX(0,MIN($F382,EOMONTH(DATE(cfg_FY,5,1),0))-MAX($E382,DATE(cfg_FY,5,1))+1)*(1-IF($M382="نعم",0,N($J382))))</f>
        <v>0</v>
      </c>
      <c r="AA382" s="57" t="n">
        <f aca="false">IF(OR($B382="",$E382="",$F382=""),0,MAX(0,MIN($F382,EOMONTH(DATE(cfg_FY,6,1),0))-MAX($E382,DATE(cfg_FY,6,1))+1)*(1-IF($M382="نعم",0,N($J382))))</f>
        <v>0</v>
      </c>
      <c r="AB382" s="57" t="n">
        <f aca="false">IF(OR($B382="",$E382="",$F382=""),0,MAX(0,MIN($F382,EOMONTH(DATE(cfg_FY,7,1),0))-MAX($E382,DATE(cfg_FY,7,1))+1)*(1-IF($M382="نعم",0,N($J382))))</f>
        <v>0</v>
      </c>
      <c r="AC382" s="57" t="n">
        <f aca="false">IF(OR($B382="",$E382="",$F382=""),0,MAX(0,MIN($F382,EOMONTH(DATE(cfg_FY,8,1),0))-MAX($E382,DATE(cfg_FY,8,1))+1)*(1-IF($M382="نعم",0,N($J382))))</f>
        <v>0</v>
      </c>
      <c r="AD382" s="57" t="n">
        <f aca="false">IF(OR($B382="",$E382="",$F382=""),0,MAX(0,MIN($F382,EOMONTH(DATE(cfg_FY,9,1),0))-MAX($E382,DATE(cfg_FY,9,1))+1)*(1-IF($M382="نعم",0,N($J382))))</f>
        <v>0</v>
      </c>
      <c r="AE382" s="57" t="n">
        <f aca="false">IF(OR($B382="",$E382="",$F382=""),0,MAX(0,MIN($F382,EOMONTH(DATE(cfg_FY,10,1),0))-MAX($E382,DATE(cfg_FY,10,1))+1)*(1-IF($M382="نعم",0,N($J382))))</f>
        <v>0</v>
      </c>
      <c r="AF382" s="57" t="n">
        <f aca="false">IF(OR($B382="",$E382="",$F382=""),0,MAX(0,MIN($F382,EOMONTH(DATE(cfg_FY,11,1),0))-MAX($E382,DATE(cfg_FY,11,1))+1)*(1-IF($M382="نعم",0,N($J382))))</f>
        <v>0</v>
      </c>
      <c r="AG382" s="57" t="n">
        <f aca="false">IF(OR($B382="",$E382="",$F382=""),0,MAX(0,MIN($F382,EOMONTH(DATE(cfg_FY,12,1),0))-MAX($E382,DATE(cfg_FY,12,1))+1)*(1-IF($M382="نعم",0,N($J382))))</f>
        <v>0</v>
      </c>
      <c r="AH382" s="57" t="n">
        <f aca="false">IF(OR(OR($B382="",$E382="",$F382=""),$L382&lt;&gt;"لا"),0,MAX(0,MIN($F382,EOMONTH(DATE(cfg_FY,1,1),0))-$E382+1))</f>
        <v>0</v>
      </c>
      <c r="AI382" s="57" t="n">
        <f aca="false">IF(OR(OR($B382="",$E382="",$F382=""),$L382&lt;&gt;"لا"),0,MAX(0,MIN($F382,EOMONTH(DATE(cfg_FY,2,1),0))-$E382+1))</f>
        <v>0</v>
      </c>
      <c r="AJ382" s="57" t="n">
        <f aca="false">IF(OR(OR($B382="",$E382="",$F382=""),$L382&lt;&gt;"لا"),0,MAX(0,MIN($F382,EOMONTH(DATE(cfg_FY,3,1),0))-$E382+1))</f>
        <v>0</v>
      </c>
      <c r="AK382" s="57" t="n">
        <f aca="false">IF(OR(OR($B382="",$E382="",$F382=""),$L382&lt;&gt;"لا"),0,MAX(0,MIN($F382,EOMONTH(DATE(cfg_FY,4,1),0))-$E382+1))</f>
        <v>0</v>
      </c>
      <c r="AL382" s="57" t="n">
        <f aca="false">IF(OR(OR($B382="",$E382="",$F382=""),$L382&lt;&gt;"لا"),0,MAX(0,MIN($F382,EOMONTH(DATE(cfg_FY,5,1),0))-$E382+1))</f>
        <v>0</v>
      </c>
      <c r="AM382" s="57" t="n">
        <f aca="false">IF(OR(OR($B382="",$E382="",$F382=""),$L382&lt;&gt;"لا"),0,MAX(0,MIN($F382,EOMONTH(DATE(cfg_FY,6,1),0))-$E382+1))</f>
        <v>0</v>
      </c>
      <c r="AN382" s="57" t="n">
        <f aca="false">IF(OR(OR($B382="",$E382="",$F382=""),$L382&lt;&gt;"لا"),0,MAX(0,MIN($F382,EOMONTH(DATE(cfg_FY,7,1),0))-$E382+1))</f>
        <v>0</v>
      </c>
      <c r="AO382" s="57" t="n">
        <f aca="false">IF(OR(OR($B382="",$E382="",$F382=""),$L382&lt;&gt;"لا"),0,MAX(0,MIN($F382,EOMONTH(DATE(cfg_FY,8,1),0))-$E382+1))</f>
        <v>0</v>
      </c>
      <c r="AP382" s="57" t="n">
        <f aca="false">IF(OR(OR($B382="",$E382="",$F382=""),$L382&lt;&gt;"لا"),0,MAX(0,MIN($F382,EOMONTH(DATE(cfg_FY,9,1),0))-$E382+1))</f>
        <v>0</v>
      </c>
      <c r="AQ382" s="57" t="n">
        <f aca="false">IF(OR(OR($B382="",$E382="",$F382=""),$L382&lt;&gt;"لا"),0,MAX(0,MIN($F382,EOMONTH(DATE(cfg_FY,10,1),0))-$E382+1))</f>
        <v>0</v>
      </c>
      <c r="AR382" s="57" t="n">
        <f aca="false">IF(OR(OR($B382="",$E382="",$F382=""),$L382&lt;&gt;"لا"),0,MAX(0,MIN($F382,EOMONTH(DATE(cfg_FY,11,1),0))-$E382+1))</f>
        <v>0</v>
      </c>
      <c r="AS382" s="57" t="n">
        <f aca="false">IF(OR(OR($B382="",$E382="",$F382=""),$L382&lt;&gt;"لا"),0,MAX(0,MIN($F382,EOMONTH(DATE(cfg_FY,12,1),0))-$E382+1))</f>
        <v>0</v>
      </c>
      <c r="AT382" s="57" t="n">
        <f aca="false">IF(OR(OR($B382="",$E382="",$F382=""),$K382&lt;&gt;"نعم",$M382="نعم"),0,MAX(0,MIN($F382,EOMONTH(DATE(cfg_FY,1,1),0))-MAX($E382,DATE(cfg_FY,1,1))+1))</f>
        <v>0</v>
      </c>
      <c r="AU382" s="57" t="n">
        <f aca="false">IF(OR(OR($B382="",$E382="",$F382=""),$K382&lt;&gt;"نعم",$M382="نعم"),0,MAX(0,MIN($F382,EOMONTH(DATE(cfg_FY,2,1),0))-MAX($E382,DATE(cfg_FY,2,1))+1))</f>
        <v>0</v>
      </c>
      <c r="AV382" s="57" t="n">
        <f aca="false">IF(OR(OR($B382="",$E382="",$F382=""),$K382&lt;&gt;"نعم",$M382="نعم"),0,MAX(0,MIN($F382,EOMONTH(DATE(cfg_FY,3,1),0))-MAX($E382,DATE(cfg_FY,3,1))+1))</f>
        <v>0</v>
      </c>
      <c r="AW382" s="57" t="n">
        <f aca="false">IF(OR(OR($B382="",$E382="",$F382=""),$K382&lt;&gt;"نعم",$M382="نعم"),0,MAX(0,MIN($F382,EOMONTH(DATE(cfg_FY,4,1),0))-MAX($E382,DATE(cfg_FY,4,1))+1))</f>
        <v>0</v>
      </c>
      <c r="AX382" s="57" t="n">
        <f aca="false">IF(OR(OR($B382="",$E382="",$F382=""),$K382&lt;&gt;"نعم",$M382="نعم"),0,MAX(0,MIN($F382,EOMONTH(DATE(cfg_FY,5,1),0))-MAX($E382,DATE(cfg_FY,5,1))+1))</f>
        <v>0</v>
      </c>
      <c r="AY382" s="57" t="n">
        <f aca="false">IF(OR(OR($B382="",$E382="",$F382=""),$K382&lt;&gt;"نعم",$M382="نعم"),0,MAX(0,MIN($F382,EOMONTH(DATE(cfg_FY,6,1),0))-MAX($E382,DATE(cfg_FY,6,1))+1))</f>
        <v>0</v>
      </c>
      <c r="AZ382" s="57" t="n">
        <f aca="false">IF(OR(OR($B382="",$E382="",$F382=""),$K382&lt;&gt;"نعم",$M382="نعم"),0,MAX(0,MIN($F382,EOMONTH(DATE(cfg_FY,7,1),0))-MAX($E382,DATE(cfg_FY,7,1))+1))</f>
        <v>0</v>
      </c>
      <c r="BA382" s="57" t="n">
        <f aca="false">IF(OR(OR($B382="",$E382="",$F382=""),$K382&lt;&gt;"نعم",$M382="نعم"),0,MAX(0,MIN($F382,EOMONTH(DATE(cfg_FY,8,1),0))-MAX($E382,DATE(cfg_FY,8,1))+1))</f>
        <v>0</v>
      </c>
      <c r="BB382" s="57" t="n">
        <f aca="false">IF(OR(OR($B382="",$E382="",$F382=""),$K382&lt;&gt;"نعم",$M382="نعم"),0,MAX(0,MIN($F382,EOMONTH(DATE(cfg_FY,9,1),0))-MAX($E382,DATE(cfg_FY,9,1))+1))</f>
        <v>0</v>
      </c>
      <c r="BC382" s="57" t="n">
        <f aca="false">IF(OR(OR($B382="",$E382="",$F382=""),$K382&lt;&gt;"نعم",$M382="نعم"),0,MAX(0,MIN($F382,EOMONTH(DATE(cfg_FY,10,1),0))-MAX($E382,DATE(cfg_FY,10,1))+1))</f>
        <v>0</v>
      </c>
      <c r="BD382" s="57" t="n">
        <f aca="false">IF(OR(OR($B382="",$E382="",$F382=""),$K382&lt;&gt;"نعم",$M382="نعم"),0,MAX(0,MIN($F382,EOMONTH(DATE(cfg_FY,11,1),0))-MAX($E382,DATE(cfg_FY,11,1))+1))</f>
        <v>0</v>
      </c>
      <c r="BE382" s="57" t="n">
        <f aca="false">IF(OR(OR($B382="",$E382="",$F382=""),$K382&lt;&gt;"نعم",$M382="نعم"),0,MAX(0,MIN($F382,EOMONTH(DATE(cfg_FY,12,1),0))-MAX($E382,DATE(cfg_FY,12,1))+1))</f>
        <v>0</v>
      </c>
    </row>
    <row r="383" customFormat="false" ht="15" hidden="false" customHeight="false" outlineLevel="0" collapsed="false">
      <c r="A383" s="100" t="str">
        <f aca="false">IF(B383="","",ROW()-5)</f>
        <v/>
      </c>
      <c r="B383" s="79"/>
      <c r="C383" s="102" t="str">
        <f aca="false">IF(B383="","",IFERROR(INDEX(الموظفون!$C$6:$C$105,MATCH(B383,الموظفون!$B$6:$B$105,0)),"✖ رقم غير موجود"))</f>
        <v/>
      </c>
      <c r="D383" s="79"/>
      <c r="E383" s="94"/>
      <c r="F383" s="94"/>
      <c r="G383" s="110" t="str">
        <f aca="false">IF(OR($B383="",$E383="",$F383=""),"",MAX(0,F383-E383+1))</f>
        <v/>
      </c>
      <c r="H383" s="111" t="str">
        <f aca="false">IF(D383="","",IFERROR(VLOOKUP(D383,cfg_LT,2,FALSE()),1))</f>
        <v/>
      </c>
      <c r="I383" s="82"/>
      <c r="J383" s="111" t="str">
        <f aca="false">IF(D383="","",IF(I383&lt;&gt;"",I383,H383))</f>
        <v/>
      </c>
      <c r="K383" s="102" t="str">
        <f aca="false">IF(D383="","",IFERROR(VLOOKUP($D383,cfg_LT,3,FALSE()),""))</f>
        <v/>
      </c>
      <c r="L383" s="102" t="str">
        <f aca="false">IF(D383="","",IFERROR(VLOOKUP($D383,cfg_LT,4,FALSE()),""))</f>
        <v/>
      </c>
      <c r="M383" s="102" t="str">
        <f aca="false">IF(D383="","",IFERROR(VLOOKUP($D383,cfg_LT,5,FALSE()),""))</f>
        <v/>
      </c>
      <c r="N383" s="101" t="n">
        <f aca="false">IF(OR(OR($B383="",$E383="",$F383=""),M383&lt;&gt;"نعم"),0,G383*J383*IFERROR(INDEX(الموظفون!$R$6:$R$105,MATCH(B383,الموظفون!$B$6:$B$105,0)),0)/cfg_DAYS_M)</f>
        <v>0</v>
      </c>
      <c r="O383" s="100" t="str">
        <f aca="false">IF(OR(OR($B383="",$E383="",$F383=""),M383&lt;&gt;"نعم"),"",IF(YEAR(E383)=cfg_FY,MONTH(E383),""))</f>
        <v/>
      </c>
      <c r="P383" s="102" t="str">
        <f aca="false">IF(B383="","",IF(OR(D383="",E383="",F383=""),"⚠ أكمل النوع والتواريخ",IF(F383&lt;E383,"✖ النهاية قبل البداية",IF(COUNTIFS($B$6:$B$505,B383,$E$6:$E$505,"&lt;="&amp;F383,$F$6:$F$505,"&gt;="&amp;E383)&gt;1,"⚠ تداخل مع سجل آخر",IF(E383&gt;cfg_VAL_DATE,"⏳ قادمة",IF(F383&lt;cfg_VAL_DATE,"✔ منتهية","✈ جارية في تاريخ التقرير"))))))</f>
        <v/>
      </c>
      <c r="Q383" s="79"/>
      <c r="R383" s="110" t="n">
        <f aca="false">IF(OR(OR($B383="",$E383="",$F383=""),L383&lt;&gt;"لا"),0,MAX(0,MIN(F383,cfg_Y_START-1)-E383+1))</f>
        <v>0</v>
      </c>
      <c r="S383" s="110" t="n">
        <f aca="false">IF(OR(OR($B383="",$E383="",$F383=""),L383&lt;&gt;"لا"),0,MAX(0,MIN(F383,cfg_VAL_DATE)-E383+1))</f>
        <v>0</v>
      </c>
      <c r="T383" s="110" t="n">
        <f aca="false">IF(OR(OR($B383="",$E383="",$F383=""),K383&lt;&gt;"نعم"),0,IF(M383="نعم",IF(AND(ISNUMBER(O383),N(O383)&lt;=cfg_VAL_M),G383,0),MAX(0,MIN(F383,cfg_VAL_DATE)-MAX(E383,cfg_Y_START)+1)))</f>
        <v>0</v>
      </c>
      <c r="V383" s="110" t="n">
        <f aca="false">IF(OR($B383="",$E383="",$F383=""),0,MAX(0,MIN($F383,EOMONTH(DATE(cfg_FY,1,1),0))-MAX($E383,DATE(cfg_FY,1,1))+1)*(1-IF($M383="نعم",0,N($J383))))</f>
        <v>0</v>
      </c>
      <c r="W383" s="110" t="n">
        <f aca="false">IF(OR($B383="",$E383="",$F383=""),0,MAX(0,MIN($F383,EOMONTH(DATE(cfg_FY,2,1),0))-MAX($E383,DATE(cfg_FY,2,1))+1)*(1-IF($M383="نعم",0,N($J383))))</f>
        <v>0</v>
      </c>
      <c r="X383" s="110" t="n">
        <f aca="false">IF(OR($B383="",$E383="",$F383=""),0,MAX(0,MIN($F383,EOMONTH(DATE(cfg_FY,3,1),0))-MAX($E383,DATE(cfg_FY,3,1))+1)*(1-IF($M383="نعم",0,N($J383))))</f>
        <v>0</v>
      </c>
      <c r="Y383" s="110" t="n">
        <f aca="false">IF(OR($B383="",$E383="",$F383=""),0,MAX(0,MIN($F383,EOMONTH(DATE(cfg_FY,4,1),0))-MAX($E383,DATE(cfg_FY,4,1))+1)*(1-IF($M383="نعم",0,N($J383))))</f>
        <v>0</v>
      </c>
      <c r="Z383" s="110" t="n">
        <f aca="false">IF(OR($B383="",$E383="",$F383=""),0,MAX(0,MIN($F383,EOMONTH(DATE(cfg_FY,5,1),0))-MAX($E383,DATE(cfg_FY,5,1))+1)*(1-IF($M383="نعم",0,N($J383))))</f>
        <v>0</v>
      </c>
      <c r="AA383" s="110" t="n">
        <f aca="false">IF(OR($B383="",$E383="",$F383=""),0,MAX(0,MIN($F383,EOMONTH(DATE(cfg_FY,6,1),0))-MAX($E383,DATE(cfg_FY,6,1))+1)*(1-IF($M383="نعم",0,N($J383))))</f>
        <v>0</v>
      </c>
      <c r="AB383" s="110" t="n">
        <f aca="false">IF(OR($B383="",$E383="",$F383=""),0,MAX(0,MIN($F383,EOMONTH(DATE(cfg_FY,7,1),0))-MAX($E383,DATE(cfg_FY,7,1))+1)*(1-IF($M383="نعم",0,N($J383))))</f>
        <v>0</v>
      </c>
      <c r="AC383" s="110" t="n">
        <f aca="false">IF(OR($B383="",$E383="",$F383=""),0,MAX(0,MIN($F383,EOMONTH(DATE(cfg_FY,8,1),0))-MAX($E383,DATE(cfg_FY,8,1))+1)*(1-IF($M383="نعم",0,N($J383))))</f>
        <v>0</v>
      </c>
      <c r="AD383" s="110" t="n">
        <f aca="false">IF(OR($B383="",$E383="",$F383=""),0,MAX(0,MIN($F383,EOMONTH(DATE(cfg_FY,9,1),0))-MAX($E383,DATE(cfg_FY,9,1))+1)*(1-IF($M383="نعم",0,N($J383))))</f>
        <v>0</v>
      </c>
      <c r="AE383" s="110" t="n">
        <f aca="false">IF(OR($B383="",$E383="",$F383=""),0,MAX(0,MIN($F383,EOMONTH(DATE(cfg_FY,10,1),0))-MAX($E383,DATE(cfg_FY,10,1))+1)*(1-IF($M383="نعم",0,N($J383))))</f>
        <v>0</v>
      </c>
      <c r="AF383" s="110" t="n">
        <f aca="false">IF(OR($B383="",$E383="",$F383=""),0,MAX(0,MIN($F383,EOMONTH(DATE(cfg_FY,11,1),0))-MAX($E383,DATE(cfg_FY,11,1))+1)*(1-IF($M383="نعم",0,N($J383))))</f>
        <v>0</v>
      </c>
      <c r="AG383" s="110" t="n">
        <f aca="false">IF(OR($B383="",$E383="",$F383=""),0,MAX(0,MIN($F383,EOMONTH(DATE(cfg_FY,12,1),0))-MAX($E383,DATE(cfg_FY,12,1))+1)*(1-IF($M383="نعم",0,N($J383))))</f>
        <v>0</v>
      </c>
      <c r="AH383" s="110" t="n">
        <f aca="false">IF(OR(OR($B383="",$E383="",$F383=""),$L383&lt;&gt;"لا"),0,MAX(0,MIN($F383,EOMONTH(DATE(cfg_FY,1,1),0))-$E383+1))</f>
        <v>0</v>
      </c>
      <c r="AI383" s="110" t="n">
        <f aca="false">IF(OR(OR($B383="",$E383="",$F383=""),$L383&lt;&gt;"لا"),0,MAX(0,MIN($F383,EOMONTH(DATE(cfg_FY,2,1),0))-$E383+1))</f>
        <v>0</v>
      </c>
      <c r="AJ383" s="110" t="n">
        <f aca="false">IF(OR(OR($B383="",$E383="",$F383=""),$L383&lt;&gt;"لا"),0,MAX(0,MIN($F383,EOMONTH(DATE(cfg_FY,3,1),0))-$E383+1))</f>
        <v>0</v>
      </c>
      <c r="AK383" s="110" t="n">
        <f aca="false">IF(OR(OR($B383="",$E383="",$F383=""),$L383&lt;&gt;"لا"),0,MAX(0,MIN($F383,EOMONTH(DATE(cfg_FY,4,1),0))-$E383+1))</f>
        <v>0</v>
      </c>
      <c r="AL383" s="110" t="n">
        <f aca="false">IF(OR(OR($B383="",$E383="",$F383=""),$L383&lt;&gt;"لا"),0,MAX(0,MIN($F383,EOMONTH(DATE(cfg_FY,5,1),0))-$E383+1))</f>
        <v>0</v>
      </c>
      <c r="AM383" s="110" t="n">
        <f aca="false">IF(OR(OR($B383="",$E383="",$F383=""),$L383&lt;&gt;"لا"),0,MAX(0,MIN($F383,EOMONTH(DATE(cfg_FY,6,1),0))-$E383+1))</f>
        <v>0</v>
      </c>
      <c r="AN383" s="110" t="n">
        <f aca="false">IF(OR(OR($B383="",$E383="",$F383=""),$L383&lt;&gt;"لا"),0,MAX(0,MIN($F383,EOMONTH(DATE(cfg_FY,7,1),0))-$E383+1))</f>
        <v>0</v>
      </c>
      <c r="AO383" s="110" t="n">
        <f aca="false">IF(OR(OR($B383="",$E383="",$F383=""),$L383&lt;&gt;"لا"),0,MAX(0,MIN($F383,EOMONTH(DATE(cfg_FY,8,1),0))-$E383+1))</f>
        <v>0</v>
      </c>
      <c r="AP383" s="110" t="n">
        <f aca="false">IF(OR(OR($B383="",$E383="",$F383=""),$L383&lt;&gt;"لا"),0,MAX(0,MIN($F383,EOMONTH(DATE(cfg_FY,9,1),0))-$E383+1))</f>
        <v>0</v>
      </c>
      <c r="AQ383" s="110" t="n">
        <f aca="false">IF(OR(OR($B383="",$E383="",$F383=""),$L383&lt;&gt;"لا"),0,MAX(0,MIN($F383,EOMONTH(DATE(cfg_FY,10,1),0))-$E383+1))</f>
        <v>0</v>
      </c>
      <c r="AR383" s="110" t="n">
        <f aca="false">IF(OR(OR($B383="",$E383="",$F383=""),$L383&lt;&gt;"لا"),0,MAX(0,MIN($F383,EOMONTH(DATE(cfg_FY,11,1),0))-$E383+1))</f>
        <v>0</v>
      </c>
      <c r="AS383" s="110" t="n">
        <f aca="false">IF(OR(OR($B383="",$E383="",$F383=""),$L383&lt;&gt;"لا"),0,MAX(0,MIN($F383,EOMONTH(DATE(cfg_FY,12,1),0))-$E383+1))</f>
        <v>0</v>
      </c>
      <c r="AT383" s="110" t="n">
        <f aca="false">IF(OR(OR($B383="",$E383="",$F383=""),$K383&lt;&gt;"نعم",$M383="نعم"),0,MAX(0,MIN($F383,EOMONTH(DATE(cfg_FY,1,1),0))-MAX($E383,DATE(cfg_FY,1,1))+1))</f>
        <v>0</v>
      </c>
      <c r="AU383" s="110" t="n">
        <f aca="false">IF(OR(OR($B383="",$E383="",$F383=""),$K383&lt;&gt;"نعم",$M383="نعم"),0,MAX(0,MIN($F383,EOMONTH(DATE(cfg_FY,2,1),0))-MAX($E383,DATE(cfg_FY,2,1))+1))</f>
        <v>0</v>
      </c>
      <c r="AV383" s="110" t="n">
        <f aca="false">IF(OR(OR($B383="",$E383="",$F383=""),$K383&lt;&gt;"نعم",$M383="نعم"),0,MAX(0,MIN($F383,EOMONTH(DATE(cfg_FY,3,1),0))-MAX($E383,DATE(cfg_FY,3,1))+1))</f>
        <v>0</v>
      </c>
      <c r="AW383" s="110" t="n">
        <f aca="false">IF(OR(OR($B383="",$E383="",$F383=""),$K383&lt;&gt;"نعم",$M383="نعم"),0,MAX(0,MIN($F383,EOMONTH(DATE(cfg_FY,4,1),0))-MAX($E383,DATE(cfg_FY,4,1))+1))</f>
        <v>0</v>
      </c>
      <c r="AX383" s="110" t="n">
        <f aca="false">IF(OR(OR($B383="",$E383="",$F383=""),$K383&lt;&gt;"نعم",$M383="نعم"),0,MAX(0,MIN($F383,EOMONTH(DATE(cfg_FY,5,1),0))-MAX($E383,DATE(cfg_FY,5,1))+1))</f>
        <v>0</v>
      </c>
      <c r="AY383" s="110" t="n">
        <f aca="false">IF(OR(OR($B383="",$E383="",$F383=""),$K383&lt;&gt;"نعم",$M383="نعم"),0,MAX(0,MIN($F383,EOMONTH(DATE(cfg_FY,6,1),0))-MAX($E383,DATE(cfg_FY,6,1))+1))</f>
        <v>0</v>
      </c>
      <c r="AZ383" s="110" t="n">
        <f aca="false">IF(OR(OR($B383="",$E383="",$F383=""),$K383&lt;&gt;"نعم",$M383="نعم"),0,MAX(0,MIN($F383,EOMONTH(DATE(cfg_FY,7,1),0))-MAX($E383,DATE(cfg_FY,7,1))+1))</f>
        <v>0</v>
      </c>
      <c r="BA383" s="110" t="n">
        <f aca="false">IF(OR(OR($B383="",$E383="",$F383=""),$K383&lt;&gt;"نعم",$M383="نعم"),0,MAX(0,MIN($F383,EOMONTH(DATE(cfg_FY,8,1),0))-MAX($E383,DATE(cfg_FY,8,1))+1))</f>
        <v>0</v>
      </c>
      <c r="BB383" s="110" t="n">
        <f aca="false">IF(OR(OR($B383="",$E383="",$F383=""),$K383&lt;&gt;"نعم",$M383="نعم"),0,MAX(0,MIN($F383,EOMONTH(DATE(cfg_FY,9,1),0))-MAX($E383,DATE(cfg_FY,9,1))+1))</f>
        <v>0</v>
      </c>
      <c r="BC383" s="110" t="n">
        <f aca="false">IF(OR(OR($B383="",$E383="",$F383=""),$K383&lt;&gt;"نعم",$M383="نعم"),0,MAX(0,MIN($F383,EOMONTH(DATE(cfg_FY,10,1),0))-MAX($E383,DATE(cfg_FY,10,1))+1))</f>
        <v>0</v>
      </c>
      <c r="BD383" s="110" t="n">
        <f aca="false">IF(OR(OR($B383="",$E383="",$F383=""),$K383&lt;&gt;"نعم",$M383="نعم"),0,MAX(0,MIN($F383,EOMONTH(DATE(cfg_FY,11,1),0))-MAX($E383,DATE(cfg_FY,11,1))+1))</f>
        <v>0</v>
      </c>
      <c r="BE383" s="110" t="n">
        <f aca="false">IF(OR(OR($B383="",$E383="",$F383=""),$K383&lt;&gt;"نعم",$M383="نعم"),0,MAX(0,MIN($F383,EOMONTH(DATE(cfg_FY,12,1),0))-MAX($E383,DATE(cfg_FY,12,1))+1))</f>
        <v>0</v>
      </c>
    </row>
    <row r="384" customFormat="false" ht="15" hidden="false" customHeight="false" outlineLevel="0" collapsed="false">
      <c r="A384" s="93" t="str">
        <f aca="false">IF(B384="","",ROW()-5)</f>
        <v/>
      </c>
      <c r="B384" s="79"/>
      <c r="C384" s="80" t="str">
        <f aca="false">IF(B384="","",IFERROR(INDEX(الموظفون!$C$6:$C$105,MATCH(B384,الموظفون!$B$6:$B$105,0)),"✖ رقم غير موجود"))</f>
        <v/>
      </c>
      <c r="D384" s="79"/>
      <c r="E384" s="94"/>
      <c r="F384" s="94"/>
      <c r="G384" s="57" t="str">
        <f aca="false">IF(OR($B384="",$E384="",$F384=""),"",MAX(0,F384-E384+1))</f>
        <v/>
      </c>
      <c r="H384" s="58" t="str">
        <f aca="false">IF(D384="","",IFERROR(VLOOKUP(D384,cfg_LT,2,FALSE()),1))</f>
        <v/>
      </c>
      <c r="I384" s="82"/>
      <c r="J384" s="58" t="str">
        <f aca="false">IF(D384="","",IF(I384&lt;&gt;"",I384,H384))</f>
        <v/>
      </c>
      <c r="K384" s="80" t="str">
        <f aca="false">IF(D384="","",IFERROR(VLOOKUP($D384,cfg_LT,3,FALSE()),""))</f>
        <v/>
      </c>
      <c r="L384" s="80" t="str">
        <f aca="false">IF(D384="","",IFERROR(VLOOKUP($D384,cfg_LT,4,FALSE()),""))</f>
        <v/>
      </c>
      <c r="M384" s="80" t="str">
        <f aca="false">IF(D384="","",IFERROR(VLOOKUP($D384,cfg_LT,5,FALSE()),""))</f>
        <v/>
      </c>
      <c r="N384" s="97" t="n">
        <f aca="false">IF(OR(OR($B384="",$E384="",$F384=""),M384&lt;&gt;"نعم"),0,G384*J384*IFERROR(INDEX(الموظفون!$R$6:$R$105,MATCH(B384,الموظفون!$B$6:$B$105,0)),0)/cfg_DAYS_M)</f>
        <v>0</v>
      </c>
      <c r="O384" s="93" t="str">
        <f aca="false">IF(OR(OR($B384="",$E384="",$F384=""),M384&lt;&gt;"نعم"),"",IF(YEAR(E384)=cfg_FY,MONTH(E384),""))</f>
        <v/>
      </c>
      <c r="P384" s="80" t="str">
        <f aca="false">IF(B384="","",IF(OR(D384="",E384="",F384=""),"⚠ أكمل النوع والتواريخ",IF(F384&lt;E384,"✖ النهاية قبل البداية",IF(COUNTIFS($B$6:$B$505,B384,$E$6:$E$505,"&lt;="&amp;F384,$F$6:$F$505,"&gt;="&amp;E384)&gt;1,"⚠ تداخل مع سجل آخر",IF(E384&gt;cfg_VAL_DATE,"⏳ قادمة",IF(F384&lt;cfg_VAL_DATE,"✔ منتهية","✈ جارية في تاريخ التقرير"))))))</f>
        <v/>
      </c>
      <c r="Q384" s="79"/>
      <c r="R384" s="57" t="n">
        <f aca="false">IF(OR(OR($B384="",$E384="",$F384=""),L384&lt;&gt;"لا"),0,MAX(0,MIN(F384,cfg_Y_START-1)-E384+1))</f>
        <v>0</v>
      </c>
      <c r="S384" s="57" t="n">
        <f aca="false">IF(OR(OR($B384="",$E384="",$F384=""),L384&lt;&gt;"لا"),0,MAX(0,MIN(F384,cfg_VAL_DATE)-E384+1))</f>
        <v>0</v>
      </c>
      <c r="T384" s="57" t="n">
        <f aca="false">IF(OR(OR($B384="",$E384="",$F384=""),K384&lt;&gt;"نعم"),0,IF(M384="نعم",IF(AND(ISNUMBER(O384),N(O384)&lt;=cfg_VAL_M),G384,0),MAX(0,MIN(F384,cfg_VAL_DATE)-MAX(E384,cfg_Y_START)+1)))</f>
        <v>0</v>
      </c>
      <c r="V384" s="57" t="n">
        <f aca="false">IF(OR($B384="",$E384="",$F384=""),0,MAX(0,MIN($F384,EOMONTH(DATE(cfg_FY,1,1),0))-MAX($E384,DATE(cfg_FY,1,1))+1)*(1-IF($M384="نعم",0,N($J384))))</f>
        <v>0</v>
      </c>
      <c r="W384" s="57" t="n">
        <f aca="false">IF(OR($B384="",$E384="",$F384=""),0,MAX(0,MIN($F384,EOMONTH(DATE(cfg_FY,2,1),0))-MAX($E384,DATE(cfg_FY,2,1))+1)*(1-IF($M384="نعم",0,N($J384))))</f>
        <v>0</v>
      </c>
      <c r="X384" s="57" t="n">
        <f aca="false">IF(OR($B384="",$E384="",$F384=""),0,MAX(0,MIN($F384,EOMONTH(DATE(cfg_FY,3,1),0))-MAX($E384,DATE(cfg_FY,3,1))+1)*(1-IF($M384="نعم",0,N($J384))))</f>
        <v>0</v>
      </c>
      <c r="Y384" s="57" t="n">
        <f aca="false">IF(OR($B384="",$E384="",$F384=""),0,MAX(0,MIN($F384,EOMONTH(DATE(cfg_FY,4,1),0))-MAX($E384,DATE(cfg_FY,4,1))+1)*(1-IF($M384="نعم",0,N($J384))))</f>
        <v>0</v>
      </c>
      <c r="Z384" s="57" t="n">
        <f aca="false">IF(OR($B384="",$E384="",$F384=""),0,MAX(0,MIN($F384,EOMONTH(DATE(cfg_FY,5,1),0))-MAX($E384,DATE(cfg_FY,5,1))+1)*(1-IF($M384="نعم",0,N($J384))))</f>
        <v>0</v>
      </c>
      <c r="AA384" s="57" t="n">
        <f aca="false">IF(OR($B384="",$E384="",$F384=""),0,MAX(0,MIN($F384,EOMONTH(DATE(cfg_FY,6,1),0))-MAX($E384,DATE(cfg_FY,6,1))+1)*(1-IF($M384="نعم",0,N($J384))))</f>
        <v>0</v>
      </c>
      <c r="AB384" s="57" t="n">
        <f aca="false">IF(OR($B384="",$E384="",$F384=""),0,MAX(0,MIN($F384,EOMONTH(DATE(cfg_FY,7,1),0))-MAX($E384,DATE(cfg_FY,7,1))+1)*(1-IF($M384="نعم",0,N($J384))))</f>
        <v>0</v>
      </c>
      <c r="AC384" s="57" t="n">
        <f aca="false">IF(OR($B384="",$E384="",$F384=""),0,MAX(0,MIN($F384,EOMONTH(DATE(cfg_FY,8,1),0))-MAX($E384,DATE(cfg_FY,8,1))+1)*(1-IF($M384="نعم",0,N($J384))))</f>
        <v>0</v>
      </c>
      <c r="AD384" s="57" t="n">
        <f aca="false">IF(OR($B384="",$E384="",$F384=""),0,MAX(0,MIN($F384,EOMONTH(DATE(cfg_FY,9,1),0))-MAX($E384,DATE(cfg_FY,9,1))+1)*(1-IF($M384="نعم",0,N($J384))))</f>
        <v>0</v>
      </c>
      <c r="AE384" s="57" t="n">
        <f aca="false">IF(OR($B384="",$E384="",$F384=""),0,MAX(0,MIN($F384,EOMONTH(DATE(cfg_FY,10,1),0))-MAX($E384,DATE(cfg_FY,10,1))+1)*(1-IF($M384="نعم",0,N($J384))))</f>
        <v>0</v>
      </c>
      <c r="AF384" s="57" t="n">
        <f aca="false">IF(OR($B384="",$E384="",$F384=""),0,MAX(0,MIN($F384,EOMONTH(DATE(cfg_FY,11,1),0))-MAX($E384,DATE(cfg_FY,11,1))+1)*(1-IF($M384="نعم",0,N($J384))))</f>
        <v>0</v>
      </c>
      <c r="AG384" s="57" t="n">
        <f aca="false">IF(OR($B384="",$E384="",$F384=""),0,MAX(0,MIN($F384,EOMONTH(DATE(cfg_FY,12,1),0))-MAX($E384,DATE(cfg_FY,12,1))+1)*(1-IF($M384="نعم",0,N($J384))))</f>
        <v>0</v>
      </c>
      <c r="AH384" s="57" t="n">
        <f aca="false">IF(OR(OR($B384="",$E384="",$F384=""),$L384&lt;&gt;"لا"),0,MAX(0,MIN($F384,EOMONTH(DATE(cfg_FY,1,1),0))-$E384+1))</f>
        <v>0</v>
      </c>
      <c r="AI384" s="57" t="n">
        <f aca="false">IF(OR(OR($B384="",$E384="",$F384=""),$L384&lt;&gt;"لا"),0,MAX(0,MIN($F384,EOMONTH(DATE(cfg_FY,2,1),0))-$E384+1))</f>
        <v>0</v>
      </c>
      <c r="AJ384" s="57" t="n">
        <f aca="false">IF(OR(OR($B384="",$E384="",$F384=""),$L384&lt;&gt;"لا"),0,MAX(0,MIN($F384,EOMONTH(DATE(cfg_FY,3,1),0))-$E384+1))</f>
        <v>0</v>
      </c>
      <c r="AK384" s="57" t="n">
        <f aca="false">IF(OR(OR($B384="",$E384="",$F384=""),$L384&lt;&gt;"لا"),0,MAX(0,MIN($F384,EOMONTH(DATE(cfg_FY,4,1),0))-$E384+1))</f>
        <v>0</v>
      </c>
      <c r="AL384" s="57" t="n">
        <f aca="false">IF(OR(OR($B384="",$E384="",$F384=""),$L384&lt;&gt;"لا"),0,MAX(0,MIN($F384,EOMONTH(DATE(cfg_FY,5,1),0))-$E384+1))</f>
        <v>0</v>
      </c>
      <c r="AM384" s="57" t="n">
        <f aca="false">IF(OR(OR($B384="",$E384="",$F384=""),$L384&lt;&gt;"لا"),0,MAX(0,MIN($F384,EOMONTH(DATE(cfg_FY,6,1),0))-$E384+1))</f>
        <v>0</v>
      </c>
      <c r="AN384" s="57" t="n">
        <f aca="false">IF(OR(OR($B384="",$E384="",$F384=""),$L384&lt;&gt;"لا"),0,MAX(0,MIN($F384,EOMONTH(DATE(cfg_FY,7,1),0))-$E384+1))</f>
        <v>0</v>
      </c>
      <c r="AO384" s="57" t="n">
        <f aca="false">IF(OR(OR($B384="",$E384="",$F384=""),$L384&lt;&gt;"لا"),0,MAX(0,MIN($F384,EOMONTH(DATE(cfg_FY,8,1),0))-$E384+1))</f>
        <v>0</v>
      </c>
      <c r="AP384" s="57" t="n">
        <f aca="false">IF(OR(OR($B384="",$E384="",$F384=""),$L384&lt;&gt;"لا"),0,MAX(0,MIN($F384,EOMONTH(DATE(cfg_FY,9,1),0))-$E384+1))</f>
        <v>0</v>
      </c>
      <c r="AQ384" s="57" t="n">
        <f aca="false">IF(OR(OR($B384="",$E384="",$F384=""),$L384&lt;&gt;"لا"),0,MAX(0,MIN($F384,EOMONTH(DATE(cfg_FY,10,1),0))-$E384+1))</f>
        <v>0</v>
      </c>
      <c r="AR384" s="57" t="n">
        <f aca="false">IF(OR(OR($B384="",$E384="",$F384=""),$L384&lt;&gt;"لا"),0,MAX(0,MIN($F384,EOMONTH(DATE(cfg_FY,11,1),0))-$E384+1))</f>
        <v>0</v>
      </c>
      <c r="AS384" s="57" t="n">
        <f aca="false">IF(OR(OR($B384="",$E384="",$F384=""),$L384&lt;&gt;"لا"),0,MAX(0,MIN($F384,EOMONTH(DATE(cfg_FY,12,1),0))-$E384+1))</f>
        <v>0</v>
      </c>
      <c r="AT384" s="57" t="n">
        <f aca="false">IF(OR(OR($B384="",$E384="",$F384=""),$K384&lt;&gt;"نعم",$M384="نعم"),0,MAX(0,MIN($F384,EOMONTH(DATE(cfg_FY,1,1),0))-MAX($E384,DATE(cfg_FY,1,1))+1))</f>
        <v>0</v>
      </c>
      <c r="AU384" s="57" t="n">
        <f aca="false">IF(OR(OR($B384="",$E384="",$F384=""),$K384&lt;&gt;"نعم",$M384="نعم"),0,MAX(0,MIN($F384,EOMONTH(DATE(cfg_FY,2,1),0))-MAX($E384,DATE(cfg_FY,2,1))+1))</f>
        <v>0</v>
      </c>
      <c r="AV384" s="57" t="n">
        <f aca="false">IF(OR(OR($B384="",$E384="",$F384=""),$K384&lt;&gt;"نعم",$M384="نعم"),0,MAX(0,MIN($F384,EOMONTH(DATE(cfg_FY,3,1),0))-MAX($E384,DATE(cfg_FY,3,1))+1))</f>
        <v>0</v>
      </c>
      <c r="AW384" s="57" t="n">
        <f aca="false">IF(OR(OR($B384="",$E384="",$F384=""),$K384&lt;&gt;"نعم",$M384="نعم"),0,MAX(0,MIN($F384,EOMONTH(DATE(cfg_FY,4,1),0))-MAX($E384,DATE(cfg_FY,4,1))+1))</f>
        <v>0</v>
      </c>
      <c r="AX384" s="57" t="n">
        <f aca="false">IF(OR(OR($B384="",$E384="",$F384=""),$K384&lt;&gt;"نعم",$M384="نعم"),0,MAX(0,MIN($F384,EOMONTH(DATE(cfg_FY,5,1),0))-MAX($E384,DATE(cfg_FY,5,1))+1))</f>
        <v>0</v>
      </c>
      <c r="AY384" s="57" t="n">
        <f aca="false">IF(OR(OR($B384="",$E384="",$F384=""),$K384&lt;&gt;"نعم",$M384="نعم"),0,MAX(0,MIN($F384,EOMONTH(DATE(cfg_FY,6,1),0))-MAX($E384,DATE(cfg_FY,6,1))+1))</f>
        <v>0</v>
      </c>
      <c r="AZ384" s="57" t="n">
        <f aca="false">IF(OR(OR($B384="",$E384="",$F384=""),$K384&lt;&gt;"نعم",$M384="نعم"),0,MAX(0,MIN($F384,EOMONTH(DATE(cfg_FY,7,1),0))-MAX($E384,DATE(cfg_FY,7,1))+1))</f>
        <v>0</v>
      </c>
      <c r="BA384" s="57" t="n">
        <f aca="false">IF(OR(OR($B384="",$E384="",$F384=""),$K384&lt;&gt;"نعم",$M384="نعم"),0,MAX(0,MIN($F384,EOMONTH(DATE(cfg_FY,8,1),0))-MAX($E384,DATE(cfg_FY,8,1))+1))</f>
        <v>0</v>
      </c>
      <c r="BB384" s="57" t="n">
        <f aca="false">IF(OR(OR($B384="",$E384="",$F384=""),$K384&lt;&gt;"نعم",$M384="نعم"),0,MAX(0,MIN($F384,EOMONTH(DATE(cfg_FY,9,1),0))-MAX($E384,DATE(cfg_FY,9,1))+1))</f>
        <v>0</v>
      </c>
      <c r="BC384" s="57" t="n">
        <f aca="false">IF(OR(OR($B384="",$E384="",$F384=""),$K384&lt;&gt;"نعم",$M384="نعم"),0,MAX(0,MIN($F384,EOMONTH(DATE(cfg_FY,10,1),0))-MAX($E384,DATE(cfg_FY,10,1))+1))</f>
        <v>0</v>
      </c>
      <c r="BD384" s="57" t="n">
        <f aca="false">IF(OR(OR($B384="",$E384="",$F384=""),$K384&lt;&gt;"نعم",$M384="نعم"),0,MAX(0,MIN($F384,EOMONTH(DATE(cfg_FY,11,1),0))-MAX($E384,DATE(cfg_FY,11,1))+1))</f>
        <v>0</v>
      </c>
      <c r="BE384" s="57" t="n">
        <f aca="false">IF(OR(OR($B384="",$E384="",$F384=""),$K384&lt;&gt;"نعم",$M384="نعم"),0,MAX(0,MIN($F384,EOMONTH(DATE(cfg_FY,12,1),0))-MAX($E384,DATE(cfg_FY,12,1))+1))</f>
        <v>0</v>
      </c>
    </row>
    <row r="385" customFormat="false" ht="15" hidden="false" customHeight="false" outlineLevel="0" collapsed="false">
      <c r="A385" s="100" t="str">
        <f aca="false">IF(B385="","",ROW()-5)</f>
        <v/>
      </c>
      <c r="B385" s="79"/>
      <c r="C385" s="102" t="str">
        <f aca="false">IF(B385="","",IFERROR(INDEX(الموظفون!$C$6:$C$105,MATCH(B385,الموظفون!$B$6:$B$105,0)),"✖ رقم غير موجود"))</f>
        <v/>
      </c>
      <c r="D385" s="79"/>
      <c r="E385" s="94"/>
      <c r="F385" s="94"/>
      <c r="G385" s="110" t="str">
        <f aca="false">IF(OR($B385="",$E385="",$F385=""),"",MAX(0,F385-E385+1))</f>
        <v/>
      </c>
      <c r="H385" s="111" t="str">
        <f aca="false">IF(D385="","",IFERROR(VLOOKUP(D385,cfg_LT,2,FALSE()),1))</f>
        <v/>
      </c>
      <c r="I385" s="82"/>
      <c r="J385" s="111" t="str">
        <f aca="false">IF(D385="","",IF(I385&lt;&gt;"",I385,H385))</f>
        <v/>
      </c>
      <c r="K385" s="102" t="str">
        <f aca="false">IF(D385="","",IFERROR(VLOOKUP($D385,cfg_LT,3,FALSE()),""))</f>
        <v/>
      </c>
      <c r="L385" s="102" t="str">
        <f aca="false">IF(D385="","",IFERROR(VLOOKUP($D385,cfg_LT,4,FALSE()),""))</f>
        <v/>
      </c>
      <c r="M385" s="102" t="str">
        <f aca="false">IF(D385="","",IFERROR(VLOOKUP($D385,cfg_LT,5,FALSE()),""))</f>
        <v/>
      </c>
      <c r="N385" s="101" t="n">
        <f aca="false">IF(OR(OR($B385="",$E385="",$F385=""),M385&lt;&gt;"نعم"),0,G385*J385*IFERROR(INDEX(الموظفون!$R$6:$R$105,MATCH(B385,الموظفون!$B$6:$B$105,0)),0)/cfg_DAYS_M)</f>
        <v>0</v>
      </c>
      <c r="O385" s="100" t="str">
        <f aca="false">IF(OR(OR($B385="",$E385="",$F385=""),M385&lt;&gt;"نعم"),"",IF(YEAR(E385)=cfg_FY,MONTH(E385),""))</f>
        <v/>
      </c>
      <c r="P385" s="102" t="str">
        <f aca="false">IF(B385="","",IF(OR(D385="",E385="",F385=""),"⚠ أكمل النوع والتواريخ",IF(F385&lt;E385,"✖ النهاية قبل البداية",IF(COUNTIFS($B$6:$B$505,B385,$E$6:$E$505,"&lt;="&amp;F385,$F$6:$F$505,"&gt;="&amp;E385)&gt;1,"⚠ تداخل مع سجل آخر",IF(E385&gt;cfg_VAL_DATE,"⏳ قادمة",IF(F385&lt;cfg_VAL_DATE,"✔ منتهية","✈ جارية في تاريخ التقرير"))))))</f>
        <v/>
      </c>
      <c r="Q385" s="79"/>
      <c r="R385" s="110" t="n">
        <f aca="false">IF(OR(OR($B385="",$E385="",$F385=""),L385&lt;&gt;"لا"),0,MAX(0,MIN(F385,cfg_Y_START-1)-E385+1))</f>
        <v>0</v>
      </c>
      <c r="S385" s="110" t="n">
        <f aca="false">IF(OR(OR($B385="",$E385="",$F385=""),L385&lt;&gt;"لا"),0,MAX(0,MIN(F385,cfg_VAL_DATE)-E385+1))</f>
        <v>0</v>
      </c>
      <c r="T385" s="110" t="n">
        <f aca="false">IF(OR(OR($B385="",$E385="",$F385=""),K385&lt;&gt;"نعم"),0,IF(M385="نعم",IF(AND(ISNUMBER(O385),N(O385)&lt;=cfg_VAL_M),G385,0),MAX(0,MIN(F385,cfg_VAL_DATE)-MAX(E385,cfg_Y_START)+1)))</f>
        <v>0</v>
      </c>
      <c r="V385" s="110" t="n">
        <f aca="false">IF(OR($B385="",$E385="",$F385=""),0,MAX(0,MIN($F385,EOMONTH(DATE(cfg_FY,1,1),0))-MAX($E385,DATE(cfg_FY,1,1))+1)*(1-IF($M385="نعم",0,N($J385))))</f>
        <v>0</v>
      </c>
      <c r="W385" s="110" t="n">
        <f aca="false">IF(OR($B385="",$E385="",$F385=""),0,MAX(0,MIN($F385,EOMONTH(DATE(cfg_FY,2,1),0))-MAX($E385,DATE(cfg_FY,2,1))+1)*(1-IF($M385="نعم",0,N($J385))))</f>
        <v>0</v>
      </c>
      <c r="X385" s="110" t="n">
        <f aca="false">IF(OR($B385="",$E385="",$F385=""),0,MAX(0,MIN($F385,EOMONTH(DATE(cfg_FY,3,1),0))-MAX($E385,DATE(cfg_FY,3,1))+1)*(1-IF($M385="نعم",0,N($J385))))</f>
        <v>0</v>
      </c>
      <c r="Y385" s="110" t="n">
        <f aca="false">IF(OR($B385="",$E385="",$F385=""),0,MAX(0,MIN($F385,EOMONTH(DATE(cfg_FY,4,1),0))-MAX($E385,DATE(cfg_FY,4,1))+1)*(1-IF($M385="نعم",0,N($J385))))</f>
        <v>0</v>
      </c>
      <c r="Z385" s="110" t="n">
        <f aca="false">IF(OR($B385="",$E385="",$F385=""),0,MAX(0,MIN($F385,EOMONTH(DATE(cfg_FY,5,1),0))-MAX($E385,DATE(cfg_FY,5,1))+1)*(1-IF($M385="نعم",0,N($J385))))</f>
        <v>0</v>
      </c>
      <c r="AA385" s="110" t="n">
        <f aca="false">IF(OR($B385="",$E385="",$F385=""),0,MAX(0,MIN($F385,EOMONTH(DATE(cfg_FY,6,1),0))-MAX($E385,DATE(cfg_FY,6,1))+1)*(1-IF($M385="نعم",0,N($J385))))</f>
        <v>0</v>
      </c>
      <c r="AB385" s="110" t="n">
        <f aca="false">IF(OR($B385="",$E385="",$F385=""),0,MAX(0,MIN($F385,EOMONTH(DATE(cfg_FY,7,1),0))-MAX($E385,DATE(cfg_FY,7,1))+1)*(1-IF($M385="نعم",0,N($J385))))</f>
        <v>0</v>
      </c>
      <c r="AC385" s="110" t="n">
        <f aca="false">IF(OR($B385="",$E385="",$F385=""),0,MAX(0,MIN($F385,EOMONTH(DATE(cfg_FY,8,1),0))-MAX($E385,DATE(cfg_FY,8,1))+1)*(1-IF($M385="نعم",0,N($J385))))</f>
        <v>0</v>
      </c>
      <c r="AD385" s="110" t="n">
        <f aca="false">IF(OR($B385="",$E385="",$F385=""),0,MAX(0,MIN($F385,EOMONTH(DATE(cfg_FY,9,1),0))-MAX($E385,DATE(cfg_FY,9,1))+1)*(1-IF($M385="نعم",0,N($J385))))</f>
        <v>0</v>
      </c>
      <c r="AE385" s="110" t="n">
        <f aca="false">IF(OR($B385="",$E385="",$F385=""),0,MAX(0,MIN($F385,EOMONTH(DATE(cfg_FY,10,1),0))-MAX($E385,DATE(cfg_FY,10,1))+1)*(1-IF($M385="نعم",0,N($J385))))</f>
        <v>0</v>
      </c>
      <c r="AF385" s="110" t="n">
        <f aca="false">IF(OR($B385="",$E385="",$F385=""),0,MAX(0,MIN($F385,EOMONTH(DATE(cfg_FY,11,1),0))-MAX($E385,DATE(cfg_FY,11,1))+1)*(1-IF($M385="نعم",0,N($J385))))</f>
        <v>0</v>
      </c>
      <c r="AG385" s="110" t="n">
        <f aca="false">IF(OR($B385="",$E385="",$F385=""),0,MAX(0,MIN($F385,EOMONTH(DATE(cfg_FY,12,1),0))-MAX($E385,DATE(cfg_FY,12,1))+1)*(1-IF($M385="نعم",0,N($J385))))</f>
        <v>0</v>
      </c>
      <c r="AH385" s="110" t="n">
        <f aca="false">IF(OR(OR($B385="",$E385="",$F385=""),$L385&lt;&gt;"لا"),0,MAX(0,MIN($F385,EOMONTH(DATE(cfg_FY,1,1),0))-$E385+1))</f>
        <v>0</v>
      </c>
      <c r="AI385" s="110" t="n">
        <f aca="false">IF(OR(OR($B385="",$E385="",$F385=""),$L385&lt;&gt;"لا"),0,MAX(0,MIN($F385,EOMONTH(DATE(cfg_FY,2,1),0))-$E385+1))</f>
        <v>0</v>
      </c>
      <c r="AJ385" s="110" t="n">
        <f aca="false">IF(OR(OR($B385="",$E385="",$F385=""),$L385&lt;&gt;"لا"),0,MAX(0,MIN($F385,EOMONTH(DATE(cfg_FY,3,1),0))-$E385+1))</f>
        <v>0</v>
      </c>
      <c r="AK385" s="110" t="n">
        <f aca="false">IF(OR(OR($B385="",$E385="",$F385=""),$L385&lt;&gt;"لا"),0,MAX(0,MIN($F385,EOMONTH(DATE(cfg_FY,4,1),0))-$E385+1))</f>
        <v>0</v>
      </c>
      <c r="AL385" s="110" t="n">
        <f aca="false">IF(OR(OR($B385="",$E385="",$F385=""),$L385&lt;&gt;"لا"),0,MAX(0,MIN($F385,EOMONTH(DATE(cfg_FY,5,1),0))-$E385+1))</f>
        <v>0</v>
      </c>
      <c r="AM385" s="110" t="n">
        <f aca="false">IF(OR(OR($B385="",$E385="",$F385=""),$L385&lt;&gt;"لا"),0,MAX(0,MIN($F385,EOMONTH(DATE(cfg_FY,6,1),0))-$E385+1))</f>
        <v>0</v>
      </c>
      <c r="AN385" s="110" t="n">
        <f aca="false">IF(OR(OR($B385="",$E385="",$F385=""),$L385&lt;&gt;"لا"),0,MAX(0,MIN($F385,EOMONTH(DATE(cfg_FY,7,1),0))-$E385+1))</f>
        <v>0</v>
      </c>
      <c r="AO385" s="110" t="n">
        <f aca="false">IF(OR(OR($B385="",$E385="",$F385=""),$L385&lt;&gt;"لا"),0,MAX(0,MIN($F385,EOMONTH(DATE(cfg_FY,8,1),0))-$E385+1))</f>
        <v>0</v>
      </c>
      <c r="AP385" s="110" t="n">
        <f aca="false">IF(OR(OR($B385="",$E385="",$F385=""),$L385&lt;&gt;"لا"),0,MAX(0,MIN($F385,EOMONTH(DATE(cfg_FY,9,1),0))-$E385+1))</f>
        <v>0</v>
      </c>
      <c r="AQ385" s="110" t="n">
        <f aca="false">IF(OR(OR($B385="",$E385="",$F385=""),$L385&lt;&gt;"لا"),0,MAX(0,MIN($F385,EOMONTH(DATE(cfg_FY,10,1),0))-$E385+1))</f>
        <v>0</v>
      </c>
      <c r="AR385" s="110" t="n">
        <f aca="false">IF(OR(OR($B385="",$E385="",$F385=""),$L385&lt;&gt;"لا"),0,MAX(0,MIN($F385,EOMONTH(DATE(cfg_FY,11,1),0))-$E385+1))</f>
        <v>0</v>
      </c>
      <c r="AS385" s="110" t="n">
        <f aca="false">IF(OR(OR($B385="",$E385="",$F385=""),$L385&lt;&gt;"لا"),0,MAX(0,MIN($F385,EOMONTH(DATE(cfg_FY,12,1),0))-$E385+1))</f>
        <v>0</v>
      </c>
      <c r="AT385" s="110" t="n">
        <f aca="false">IF(OR(OR($B385="",$E385="",$F385=""),$K385&lt;&gt;"نعم",$M385="نعم"),0,MAX(0,MIN($F385,EOMONTH(DATE(cfg_FY,1,1),0))-MAX($E385,DATE(cfg_FY,1,1))+1))</f>
        <v>0</v>
      </c>
      <c r="AU385" s="110" t="n">
        <f aca="false">IF(OR(OR($B385="",$E385="",$F385=""),$K385&lt;&gt;"نعم",$M385="نعم"),0,MAX(0,MIN($F385,EOMONTH(DATE(cfg_FY,2,1),0))-MAX($E385,DATE(cfg_FY,2,1))+1))</f>
        <v>0</v>
      </c>
      <c r="AV385" s="110" t="n">
        <f aca="false">IF(OR(OR($B385="",$E385="",$F385=""),$K385&lt;&gt;"نعم",$M385="نعم"),0,MAX(0,MIN($F385,EOMONTH(DATE(cfg_FY,3,1),0))-MAX($E385,DATE(cfg_FY,3,1))+1))</f>
        <v>0</v>
      </c>
      <c r="AW385" s="110" t="n">
        <f aca="false">IF(OR(OR($B385="",$E385="",$F385=""),$K385&lt;&gt;"نعم",$M385="نعم"),0,MAX(0,MIN($F385,EOMONTH(DATE(cfg_FY,4,1),0))-MAX($E385,DATE(cfg_FY,4,1))+1))</f>
        <v>0</v>
      </c>
      <c r="AX385" s="110" t="n">
        <f aca="false">IF(OR(OR($B385="",$E385="",$F385=""),$K385&lt;&gt;"نعم",$M385="نعم"),0,MAX(0,MIN($F385,EOMONTH(DATE(cfg_FY,5,1),0))-MAX($E385,DATE(cfg_FY,5,1))+1))</f>
        <v>0</v>
      </c>
      <c r="AY385" s="110" t="n">
        <f aca="false">IF(OR(OR($B385="",$E385="",$F385=""),$K385&lt;&gt;"نعم",$M385="نعم"),0,MAX(0,MIN($F385,EOMONTH(DATE(cfg_FY,6,1),0))-MAX($E385,DATE(cfg_FY,6,1))+1))</f>
        <v>0</v>
      </c>
      <c r="AZ385" s="110" t="n">
        <f aca="false">IF(OR(OR($B385="",$E385="",$F385=""),$K385&lt;&gt;"نعم",$M385="نعم"),0,MAX(0,MIN($F385,EOMONTH(DATE(cfg_FY,7,1),0))-MAX($E385,DATE(cfg_FY,7,1))+1))</f>
        <v>0</v>
      </c>
      <c r="BA385" s="110" t="n">
        <f aca="false">IF(OR(OR($B385="",$E385="",$F385=""),$K385&lt;&gt;"نعم",$M385="نعم"),0,MAX(0,MIN($F385,EOMONTH(DATE(cfg_FY,8,1),0))-MAX($E385,DATE(cfg_FY,8,1))+1))</f>
        <v>0</v>
      </c>
      <c r="BB385" s="110" t="n">
        <f aca="false">IF(OR(OR($B385="",$E385="",$F385=""),$K385&lt;&gt;"نعم",$M385="نعم"),0,MAX(0,MIN($F385,EOMONTH(DATE(cfg_FY,9,1),0))-MAX($E385,DATE(cfg_FY,9,1))+1))</f>
        <v>0</v>
      </c>
      <c r="BC385" s="110" t="n">
        <f aca="false">IF(OR(OR($B385="",$E385="",$F385=""),$K385&lt;&gt;"نعم",$M385="نعم"),0,MAX(0,MIN($F385,EOMONTH(DATE(cfg_FY,10,1),0))-MAX($E385,DATE(cfg_FY,10,1))+1))</f>
        <v>0</v>
      </c>
      <c r="BD385" s="110" t="n">
        <f aca="false">IF(OR(OR($B385="",$E385="",$F385=""),$K385&lt;&gt;"نعم",$M385="نعم"),0,MAX(0,MIN($F385,EOMONTH(DATE(cfg_FY,11,1),0))-MAX($E385,DATE(cfg_FY,11,1))+1))</f>
        <v>0</v>
      </c>
      <c r="BE385" s="110" t="n">
        <f aca="false">IF(OR(OR($B385="",$E385="",$F385=""),$K385&lt;&gt;"نعم",$M385="نعم"),0,MAX(0,MIN($F385,EOMONTH(DATE(cfg_FY,12,1),0))-MAX($E385,DATE(cfg_FY,12,1))+1))</f>
        <v>0</v>
      </c>
    </row>
    <row r="386" customFormat="false" ht="15" hidden="false" customHeight="false" outlineLevel="0" collapsed="false">
      <c r="A386" s="93" t="str">
        <f aca="false">IF(B386="","",ROW()-5)</f>
        <v/>
      </c>
      <c r="B386" s="79"/>
      <c r="C386" s="80" t="str">
        <f aca="false">IF(B386="","",IFERROR(INDEX(الموظفون!$C$6:$C$105,MATCH(B386,الموظفون!$B$6:$B$105,0)),"✖ رقم غير موجود"))</f>
        <v/>
      </c>
      <c r="D386" s="79"/>
      <c r="E386" s="94"/>
      <c r="F386" s="94"/>
      <c r="G386" s="57" t="str">
        <f aca="false">IF(OR($B386="",$E386="",$F386=""),"",MAX(0,F386-E386+1))</f>
        <v/>
      </c>
      <c r="H386" s="58" t="str">
        <f aca="false">IF(D386="","",IFERROR(VLOOKUP(D386,cfg_LT,2,FALSE()),1))</f>
        <v/>
      </c>
      <c r="I386" s="82"/>
      <c r="J386" s="58" t="str">
        <f aca="false">IF(D386="","",IF(I386&lt;&gt;"",I386,H386))</f>
        <v/>
      </c>
      <c r="K386" s="80" t="str">
        <f aca="false">IF(D386="","",IFERROR(VLOOKUP($D386,cfg_LT,3,FALSE()),""))</f>
        <v/>
      </c>
      <c r="L386" s="80" t="str">
        <f aca="false">IF(D386="","",IFERROR(VLOOKUP($D386,cfg_LT,4,FALSE()),""))</f>
        <v/>
      </c>
      <c r="M386" s="80" t="str">
        <f aca="false">IF(D386="","",IFERROR(VLOOKUP($D386,cfg_LT,5,FALSE()),""))</f>
        <v/>
      </c>
      <c r="N386" s="97" t="n">
        <f aca="false">IF(OR(OR($B386="",$E386="",$F386=""),M386&lt;&gt;"نعم"),0,G386*J386*IFERROR(INDEX(الموظفون!$R$6:$R$105,MATCH(B386,الموظفون!$B$6:$B$105,0)),0)/cfg_DAYS_M)</f>
        <v>0</v>
      </c>
      <c r="O386" s="93" t="str">
        <f aca="false">IF(OR(OR($B386="",$E386="",$F386=""),M386&lt;&gt;"نعم"),"",IF(YEAR(E386)=cfg_FY,MONTH(E386),""))</f>
        <v/>
      </c>
      <c r="P386" s="80" t="str">
        <f aca="false">IF(B386="","",IF(OR(D386="",E386="",F386=""),"⚠ أكمل النوع والتواريخ",IF(F386&lt;E386,"✖ النهاية قبل البداية",IF(COUNTIFS($B$6:$B$505,B386,$E$6:$E$505,"&lt;="&amp;F386,$F$6:$F$505,"&gt;="&amp;E386)&gt;1,"⚠ تداخل مع سجل آخر",IF(E386&gt;cfg_VAL_DATE,"⏳ قادمة",IF(F386&lt;cfg_VAL_DATE,"✔ منتهية","✈ جارية في تاريخ التقرير"))))))</f>
        <v/>
      </c>
      <c r="Q386" s="79"/>
      <c r="R386" s="57" t="n">
        <f aca="false">IF(OR(OR($B386="",$E386="",$F386=""),L386&lt;&gt;"لا"),0,MAX(0,MIN(F386,cfg_Y_START-1)-E386+1))</f>
        <v>0</v>
      </c>
      <c r="S386" s="57" t="n">
        <f aca="false">IF(OR(OR($B386="",$E386="",$F386=""),L386&lt;&gt;"لا"),0,MAX(0,MIN(F386,cfg_VAL_DATE)-E386+1))</f>
        <v>0</v>
      </c>
      <c r="T386" s="57" t="n">
        <f aca="false">IF(OR(OR($B386="",$E386="",$F386=""),K386&lt;&gt;"نعم"),0,IF(M386="نعم",IF(AND(ISNUMBER(O386),N(O386)&lt;=cfg_VAL_M),G386,0),MAX(0,MIN(F386,cfg_VAL_DATE)-MAX(E386,cfg_Y_START)+1)))</f>
        <v>0</v>
      </c>
      <c r="V386" s="57" t="n">
        <f aca="false">IF(OR($B386="",$E386="",$F386=""),0,MAX(0,MIN($F386,EOMONTH(DATE(cfg_FY,1,1),0))-MAX($E386,DATE(cfg_FY,1,1))+1)*(1-IF($M386="نعم",0,N($J386))))</f>
        <v>0</v>
      </c>
      <c r="W386" s="57" t="n">
        <f aca="false">IF(OR($B386="",$E386="",$F386=""),0,MAX(0,MIN($F386,EOMONTH(DATE(cfg_FY,2,1),0))-MAX($E386,DATE(cfg_FY,2,1))+1)*(1-IF($M386="نعم",0,N($J386))))</f>
        <v>0</v>
      </c>
      <c r="X386" s="57" t="n">
        <f aca="false">IF(OR($B386="",$E386="",$F386=""),0,MAX(0,MIN($F386,EOMONTH(DATE(cfg_FY,3,1),0))-MAX($E386,DATE(cfg_FY,3,1))+1)*(1-IF($M386="نعم",0,N($J386))))</f>
        <v>0</v>
      </c>
      <c r="Y386" s="57" t="n">
        <f aca="false">IF(OR($B386="",$E386="",$F386=""),0,MAX(0,MIN($F386,EOMONTH(DATE(cfg_FY,4,1),0))-MAX($E386,DATE(cfg_FY,4,1))+1)*(1-IF($M386="نعم",0,N($J386))))</f>
        <v>0</v>
      </c>
      <c r="Z386" s="57" t="n">
        <f aca="false">IF(OR($B386="",$E386="",$F386=""),0,MAX(0,MIN($F386,EOMONTH(DATE(cfg_FY,5,1),0))-MAX($E386,DATE(cfg_FY,5,1))+1)*(1-IF($M386="نعم",0,N($J386))))</f>
        <v>0</v>
      </c>
      <c r="AA386" s="57" t="n">
        <f aca="false">IF(OR($B386="",$E386="",$F386=""),0,MAX(0,MIN($F386,EOMONTH(DATE(cfg_FY,6,1),0))-MAX($E386,DATE(cfg_FY,6,1))+1)*(1-IF($M386="نعم",0,N($J386))))</f>
        <v>0</v>
      </c>
      <c r="AB386" s="57" t="n">
        <f aca="false">IF(OR($B386="",$E386="",$F386=""),0,MAX(0,MIN($F386,EOMONTH(DATE(cfg_FY,7,1),0))-MAX($E386,DATE(cfg_FY,7,1))+1)*(1-IF($M386="نعم",0,N($J386))))</f>
        <v>0</v>
      </c>
      <c r="AC386" s="57" t="n">
        <f aca="false">IF(OR($B386="",$E386="",$F386=""),0,MAX(0,MIN($F386,EOMONTH(DATE(cfg_FY,8,1),0))-MAX($E386,DATE(cfg_FY,8,1))+1)*(1-IF($M386="نعم",0,N($J386))))</f>
        <v>0</v>
      </c>
      <c r="AD386" s="57" t="n">
        <f aca="false">IF(OR($B386="",$E386="",$F386=""),0,MAX(0,MIN($F386,EOMONTH(DATE(cfg_FY,9,1),0))-MAX($E386,DATE(cfg_FY,9,1))+1)*(1-IF($M386="نعم",0,N($J386))))</f>
        <v>0</v>
      </c>
      <c r="AE386" s="57" t="n">
        <f aca="false">IF(OR($B386="",$E386="",$F386=""),0,MAX(0,MIN($F386,EOMONTH(DATE(cfg_FY,10,1),0))-MAX($E386,DATE(cfg_FY,10,1))+1)*(1-IF($M386="نعم",0,N($J386))))</f>
        <v>0</v>
      </c>
      <c r="AF386" s="57" t="n">
        <f aca="false">IF(OR($B386="",$E386="",$F386=""),0,MAX(0,MIN($F386,EOMONTH(DATE(cfg_FY,11,1),0))-MAX($E386,DATE(cfg_FY,11,1))+1)*(1-IF($M386="نعم",0,N($J386))))</f>
        <v>0</v>
      </c>
      <c r="AG386" s="57" t="n">
        <f aca="false">IF(OR($B386="",$E386="",$F386=""),0,MAX(0,MIN($F386,EOMONTH(DATE(cfg_FY,12,1),0))-MAX($E386,DATE(cfg_FY,12,1))+1)*(1-IF($M386="نعم",0,N($J386))))</f>
        <v>0</v>
      </c>
      <c r="AH386" s="57" t="n">
        <f aca="false">IF(OR(OR($B386="",$E386="",$F386=""),$L386&lt;&gt;"لا"),0,MAX(0,MIN($F386,EOMONTH(DATE(cfg_FY,1,1),0))-$E386+1))</f>
        <v>0</v>
      </c>
      <c r="AI386" s="57" t="n">
        <f aca="false">IF(OR(OR($B386="",$E386="",$F386=""),$L386&lt;&gt;"لا"),0,MAX(0,MIN($F386,EOMONTH(DATE(cfg_FY,2,1),0))-$E386+1))</f>
        <v>0</v>
      </c>
      <c r="AJ386" s="57" t="n">
        <f aca="false">IF(OR(OR($B386="",$E386="",$F386=""),$L386&lt;&gt;"لا"),0,MAX(0,MIN($F386,EOMONTH(DATE(cfg_FY,3,1),0))-$E386+1))</f>
        <v>0</v>
      </c>
      <c r="AK386" s="57" t="n">
        <f aca="false">IF(OR(OR($B386="",$E386="",$F386=""),$L386&lt;&gt;"لا"),0,MAX(0,MIN($F386,EOMONTH(DATE(cfg_FY,4,1),0))-$E386+1))</f>
        <v>0</v>
      </c>
      <c r="AL386" s="57" t="n">
        <f aca="false">IF(OR(OR($B386="",$E386="",$F386=""),$L386&lt;&gt;"لا"),0,MAX(0,MIN($F386,EOMONTH(DATE(cfg_FY,5,1),0))-$E386+1))</f>
        <v>0</v>
      </c>
      <c r="AM386" s="57" t="n">
        <f aca="false">IF(OR(OR($B386="",$E386="",$F386=""),$L386&lt;&gt;"لا"),0,MAX(0,MIN($F386,EOMONTH(DATE(cfg_FY,6,1),0))-$E386+1))</f>
        <v>0</v>
      </c>
      <c r="AN386" s="57" t="n">
        <f aca="false">IF(OR(OR($B386="",$E386="",$F386=""),$L386&lt;&gt;"لا"),0,MAX(0,MIN($F386,EOMONTH(DATE(cfg_FY,7,1),0))-$E386+1))</f>
        <v>0</v>
      </c>
      <c r="AO386" s="57" t="n">
        <f aca="false">IF(OR(OR($B386="",$E386="",$F386=""),$L386&lt;&gt;"لا"),0,MAX(0,MIN($F386,EOMONTH(DATE(cfg_FY,8,1),0))-$E386+1))</f>
        <v>0</v>
      </c>
      <c r="AP386" s="57" t="n">
        <f aca="false">IF(OR(OR($B386="",$E386="",$F386=""),$L386&lt;&gt;"لا"),0,MAX(0,MIN($F386,EOMONTH(DATE(cfg_FY,9,1),0))-$E386+1))</f>
        <v>0</v>
      </c>
      <c r="AQ386" s="57" t="n">
        <f aca="false">IF(OR(OR($B386="",$E386="",$F386=""),$L386&lt;&gt;"لا"),0,MAX(0,MIN($F386,EOMONTH(DATE(cfg_FY,10,1),0))-$E386+1))</f>
        <v>0</v>
      </c>
      <c r="AR386" s="57" t="n">
        <f aca="false">IF(OR(OR($B386="",$E386="",$F386=""),$L386&lt;&gt;"لا"),0,MAX(0,MIN($F386,EOMONTH(DATE(cfg_FY,11,1),0))-$E386+1))</f>
        <v>0</v>
      </c>
      <c r="AS386" s="57" t="n">
        <f aca="false">IF(OR(OR($B386="",$E386="",$F386=""),$L386&lt;&gt;"لا"),0,MAX(0,MIN($F386,EOMONTH(DATE(cfg_FY,12,1),0))-$E386+1))</f>
        <v>0</v>
      </c>
      <c r="AT386" s="57" t="n">
        <f aca="false">IF(OR(OR($B386="",$E386="",$F386=""),$K386&lt;&gt;"نعم",$M386="نعم"),0,MAX(0,MIN($F386,EOMONTH(DATE(cfg_FY,1,1),0))-MAX($E386,DATE(cfg_FY,1,1))+1))</f>
        <v>0</v>
      </c>
      <c r="AU386" s="57" t="n">
        <f aca="false">IF(OR(OR($B386="",$E386="",$F386=""),$K386&lt;&gt;"نعم",$M386="نعم"),0,MAX(0,MIN($F386,EOMONTH(DATE(cfg_FY,2,1),0))-MAX($E386,DATE(cfg_FY,2,1))+1))</f>
        <v>0</v>
      </c>
      <c r="AV386" s="57" t="n">
        <f aca="false">IF(OR(OR($B386="",$E386="",$F386=""),$K386&lt;&gt;"نعم",$M386="نعم"),0,MAX(0,MIN($F386,EOMONTH(DATE(cfg_FY,3,1),0))-MAX($E386,DATE(cfg_FY,3,1))+1))</f>
        <v>0</v>
      </c>
      <c r="AW386" s="57" t="n">
        <f aca="false">IF(OR(OR($B386="",$E386="",$F386=""),$K386&lt;&gt;"نعم",$M386="نعم"),0,MAX(0,MIN($F386,EOMONTH(DATE(cfg_FY,4,1),0))-MAX($E386,DATE(cfg_FY,4,1))+1))</f>
        <v>0</v>
      </c>
      <c r="AX386" s="57" t="n">
        <f aca="false">IF(OR(OR($B386="",$E386="",$F386=""),$K386&lt;&gt;"نعم",$M386="نعم"),0,MAX(0,MIN($F386,EOMONTH(DATE(cfg_FY,5,1),0))-MAX($E386,DATE(cfg_FY,5,1))+1))</f>
        <v>0</v>
      </c>
      <c r="AY386" s="57" t="n">
        <f aca="false">IF(OR(OR($B386="",$E386="",$F386=""),$K386&lt;&gt;"نعم",$M386="نعم"),0,MAX(0,MIN($F386,EOMONTH(DATE(cfg_FY,6,1),0))-MAX($E386,DATE(cfg_FY,6,1))+1))</f>
        <v>0</v>
      </c>
      <c r="AZ386" s="57" t="n">
        <f aca="false">IF(OR(OR($B386="",$E386="",$F386=""),$K386&lt;&gt;"نعم",$M386="نعم"),0,MAX(0,MIN($F386,EOMONTH(DATE(cfg_FY,7,1),0))-MAX($E386,DATE(cfg_FY,7,1))+1))</f>
        <v>0</v>
      </c>
      <c r="BA386" s="57" t="n">
        <f aca="false">IF(OR(OR($B386="",$E386="",$F386=""),$K386&lt;&gt;"نعم",$M386="نعم"),0,MAX(0,MIN($F386,EOMONTH(DATE(cfg_FY,8,1),0))-MAX($E386,DATE(cfg_FY,8,1))+1))</f>
        <v>0</v>
      </c>
      <c r="BB386" s="57" t="n">
        <f aca="false">IF(OR(OR($B386="",$E386="",$F386=""),$K386&lt;&gt;"نعم",$M386="نعم"),0,MAX(0,MIN($F386,EOMONTH(DATE(cfg_FY,9,1),0))-MAX($E386,DATE(cfg_FY,9,1))+1))</f>
        <v>0</v>
      </c>
      <c r="BC386" s="57" t="n">
        <f aca="false">IF(OR(OR($B386="",$E386="",$F386=""),$K386&lt;&gt;"نعم",$M386="نعم"),0,MAX(0,MIN($F386,EOMONTH(DATE(cfg_FY,10,1),0))-MAX($E386,DATE(cfg_FY,10,1))+1))</f>
        <v>0</v>
      </c>
      <c r="BD386" s="57" t="n">
        <f aca="false">IF(OR(OR($B386="",$E386="",$F386=""),$K386&lt;&gt;"نعم",$M386="نعم"),0,MAX(0,MIN($F386,EOMONTH(DATE(cfg_FY,11,1),0))-MAX($E386,DATE(cfg_FY,11,1))+1))</f>
        <v>0</v>
      </c>
      <c r="BE386" s="57" t="n">
        <f aca="false">IF(OR(OR($B386="",$E386="",$F386=""),$K386&lt;&gt;"نعم",$M386="نعم"),0,MAX(0,MIN($F386,EOMONTH(DATE(cfg_FY,12,1),0))-MAX($E386,DATE(cfg_FY,12,1))+1))</f>
        <v>0</v>
      </c>
    </row>
    <row r="387" customFormat="false" ht="15" hidden="false" customHeight="false" outlineLevel="0" collapsed="false">
      <c r="A387" s="100" t="str">
        <f aca="false">IF(B387="","",ROW()-5)</f>
        <v/>
      </c>
      <c r="B387" s="79"/>
      <c r="C387" s="102" t="str">
        <f aca="false">IF(B387="","",IFERROR(INDEX(الموظفون!$C$6:$C$105,MATCH(B387,الموظفون!$B$6:$B$105,0)),"✖ رقم غير موجود"))</f>
        <v/>
      </c>
      <c r="D387" s="79"/>
      <c r="E387" s="94"/>
      <c r="F387" s="94"/>
      <c r="G387" s="110" t="str">
        <f aca="false">IF(OR($B387="",$E387="",$F387=""),"",MAX(0,F387-E387+1))</f>
        <v/>
      </c>
      <c r="H387" s="111" t="str">
        <f aca="false">IF(D387="","",IFERROR(VLOOKUP(D387,cfg_LT,2,FALSE()),1))</f>
        <v/>
      </c>
      <c r="I387" s="82"/>
      <c r="J387" s="111" t="str">
        <f aca="false">IF(D387="","",IF(I387&lt;&gt;"",I387,H387))</f>
        <v/>
      </c>
      <c r="K387" s="102" t="str">
        <f aca="false">IF(D387="","",IFERROR(VLOOKUP($D387,cfg_LT,3,FALSE()),""))</f>
        <v/>
      </c>
      <c r="L387" s="102" t="str">
        <f aca="false">IF(D387="","",IFERROR(VLOOKUP($D387,cfg_LT,4,FALSE()),""))</f>
        <v/>
      </c>
      <c r="M387" s="102" t="str">
        <f aca="false">IF(D387="","",IFERROR(VLOOKUP($D387,cfg_LT,5,FALSE()),""))</f>
        <v/>
      </c>
      <c r="N387" s="101" t="n">
        <f aca="false">IF(OR(OR($B387="",$E387="",$F387=""),M387&lt;&gt;"نعم"),0,G387*J387*IFERROR(INDEX(الموظفون!$R$6:$R$105,MATCH(B387,الموظفون!$B$6:$B$105,0)),0)/cfg_DAYS_M)</f>
        <v>0</v>
      </c>
      <c r="O387" s="100" t="str">
        <f aca="false">IF(OR(OR($B387="",$E387="",$F387=""),M387&lt;&gt;"نعم"),"",IF(YEAR(E387)=cfg_FY,MONTH(E387),""))</f>
        <v/>
      </c>
      <c r="P387" s="102" t="str">
        <f aca="false">IF(B387="","",IF(OR(D387="",E387="",F387=""),"⚠ أكمل النوع والتواريخ",IF(F387&lt;E387,"✖ النهاية قبل البداية",IF(COUNTIFS($B$6:$B$505,B387,$E$6:$E$505,"&lt;="&amp;F387,$F$6:$F$505,"&gt;="&amp;E387)&gt;1,"⚠ تداخل مع سجل آخر",IF(E387&gt;cfg_VAL_DATE,"⏳ قادمة",IF(F387&lt;cfg_VAL_DATE,"✔ منتهية","✈ جارية في تاريخ التقرير"))))))</f>
        <v/>
      </c>
      <c r="Q387" s="79"/>
      <c r="R387" s="110" t="n">
        <f aca="false">IF(OR(OR($B387="",$E387="",$F387=""),L387&lt;&gt;"لا"),0,MAX(0,MIN(F387,cfg_Y_START-1)-E387+1))</f>
        <v>0</v>
      </c>
      <c r="S387" s="110" t="n">
        <f aca="false">IF(OR(OR($B387="",$E387="",$F387=""),L387&lt;&gt;"لا"),0,MAX(0,MIN(F387,cfg_VAL_DATE)-E387+1))</f>
        <v>0</v>
      </c>
      <c r="T387" s="110" t="n">
        <f aca="false">IF(OR(OR($B387="",$E387="",$F387=""),K387&lt;&gt;"نعم"),0,IF(M387="نعم",IF(AND(ISNUMBER(O387),N(O387)&lt;=cfg_VAL_M),G387,0),MAX(0,MIN(F387,cfg_VAL_DATE)-MAX(E387,cfg_Y_START)+1)))</f>
        <v>0</v>
      </c>
      <c r="V387" s="110" t="n">
        <f aca="false">IF(OR($B387="",$E387="",$F387=""),0,MAX(0,MIN($F387,EOMONTH(DATE(cfg_FY,1,1),0))-MAX($E387,DATE(cfg_FY,1,1))+1)*(1-IF($M387="نعم",0,N($J387))))</f>
        <v>0</v>
      </c>
      <c r="W387" s="110" t="n">
        <f aca="false">IF(OR($B387="",$E387="",$F387=""),0,MAX(0,MIN($F387,EOMONTH(DATE(cfg_FY,2,1),0))-MAX($E387,DATE(cfg_FY,2,1))+1)*(1-IF($M387="نعم",0,N($J387))))</f>
        <v>0</v>
      </c>
      <c r="X387" s="110" t="n">
        <f aca="false">IF(OR($B387="",$E387="",$F387=""),0,MAX(0,MIN($F387,EOMONTH(DATE(cfg_FY,3,1),0))-MAX($E387,DATE(cfg_FY,3,1))+1)*(1-IF($M387="نعم",0,N($J387))))</f>
        <v>0</v>
      </c>
      <c r="Y387" s="110" t="n">
        <f aca="false">IF(OR($B387="",$E387="",$F387=""),0,MAX(0,MIN($F387,EOMONTH(DATE(cfg_FY,4,1),0))-MAX($E387,DATE(cfg_FY,4,1))+1)*(1-IF($M387="نعم",0,N($J387))))</f>
        <v>0</v>
      </c>
      <c r="Z387" s="110" t="n">
        <f aca="false">IF(OR($B387="",$E387="",$F387=""),0,MAX(0,MIN($F387,EOMONTH(DATE(cfg_FY,5,1),0))-MAX($E387,DATE(cfg_FY,5,1))+1)*(1-IF($M387="نعم",0,N($J387))))</f>
        <v>0</v>
      </c>
      <c r="AA387" s="110" t="n">
        <f aca="false">IF(OR($B387="",$E387="",$F387=""),0,MAX(0,MIN($F387,EOMONTH(DATE(cfg_FY,6,1),0))-MAX($E387,DATE(cfg_FY,6,1))+1)*(1-IF($M387="نعم",0,N($J387))))</f>
        <v>0</v>
      </c>
      <c r="AB387" s="110" t="n">
        <f aca="false">IF(OR($B387="",$E387="",$F387=""),0,MAX(0,MIN($F387,EOMONTH(DATE(cfg_FY,7,1),0))-MAX($E387,DATE(cfg_FY,7,1))+1)*(1-IF($M387="نعم",0,N($J387))))</f>
        <v>0</v>
      </c>
      <c r="AC387" s="110" t="n">
        <f aca="false">IF(OR($B387="",$E387="",$F387=""),0,MAX(0,MIN($F387,EOMONTH(DATE(cfg_FY,8,1),0))-MAX($E387,DATE(cfg_FY,8,1))+1)*(1-IF($M387="نعم",0,N($J387))))</f>
        <v>0</v>
      </c>
      <c r="AD387" s="110" t="n">
        <f aca="false">IF(OR($B387="",$E387="",$F387=""),0,MAX(0,MIN($F387,EOMONTH(DATE(cfg_FY,9,1),0))-MAX($E387,DATE(cfg_FY,9,1))+1)*(1-IF($M387="نعم",0,N($J387))))</f>
        <v>0</v>
      </c>
      <c r="AE387" s="110" t="n">
        <f aca="false">IF(OR($B387="",$E387="",$F387=""),0,MAX(0,MIN($F387,EOMONTH(DATE(cfg_FY,10,1),0))-MAX($E387,DATE(cfg_FY,10,1))+1)*(1-IF($M387="نعم",0,N($J387))))</f>
        <v>0</v>
      </c>
      <c r="AF387" s="110" t="n">
        <f aca="false">IF(OR($B387="",$E387="",$F387=""),0,MAX(0,MIN($F387,EOMONTH(DATE(cfg_FY,11,1),0))-MAX($E387,DATE(cfg_FY,11,1))+1)*(1-IF($M387="نعم",0,N($J387))))</f>
        <v>0</v>
      </c>
      <c r="AG387" s="110" t="n">
        <f aca="false">IF(OR($B387="",$E387="",$F387=""),0,MAX(0,MIN($F387,EOMONTH(DATE(cfg_FY,12,1),0))-MAX($E387,DATE(cfg_FY,12,1))+1)*(1-IF($M387="نعم",0,N($J387))))</f>
        <v>0</v>
      </c>
      <c r="AH387" s="110" t="n">
        <f aca="false">IF(OR(OR($B387="",$E387="",$F387=""),$L387&lt;&gt;"لا"),0,MAX(0,MIN($F387,EOMONTH(DATE(cfg_FY,1,1),0))-$E387+1))</f>
        <v>0</v>
      </c>
      <c r="AI387" s="110" t="n">
        <f aca="false">IF(OR(OR($B387="",$E387="",$F387=""),$L387&lt;&gt;"لا"),0,MAX(0,MIN($F387,EOMONTH(DATE(cfg_FY,2,1),0))-$E387+1))</f>
        <v>0</v>
      </c>
      <c r="AJ387" s="110" t="n">
        <f aca="false">IF(OR(OR($B387="",$E387="",$F387=""),$L387&lt;&gt;"لا"),0,MAX(0,MIN($F387,EOMONTH(DATE(cfg_FY,3,1),0))-$E387+1))</f>
        <v>0</v>
      </c>
      <c r="AK387" s="110" t="n">
        <f aca="false">IF(OR(OR($B387="",$E387="",$F387=""),$L387&lt;&gt;"لا"),0,MAX(0,MIN($F387,EOMONTH(DATE(cfg_FY,4,1),0))-$E387+1))</f>
        <v>0</v>
      </c>
      <c r="AL387" s="110" t="n">
        <f aca="false">IF(OR(OR($B387="",$E387="",$F387=""),$L387&lt;&gt;"لا"),0,MAX(0,MIN($F387,EOMONTH(DATE(cfg_FY,5,1),0))-$E387+1))</f>
        <v>0</v>
      </c>
      <c r="AM387" s="110" t="n">
        <f aca="false">IF(OR(OR($B387="",$E387="",$F387=""),$L387&lt;&gt;"لا"),0,MAX(0,MIN($F387,EOMONTH(DATE(cfg_FY,6,1),0))-$E387+1))</f>
        <v>0</v>
      </c>
      <c r="AN387" s="110" t="n">
        <f aca="false">IF(OR(OR($B387="",$E387="",$F387=""),$L387&lt;&gt;"لا"),0,MAX(0,MIN($F387,EOMONTH(DATE(cfg_FY,7,1),0))-$E387+1))</f>
        <v>0</v>
      </c>
      <c r="AO387" s="110" t="n">
        <f aca="false">IF(OR(OR($B387="",$E387="",$F387=""),$L387&lt;&gt;"لا"),0,MAX(0,MIN($F387,EOMONTH(DATE(cfg_FY,8,1),0))-$E387+1))</f>
        <v>0</v>
      </c>
      <c r="AP387" s="110" t="n">
        <f aca="false">IF(OR(OR($B387="",$E387="",$F387=""),$L387&lt;&gt;"لا"),0,MAX(0,MIN($F387,EOMONTH(DATE(cfg_FY,9,1),0))-$E387+1))</f>
        <v>0</v>
      </c>
      <c r="AQ387" s="110" t="n">
        <f aca="false">IF(OR(OR($B387="",$E387="",$F387=""),$L387&lt;&gt;"لا"),0,MAX(0,MIN($F387,EOMONTH(DATE(cfg_FY,10,1),0))-$E387+1))</f>
        <v>0</v>
      </c>
      <c r="AR387" s="110" t="n">
        <f aca="false">IF(OR(OR($B387="",$E387="",$F387=""),$L387&lt;&gt;"لا"),0,MAX(0,MIN($F387,EOMONTH(DATE(cfg_FY,11,1),0))-$E387+1))</f>
        <v>0</v>
      </c>
      <c r="AS387" s="110" t="n">
        <f aca="false">IF(OR(OR($B387="",$E387="",$F387=""),$L387&lt;&gt;"لا"),0,MAX(0,MIN($F387,EOMONTH(DATE(cfg_FY,12,1),0))-$E387+1))</f>
        <v>0</v>
      </c>
      <c r="AT387" s="110" t="n">
        <f aca="false">IF(OR(OR($B387="",$E387="",$F387=""),$K387&lt;&gt;"نعم",$M387="نعم"),0,MAX(0,MIN($F387,EOMONTH(DATE(cfg_FY,1,1),0))-MAX($E387,DATE(cfg_FY,1,1))+1))</f>
        <v>0</v>
      </c>
      <c r="AU387" s="110" t="n">
        <f aca="false">IF(OR(OR($B387="",$E387="",$F387=""),$K387&lt;&gt;"نعم",$M387="نعم"),0,MAX(0,MIN($F387,EOMONTH(DATE(cfg_FY,2,1),0))-MAX($E387,DATE(cfg_FY,2,1))+1))</f>
        <v>0</v>
      </c>
      <c r="AV387" s="110" t="n">
        <f aca="false">IF(OR(OR($B387="",$E387="",$F387=""),$K387&lt;&gt;"نعم",$M387="نعم"),0,MAX(0,MIN($F387,EOMONTH(DATE(cfg_FY,3,1),0))-MAX($E387,DATE(cfg_FY,3,1))+1))</f>
        <v>0</v>
      </c>
      <c r="AW387" s="110" t="n">
        <f aca="false">IF(OR(OR($B387="",$E387="",$F387=""),$K387&lt;&gt;"نعم",$M387="نعم"),0,MAX(0,MIN($F387,EOMONTH(DATE(cfg_FY,4,1),0))-MAX($E387,DATE(cfg_FY,4,1))+1))</f>
        <v>0</v>
      </c>
      <c r="AX387" s="110" t="n">
        <f aca="false">IF(OR(OR($B387="",$E387="",$F387=""),$K387&lt;&gt;"نعم",$M387="نعم"),0,MAX(0,MIN($F387,EOMONTH(DATE(cfg_FY,5,1),0))-MAX($E387,DATE(cfg_FY,5,1))+1))</f>
        <v>0</v>
      </c>
      <c r="AY387" s="110" t="n">
        <f aca="false">IF(OR(OR($B387="",$E387="",$F387=""),$K387&lt;&gt;"نعم",$M387="نعم"),0,MAX(0,MIN($F387,EOMONTH(DATE(cfg_FY,6,1),0))-MAX($E387,DATE(cfg_FY,6,1))+1))</f>
        <v>0</v>
      </c>
      <c r="AZ387" s="110" t="n">
        <f aca="false">IF(OR(OR($B387="",$E387="",$F387=""),$K387&lt;&gt;"نعم",$M387="نعم"),0,MAX(0,MIN($F387,EOMONTH(DATE(cfg_FY,7,1),0))-MAX($E387,DATE(cfg_FY,7,1))+1))</f>
        <v>0</v>
      </c>
      <c r="BA387" s="110" t="n">
        <f aca="false">IF(OR(OR($B387="",$E387="",$F387=""),$K387&lt;&gt;"نعم",$M387="نعم"),0,MAX(0,MIN($F387,EOMONTH(DATE(cfg_FY,8,1),0))-MAX($E387,DATE(cfg_FY,8,1))+1))</f>
        <v>0</v>
      </c>
      <c r="BB387" s="110" t="n">
        <f aca="false">IF(OR(OR($B387="",$E387="",$F387=""),$K387&lt;&gt;"نعم",$M387="نعم"),0,MAX(0,MIN($F387,EOMONTH(DATE(cfg_FY,9,1),0))-MAX($E387,DATE(cfg_FY,9,1))+1))</f>
        <v>0</v>
      </c>
      <c r="BC387" s="110" t="n">
        <f aca="false">IF(OR(OR($B387="",$E387="",$F387=""),$K387&lt;&gt;"نعم",$M387="نعم"),0,MAX(0,MIN($F387,EOMONTH(DATE(cfg_FY,10,1),0))-MAX($E387,DATE(cfg_FY,10,1))+1))</f>
        <v>0</v>
      </c>
      <c r="BD387" s="110" t="n">
        <f aca="false">IF(OR(OR($B387="",$E387="",$F387=""),$K387&lt;&gt;"نعم",$M387="نعم"),0,MAX(0,MIN($F387,EOMONTH(DATE(cfg_FY,11,1),0))-MAX($E387,DATE(cfg_FY,11,1))+1))</f>
        <v>0</v>
      </c>
      <c r="BE387" s="110" t="n">
        <f aca="false">IF(OR(OR($B387="",$E387="",$F387=""),$K387&lt;&gt;"نعم",$M387="نعم"),0,MAX(0,MIN($F387,EOMONTH(DATE(cfg_FY,12,1),0))-MAX($E387,DATE(cfg_FY,12,1))+1))</f>
        <v>0</v>
      </c>
    </row>
    <row r="388" customFormat="false" ht="15" hidden="false" customHeight="false" outlineLevel="0" collapsed="false">
      <c r="A388" s="93" t="str">
        <f aca="false">IF(B388="","",ROW()-5)</f>
        <v/>
      </c>
      <c r="B388" s="79"/>
      <c r="C388" s="80" t="str">
        <f aca="false">IF(B388="","",IFERROR(INDEX(الموظفون!$C$6:$C$105,MATCH(B388,الموظفون!$B$6:$B$105,0)),"✖ رقم غير موجود"))</f>
        <v/>
      </c>
      <c r="D388" s="79"/>
      <c r="E388" s="94"/>
      <c r="F388" s="94"/>
      <c r="G388" s="57" t="str">
        <f aca="false">IF(OR($B388="",$E388="",$F388=""),"",MAX(0,F388-E388+1))</f>
        <v/>
      </c>
      <c r="H388" s="58" t="str">
        <f aca="false">IF(D388="","",IFERROR(VLOOKUP(D388,cfg_LT,2,FALSE()),1))</f>
        <v/>
      </c>
      <c r="I388" s="82"/>
      <c r="J388" s="58" t="str">
        <f aca="false">IF(D388="","",IF(I388&lt;&gt;"",I388,H388))</f>
        <v/>
      </c>
      <c r="K388" s="80" t="str">
        <f aca="false">IF(D388="","",IFERROR(VLOOKUP($D388,cfg_LT,3,FALSE()),""))</f>
        <v/>
      </c>
      <c r="L388" s="80" t="str">
        <f aca="false">IF(D388="","",IFERROR(VLOOKUP($D388,cfg_LT,4,FALSE()),""))</f>
        <v/>
      </c>
      <c r="M388" s="80" t="str">
        <f aca="false">IF(D388="","",IFERROR(VLOOKUP($D388,cfg_LT,5,FALSE()),""))</f>
        <v/>
      </c>
      <c r="N388" s="97" t="n">
        <f aca="false">IF(OR(OR($B388="",$E388="",$F388=""),M388&lt;&gt;"نعم"),0,G388*J388*IFERROR(INDEX(الموظفون!$R$6:$R$105,MATCH(B388,الموظفون!$B$6:$B$105,0)),0)/cfg_DAYS_M)</f>
        <v>0</v>
      </c>
      <c r="O388" s="93" t="str">
        <f aca="false">IF(OR(OR($B388="",$E388="",$F388=""),M388&lt;&gt;"نعم"),"",IF(YEAR(E388)=cfg_FY,MONTH(E388),""))</f>
        <v/>
      </c>
      <c r="P388" s="80" t="str">
        <f aca="false">IF(B388="","",IF(OR(D388="",E388="",F388=""),"⚠ أكمل النوع والتواريخ",IF(F388&lt;E388,"✖ النهاية قبل البداية",IF(COUNTIFS($B$6:$B$505,B388,$E$6:$E$505,"&lt;="&amp;F388,$F$6:$F$505,"&gt;="&amp;E388)&gt;1,"⚠ تداخل مع سجل آخر",IF(E388&gt;cfg_VAL_DATE,"⏳ قادمة",IF(F388&lt;cfg_VAL_DATE,"✔ منتهية","✈ جارية في تاريخ التقرير"))))))</f>
        <v/>
      </c>
      <c r="Q388" s="79"/>
      <c r="R388" s="57" t="n">
        <f aca="false">IF(OR(OR($B388="",$E388="",$F388=""),L388&lt;&gt;"لا"),0,MAX(0,MIN(F388,cfg_Y_START-1)-E388+1))</f>
        <v>0</v>
      </c>
      <c r="S388" s="57" t="n">
        <f aca="false">IF(OR(OR($B388="",$E388="",$F388=""),L388&lt;&gt;"لا"),0,MAX(0,MIN(F388,cfg_VAL_DATE)-E388+1))</f>
        <v>0</v>
      </c>
      <c r="T388" s="57" t="n">
        <f aca="false">IF(OR(OR($B388="",$E388="",$F388=""),K388&lt;&gt;"نعم"),0,IF(M388="نعم",IF(AND(ISNUMBER(O388),N(O388)&lt;=cfg_VAL_M),G388,0),MAX(0,MIN(F388,cfg_VAL_DATE)-MAX(E388,cfg_Y_START)+1)))</f>
        <v>0</v>
      </c>
      <c r="V388" s="57" t="n">
        <f aca="false">IF(OR($B388="",$E388="",$F388=""),0,MAX(0,MIN($F388,EOMONTH(DATE(cfg_FY,1,1),0))-MAX($E388,DATE(cfg_FY,1,1))+1)*(1-IF($M388="نعم",0,N($J388))))</f>
        <v>0</v>
      </c>
      <c r="W388" s="57" t="n">
        <f aca="false">IF(OR($B388="",$E388="",$F388=""),0,MAX(0,MIN($F388,EOMONTH(DATE(cfg_FY,2,1),0))-MAX($E388,DATE(cfg_FY,2,1))+1)*(1-IF($M388="نعم",0,N($J388))))</f>
        <v>0</v>
      </c>
      <c r="X388" s="57" t="n">
        <f aca="false">IF(OR($B388="",$E388="",$F388=""),0,MAX(0,MIN($F388,EOMONTH(DATE(cfg_FY,3,1),0))-MAX($E388,DATE(cfg_FY,3,1))+1)*(1-IF($M388="نعم",0,N($J388))))</f>
        <v>0</v>
      </c>
      <c r="Y388" s="57" t="n">
        <f aca="false">IF(OR($B388="",$E388="",$F388=""),0,MAX(0,MIN($F388,EOMONTH(DATE(cfg_FY,4,1),0))-MAX($E388,DATE(cfg_FY,4,1))+1)*(1-IF($M388="نعم",0,N($J388))))</f>
        <v>0</v>
      </c>
      <c r="Z388" s="57" t="n">
        <f aca="false">IF(OR($B388="",$E388="",$F388=""),0,MAX(0,MIN($F388,EOMONTH(DATE(cfg_FY,5,1),0))-MAX($E388,DATE(cfg_FY,5,1))+1)*(1-IF($M388="نعم",0,N($J388))))</f>
        <v>0</v>
      </c>
      <c r="AA388" s="57" t="n">
        <f aca="false">IF(OR($B388="",$E388="",$F388=""),0,MAX(0,MIN($F388,EOMONTH(DATE(cfg_FY,6,1),0))-MAX($E388,DATE(cfg_FY,6,1))+1)*(1-IF($M388="نعم",0,N($J388))))</f>
        <v>0</v>
      </c>
      <c r="AB388" s="57" t="n">
        <f aca="false">IF(OR($B388="",$E388="",$F388=""),0,MAX(0,MIN($F388,EOMONTH(DATE(cfg_FY,7,1),0))-MAX($E388,DATE(cfg_FY,7,1))+1)*(1-IF($M388="نعم",0,N($J388))))</f>
        <v>0</v>
      </c>
      <c r="AC388" s="57" t="n">
        <f aca="false">IF(OR($B388="",$E388="",$F388=""),0,MAX(0,MIN($F388,EOMONTH(DATE(cfg_FY,8,1),0))-MAX($E388,DATE(cfg_FY,8,1))+1)*(1-IF($M388="نعم",0,N($J388))))</f>
        <v>0</v>
      </c>
      <c r="AD388" s="57" t="n">
        <f aca="false">IF(OR($B388="",$E388="",$F388=""),0,MAX(0,MIN($F388,EOMONTH(DATE(cfg_FY,9,1),0))-MAX($E388,DATE(cfg_FY,9,1))+1)*(1-IF($M388="نعم",0,N($J388))))</f>
        <v>0</v>
      </c>
      <c r="AE388" s="57" t="n">
        <f aca="false">IF(OR($B388="",$E388="",$F388=""),0,MAX(0,MIN($F388,EOMONTH(DATE(cfg_FY,10,1),0))-MAX($E388,DATE(cfg_FY,10,1))+1)*(1-IF($M388="نعم",0,N($J388))))</f>
        <v>0</v>
      </c>
      <c r="AF388" s="57" t="n">
        <f aca="false">IF(OR($B388="",$E388="",$F388=""),0,MAX(0,MIN($F388,EOMONTH(DATE(cfg_FY,11,1),0))-MAX($E388,DATE(cfg_FY,11,1))+1)*(1-IF($M388="نعم",0,N($J388))))</f>
        <v>0</v>
      </c>
      <c r="AG388" s="57" t="n">
        <f aca="false">IF(OR($B388="",$E388="",$F388=""),0,MAX(0,MIN($F388,EOMONTH(DATE(cfg_FY,12,1),0))-MAX($E388,DATE(cfg_FY,12,1))+1)*(1-IF($M388="نعم",0,N($J388))))</f>
        <v>0</v>
      </c>
      <c r="AH388" s="57" t="n">
        <f aca="false">IF(OR(OR($B388="",$E388="",$F388=""),$L388&lt;&gt;"لا"),0,MAX(0,MIN($F388,EOMONTH(DATE(cfg_FY,1,1),0))-$E388+1))</f>
        <v>0</v>
      </c>
      <c r="AI388" s="57" t="n">
        <f aca="false">IF(OR(OR($B388="",$E388="",$F388=""),$L388&lt;&gt;"لا"),0,MAX(0,MIN($F388,EOMONTH(DATE(cfg_FY,2,1),0))-$E388+1))</f>
        <v>0</v>
      </c>
      <c r="AJ388" s="57" t="n">
        <f aca="false">IF(OR(OR($B388="",$E388="",$F388=""),$L388&lt;&gt;"لا"),0,MAX(0,MIN($F388,EOMONTH(DATE(cfg_FY,3,1),0))-$E388+1))</f>
        <v>0</v>
      </c>
      <c r="AK388" s="57" t="n">
        <f aca="false">IF(OR(OR($B388="",$E388="",$F388=""),$L388&lt;&gt;"لا"),0,MAX(0,MIN($F388,EOMONTH(DATE(cfg_FY,4,1),0))-$E388+1))</f>
        <v>0</v>
      </c>
      <c r="AL388" s="57" t="n">
        <f aca="false">IF(OR(OR($B388="",$E388="",$F388=""),$L388&lt;&gt;"لا"),0,MAX(0,MIN($F388,EOMONTH(DATE(cfg_FY,5,1),0))-$E388+1))</f>
        <v>0</v>
      </c>
      <c r="AM388" s="57" t="n">
        <f aca="false">IF(OR(OR($B388="",$E388="",$F388=""),$L388&lt;&gt;"لا"),0,MAX(0,MIN($F388,EOMONTH(DATE(cfg_FY,6,1),0))-$E388+1))</f>
        <v>0</v>
      </c>
      <c r="AN388" s="57" t="n">
        <f aca="false">IF(OR(OR($B388="",$E388="",$F388=""),$L388&lt;&gt;"لا"),0,MAX(0,MIN($F388,EOMONTH(DATE(cfg_FY,7,1),0))-$E388+1))</f>
        <v>0</v>
      </c>
      <c r="AO388" s="57" t="n">
        <f aca="false">IF(OR(OR($B388="",$E388="",$F388=""),$L388&lt;&gt;"لا"),0,MAX(0,MIN($F388,EOMONTH(DATE(cfg_FY,8,1),0))-$E388+1))</f>
        <v>0</v>
      </c>
      <c r="AP388" s="57" t="n">
        <f aca="false">IF(OR(OR($B388="",$E388="",$F388=""),$L388&lt;&gt;"لا"),0,MAX(0,MIN($F388,EOMONTH(DATE(cfg_FY,9,1),0))-$E388+1))</f>
        <v>0</v>
      </c>
      <c r="AQ388" s="57" t="n">
        <f aca="false">IF(OR(OR($B388="",$E388="",$F388=""),$L388&lt;&gt;"لا"),0,MAX(0,MIN($F388,EOMONTH(DATE(cfg_FY,10,1),0))-$E388+1))</f>
        <v>0</v>
      </c>
      <c r="AR388" s="57" t="n">
        <f aca="false">IF(OR(OR($B388="",$E388="",$F388=""),$L388&lt;&gt;"لا"),0,MAX(0,MIN($F388,EOMONTH(DATE(cfg_FY,11,1),0))-$E388+1))</f>
        <v>0</v>
      </c>
      <c r="AS388" s="57" t="n">
        <f aca="false">IF(OR(OR($B388="",$E388="",$F388=""),$L388&lt;&gt;"لا"),0,MAX(0,MIN($F388,EOMONTH(DATE(cfg_FY,12,1),0))-$E388+1))</f>
        <v>0</v>
      </c>
      <c r="AT388" s="57" t="n">
        <f aca="false">IF(OR(OR($B388="",$E388="",$F388=""),$K388&lt;&gt;"نعم",$M388="نعم"),0,MAX(0,MIN($F388,EOMONTH(DATE(cfg_FY,1,1),0))-MAX($E388,DATE(cfg_FY,1,1))+1))</f>
        <v>0</v>
      </c>
      <c r="AU388" s="57" t="n">
        <f aca="false">IF(OR(OR($B388="",$E388="",$F388=""),$K388&lt;&gt;"نعم",$M388="نعم"),0,MAX(0,MIN($F388,EOMONTH(DATE(cfg_FY,2,1),0))-MAX($E388,DATE(cfg_FY,2,1))+1))</f>
        <v>0</v>
      </c>
      <c r="AV388" s="57" t="n">
        <f aca="false">IF(OR(OR($B388="",$E388="",$F388=""),$K388&lt;&gt;"نعم",$M388="نعم"),0,MAX(0,MIN($F388,EOMONTH(DATE(cfg_FY,3,1),0))-MAX($E388,DATE(cfg_FY,3,1))+1))</f>
        <v>0</v>
      </c>
      <c r="AW388" s="57" t="n">
        <f aca="false">IF(OR(OR($B388="",$E388="",$F388=""),$K388&lt;&gt;"نعم",$M388="نعم"),0,MAX(0,MIN($F388,EOMONTH(DATE(cfg_FY,4,1),0))-MAX($E388,DATE(cfg_FY,4,1))+1))</f>
        <v>0</v>
      </c>
      <c r="AX388" s="57" t="n">
        <f aca="false">IF(OR(OR($B388="",$E388="",$F388=""),$K388&lt;&gt;"نعم",$M388="نعم"),0,MAX(0,MIN($F388,EOMONTH(DATE(cfg_FY,5,1),0))-MAX($E388,DATE(cfg_FY,5,1))+1))</f>
        <v>0</v>
      </c>
      <c r="AY388" s="57" t="n">
        <f aca="false">IF(OR(OR($B388="",$E388="",$F388=""),$K388&lt;&gt;"نعم",$M388="نعم"),0,MAX(0,MIN($F388,EOMONTH(DATE(cfg_FY,6,1),0))-MAX($E388,DATE(cfg_FY,6,1))+1))</f>
        <v>0</v>
      </c>
      <c r="AZ388" s="57" t="n">
        <f aca="false">IF(OR(OR($B388="",$E388="",$F388=""),$K388&lt;&gt;"نعم",$M388="نعم"),0,MAX(0,MIN($F388,EOMONTH(DATE(cfg_FY,7,1),0))-MAX($E388,DATE(cfg_FY,7,1))+1))</f>
        <v>0</v>
      </c>
      <c r="BA388" s="57" t="n">
        <f aca="false">IF(OR(OR($B388="",$E388="",$F388=""),$K388&lt;&gt;"نعم",$M388="نعم"),0,MAX(0,MIN($F388,EOMONTH(DATE(cfg_FY,8,1),0))-MAX($E388,DATE(cfg_FY,8,1))+1))</f>
        <v>0</v>
      </c>
      <c r="BB388" s="57" t="n">
        <f aca="false">IF(OR(OR($B388="",$E388="",$F388=""),$K388&lt;&gt;"نعم",$M388="نعم"),0,MAX(0,MIN($F388,EOMONTH(DATE(cfg_FY,9,1),0))-MAX($E388,DATE(cfg_FY,9,1))+1))</f>
        <v>0</v>
      </c>
      <c r="BC388" s="57" t="n">
        <f aca="false">IF(OR(OR($B388="",$E388="",$F388=""),$K388&lt;&gt;"نعم",$M388="نعم"),0,MAX(0,MIN($F388,EOMONTH(DATE(cfg_FY,10,1),0))-MAX($E388,DATE(cfg_FY,10,1))+1))</f>
        <v>0</v>
      </c>
      <c r="BD388" s="57" t="n">
        <f aca="false">IF(OR(OR($B388="",$E388="",$F388=""),$K388&lt;&gt;"نعم",$M388="نعم"),0,MAX(0,MIN($F388,EOMONTH(DATE(cfg_FY,11,1),0))-MAX($E388,DATE(cfg_FY,11,1))+1))</f>
        <v>0</v>
      </c>
      <c r="BE388" s="57" t="n">
        <f aca="false">IF(OR(OR($B388="",$E388="",$F388=""),$K388&lt;&gt;"نعم",$M388="نعم"),0,MAX(0,MIN($F388,EOMONTH(DATE(cfg_FY,12,1),0))-MAX($E388,DATE(cfg_FY,12,1))+1))</f>
        <v>0</v>
      </c>
    </row>
    <row r="389" customFormat="false" ht="15" hidden="false" customHeight="false" outlineLevel="0" collapsed="false">
      <c r="A389" s="100" t="str">
        <f aca="false">IF(B389="","",ROW()-5)</f>
        <v/>
      </c>
      <c r="B389" s="79"/>
      <c r="C389" s="102" t="str">
        <f aca="false">IF(B389="","",IFERROR(INDEX(الموظفون!$C$6:$C$105,MATCH(B389,الموظفون!$B$6:$B$105,0)),"✖ رقم غير موجود"))</f>
        <v/>
      </c>
      <c r="D389" s="79"/>
      <c r="E389" s="94"/>
      <c r="F389" s="94"/>
      <c r="G389" s="110" t="str">
        <f aca="false">IF(OR($B389="",$E389="",$F389=""),"",MAX(0,F389-E389+1))</f>
        <v/>
      </c>
      <c r="H389" s="111" t="str">
        <f aca="false">IF(D389="","",IFERROR(VLOOKUP(D389,cfg_LT,2,FALSE()),1))</f>
        <v/>
      </c>
      <c r="I389" s="82"/>
      <c r="J389" s="111" t="str">
        <f aca="false">IF(D389="","",IF(I389&lt;&gt;"",I389,H389))</f>
        <v/>
      </c>
      <c r="K389" s="102" t="str">
        <f aca="false">IF(D389="","",IFERROR(VLOOKUP($D389,cfg_LT,3,FALSE()),""))</f>
        <v/>
      </c>
      <c r="L389" s="102" t="str">
        <f aca="false">IF(D389="","",IFERROR(VLOOKUP($D389,cfg_LT,4,FALSE()),""))</f>
        <v/>
      </c>
      <c r="M389" s="102" t="str">
        <f aca="false">IF(D389="","",IFERROR(VLOOKUP($D389,cfg_LT,5,FALSE()),""))</f>
        <v/>
      </c>
      <c r="N389" s="101" t="n">
        <f aca="false">IF(OR(OR($B389="",$E389="",$F389=""),M389&lt;&gt;"نعم"),0,G389*J389*IFERROR(INDEX(الموظفون!$R$6:$R$105,MATCH(B389,الموظفون!$B$6:$B$105,0)),0)/cfg_DAYS_M)</f>
        <v>0</v>
      </c>
      <c r="O389" s="100" t="str">
        <f aca="false">IF(OR(OR($B389="",$E389="",$F389=""),M389&lt;&gt;"نعم"),"",IF(YEAR(E389)=cfg_FY,MONTH(E389),""))</f>
        <v/>
      </c>
      <c r="P389" s="102" t="str">
        <f aca="false">IF(B389="","",IF(OR(D389="",E389="",F389=""),"⚠ أكمل النوع والتواريخ",IF(F389&lt;E389,"✖ النهاية قبل البداية",IF(COUNTIFS($B$6:$B$505,B389,$E$6:$E$505,"&lt;="&amp;F389,$F$6:$F$505,"&gt;="&amp;E389)&gt;1,"⚠ تداخل مع سجل آخر",IF(E389&gt;cfg_VAL_DATE,"⏳ قادمة",IF(F389&lt;cfg_VAL_DATE,"✔ منتهية","✈ جارية في تاريخ التقرير"))))))</f>
        <v/>
      </c>
      <c r="Q389" s="79"/>
      <c r="R389" s="110" t="n">
        <f aca="false">IF(OR(OR($B389="",$E389="",$F389=""),L389&lt;&gt;"لا"),0,MAX(0,MIN(F389,cfg_Y_START-1)-E389+1))</f>
        <v>0</v>
      </c>
      <c r="S389" s="110" t="n">
        <f aca="false">IF(OR(OR($B389="",$E389="",$F389=""),L389&lt;&gt;"لا"),0,MAX(0,MIN(F389,cfg_VAL_DATE)-E389+1))</f>
        <v>0</v>
      </c>
      <c r="T389" s="110" t="n">
        <f aca="false">IF(OR(OR($B389="",$E389="",$F389=""),K389&lt;&gt;"نعم"),0,IF(M389="نعم",IF(AND(ISNUMBER(O389),N(O389)&lt;=cfg_VAL_M),G389,0),MAX(0,MIN(F389,cfg_VAL_DATE)-MAX(E389,cfg_Y_START)+1)))</f>
        <v>0</v>
      </c>
      <c r="V389" s="110" t="n">
        <f aca="false">IF(OR($B389="",$E389="",$F389=""),0,MAX(0,MIN($F389,EOMONTH(DATE(cfg_FY,1,1),0))-MAX($E389,DATE(cfg_FY,1,1))+1)*(1-IF($M389="نعم",0,N($J389))))</f>
        <v>0</v>
      </c>
      <c r="W389" s="110" t="n">
        <f aca="false">IF(OR($B389="",$E389="",$F389=""),0,MAX(0,MIN($F389,EOMONTH(DATE(cfg_FY,2,1),0))-MAX($E389,DATE(cfg_FY,2,1))+1)*(1-IF($M389="نعم",0,N($J389))))</f>
        <v>0</v>
      </c>
      <c r="X389" s="110" t="n">
        <f aca="false">IF(OR($B389="",$E389="",$F389=""),0,MAX(0,MIN($F389,EOMONTH(DATE(cfg_FY,3,1),0))-MAX($E389,DATE(cfg_FY,3,1))+1)*(1-IF($M389="نعم",0,N($J389))))</f>
        <v>0</v>
      </c>
      <c r="Y389" s="110" t="n">
        <f aca="false">IF(OR($B389="",$E389="",$F389=""),0,MAX(0,MIN($F389,EOMONTH(DATE(cfg_FY,4,1),0))-MAX($E389,DATE(cfg_FY,4,1))+1)*(1-IF($M389="نعم",0,N($J389))))</f>
        <v>0</v>
      </c>
      <c r="Z389" s="110" t="n">
        <f aca="false">IF(OR($B389="",$E389="",$F389=""),0,MAX(0,MIN($F389,EOMONTH(DATE(cfg_FY,5,1),0))-MAX($E389,DATE(cfg_FY,5,1))+1)*(1-IF($M389="نعم",0,N($J389))))</f>
        <v>0</v>
      </c>
      <c r="AA389" s="110" t="n">
        <f aca="false">IF(OR($B389="",$E389="",$F389=""),0,MAX(0,MIN($F389,EOMONTH(DATE(cfg_FY,6,1),0))-MAX($E389,DATE(cfg_FY,6,1))+1)*(1-IF($M389="نعم",0,N($J389))))</f>
        <v>0</v>
      </c>
      <c r="AB389" s="110" t="n">
        <f aca="false">IF(OR($B389="",$E389="",$F389=""),0,MAX(0,MIN($F389,EOMONTH(DATE(cfg_FY,7,1),0))-MAX($E389,DATE(cfg_FY,7,1))+1)*(1-IF($M389="نعم",0,N($J389))))</f>
        <v>0</v>
      </c>
      <c r="AC389" s="110" t="n">
        <f aca="false">IF(OR($B389="",$E389="",$F389=""),0,MAX(0,MIN($F389,EOMONTH(DATE(cfg_FY,8,1),0))-MAX($E389,DATE(cfg_FY,8,1))+1)*(1-IF($M389="نعم",0,N($J389))))</f>
        <v>0</v>
      </c>
      <c r="AD389" s="110" t="n">
        <f aca="false">IF(OR($B389="",$E389="",$F389=""),0,MAX(0,MIN($F389,EOMONTH(DATE(cfg_FY,9,1),0))-MAX($E389,DATE(cfg_FY,9,1))+1)*(1-IF($M389="نعم",0,N($J389))))</f>
        <v>0</v>
      </c>
      <c r="AE389" s="110" t="n">
        <f aca="false">IF(OR($B389="",$E389="",$F389=""),0,MAX(0,MIN($F389,EOMONTH(DATE(cfg_FY,10,1),0))-MAX($E389,DATE(cfg_FY,10,1))+1)*(1-IF($M389="نعم",0,N($J389))))</f>
        <v>0</v>
      </c>
      <c r="AF389" s="110" t="n">
        <f aca="false">IF(OR($B389="",$E389="",$F389=""),0,MAX(0,MIN($F389,EOMONTH(DATE(cfg_FY,11,1),0))-MAX($E389,DATE(cfg_FY,11,1))+1)*(1-IF($M389="نعم",0,N($J389))))</f>
        <v>0</v>
      </c>
      <c r="AG389" s="110" t="n">
        <f aca="false">IF(OR($B389="",$E389="",$F389=""),0,MAX(0,MIN($F389,EOMONTH(DATE(cfg_FY,12,1),0))-MAX($E389,DATE(cfg_FY,12,1))+1)*(1-IF($M389="نعم",0,N($J389))))</f>
        <v>0</v>
      </c>
      <c r="AH389" s="110" t="n">
        <f aca="false">IF(OR(OR($B389="",$E389="",$F389=""),$L389&lt;&gt;"لا"),0,MAX(0,MIN($F389,EOMONTH(DATE(cfg_FY,1,1),0))-$E389+1))</f>
        <v>0</v>
      </c>
      <c r="AI389" s="110" t="n">
        <f aca="false">IF(OR(OR($B389="",$E389="",$F389=""),$L389&lt;&gt;"لا"),0,MAX(0,MIN($F389,EOMONTH(DATE(cfg_FY,2,1),0))-$E389+1))</f>
        <v>0</v>
      </c>
      <c r="AJ389" s="110" t="n">
        <f aca="false">IF(OR(OR($B389="",$E389="",$F389=""),$L389&lt;&gt;"لا"),0,MAX(0,MIN($F389,EOMONTH(DATE(cfg_FY,3,1),0))-$E389+1))</f>
        <v>0</v>
      </c>
      <c r="AK389" s="110" t="n">
        <f aca="false">IF(OR(OR($B389="",$E389="",$F389=""),$L389&lt;&gt;"لا"),0,MAX(0,MIN($F389,EOMONTH(DATE(cfg_FY,4,1),0))-$E389+1))</f>
        <v>0</v>
      </c>
      <c r="AL389" s="110" t="n">
        <f aca="false">IF(OR(OR($B389="",$E389="",$F389=""),$L389&lt;&gt;"لا"),0,MAX(0,MIN($F389,EOMONTH(DATE(cfg_FY,5,1),0))-$E389+1))</f>
        <v>0</v>
      </c>
      <c r="AM389" s="110" t="n">
        <f aca="false">IF(OR(OR($B389="",$E389="",$F389=""),$L389&lt;&gt;"لا"),0,MAX(0,MIN($F389,EOMONTH(DATE(cfg_FY,6,1),0))-$E389+1))</f>
        <v>0</v>
      </c>
      <c r="AN389" s="110" t="n">
        <f aca="false">IF(OR(OR($B389="",$E389="",$F389=""),$L389&lt;&gt;"لا"),0,MAX(0,MIN($F389,EOMONTH(DATE(cfg_FY,7,1),0))-$E389+1))</f>
        <v>0</v>
      </c>
      <c r="AO389" s="110" t="n">
        <f aca="false">IF(OR(OR($B389="",$E389="",$F389=""),$L389&lt;&gt;"لا"),0,MAX(0,MIN($F389,EOMONTH(DATE(cfg_FY,8,1),0))-$E389+1))</f>
        <v>0</v>
      </c>
      <c r="AP389" s="110" t="n">
        <f aca="false">IF(OR(OR($B389="",$E389="",$F389=""),$L389&lt;&gt;"لا"),0,MAX(0,MIN($F389,EOMONTH(DATE(cfg_FY,9,1),0))-$E389+1))</f>
        <v>0</v>
      </c>
      <c r="AQ389" s="110" t="n">
        <f aca="false">IF(OR(OR($B389="",$E389="",$F389=""),$L389&lt;&gt;"لا"),0,MAX(0,MIN($F389,EOMONTH(DATE(cfg_FY,10,1),0))-$E389+1))</f>
        <v>0</v>
      </c>
      <c r="AR389" s="110" t="n">
        <f aca="false">IF(OR(OR($B389="",$E389="",$F389=""),$L389&lt;&gt;"لا"),0,MAX(0,MIN($F389,EOMONTH(DATE(cfg_FY,11,1),0))-$E389+1))</f>
        <v>0</v>
      </c>
      <c r="AS389" s="110" t="n">
        <f aca="false">IF(OR(OR($B389="",$E389="",$F389=""),$L389&lt;&gt;"لا"),0,MAX(0,MIN($F389,EOMONTH(DATE(cfg_FY,12,1),0))-$E389+1))</f>
        <v>0</v>
      </c>
      <c r="AT389" s="110" t="n">
        <f aca="false">IF(OR(OR($B389="",$E389="",$F389=""),$K389&lt;&gt;"نعم",$M389="نعم"),0,MAX(0,MIN($F389,EOMONTH(DATE(cfg_FY,1,1),0))-MAX($E389,DATE(cfg_FY,1,1))+1))</f>
        <v>0</v>
      </c>
      <c r="AU389" s="110" t="n">
        <f aca="false">IF(OR(OR($B389="",$E389="",$F389=""),$K389&lt;&gt;"نعم",$M389="نعم"),0,MAX(0,MIN($F389,EOMONTH(DATE(cfg_FY,2,1),0))-MAX($E389,DATE(cfg_FY,2,1))+1))</f>
        <v>0</v>
      </c>
      <c r="AV389" s="110" t="n">
        <f aca="false">IF(OR(OR($B389="",$E389="",$F389=""),$K389&lt;&gt;"نعم",$M389="نعم"),0,MAX(0,MIN($F389,EOMONTH(DATE(cfg_FY,3,1),0))-MAX($E389,DATE(cfg_FY,3,1))+1))</f>
        <v>0</v>
      </c>
      <c r="AW389" s="110" t="n">
        <f aca="false">IF(OR(OR($B389="",$E389="",$F389=""),$K389&lt;&gt;"نعم",$M389="نعم"),0,MAX(0,MIN($F389,EOMONTH(DATE(cfg_FY,4,1),0))-MAX($E389,DATE(cfg_FY,4,1))+1))</f>
        <v>0</v>
      </c>
      <c r="AX389" s="110" t="n">
        <f aca="false">IF(OR(OR($B389="",$E389="",$F389=""),$K389&lt;&gt;"نعم",$M389="نعم"),0,MAX(0,MIN($F389,EOMONTH(DATE(cfg_FY,5,1),0))-MAX($E389,DATE(cfg_FY,5,1))+1))</f>
        <v>0</v>
      </c>
      <c r="AY389" s="110" t="n">
        <f aca="false">IF(OR(OR($B389="",$E389="",$F389=""),$K389&lt;&gt;"نعم",$M389="نعم"),0,MAX(0,MIN($F389,EOMONTH(DATE(cfg_FY,6,1),0))-MAX($E389,DATE(cfg_FY,6,1))+1))</f>
        <v>0</v>
      </c>
      <c r="AZ389" s="110" t="n">
        <f aca="false">IF(OR(OR($B389="",$E389="",$F389=""),$K389&lt;&gt;"نعم",$M389="نعم"),0,MAX(0,MIN($F389,EOMONTH(DATE(cfg_FY,7,1),0))-MAX($E389,DATE(cfg_FY,7,1))+1))</f>
        <v>0</v>
      </c>
      <c r="BA389" s="110" t="n">
        <f aca="false">IF(OR(OR($B389="",$E389="",$F389=""),$K389&lt;&gt;"نعم",$M389="نعم"),0,MAX(0,MIN($F389,EOMONTH(DATE(cfg_FY,8,1),0))-MAX($E389,DATE(cfg_FY,8,1))+1))</f>
        <v>0</v>
      </c>
      <c r="BB389" s="110" t="n">
        <f aca="false">IF(OR(OR($B389="",$E389="",$F389=""),$K389&lt;&gt;"نعم",$M389="نعم"),0,MAX(0,MIN($F389,EOMONTH(DATE(cfg_FY,9,1),0))-MAX($E389,DATE(cfg_FY,9,1))+1))</f>
        <v>0</v>
      </c>
      <c r="BC389" s="110" t="n">
        <f aca="false">IF(OR(OR($B389="",$E389="",$F389=""),$K389&lt;&gt;"نعم",$M389="نعم"),0,MAX(0,MIN($F389,EOMONTH(DATE(cfg_FY,10,1),0))-MAX($E389,DATE(cfg_FY,10,1))+1))</f>
        <v>0</v>
      </c>
      <c r="BD389" s="110" t="n">
        <f aca="false">IF(OR(OR($B389="",$E389="",$F389=""),$K389&lt;&gt;"نعم",$M389="نعم"),0,MAX(0,MIN($F389,EOMONTH(DATE(cfg_FY,11,1),0))-MAX($E389,DATE(cfg_FY,11,1))+1))</f>
        <v>0</v>
      </c>
      <c r="BE389" s="110" t="n">
        <f aca="false">IF(OR(OR($B389="",$E389="",$F389=""),$K389&lt;&gt;"نعم",$M389="نعم"),0,MAX(0,MIN($F389,EOMONTH(DATE(cfg_FY,12,1),0))-MAX($E389,DATE(cfg_FY,12,1))+1))</f>
        <v>0</v>
      </c>
    </row>
    <row r="390" customFormat="false" ht="15" hidden="false" customHeight="false" outlineLevel="0" collapsed="false">
      <c r="A390" s="93" t="str">
        <f aca="false">IF(B390="","",ROW()-5)</f>
        <v/>
      </c>
      <c r="B390" s="79"/>
      <c r="C390" s="80" t="str">
        <f aca="false">IF(B390="","",IFERROR(INDEX(الموظفون!$C$6:$C$105,MATCH(B390,الموظفون!$B$6:$B$105,0)),"✖ رقم غير موجود"))</f>
        <v/>
      </c>
      <c r="D390" s="79"/>
      <c r="E390" s="94"/>
      <c r="F390" s="94"/>
      <c r="G390" s="57" t="str">
        <f aca="false">IF(OR($B390="",$E390="",$F390=""),"",MAX(0,F390-E390+1))</f>
        <v/>
      </c>
      <c r="H390" s="58" t="str">
        <f aca="false">IF(D390="","",IFERROR(VLOOKUP(D390,cfg_LT,2,FALSE()),1))</f>
        <v/>
      </c>
      <c r="I390" s="82"/>
      <c r="J390" s="58" t="str">
        <f aca="false">IF(D390="","",IF(I390&lt;&gt;"",I390,H390))</f>
        <v/>
      </c>
      <c r="K390" s="80" t="str">
        <f aca="false">IF(D390="","",IFERROR(VLOOKUP($D390,cfg_LT,3,FALSE()),""))</f>
        <v/>
      </c>
      <c r="L390" s="80" t="str">
        <f aca="false">IF(D390="","",IFERROR(VLOOKUP($D390,cfg_LT,4,FALSE()),""))</f>
        <v/>
      </c>
      <c r="M390" s="80" t="str">
        <f aca="false">IF(D390="","",IFERROR(VLOOKUP($D390,cfg_LT,5,FALSE()),""))</f>
        <v/>
      </c>
      <c r="N390" s="97" t="n">
        <f aca="false">IF(OR(OR($B390="",$E390="",$F390=""),M390&lt;&gt;"نعم"),0,G390*J390*IFERROR(INDEX(الموظفون!$R$6:$R$105,MATCH(B390,الموظفون!$B$6:$B$105,0)),0)/cfg_DAYS_M)</f>
        <v>0</v>
      </c>
      <c r="O390" s="93" t="str">
        <f aca="false">IF(OR(OR($B390="",$E390="",$F390=""),M390&lt;&gt;"نعم"),"",IF(YEAR(E390)=cfg_FY,MONTH(E390),""))</f>
        <v/>
      </c>
      <c r="P390" s="80" t="str">
        <f aca="false">IF(B390="","",IF(OR(D390="",E390="",F390=""),"⚠ أكمل النوع والتواريخ",IF(F390&lt;E390,"✖ النهاية قبل البداية",IF(COUNTIFS($B$6:$B$505,B390,$E$6:$E$505,"&lt;="&amp;F390,$F$6:$F$505,"&gt;="&amp;E390)&gt;1,"⚠ تداخل مع سجل آخر",IF(E390&gt;cfg_VAL_DATE,"⏳ قادمة",IF(F390&lt;cfg_VAL_DATE,"✔ منتهية","✈ جارية في تاريخ التقرير"))))))</f>
        <v/>
      </c>
      <c r="Q390" s="79"/>
      <c r="R390" s="57" t="n">
        <f aca="false">IF(OR(OR($B390="",$E390="",$F390=""),L390&lt;&gt;"لا"),0,MAX(0,MIN(F390,cfg_Y_START-1)-E390+1))</f>
        <v>0</v>
      </c>
      <c r="S390" s="57" t="n">
        <f aca="false">IF(OR(OR($B390="",$E390="",$F390=""),L390&lt;&gt;"لا"),0,MAX(0,MIN(F390,cfg_VAL_DATE)-E390+1))</f>
        <v>0</v>
      </c>
      <c r="T390" s="57" t="n">
        <f aca="false">IF(OR(OR($B390="",$E390="",$F390=""),K390&lt;&gt;"نعم"),0,IF(M390="نعم",IF(AND(ISNUMBER(O390),N(O390)&lt;=cfg_VAL_M),G390,0),MAX(0,MIN(F390,cfg_VAL_DATE)-MAX(E390,cfg_Y_START)+1)))</f>
        <v>0</v>
      </c>
      <c r="V390" s="57" t="n">
        <f aca="false">IF(OR($B390="",$E390="",$F390=""),0,MAX(0,MIN($F390,EOMONTH(DATE(cfg_FY,1,1),0))-MAX($E390,DATE(cfg_FY,1,1))+1)*(1-IF($M390="نعم",0,N($J390))))</f>
        <v>0</v>
      </c>
      <c r="W390" s="57" t="n">
        <f aca="false">IF(OR($B390="",$E390="",$F390=""),0,MAX(0,MIN($F390,EOMONTH(DATE(cfg_FY,2,1),0))-MAX($E390,DATE(cfg_FY,2,1))+1)*(1-IF($M390="نعم",0,N($J390))))</f>
        <v>0</v>
      </c>
      <c r="X390" s="57" t="n">
        <f aca="false">IF(OR($B390="",$E390="",$F390=""),0,MAX(0,MIN($F390,EOMONTH(DATE(cfg_FY,3,1),0))-MAX($E390,DATE(cfg_FY,3,1))+1)*(1-IF($M390="نعم",0,N($J390))))</f>
        <v>0</v>
      </c>
      <c r="Y390" s="57" t="n">
        <f aca="false">IF(OR($B390="",$E390="",$F390=""),0,MAX(0,MIN($F390,EOMONTH(DATE(cfg_FY,4,1),0))-MAX($E390,DATE(cfg_FY,4,1))+1)*(1-IF($M390="نعم",0,N($J390))))</f>
        <v>0</v>
      </c>
      <c r="Z390" s="57" t="n">
        <f aca="false">IF(OR($B390="",$E390="",$F390=""),0,MAX(0,MIN($F390,EOMONTH(DATE(cfg_FY,5,1),0))-MAX($E390,DATE(cfg_FY,5,1))+1)*(1-IF($M390="نعم",0,N($J390))))</f>
        <v>0</v>
      </c>
      <c r="AA390" s="57" t="n">
        <f aca="false">IF(OR($B390="",$E390="",$F390=""),0,MAX(0,MIN($F390,EOMONTH(DATE(cfg_FY,6,1),0))-MAX($E390,DATE(cfg_FY,6,1))+1)*(1-IF($M390="نعم",0,N($J390))))</f>
        <v>0</v>
      </c>
      <c r="AB390" s="57" t="n">
        <f aca="false">IF(OR($B390="",$E390="",$F390=""),0,MAX(0,MIN($F390,EOMONTH(DATE(cfg_FY,7,1),0))-MAX($E390,DATE(cfg_FY,7,1))+1)*(1-IF($M390="نعم",0,N($J390))))</f>
        <v>0</v>
      </c>
      <c r="AC390" s="57" t="n">
        <f aca="false">IF(OR($B390="",$E390="",$F390=""),0,MAX(0,MIN($F390,EOMONTH(DATE(cfg_FY,8,1),0))-MAX($E390,DATE(cfg_FY,8,1))+1)*(1-IF($M390="نعم",0,N($J390))))</f>
        <v>0</v>
      </c>
      <c r="AD390" s="57" t="n">
        <f aca="false">IF(OR($B390="",$E390="",$F390=""),0,MAX(0,MIN($F390,EOMONTH(DATE(cfg_FY,9,1),0))-MAX($E390,DATE(cfg_FY,9,1))+1)*(1-IF($M390="نعم",0,N($J390))))</f>
        <v>0</v>
      </c>
      <c r="AE390" s="57" t="n">
        <f aca="false">IF(OR($B390="",$E390="",$F390=""),0,MAX(0,MIN($F390,EOMONTH(DATE(cfg_FY,10,1),0))-MAX($E390,DATE(cfg_FY,10,1))+1)*(1-IF($M390="نعم",0,N($J390))))</f>
        <v>0</v>
      </c>
      <c r="AF390" s="57" t="n">
        <f aca="false">IF(OR($B390="",$E390="",$F390=""),0,MAX(0,MIN($F390,EOMONTH(DATE(cfg_FY,11,1),0))-MAX($E390,DATE(cfg_FY,11,1))+1)*(1-IF($M390="نعم",0,N($J390))))</f>
        <v>0</v>
      </c>
      <c r="AG390" s="57" t="n">
        <f aca="false">IF(OR($B390="",$E390="",$F390=""),0,MAX(0,MIN($F390,EOMONTH(DATE(cfg_FY,12,1),0))-MAX($E390,DATE(cfg_FY,12,1))+1)*(1-IF($M390="نعم",0,N($J390))))</f>
        <v>0</v>
      </c>
      <c r="AH390" s="57" t="n">
        <f aca="false">IF(OR(OR($B390="",$E390="",$F390=""),$L390&lt;&gt;"لا"),0,MAX(0,MIN($F390,EOMONTH(DATE(cfg_FY,1,1),0))-$E390+1))</f>
        <v>0</v>
      </c>
      <c r="AI390" s="57" t="n">
        <f aca="false">IF(OR(OR($B390="",$E390="",$F390=""),$L390&lt;&gt;"لا"),0,MAX(0,MIN($F390,EOMONTH(DATE(cfg_FY,2,1),0))-$E390+1))</f>
        <v>0</v>
      </c>
      <c r="AJ390" s="57" t="n">
        <f aca="false">IF(OR(OR($B390="",$E390="",$F390=""),$L390&lt;&gt;"لا"),0,MAX(0,MIN($F390,EOMONTH(DATE(cfg_FY,3,1),0))-$E390+1))</f>
        <v>0</v>
      </c>
      <c r="AK390" s="57" t="n">
        <f aca="false">IF(OR(OR($B390="",$E390="",$F390=""),$L390&lt;&gt;"لا"),0,MAX(0,MIN($F390,EOMONTH(DATE(cfg_FY,4,1),0))-$E390+1))</f>
        <v>0</v>
      </c>
      <c r="AL390" s="57" t="n">
        <f aca="false">IF(OR(OR($B390="",$E390="",$F390=""),$L390&lt;&gt;"لا"),0,MAX(0,MIN($F390,EOMONTH(DATE(cfg_FY,5,1),0))-$E390+1))</f>
        <v>0</v>
      </c>
      <c r="AM390" s="57" t="n">
        <f aca="false">IF(OR(OR($B390="",$E390="",$F390=""),$L390&lt;&gt;"لا"),0,MAX(0,MIN($F390,EOMONTH(DATE(cfg_FY,6,1),0))-$E390+1))</f>
        <v>0</v>
      </c>
      <c r="AN390" s="57" t="n">
        <f aca="false">IF(OR(OR($B390="",$E390="",$F390=""),$L390&lt;&gt;"لا"),0,MAX(0,MIN($F390,EOMONTH(DATE(cfg_FY,7,1),0))-$E390+1))</f>
        <v>0</v>
      </c>
      <c r="AO390" s="57" t="n">
        <f aca="false">IF(OR(OR($B390="",$E390="",$F390=""),$L390&lt;&gt;"لا"),0,MAX(0,MIN($F390,EOMONTH(DATE(cfg_FY,8,1),0))-$E390+1))</f>
        <v>0</v>
      </c>
      <c r="AP390" s="57" t="n">
        <f aca="false">IF(OR(OR($B390="",$E390="",$F390=""),$L390&lt;&gt;"لا"),0,MAX(0,MIN($F390,EOMONTH(DATE(cfg_FY,9,1),0))-$E390+1))</f>
        <v>0</v>
      </c>
      <c r="AQ390" s="57" t="n">
        <f aca="false">IF(OR(OR($B390="",$E390="",$F390=""),$L390&lt;&gt;"لا"),0,MAX(0,MIN($F390,EOMONTH(DATE(cfg_FY,10,1),0))-$E390+1))</f>
        <v>0</v>
      </c>
      <c r="AR390" s="57" t="n">
        <f aca="false">IF(OR(OR($B390="",$E390="",$F390=""),$L390&lt;&gt;"لا"),0,MAX(0,MIN($F390,EOMONTH(DATE(cfg_FY,11,1),0))-$E390+1))</f>
        <v>0</v>
      </c>
      <c r="AS390" s="57" t="n">
        <f aca="false">IF(OR(OR($B390="",$E390="",$F390=""),$L390&lt;&gt;"لا"),0,MAX(0,MIN($F390,EOMONTH(DATE(cfg_FY,12,1),0))-$E390+1))</f>
        <v>0</v>
      </c>
      <c r="AT390" s="57" t="n">
        <f aca="false">IF(OR(OR($B390="",$E390="",$F390=""),$K390&lt;&gt;"نعم",$M390="نعم"),0,MAX(0,MIN($F390,EOMONTH(DATE(cfg_FY,1,1),0))-MAX($E390,DATE(cfg_FY,1,1))+1))</f>
        <v>0</v>
      </c>
      <c r="AU390" s="57" t="n">
        <f aca="false">IF(OR(OR($B390="",$E390="",$F390=""),$K390&lt;&gt;"نعم",$M390="نعم"),0,MAX(0,MIN($F390,EOMONTH(DATE(cfg_FY,2,1),0))-MAX($E390,DATE(cfg_FY,2,1))+1))</f>
        <v>0</v>
      </c>
      <c r="AV390" s="57" t="n">
        <f aca="false">IF(OR(OR($B390="",$E390="",$F390=""),$K390&lt;&gt;"نعم",$M390="نعم"),0,MAX(0,MIN($F390,EOMONTH(DATE(cfg_FY,3,1),0))-MAX($E390,DATE(cfg_FY,3,1))+1))</f>
        <v>0</v>
      </c>
      <c r="AW390" s="57" t="n">
        <f aca="false">IF(OR(OR($B390="",$E390="",$F390=""),$K390&lt;&gt;"نعم",$M390="نعم"),0,MAX(0,MIN($F390,EOMONTH(DATE(cfg_FY,4,1),0))-MAX($E390,DATE(cfg_FY,4,1))+1))</f>
        <v>0</v>
      </c>
      <c r="AX390" s="57" t="n">
        <f aca="false">IF(OR(OR($B390="",$E390="",$F390=""),$K390&lt;&gt;"نعم",$M390="نعم"),0,MAX(0,MIN($F390,EOMONTH(DATE(cfg_FY,5,1),0))-MAX($E390,DATE(cfg_FY,5,1))+1))</f>
        <v>0</v>
      </c>
      <c r="AY390" s="57" t="n">
        <f aca="false">IF(OR(OR($B390="",$E390="",$F390=""),$K390&lt;&gt;"نعم",$M390="نعم"),0,MAX(0,MIN($F390,EOMONTH(DATE(cfg_FY,6,1),0))-MAX($E390,DATE(cfg_FY,6,1))+1))</f>
        <v>0</v>
      </c>
      <c r="AZ390" s="57" t="n">
        <f aca="false">IF(OR(OR($B390="",$E390="",$F390=""),$K390&lt;&gt;"نعم",$M390="نعم"),0,MAX(0,MIN($F390,EOMONTH(DATE(cfg_FY,7,1),0))-MAX($E390,DATE(cfg_FY,7,1))+1))</f>
        <v>0</v>
      </c>
      <c r="BA390" s="57" t="n">
        <f aca="false">IF(OR(OR($B390="",$E390="",$F390=""),$K390&lt;&gt;"نعم",$M390="نعم"),0,MAX(0,MIN($F390,EOMONTH(DATE(cfg_FY,8,1),0))-MAX($E390,DATE(cfg_FY,8,1))+1))</f>
        <v>0</v>
      </c>
      <c r="BB390" s="57" t="n">
        <f aca="false">IF(OR(OR($B390="",$E390="",$F390=""),$K390&lt;&gt;"نعم",$M390="نعم"),0,MAX(0,MIN($F390,EOMONTH(DATE(cfg_FY,9,1),0))-MAX($E390,DATE(cfg_FY,9,1))+1))</f>
        <v>0</v>
      </c>
      <c r="BC390" s="57" t="n">
        <f aca="false">IF(OR(OR($B390="",$E390="",$F390=""),$K390&lt;&gt;"نعم",$M390="نعم"),0,MAX(0,MIN($F390,EOMONTH(DATE(cfg_FY,10,1),0))-MAX($E390,DATE(cfg_FY,10,1))+1))</f>
        <v>0</v>
      </c>
      <c r="BD390" s="57" t="n">
        <f aca="false">IF(OR(OR($B390="",$E390="",$F390=""),$K390&lt;&gt;"نعم",$M390="نعم"),0,MAX(0,MIN($F390,EOMONTH(DATE(cfg_FY,11,1),0))-MAX($E390,DATE(cfg_FY,11,1))+1))</f>
        <v>0</v>
      </c>
      <c r="BE390" s="57" t="n">
        <f aca="false">IF(OR(OR($B390="",$E390="",$F390=""),$K390&lt;&gt;"نعم",$M390="نعم"),0,MAX(0,MIN($F390,EOMONTH(DATE(cfg_FY,12,1),0))-MAX($E390,DATE(cfg_FY,12,1))+1))</f>
        <v>0</v>
      </c>
    </row>
    <row r="391" customFormat="false" ht="15" hidden="false" customHeight="false" outlineLevel="0" collapsed="false">
      <c r="A391" s="100" t="str">
        <f aca="false">IF(B391="","",ROW()-5)</f>
        <v/>
      </c>
      <c r="B391" s="79"/>
      <c r="C391" s="102" t="str">
        <f aca="false">IF(B391="","",IFERROR(INDEX(الموظفون!$C$6:$C$105,MATCH(B391,الموظفون!$B$6:$B$105,0)),"✖ رقم غير موجود"))</f>
        <v/>
      </c>
      <c r="D391" s="79"/>
      <c r="E391" s="94"/>
      <c r="F391" s="94"/>
      <c r="G391" s="110" t="str">
        <f aca="false">IF(OR($B391="",$E391="",$F391=""),"",MAX(0,F391-E391+1))</f>
        <v/>
      </c>
      <c r="H391" s="111" t="str">
        <f aca="false">IF(D391="","",IFERROR(VLOOKUP(D391,cfg_LT,2,FALSE()),1))</f>
        <v/>
      </c>
      <c r="I391" s="82"/>
      <c r="J391" s="111" t="str">
        <f aca="false">IF(D391="","",IF(I391&lt;&gt;"",I391,H391))</f>
        <v/>
      </c>
      <c r="K391" s="102" t="str">
        <f aca="false">IF(D391="","",IFERROR(VLOOKUP($D391,cfg_LT,3,FALSE()),""))</f>
        <v/>
      </c>
      <c r="L391" s="102" t="str">
        <f aca="false">IF(D391="","",IFERROR(VLOOKUP($D391,cfg_LT,4,FALSE()),""))</f>
        <v/>
      </c>
      <c r="M391" s="102" t="str">
        <f aca="false">IF(D391="","",IFERROR(VLOOKUP($D391,cfg_LT,5,FALSE()),""))</f>
        <v/>
      </c>
      <c r="N391" s="101" t="n">
        <f aca="false">IF(OR(OR($B391="",$E391="",$F391=""),M391&lt;&gt;"نعم"),0,G391*J391*IFERROR(INDEX(الموظفون!$R$6:$R$105,MATCH(B391,الموظفون!$B$6:$B$105,0)),0)/cfg_DAYS_M)</f>
        <v>0</v>
      </c>
      <c r="O391" s="100" t="str">
        <f aca="false">IF(OR(OR($B391="",$E391="",$F391=""),M391&lt;&gt;"نعم"),"",IF(YEAR(E391)=cfg_FY,MONTH(E391),""))</f>
        <v/>
      </c>
      <c r="P391" s="102" t="str">
        <f aca="false">IF(B391="","",IF(OR(D391="",E391="",F391=""),"⚠ أكمل النوع والتواريخ",IF(F391&lt;E391,"✖ النهاية قبل البداية",IF(COUNTIFS($B$6:$B$505,B391,$E$6:$E$505,"&lt;="&amp;F391,$F$6:$F$505,"&gt;="&amp;E391)&gt;1,"⚠ تداخل مع سجل آخر",IF(E391&gt;cfg_VAL_DATE,"⏳ قادمة",IF(F391&lt;cfg_VAL_DATE,"✔ منتهية","✈ جارية في تاريخ التقرير"))))))</f>
        <v/>
      </c>
      <c r="Q391" s="79"/>
      <c r="R391" s="110" t="n">
        <f aca="false">IF(OR(OR($B391="",$E391="",$F391=""),L391&lt;&gt;"لا"),0,MAX(0,MIN(F391,cfg_Y_START-1)-E391+1))</f>
        <v>0</v>
      </c>
      <c r="S391" s="110" t="n">
        <f aca="false">IF(OR(OR($B391="",$E391="",$F391=""),L391&lt;&gt;"لا"),0,MAX(0,MIN(F391,cfg_VAL_DATE)-E391+1))</f>
        <v>0</v>
      </c>
      <c r="T391" s="110" t="n">
        <f aca="false">IF(OR(OR($B391="",$E391="",$F391=""),K391&lt;&gt;"نعم"),0,IF(M391="نعم",IF(AND(ISNUMBER(O391),N(O391)&lt;=cfg_VAL_M),G391,0),MAX(0,MIN(F391,cfg_VAL_DATE)-MAX(E391,cfg_Y_START)+1)))</f>
        <v>0</v>
      </c>
      <c r="V391" s="110" t="n">
        <f aca="false">IF(OR($B391="",$E391="",$F391=""),0,MAX(0,MIN($F391,EOMONTH(DATE(cfg_FY,1,1),0))-MAX($E391,DATE(cfg_FY,1,1))+1)*(1-IF($M391="نعم",0,N($J391))))</f>
        <v>0</v>
      </c>
      <c r="W391" s="110" t="n">
        <f aca="false">IF(OR($B391="",$E391="",$F391=""),0,MAX(0,MIN($F391,EOMONTH(DATE(cfg_FY,2,1),0))-MAX($E391,DATE(cfg_FY,2,1))+1)*(1-IF($M391="نعم",0,N($J391))))</f>
        <v>0</v>
      </c>
      <c r="X391" s="110" t="n">
        <f aca="false">IF(OR($B391="",$E391="",$F391=""),0,MAX(0,MIN($F391,EOMONTH(DATE(cfg_FY,3,1),0))-MAX($E391,DATE(cfg_FY,3,1))+1)*(1-IF($M391="نعم",0,N($J391))))</f>
        <v>0</v>
      </c>
      <c r="Y391" s="110" t="n">
        <f aca="false">IF(OR($B391="",$E391="",$F391=""),0,MAX(0,MIN($F391,EOMONTH(DATE(cfg_FY,4,1),0))-MAX($E391,DATE(cfg_FY,4,1))+1)*(1-IF($M391="نعم",0,N($J391))))</f>
        <v>0</v>
      </c>
      <c r="Z391" s="110" t="n">
        <f aca="false">IF(OR($B391="",$E391="",$F391=""),0,MAX(0,MIN($F391,EOMONTH(DATE(cfg_FY,5,1),0))-MAX($E391,DATE(cfg_FY,5,1))+1)*(1-IF($M391="نعم",0,N($J391))))</f>
        <v>0</v>
      </c>
      <c r="AA391" s="110" t="n">
        <f aca="false">IF(OR($B391="",$E391="",$F391=""),0,MAX(0,MIN($F391,EOMONTH(DATE(cfg_FY,6,1),0))-MAX($E391,DATE(cfg_FY,6,1))+1)*(1-IF($M391="نعم",0,N($J391))))</f>
        <v>0</v>
      </c>
      <c r="AB391" s="110" t="n">
        <f aca="false">IF(OR($B391="",$E391="",$F391=""),0,MAX(0,MIN($F391,EOMONTH(DATE(cfg_FY,7,1),0))-MAX($E391,DATE(cfg_FY,7,1))+1)*(1-IF($M391="نعم",0,N($J391))))</f>
        <v>0</v>
      </c>
      <c r="AC391" s="110" t="n">
        <f aca="false">IF(OR($B391="",$E391="",$F391=""),0,MAX(0,MIN($F391,EOMONTH(DATE(cfg_FY,8,1),0))-MAX($E391,DATE(cfg_FY,8,1))+1)*(1-IF($M391="نعم",0,N($J391))))</f>
        <v>0</v>
      </c>
      <c r="AD391" s="110" t="n">
        <f aca="false">IF(OR($B391="",$E391="",$F391=""),0,MAX(0,MIN($F391,EOMONTH(DATE(cfg_FY,9,1),0))-MAX($E391,DATE(cfg_FY,9,1))+1)*(1-IF($M391="نعم",0,N($J391))))</f>
        <v>0</v>
      </c>
      <c r="AE391" s="110" t="n">
        <f aca="false">IF(OR($B391="",$E391="",$F391=""),0,MAX(0,MIN($F391,EOMONTH(DATE(cfg_FY,10,1),0))-MAX($E391,DATE(cfg_FY,10,1))+1)*(1-IF($M391="نعم",0,N($J391))))</f>
        <v>0</v>
      </c>
      <c r="AF391" s="110" t="n">
        <f aca="false">IF(OR($B391="",$E391="",$F391=""),0,MAX(0,MIN($F391,EOMONTH(DATE(cfg_FY,11,1),0))-MAX($E391,DATE(cfg_FY,11,1))+1)*(1-IF($M391="نعم",0,N($J391))))</f>
        <v>0</v>
      </c>
      <c r="AG391" s="110" t="n">
        <f aca="false">IF(OR($B391="",$E391="",$F391=""),0,MAX(0,MIN($F391,EOMONTH(DATE(cfg_FY,12,1),0))-MAX($E391,DATE(cfg_FY,12,1))+1)*(1-IF($M391="نعم",0,N($J391))))</f>
        <v>0</v>
      </c>
      <c r="AH391" s="110" t="n">
        <f aca="false">IF(OR(OR($B391="",$E391="",$F391=""),$L391&lt;&gt;"لا"),0,MAX(0,MIN($F391,EOMONTH(DATE(cfg_FY,1,1),0))-$E391+1))</f>
        <v>0</v>
      </c>
      <c r="AI391" s="110" t="n">
        <f aca="false">IF(OR(OR($B391="",$E391="",$F391=""),$L391&lt;&gt;"لا"),0,MAX(0,MIN($F391,EOMONTH(DATE(cfg_FY,2,1),0))-$E391+1))</f>
        <v>0</v>
      </c>
      <c r="AJ391" s="110" t="n">
        <f aca="false">IF(OR(OR($B391="",$E391="",$F391=""),$L391&lt;&gt;"لا"),0,MAX(0,MIN($F391,EOMONTH(DATE(cfg_FY,3,1),0))-$E391+1))</f>
        <v>0</v>
      </c>
      <c r="AK391" s="110" t="n">
        <f aca="false">IF(OR(OR($B391="",$E391="",$F391=""),$L391&lt;&gt;"لا"),0,MAX(0,MIN($F391,EOMONTH(DATE(cfg_FY,4,1),0))-$E391+1))</f>
        <v>0</v>
      </c>
      <c r="AL391" s="110" t="n">
        <f aca="false">IF(OR(OR($B391="",$E391="",$F391=""),$L391&lt;&gt;"لا"),0,MAX(0,MIN($F391,EOMONTH(DATE(cfg_FY,5,1),0))-$E391+1))</f>
        <v>0</v>
      </c>
      <c r="AM391" s="110" t="n">
        <f aca="false">IF(OR(OR($B391="",$E391="",$F391=""),$L391&lt;&gt;"لا"),0,MAX(0,MIN($F391,EOMONTH(DATE(cfg_FY,6,1),0))-$E391+1))</f>
        <v>0</v>
      </c>
      <c r="AN391" s="110" t="n">
        <f aca="false">IF(OR(OR($B391="",$E391="",$F391=""),$L391&lt;&gt;"لا"),0,MAX(0,MIN($F391,EOMONTH(DATE(cfg_FY,7,1),0))-$E391+1))</f>
        <v>0</v>
      </c>
      <c r="AO391" s="110" t="n">
        <f aca="false">IF(OR(OR($B391="",$E391="",$F391=""),$L391&lt;&gt;"لا"),0,MAX(0,MIN($F391,EOMONTH(DATE(cfg_FY,8,1),0))-$E391+1))</f>
        <v>0</v>
      </c>
      <c r="AP391" s="110" t="n">
        <f aca="false">IF(OR(OR($B391="",$E391="",$F391=""),$L391&lt;&gt;"لا"),0,MAX(0,MIN($F391,EOMONTH(DATE(cfg_FY,9,1),0))-$E391+1))</f>
        <v>0</v>
      </c>
      <c r="AQ391" s="110" t="n">
        <f aca="false">IF(OR(OR($B391="",$E391="",$F391=""),$L391&lt;&gt;"لا"),0,MAX(0,MIN($F391,EOMONTH(DATE(cfg_FY,10,1),0))-$E391+1))</f>
        <v>0</v>
      </c>
      <c r="AR391" s="110" t="n">
        <f aca="false">IF(OR(OR($B391="",$E391="",$F391=""),$L391&lt;&gt;"لا"),0,MAX(0,MIN($F391,EOMONTH(DATE(cfg_FY,11,1),0))-$E391+1))</f>
        <v>0</v>
      </c>
      <c r="AS391" s="110" t="n">
        <f aca="false">IF(OR(OR($B391="",$E391="",$F391=""),$L391&lt;&gt;"لا"),0,MAX(0,MIN($F391,EOMONTH(DATE(cfg_FY,12,1),0))-$E391+1))</f>
        <v>0</v>
      </c>
      <c r="AT391" s="110" t="n">
        <f aca="false">IF(OR(OR($B391="",$E391="",$F391=""),$K391&lt;&gt;"نعم",$M391="نعم"),0,MAX(0,MIN($F391,EOMONTH(DATE(cfg_FY,1,1),0))-MAX($E391,DATE(cfg_FY,1,1))+1))</f>
        <v>0</v>
      </c>
      <c r="AU391" s="110" t="n">
        <f aca="false">IF(OR(OR($B391="",$E391="",$F391=""),$K391&lt;&gt;"نعم",$M391="نعم"),0,MAX(0,MIN($F391,EOMONTH(DATE(cfg_FY,2,1),0))-MAX($E391,DATE(cfg_FY,2,1))+1))</f>
        <v>0</v>
      </c>
      <c r="AV391" s="110" t="n">
        <f aca="false">IF(OR(OR($B391="",$E391="",$F391=""),$K391&lt;&gt;"نعم",$M391="نعم"),0,MAX(0,MIN($F391,EOMONTH(DATE(cfg_FY,3,1),0))-MAX($E391,DATE(cfg_FY,3,1))+1))</f>
        <v>0</v>
      </c>
      <c r="AW391" s="110" t="n">
        <f aca="false">IF(OR(OR($B391="",$E391="",$F391=""),$K391&lt;&gt;"نعم",$M391="نعم"),0,MAX(0,MIN($F391,EOMONTH(DATE(cfg_FY,4,1),0))-MAX($E391,DATE(cfg_FY,4,1))+1))</f>
        <v>0</v>
      </c>
      <c r="AX391" s="110" t="n">
        <f aca="false">IF(OR(OR($B391="",$E391="",$F391=""),$K391&lt;&gt;"نعم",$M391="نعم"),0,MAX(0,MIN($F391,EOMONTH(DATE(cfg_FY,5,1),0))-MAX($E391,DATE(cfg_FY,5,1))+1))</f>
        <v>0</v>
      </c>
      <c r="AY391" s="110" t="n">
        <f aca="false">IF(OR(OR($B391="",$E391="",$F391=""),$K391&lt;&gt;"نعم",$M391="نعم"),0,MAX(0,MIN($F391,EOMONTH(DATE(cfg_FY,6,1),0))-MAX($E391,DATE(cfg_FY,6,1))+1))</f>
        <v>0</v>
      </c>
      <c r="AZ391" s="110" t="n">
        <f aca="false">IF(OR(OR($B391="",$E391="",$F391=""),$K391&lt;&gt;"نعم",$M391="نعم"),0,MAX(0,MIN($F391,EOMONTH(DATE(cfg_FY,7,1),0))-MAX($E391,DATE(cfg_FY,7,1))+1))</f>
        <v>0</v>
      </c>
      <c r="BA391" s="110" t="n">
        <f aca="false">IF(OR(OR($B391="",$E391="",$F391=""),$K391&lt;&gt;"نعم",$M391="نعم"),0,MAX(0,MIN($F391,EOMONTH(DATE(cfg_FY,8,1),0))-MAX($E391,DATE(cfg_FY,8,1))+1))</f>
        <v>0</v>
      </c>
      <c r="BB391" s="110" t="n">
        <f aca="false">IF(OR(OR($B391="",$E391="",$F391=""),$K391&lt;&gt;"نعم",$M391="نعم"),0,MAX(0,MIN($F391,EOMONTH(DATE(cfg_FY,9,1),0))-MAX($E391,DATE(cfg_FY,9,1))+1))</f>
        <v>0</v>
      </c>
      <c r="BC391" s="110" t="n">
        <f aca="false">IF(OR(OR($B391="",$E391="",$F391=""),$K391&lt;&gt;"نعم",$M391="نعم"),0,MAX(0,MIN($F391,EOMONTH(DATE(cfg_FY,10,1),0))-MAX($E391,DATE(cfg_FY,10,1))+1))</f>
        <v>0</v>
      </c>
      <c r="BD391" s="110" t="n">
        <f aca="false">IF(OR(OR($B391="",$E391="",$F391=""),$K391&lt;&gt;"نعم",$M391="نعم"),0,MAX(0,MIN($F391,EOMONTH(DATE(cfg_FY,11,1),0))-MAX($E391,DATE(cfg_FY,11,1))+1))</f>
        <v>0</v>
      </c>
      <c r="BE391" s="110" t="n">
        <f aca="false">IF(OR(OR($B391="",$E391="",$F391=""),$K391&lt;&gt;"نعم",$M391="نعم"),0,MAX(0,MIN($F391,EOMONTH(DATE(cfg_FY,12,1),0))-MAX($E391,DATE(cfg_FY,12,1))+1))</f>
        <v>0</v>
      </c>
    </row>
    <row r="392" customFormat="false" ht="15" hidden="false" customHeight="false" outlineLevel="0" collapsed="false">
      <c r="A392" s="93" t="str">
        <f aca="false">IF(B392="","",ROW()-5)</f>
        <v/>
      </c>
      <c r="B392" s="79"/>
      <c r="C392" s="80" t="str">
        <f aca="false">IF(B392="","",IFERROR(INDEX(الموظفون!$C$6:$C$105,MATCH(B392,الموظفون!$B$6:$B$105,0)),"✖ رقم غير موجود"))</f>
        <v/>
      </c>
      <c r="D392" s="79"/>
      <c r="E392" s="94"/>
      <c r="F392" s="94"/>
      <c r="G392" s="57" t="str">
        <f aca="false">IF(OR($B392="",$E392="",$F392=""),"",MAX(0,F392-E392+1))</f>
        <v/>
      </c>
      <c r="H392" s="58" t="str">
        <f aca="false">IF(D392="","",IFERROR(VLOOKUP(D392,cfg_LT,2,FALSE()),1))</f>
        <v/>
      </c>
      <c r="I392" s="82"/>
      <c r="J392" s="58" t="str">
        <f aca="false">IF(D392="","",IF(I392&lt;&gt;"",I392,H392))</f>
        <v/>
      </c>
      <c r="K392" s="80" t="str">
        <f aca="false">IF(D392="","",IFERROR(VLOOKUP($D392,cfg_LT,3,FALSE()),""))</f>
        <v/>
      </c>
      <c r="L392" s="80" t="str">
        <f aca="false">IF(D392="","",IFERROR(VLOOKUP($D392,cfg_LT,4,FALSE()),""))</f>
        <v/>
      </c>
      <c r="M392" s="80" t="str">
        <f aca="false">IF(D392="","",IFERROR(VLOOKUP($D392,cfg_LT,5,FALSE()),""))</f>
        <v/>
      </c>
      <c r="N392" s="97" t="n">
        <f aca="false">IF(OR(OR($B392="",$E392="",$F392=""),M392&lt;&gt;"نعم"),0,G392*J392*IFERROR(INDEX(الموظفون!$R$6:$R$105,MATCH(B392,الموظفون!$B$6:$B$105,0)),0)/cfg_DAYS_M)</f>
        <v>0</v>
      </c>
      <c r="O392" s="93" t="str">
        <f aca="false">IF(OR(OR($B392="",$E392="",$F392=""),M392&lt;&gt;"نعم"),"",IF(YEAR(E392)=cfg_FY,MONTH(E392),""))</f>
        <v/>
      </c>
      <c r="P392" s="80" t="str">
        <f aca="false">IF(B392="","",IF(OR(D392="",E392="",F392=""),"⚠ أكمل النوع والتواريخ",IF(F392&lt;E392,"✖ النهاية قبل البداية",IF(COUNTIFS($B$6:$B$505,B392,$E$6:$E$505,"&lt;="&amp;F392,$F$6:$F$505,"&gt;="&amp;E392)&gt;1,"⚠ تداخل مع سجل آخر",IF(E392&gt;cfg_VAL_DATE,"⏳ قادمة",IF(F392&lt;cfg_VAL_DATE,"✔ منتهية","✈ جارية في تاريخ التقرير"))))))</f>
        <v/>
      </c>
      <c r="Q392" s="79"/>
      <c r="R392" s="57" t="n">
        <f aca="false">IF(OR(OR($B392="",$E392="",$F392=""),L392&lt;&gt;"لا"),0,MAX(0,MIN(F392,cfg_Y_START-1)-E392+1))</f>
        <v>0</v>
      </c>
      <c r="S392" s="57" t="n">
        <f aca="false">IF(OR(OR($B392="",$E392="",$F392=""),L392&lt;&gt;"لا"),0,MAX(0,MIN(F392,cfg_VAL_DATE)-E392+1))</f>
        <v>0</v>
      </c>
      <c r="T392" s="57" t="n">
        <f aca="false">IF(OR(OR($B392="",$E392="",$F392=""),K392&lt;&gt;"نعم"),0,IF(M392="نعم",IF(AND(ISNUMBER(O392),N(O392)&lt;=cfg_VAL_M),G392,0),MAX(0,MIN(F392,cfg_VAL_DATE)-MAX(E392,cfg_Y_START)+1)))</f>
        <v>0</v>
      </c>
      <c r="V392" s="57" t="n">
        <f aca="false">IF(OR($B392="",$E392="",$F392=""),0,MAX(0,MIN($F392,EOMONTH(DATE(cfg_FY,1,1),0))-MAX($E392,DATE(cfg_FY,1,1))+1)*(1-IF($M392="نعم",0,N($J392))))</f>
        <v>0</v>
      </c>
      <c r="W392" s="57" t="n">
        <f aca="false">IF(OR($B392="",$E392="",$F392=""),0,MAX(0,MIN($F392,EOMONTH(DATE(cfg_FY,2,1),0))-MAX($E392,DATE(cfg_FY,2,1))+1)*(1-IF($M392="نعم",0,N($J392))))</f>
        <v>0</v>
      </c>
      <c r="X392" s="57" t="n">
        <f aca="false">IF(OR($B392="",$E392="",$F392=""),0,MAX(0,MIN($F392,EOMONTH(DATE(cfg_FY,3,1),0))-MAX($E392,DATE(cfg_FY,3,1))+1)*(1-IF($M392="نعم",0,N($J392))))</f>
        <v>0</v>
      </c>
      <c r="Y392" s="57" t="n">
        <f aca="false">IF(OR($B392="",$E392="",$F392=""),0,MAX(0,MIN($F392,EOMONTH(DATE(cfg_FY,4,1),0))-MAX($E392,DATE(cfg_FY,4,1))+1)*(1-IF($M392="نعم",0,N($J392))))</f>
        <v>0</v>
      </c>
      <c r="Z392" s="57" t="n">
        <f aca="false">IF(OR($B392="",$E392="",$F392=""),0,MAX(0,MIN($F392,EOMONTH(DATE(cfg_FY,5,1),0))-MAX($E392,DATE(cfg_FY,5,1))+1)*(1-IF($M392="نعم",0,N($J392))))</f>
        <v>0</v>
      </c>
      <c r="AA392" s="57" t="n">
        <f aca="false">IF(OR($B392="",$E392="",$F392=""),0,MAX(0,MIN($F392,EOMONTH(DATE(cfg_FY,6,1),0))-MAX($E392,DATE(cfg_FY,6,1))+1)*(1-IF($M392="نعم",0,N($J392))))</f>
        <v>0</v>
      </c>
      <c r="AB392" s="57" t="n">
        <f aca="false">IF(OR($B392="",$E392="",$F392=""),0,MAX(0,MIN($F392,EOMONTH(DATE(cfg_FY,7,1),0))-MAX($E392,DATE(cfg_FY,7,1))+1)*(1-IF($M392="نعم",0,N($J392))))</f>
        <v>0</v>
      </c>
      <c r="AC392" s="57" t="n">
        <f aca="false">IF(OR($B392="",$E392="",$F392=""),0,MAX(0,MIN($F392,EOMONTH(DATE(cfg_FY,8,1),0))-MAX($E392,DATE(cfg_FY,8,1))+1)*(1-IF($M392="نعم",0,N($J392))))</f>
        <v>0</v>
      </c>
      <c r="AD392" s="57" t="n">
        <f aca="false">IF(OR($B392="",$E392="",$F392=""),0,MAX(0,MIN($F392,EOMONTH(DATE(cfg_FY,9,1),0))-MAX($E392,DATE(cfg_FY,9,1))+1)*(1-IF($M392="نعم",0,N($J392))))</f>
        <v>0</v>
      </c>
      <c r="AE392" s="57" t="n">
        <f aca="false">IF(OR($B392="",$E392="",$F392=""),0,MAX(0,MIN($F392,EOMONTH(DATE(cfg_FY,10,1),0))-MAX($E392,DATE(cfg_FY,10,1))+1)*(1-IF($M392="نعم",0,N($J392))))</f>
        <v>0</v>
      </c>
      <c r="AF392" s="57" t="n">
        <f aca="false">IF(OR($B392="",$E392="",$F392=""),0,MAX(0,MIN($F392,EOMONTH(DATE(cfg_FY,11,1),0))-MAX($E392,DATE(cfg_FY,11,1))+1)*(1-IF($M392="نعم",0,N($J392))))</f>
        <v>0</v>
      </c>
      <c r="AG392" s="57" t="n">
        <f aca="false">IF(OR($B392="",$E392="",$F392=""),0,MAX(0,MIN($F392,EOMONTH(DATE(cfg_FY,12,1),0))-MAX($E392,DATE(cfg_FY,12,1))+1)*(1-IF($M392="نعم",0,N($J392))))</f>
        <v>0</v>
      </c>
      <c r="AH392" s="57" t="n">
        <f aca="false">IF(OR(OR($B392="",$E392="",$F392=""),$L392&lt;&gt;"لا"),0,MAX(0,MIN($F392,EOMONTH(DATE(cfg_FY,1,1),0))-$E392+1))</f>
        <v>0</v>
      </c>
      <c r="AI392" s="57" t="n">
        <f aca="false">IF(OR(OR($B392="",$E392="",$F392=""),$L392&lt;&gt;"لا"),0,MAX(0,MIN($F392,EOMONTH(DATE(cfg_FY,2,1),0))-$E392+1))</f>
        <v>0</v>
      </c>
      <c r="AJ392" s="57" t="n">
        <f aca="false">IF(OR(OR($B392="",$E392="",$F392=""),$L392&lt;&gt;"لا"),0,MAX(0,MIN($F392,EOMONTH(DATE(cfg_FY,3,1),0))-$E392+1))</f>
        <v>0</v>
      </c>
      <c r="AK392" s="57" t="n">
        <f aca="false">IF(OR(OR($B392="",$E392="",$F392=""),$L392&lt;&gt;"لا"),0,MAX(0,MIN($F392,EOMONTH(DATE(cfg_FY,4,1),0))-$E392+1))</f>
        <v>0</v>
      </c>
      <c r="AL392" s="57" t="n">
        <f aca="false">IF(OR(OR($B392="",$E392="",$F392=""),$L392&lt;&gt;"لا"),0,MAX(0,MIN($F392,EOMONTH(DATE(cfg_FY,5,1),0))-$E392+1))</f>
        <v>0</v>
      </c>
      <c r="AM392" s="57" t="n">
        <f aca="false">IF(OR(OR($B392="",$E392="",$F392=""),$L392&lt;&gt;"لا"),0,MAX(0,MIN($F392,EOMONTH(DATE(cfg_FY,6,1),0))-$E392+1))</f>
        <v>0</v>
      </c>
      <c r="AN392" s="57" t="n">
        <f aca="false">IF(OR(OR($B392="",$E392="",$F392=""),$L392&lt;&gt;"لا"),0,MAX(0,MIN($F392,EOMONTH(DATE(cfg_FY,7,1),0))-$E392+1))</f>
        <v>0</v>
      </c>
      <c r="AO392" s="57" t="n">
        <f aca="false">IF(OR(OR($B392="",$E392="",$F392=""),$L392&lt;&gt;"لا"),0,MAX(0,MIN($F392,EOMONTH(DATE(cfg_FY,8,1),0))-$E392+1))</f>
        <v>0</v>
      </c>
      <c r="AP392" s="57" t="n">
        <f aca="false">IF(OR(OR($B392="",$E392="",$F392=""),$L392&lt;&gt;"لا"),0,MAX(0,MIN($F392,EOMONTH(DATE(cfg_FY,9,1),0))-$E392+1))</f>
        <v>0</v>
      </c>
      <c r="AQ392" s="57" t="n">
        <f aca="false">IF(OR(OR($B392="",$E392="",$F392=""),$L392&lt;&gt;"لا"),0,MAX(0,MIN($F392,EOMONTH(DATE(cfg_FY,10,1),0))-$E392+1))</f>
        <v>0</v>
      </c>
      <c r="AR392" s="57" t="n">
        <f aca="false">IF(OR(OR($B392="",$E392="",$F392=""),$L392&lt;&gt;"لا"),0,MAX(0,MIN($F392,EOMONTH(DATE(cfg_FY,11,1),0))-$E392+1))</f>
        <v>0</v>
      </c>
      <c r="AS392" s="57" t="n">
        <f aca="false">IF(OR(OR($B392="",$E392="",$F392=""),$L392&lt;&gt;"لا"),0,MAX(0,MIN($F392,EOMONTH(DATE(cfg_FY,12,1),0))-$E392+1))</f>
        <v>0</v>
      </c>
      <c r="AT392" s="57" t="n">
        <f aca="false">IF(OR(OR($B392="",$E392="",$F392=""),$K392&lt;&gt;"نعم",$M392="نعم"),0,MAX(0,MIN($F392,EOMONTH(DATE(cfg_FY,1,1),0))-MAX($E392,DATE(cfg_FY,1,1))+1))</f>
        <v>0</v>
      </c>
      <c r="AU392" s="57" t="n">
        <f aca="false">IF(OR(OR($B392="",$E392="",$F392=""),$K392&lt;&gt;"نعم",$M392="نعم"),0,MAX(0,MIN($F392,EOMONTH(DATE(cfg_FY,2,1),0))-MAX($E392,DATE(cfg_FY,2,1))+1))</f>
        <v>0</v>
      </c>
      <c r="AV392" s="57" t="n">
        <f aca="false">IF(OR(OR($B392="",$E392="",$F392=""),$K392&lt;&gt;"نعم",$M392="نعم"),0,MAX(0,MIN($F392,EOMONTH(DATE(cfg_FY,3,1),0))-MAX($E392,DATE(cfg_FY,3,1))+1))</f>
        <v>0</v>
      </c>
      <c r="AW392" s="57" t="n">
        <f aca="false">IF(OR(OR($B392="",$E392="",$F392=""),$K392&lt;&gt;"نعم",$M392="نعم"),0,MAX(0,MIN($F392,EOMONTH(DATE(cfg_FY,4,1),0))-MAX($E392,DATE(cfg_FY,4,1))+1))</f>
        <v>0</v>
      </c>
      <c r="AX392" s="57" t="n">
        <f aca="false">IF(OR(OR($B392="",$E392="",$F392=""),$K392&lt;&gt;"نعم",$M392="نعم"),0,MAX(0,MIN($F392,EOMONTH(DATE(cfg_FY,5,1),0))-MAX($E392,DATE(cfg_FY,5,1))+1))</f>
        <v>0</v>
      </c>
      <c r="AY392" s="57" t="n">
        <f aca="false">IF(OR(OR($B392="",$E392="",$F392=""),$K392&lt;&gt;"نعم",$M392="نعم"),0,MAX(0,MIN($F392,EOMONTH(DATE(cfg_FY,6,1),0))-MAX($E392,DATE(cfg_FY,6,1))+1))</f>
        <v>0</v>
      </c>
      <c r="AZ392" s="57" t="n">
        <f aca="false">IF(OR(OR($B392="",$E392="",$F392=""),$K392&lt;&gt;"نعم",$M392="نعم"),0,MAX(0,MIN($F392,EOMONTH(DATE(cfg_FY,7,1),0))-MAX($E392,DATE(cfg_FY,7,1))+1))</f>
        <v>0</v>
      </c>
      <c r="BA392" s="57" t="n">
        <f aca="false">IF(OR(OR($B392="",$E392="",$F392=""),$K392&lt;&gt;"نعم",$M392="نعم"),0,MAX(0,MIN($F392,EOMONTH(DATE(cfg_FY,8,1),0))-MAX($E392,DATE(cfg_FY,8,1))+1))</f>
        <v>0</v>
      </c>
      <c r="BB392" s="57" t="n">
        <f aca="false">IF(OR(OR($B392="",$E392="",$F392=""),$K392&lt;&gt;"نعم",$M392="نعم"),0,MAX(0,MIN($F392,EOMONTH(DATE(cfg_FY,9,1),0))-MAX($E392,DATE(cfg_FY,9,1))+1))</f>
        <v>0</v>
      </c>
      <c r="BC392" s="57" t="n">
        <f aca="false">IF(OR(OR($B392="",$E392="",$F392=""),$K392&lt;&gt;"نعم",$M392="نعم"),0,MAX(0,MIN($F392,EOMONTH(DATE(cfg_FY,10,1),0))-MAX($E392,DATE(cfg_FY,10,1))+1))</f>
        <v>0</v>
      </c>
      <c r="BD392" s="57" t="n">
        <f aca="false">IF(OR(OR($B392="",$E392="",$F392=""),$K392&lt;&gt;"نعم",$M392="نعم"),0,MAX(0,MIN($F392,EOMONTH(DATE(cfg_FY,11,1),0))-MAX($E392,DATE(cfg_FY,11,1))+1))</f>
        <v>0</v>
      </c>
      <c r="BE392" s="57" t="n">
        <f aca="false">IF(OR(OR($B392="",$E392="",$F392=""),$K392&lt;&gt;"نعم",$M392="نعم"),0,MAX(0,MIN($F392,EOMONTH(DATE(cfg_FY,12,1),0))-MAX($E392,DATE(cfg_FY,12,1))+1))</f>
        <v>0</v>
      </c>
    </row>
    <row r="393" customFormat="false" ht="15" hidden="false" customHeight="false" outlineLevel="0" collapsed="false">
      <c r="A393" s="100" t="str">
        <f aca="false">IF(B393="","",ROW()-5)</f>
        <v/>
      </c>
      <c r="B393" s="79"/>
      <c r="C393" s="102" t="str">
        <f aca="false">IF(B393="","",IFERROR(INDEX(الموظفون!$C$6:$C$105,MATCH(B393,الموظفون!$B$6:$B$105,0)),"✖ رقم غير موجود"))</f>
        <v/>
      </c>
      <c r="D393" s="79"/>
      <c r="E393" s="94"/>
      <c r="F393" s="94"/>
      <c r="G393" s="110" t="str">
        <f aca="false">IF(OR($B393="",$E393="",$F393=""),"",MAX(0,F393-E393+1))</f>
        <v/>
      </c>
      <c r="H393" s="111" t="str">
        <f aca="false">IF(D393="","",IFERROR(VLOOKUP(D393,cfg_LT,2,FALSE()),1))</f>
        <v/>
      </c>
      <c r="I393" s="82"/>
      <c r="J393" s="111" t="str">
        <f aca="false">IF(D393="","",IF(I393&lt;&gt;"",I393,H393))</f>
        <v/>
      </c>
      <c r="K393" s="102" t="str">
        <f aca="false">IF(D393="","",IFERROR(VLOOKUP($D393,cfg_LT,3,FALSE()),""))</f>
        <v/>
      </c>
      <c r="L393" s="102" t="str">
        <f aca="false">IF(D393="","",IFERROR(VLOOKUP($D393,cfg_LT,4,FALSE()),""))</f>
        <v/>
      </c>
      <c r="M393" s="102" t="str">
        <f aca="false">IF(D393="","",IFERROR(VLOOKUP($D393,cfg_LT,5,FALSE()),""))</f>
        <v/>
      </c>
      <c r="N393" s="101" t="n">
        <f aca="false">IF(OR(OR($B393="",$E393="",$F393=""),M393&lt;&gt;"نعم"),0,G393*J393*IFERROR(INDEX(الموظفون!$R$6:$R$105,MATCH(B393,الموظفون!$B$6:$B$105,0)),0)/cfg_DAYS_M)</f>
        <v>0</v>
      </c>
      <c r="O393" s="100" t="str">
        <f aca="false">IF(OR(OR($B393="",$E393="",$F393=""),M393&lt;&gt;"نعم"),"",IF(YEAR(E393)=cfg_FY,MONTH(E393),""))</f>
        <v/>
      </c>
      <c r="P393" s="102" t="str">
        <f aca="false">IF(B393="","",IF(OR(D393="",E393="",F393=""),"⚠ أكمل النوع والتواريخ",IF(F393&lt;E393,"✖ النهاية قبل البداية",IF(COUNTIFS($B$6:$B$505,B393,$E$6:$E$505,"&lt;="&amp;F393,$F$6:$F$505,"&gt;="&amp;E393)&gt;1,"⚠ تداخل مع سجل آخر",IF(E393&gt;cfg_VAL_DATE,"⏳ قادمة",IF(F393&lt;cfg_VAL_DATE,"✔ منتهية","✈ جارية في تاريخ التقرير"))))))</f>
        <v/>
      </c>
      <c r="Q393" s="79"/>
      <c r="R393" s="110" t="n">
        <f aca="false">IF(OR(OR($B393="",$E393="",$F393=""),L393&lt;&gt;"لا"),0,MAX(0,MIN(F393,cfg_Y_START-1)-E393+1))</f>
        <v>0</v>
      </c>
      <c r="S393" s="110" t="n">
        <f aca="false">IF(OR(OR($B393="",$E393="",$F393=""),L393&lt;&gt;"لا"),0,MAX(0,MIN(F393,cfg_VAL_DATE)-E393+1))</f>
        <v>0</v>
      </c>
      <c r="T393" s="110" t="n">
        <f aca="false">IF(OR(OR($B393="",$E393="",$F393=""),K393&lt;&gt;"نعم"),0,IF(M393="نعم",IF(AND(ISNUMBER(O393),N(O393)&lt;=cfg_VAL_M),G393,0),MAX(0,MIN(F393,cfg_VAL_DATE)-MAX(E393,cfg_Y_START)+1)))</f>
        <v>0</v>
      </c>
      <c r="V393" s="110" t="n">
        <f aca="false">IF(OR($B393="",$E393="",$F393=""),0,MAX(0,MIN($F393,EOMONTH(DATE(cfg_FY,1,1),0))-MAX($E393,DATE(cfg_FY,1,1))+1)*(1-IF($M393="نعم",0,N($J393))))</f>
        <v>0</v>
      </c>
      <c r="W393" s="110" t="n">
        <f aca="false">IF(OR($B393="",$E393="",$F393=""),0,MAX(0,MIN($F393,EOMONTH(DATE(cfg_FY,2,1),0))-MAX($E393,DATE(cfg_FY,2,1))+1)*(1-IF($M393="نعم",0,N($J393))))</f>
        <v>0</v>
      </c>
      <c r="X393" s="110" t="n">
        <f aca="false">IF(OR($B393="",$E393="",$F393=""),0,MAX(0,MIN($F393,EOMONTH(DATE(cfg_FY,3,1),0))-MAX($E393,DATE(cfg_FY,3,1))+1)*(1-IF($M393="نعم",0,N($J393))))</f>
        <v>0</v>
      </c>
      <c r="Y393" s="110" t="n">
        <f aca="false">IF(OR($B393="",$E393="",$F393=""),0,MAX(0,MIN($F393,EOMONTH(DATE(cfg_FY,4,1),0))-MAX($E393,DATE(cfg_FY,4,1))+1)*(1-IF($M393="نعم",0,N($J393))))</f>
        <v>0</v>
      </c>
      <c r="Z393" s="110" t="n">
        <f aca="false">IF(OR($B393="",$E393="",$F393=""),0,MAX(0,MIN($F393,EOMONTH(DATE(cfg_FY,5,1),0))-MAX($E393,DATE(cfg_FY,5,1))+1)*(1-IF($M393="نعم",0,N($J393))))</f>
        <v>0</v>
      </c>
      <c r="AA393" s="110" t="n">
        <f aca="false">IF(OR($B393="",$E393="",$F393=""),0,MAX(0,MIN($F393,EOMONTH(DATE(cfg_FY,6,1),0))-MAX($E393,DATE(cfg_FY,6,1))+1)*(1-IF($M393="نعم",0,N($J393))))</f>
        <v>0</v>
      </c>
      <c r="AB393" s="110" t="n">
        <f aca="false">IF(OR($B393="",$E393="",$F393=""),0,MAX(0,MIN($F393,EOMONTH(DATE(cfg_FY,7,1),0))-MAX($E393,DATE(cfg_FY,7,1))+1)*(1-IF($M393="نعم",0,N($J393))))</f>
        <v>0</v>
      </c>
      <c r="AC393" s="110" t="n">
        <f aca="false">IF(OR($B393="",$E393="",$F393=""),0,MAX(0,MIN($F393,EOMONTH(DATE(cfg_FY,8,1),0))-MAX($E393,DATE(cfg_FY,8,1))+1)*(1-IF($M393="نعم",0,N($J393))))</f>
        <v>0</v>
      </c>
      <c r="AD393" s="110" t="n">
        <f aca="false">IF(OR($B393="",$E393="",$F393=""),0,MAX(0,MIN($F393,EOMONTH(DATE(cfg_FY,9,1),0))-MAX($E393,DATE(cfg_FY,9,1))+1)*(1-IF($M393="نعم",0,N($J393))))</f>
        <v>0</v>
      </c>
      <c r="AE393" s="110" t="n">
        <f aca="false">IF(OR($B393="",$E393="",$F393=""),0,MAX(0,MIN($F393,EOMONTH(DATE(cfg_FY,10,1),0))-MAX($E393,DATE(cfg_FY,10,1))+1)*(1-IF($M393="نعم",0,N($J393))))</f>
        <v>0</v>
      </c>
      <c r="AF393" s="110" t="n">
        <f aca="false">IF(OR($B393="",$E393="",$F393=""),0,MAX(0,MIN($F393,EOMONTH(DATE(cfg_FY,11,1),0))-MAX($E393,DATE(cfg_FY,11,1))+1)*(1-IF($M393="نعم",0,N($J393))))</f>
        <v>0</v>
      </c>
      <c r="AG393" s="110" t="n">
        <f aca="false">IF(OR($B393="",$E393="",$F393=""),0,MAX(0,MIN($F393,EOMONTH(DATE(cfg_FY,12,1),0))-MAX($E393,DATE(cfg_FY,12,1))+1)*(1-IF($M393="نعم",0,N($J393))))</f>
        <v>0</v>
      </c>
      <c r="AH393" s="110" t="n">
        <f aca="false">IF(OR(OR($B393="",$E393="",$F393=""),$L393&lt;&gt;"لا"),0,MAX(0,MIN($F393,EOMONTH(DATE(cfg_FY,1,1),0))-$E393+1))</f>
        <v>0</v>
      </c>
      <c r="AI393" s="110" t="n">
        <f aca="false">IF(OR(OR($B393="",$E393="",$F393=""),$L393&lt;&gt;"لا"),0,MAX(0,MIN($F393,EOMONTH(DATE(cfg_FY,2,1),0))-$E393+1))</f>
        <v>0</v>
      </c>
      <c r="AJ393" s="110" t="n">
        <f aca="false">IF(OR(OR($B393="",$E393="",$F393=""),$L393&lt;&gt;"لا"),0,MAX(0,MIN($F393,EOMONTH(DATE(cfg_FY,3,1),0))-$E393+1))</f>
        <v>0</v>
      </c>
      <c r="AK393" s="110" t="n">
        <f aca="false">IF(OR(OR($B393="",$E393="",$F393=""),$L393&lt;&gt;"لا"),0,MAX(0,MIN($F393,EOMONTH(DATE(cfg_FY,4,1),0))-$E393+1))</f>
        <v>0</v>
      </c>
      <c r="AL393" s="110" t="n">
        <f aca="false">IF(OR(OR($B393="",$E393="",$F393=""),$L393&lt;&gt;"لا"),0,MAX(0,MIN($F393,EOMONTH(DATE(cfg_FY,5,1),0))-$E393+1))</f>
        <v>0</v>
      </c>
      <c r="AM393" s="110" t="n">
        <f aca="false">IF(OR(OR($B393="",$E393="",$F393=""),$L393&lt;&gt;"لا"),0,MAX(0,MIN($F393,EOMONTH(DATE(cfg_FY,6,1),0))-$E393+1))</f>
        <v>0</v>
      </c>
      <c r="AN393" s="110" t="n">
        <f aca="false">IF(OR(OR($B393="",$E393="",$F393=""),$L393&lt;&gt;"لا"),0,MAX(0,MIN($F393,EOMONTH(DATE(cfg_FY,7,1),0))-$E393+1))</f>
        <v>0</v>
      </c>
      <c r="AO393" s="110" t="n">
        <f aca="false">IF(OR(OR($B393="",$E393="",$F393=""),$L393&lt;&gt;"لا"),0,MAX(0,MIN($F393,EOMONTH(DATE(cfg_FY,8,1),0))-$E393+1))</f>
        <v>0</v>
      </c>
      <c r="AP393" s="110" t="n">
        <f aca="false">IF(OR(OR($B393="",$E393="",$F393=""),$L393&lt;&gt;"لا"),0,MAX(0,MIN($F393,EOMONTH(DATE(cfg_FY,9,1),0))-$E393+1))</f>
        <v>0</v>
      </c>
      <c r="AQ393" s="110" t="n">
        <f aca="false">IF(OR(OR($B393="",$E393="",$F393=""),$L393&lt;&gt;"لا"),0,MAX(0,MIN($F393,EOMONTH(DATE(cfg_FY,10,1),0))-$E393+1))</f>
        <v>0</v>
      </c>
      <c r="AR393" s="110" t="n">
        <f aca="false">IF(OR(OR($B393="",$E393="",$F393=""),$L393&lt;&gt;"لا"),0,MAX(0,MIN($F393,EOMONTH(DATE(cfg_FY,11,1),0))-$E393+1))</f>
        <v>0</v>
      </c>
      <c r="AS393" s="110" t="n">
        <f aca="false">IF(OR(OR($B393="",$E393="",$F393=""),$L393&lt;&gt;"لا"),0,MAX(0,MIN($F393,EOMONTH(DATE(cfg_FY,12,1),0))-$E393+1))</f>
        <v>0</v>
      </c>
      <c r="AT393" s="110" t="n">
        <f aca="false">IF(OR(OR($B393="",$E393="",$F393=""),$K393&lt;&gt;"نعم",$M393="نعم"),0,MAX(0,MIN($F393,EOMONTH(DATE(cfg_FY,1,1),0))-MAX($E393,DATE(cfg_FY,1,1))+1))</f>
        <v>0</v>
      </c>
      <c r="AU393" s="110" t="n">
        <f aca="false">IF(OR(OR($B393="",$E393="",$F393=""),$K393&lt;&gt;"نعم",$M393="نعم"),0,MAX(0,MIN($F393,EOMONTH(DATE(cfg_FY,2,1),0))-MAX($E393,DATE(cfg_FY,2,1))+1))</f>
        <v>0</v>
      </c>
      <c r="AV393" s="110" t="n">
        <f aca="false">IF(OR(OR($B393="",$E393="",$F393=""),$K393&lt;&gt;"نعم",$M393="نعم"),0,MAX(0,MIN($F393,EOMONTH(DATE(cfg_FY,3,1),0))-MAX($E393,DATE(cfg_FY,3,1))+1))</f>
        <v>0</v>
      </c>
      <c r="AW393" s="110" t="n">
        <f aca="false">IF(OR(OR($B393="",$E393="",$F393=""),$K393&lt;&gt;"نعم",$M393="نعم"),0,MAX(0,MIN($F393,EOMONTH(DATE(cfg_FY,4,1),0))-MAX($E393,DATE(cfg_FY,4,1))+1))</f>
        <v>0</v>
      </c>
      <c r="AX393" s="110" t="n">
        <f aca="false">IF(OR(OR($B393="",$E393="",$F393=""),$K393&lt;&gt;"نعم",$M393="نعم"),0,MAX(0,MIN($F393,EOMONTH(DATE(cfg_FY,5,1),0))-MAX($E393,DATE(cfg_FY,5,1))+1))</f>
        <v>0</v>
      </c>
      <c r="AY393" s="110" t="n">
        <f aca="false">IF(OR(OR($B393="",$E393="",$F393=""),$K393&lt;&gt;"نعم",$M393="نعم"),0,MAX(0,MIN($F393,EOMONTH(DATE(cfg_FY,6,1),0))-MAX($E393,DATE(cfg_FY,6,1))+1))</f>
        <v>0</v>
      </c>
      <c r="AZ393" s="110" t="n">
        <f aca="false">IF(OR(OR($B393="",$E393="",$F393=""),$K393&lt;&gt;"نعم",$M393="نعم"),0,MAX(0,MIN($F393,EOMONTH(DATE(cfg_FY,7,1),0))-MAX($E393,DATE(cfg_FY,7,1))+1))</f>
        <v>0</v>
      </c>
      <c r="BA393" s="110" t="n">
        <f aca="false">IF(OR(OR($B393="",$E393="",$F393=""),$K393&lt;&gt;"نعم",$M393="نعم"),0,MAX(0,MIN($F393,EOMONTH(DATE(cfg_FY,8,1),0))-MAX($E393,DATE(cfg_FY,8,1))+1))</f>
        <v>0</v>
      </c>
      <c r="BB393" s="110" t="n">
        <f aca="false">IF(OR(OR($B393="",$E393="",$F393=""),$K393&lt;&gt;"نعم",$M393="نعم"),0,MAX(0,MIN($F393,EOMONTH(DATE(cfg_FY,9,1),0))-MAX($E393,DATE(cfg_FY,9,1))+1))</f>
        <v>0</v>
      </c>
      <c r="BC393" s="110" t="n">
        <f aca="false">IF(OR(OR($B393="",$E393="",$F393=""),$K393&lt;&gt;"نعم",$M393="نعم"),0,MAX(0,MIN($F393,EOMONTH(DATE(cfg_FY,10,1),0))-MAX($E393,DATE(cfg_FY,10,1))+1))</f>
        <v>0</v>
      </c>
      <c r="BD393" s="110" t="n">
        <f aca="false">IF(OR(OR($B393="",$E393="",$F393=""),$K393&lt;&gt;"نعم",$M393="نعم"),0,MAX(0,MIN($F393,EOMONTH(DATE(cfg_FY,11,1),0))-MAX($E393,DATE(cfg_FY,11,1))+1))</f>
        <v>0</v>
      </c>
      <c r="BE393" s="110" t="n">
        <f aca="false">IF(OR(OR($B393="",$E393="",$F393=""),$K393&lt;&gt;"نعم",$M393="نعم"),0,MAX(0,MIN($F393,EOMONTH(DATE(cfg_FY,12,1),0))-MAX($E393,DATE(cfg_FY,12,1))+1))</f>
        <v>0</v>
      </c>
    </row>
    <row r="394" customFormat="false" ht="15" hidden="false" customHeight="false" outlineLevel="0" collapsed="false">
      <c r="A394" s="93" t="str">
        <f aca="false">IF(B394="","",ROW()-5)</f>
        <v/>
      </c>
      <c r="B394" s="79"/>
      <c r="C394" s="80" t="str">
        <f aca="false">IF(B394="","",IFERROR(INDEX(الموظفون!$C$6:$C$105,MATCH(B394,الموظفون!$B$6:$B$105,0)),"✖ رقم غير موجود"))</f>
        <v/>
      </c>
      <c r="D394" s="79"/>
      <c r="E394" s="94"/>
      <c r="F394" s="94"/>
      <c r="G394" s="57" t="str">
        <f aca="false">IF(OR($B394="",$E394="",$F394=""),"",MAX(0,F394-E394+1))</f>
        <v/>
      </c>
      <c r="H394" s="58" t="str">
        <f aca="false">IF(D394="","",IFERROR(VLOOKUP(D394,cfg_LT,2,FALSE()),1))</f>
        <v/>
      </c>
      <c r="I394" s="82"/>
      <c r="J394" s="58" t="str">
        <f aca="false">IF(D394="","",IF(I394&lt;&gt;"",I394,H394))</f>
        <v/>
      </c>
      <c r="K394" s="80" t="str">
        <f aca="false">IF(D394="","",IFERROR(VLOOKUP($D394,cfg_LT,3,FALSE()),""))</f>
        <v/>
      </c>
      <c r="L394" s="80" t="str">
        <f aca="false">IF(D394="","",IFERROR(VLOOKUP($D394,cfg_LT,4,FALSE()),""))</f>
        <v/>
      </c>
      <c r="M394" s="80" t="str">
        <f aca="false">IF(D394="","",IFERROR(VLOOKUP($D394,cfg_LT,5,FALSE()),""))</f>
        <v/>
      </c>
      <c r="N394" s="97" t="n">
        <f aca="false">IF(OR(OR($B394="",$E394="",$F394=""),M394&lt;&gt;"نعم"),0,G394*J394*IFERROR(INDEX(الموظفون!$R$6:$R$105,MATCH(B394,الموظفون!$B$6:$B$105,0)),0)/cfg_DAYS_M)</f>
        <v>0</v>
      </c>
      <c r="O394" s="93" t="str">
        <f aca="false">IF(OR(OR($B394="",$E394="",$F394=""),M394&lt;&gt;"نعم"),"",IF(YEAR(E394)=cfg_FY,MONTH(E394),""))</f>
        <v/>
      </c>
      <c r="P394" s="80" t="str">
        <f aca="false">IF(B394="","",IF(OR(D394="",E394="",F394=""),"⚠ أكمل النوع والتواريخ",IF(F394&lt;E394,"✖ النهاية قبل البداية",IF(COUNTIFS($B$6:$B$505,B394,$E$6:$E$505,"&lt;="&amp;F394,$F$6:$F$505,"&gt;="&amp;E394)&gt;1,"⚠ تداخل مع سجل آخر",IF(E394&gt;cfg_VAL_DATE,"⏳ قادمة",IF(F394&lt;cfg_VAL_DATE,"✔ منتهية","✈ جارية في تاريخ التقرير"))))))</f>
        <v/>
      </c>
      <c r="Q394" s="79"/>
      <c r="R394" s="57" t="n">
        <f aca="false">IF(OR(OR($B394="",$E394="",$F394=""),L394&lt;&gt;"لا"),0,MAX(0,MIN(F394,cfg_Y_START-1)-E394+1))</f>
        <v>0</v>
      </c>
      <c r="S394" s="57" t="n">
        <f aca="false">IF(OR(OR($B394="",$E394="",$F394=""),L394&lt;&gt;"لا"),0,MAX(0,MIN(F394,cfg_VAL_DATE)-E394+1))</f>
        <v>0</v>
      </c>
      <c r="T394" s="57" t="n">
        <f aca="false">IF(OR(OR($B394="",$E394="",$F394=""),K394&lt;&gt;"نعم"),0,IF(M394="نعم",IF(AND(ISNUMBER(O394),N(O394)&lt;=cfg_VAL_M),G394,0),MAX(0,MIN(F394,cfg_VAL_DATE)-MAX(E394,cfg_Y_START)+1)))</f>
        <v>0</v>
      </c>
      <c r="V394" s="57" t="n">
        <f aca="false">IF(OR($B394="",$E394="",$F394=""),0,MAX(0,MIN($F394,EOMONTH(DATE(cfg_FY,1,1),0))-MAX($E394,DATE(cfg_FY,1,1))+1)*(1-IF($M394="نعم",0,N($J394))))</f>
        <v>0</v>
      </c>
      <c r="W394" s="57" t="n">
        <f aca="false">IF(OR($B394="",$E394="",$F394=""),0,MAX(0,MIN($F394,EOMONTH(DATE(cfg_FY,2,1),0))-MAX($E394,DATE(cfg_FY,2,1))+1)*(1-IF($M394="نعم",0,N($J394))))</f>
        <v>0</v>
      </c>
      <c r="X394" s="57" t="n">
        <f aca="false">IF(OR($B394="",$E394="",$F394=""),0,MAX(0,MIN($F394,EOMONTH(DATE(cfg_FY,3,1),0))-MAX($E394,DATE(cfg_FY,3,1))+1)*(1-IF($M394="نعم",0,N($J394))))</f>
        <v>0</v>
      </c>
      <c r="Y394" s="57" t="n">
        <f aca="false">IF(OR($B394="",$E394="",$F394=""),0,MAX(0,MIN($F394,EOMONTH(DATE(cfg_FY,4,1),0))-MAX($E394,DATE(cfg_FY,4,1))+1)*(1-IF($M394="نعم",0,N($J394))))</f>
        <v>0</v>
      </c>
      <c r="Z394" s="57" t="n">
        <f aca="false">IF(OR($B394="",$E394="",$F394=""),0,MAX(0,MIN($F394,EOMONTH(DATE(cfg_FY,5,1),0))-MAX($E394,DATE(cfg_FY,5,1))+1)*(1-IF($M394="نعم",0,N($J394))))</f>
        <v>0</v>
      </c>
      <c r="AA394" s="57" t="n">
        <f aca="false">IF(OR($B394="",$E394="",$F394=""),0,MAX(0,MIN($F394,EOMONTH(DATE(cfg_FY,6,1),0))-MAX($E394,DATE(cfg_FY,6,1))+1)*(1-IF($M394="نعم",0,N($J394))))</f>
        <v>0</v>
      </c>
      <c r="AB394" s="57" t="n">
        <f aca="false">IF(OR($B394="",$E394="",$F394=""),0,MAX(0,MIN($F394,EOMONTH(DATE(cfg_FY,7,1),0))-MAX($E394,DATE(cfg_FY,7,1))+1)*(1-IF($M394="نعم",0,N($J394))))</f>
        <v>0</v>
      </c>
      <c r="AC394" s="57" t="n">
        <f aca="false">IF(OR($B394="",$E394="",$F394=""),0,MAX(0,MIN($F394,EOMONTH(DATE(cfg_FY,8,1),0))-MAX($E394,DATE(cfg_FY,8,1))+1)*(1-IF($M394="نعم",0,N($J394))))</f>
        <v>0</v>
      </c>
      <c r="AD394" s="57" t="n">
        <f aca="false">IF(OR($B394="",$E394="",$F394=""),0,MAX(0,MIN($F394,EOMONTH(DATE(cfg_FY,9,1),0))-MAX($E394,DATE(cfg_FY,9,1))+1)*(1-IF($M394="نعم",0,N($J394))))</f>
        <v>0</v>
      </c>
      <c r="AE394" s="57" t="n">
        <f aca="false">IF(OR($B394="",$E394="",$F394=""),0,MAX(0,MIN($F394,EOMONTH(DATE(cfg_FY,10,1),0))-MAX($E394,DATE(cfg_FY,10,1))+1)*(1-IF($M394="نعم",0,N($J394))))</f>
        <v>0</v>
      </c>
      <c r="AF394" s="57" t="n">
        <f aca="false">IF(OR($B394="",$E394="",$F394=""),0,MAX(0,MIN($F394,EOMONTH(DATE(cfg_FY,11,1),0))-MAX($E394,DATE(cfg_FY,11,1))+1)*(1-IF($M394="نعم",0,N($J394))))</f>
        <v>0</v>
      </c>
      <c r="AG394" s="57" t="n">
        <f aca="false">IF(OR($B394="",$E394="",$F394=""),0,MAX(0,MIN($F394,EOMONTH(DATE(cfg_FY,12,1),0))-MAX($E394,DATE(cfg_FY,12,1))+1)*(1-IF($M394="نعم",0,N($J394))))</f>
        <v>0</v>
      </c>
      <c r="AH394" s="57" t="n">
        <f aca="false">IF(OR(OR($B394="",$E394="",$F394=""),$L394&lt;&gt;"لا"),0,MAX(0,MIN($F394,EOMONTH(DATE(cfg_FY,1,1),0))-$E394+1))</f>
        <v>0</v>
      </c>
      <c r="AI394" s="57" t="n">
        <f aca="false">IF(OR(OR($B394="",$E394="",$F394=""),$L394&lt;&gt;"لا"),0,MAX(0,MIN($F394,EOMONTH(DATE(cfg_FY,2,1),0))-$E394+1))</f>
        <v>0</v>
      </c>
      <c r="AJ394" s="57" t="n">
        <f aca="false">IF(OR(OR($B394="",$E394="",$F394=""),$L394&lt;&gt;"لا"),0,MAX(0,MIN($F394,EOMONTH(DATE(cfg_FY,3,1),0))-$E394+1))</f>
        <v>0</v>
      </c>
      <c r="AK394" s="57" t="n">
        <f aca="false">IF(OR(OR($B394="",$E394="",$F394=""),$L394&lt;&gt;"لا"),0,MAX(0,MIN($F394,EOMONTH(DATE(cfg_FY,4,1),0))-$E394+1))</f>
        <v>0</v>
      </c>
      <c r="AL394" s="57" t="n">
        <f aca="false">IF(OR(OR($B394="",$E394="",$F394=""),$L394&lt;&gt;"لا"),0,MAX(0,MIN($F394,EOMONTH(DATE(cfg_FY,5,1),0))-$E394+1))</f>
        <v>0</v>
      </c>
      <c r="AM394" s="57" t="n">
        <f aca="false">IF(OR(OR($B394="",$E394="",$F394=""),$L394&lt;&gt;"لا"),0,MAX(0,MIN($F394,EOMONTH(DATE(cfg_FY,6,1),0))-$E394+1))</f>
        <v>0</v>
      </c>
      <c r="AN394" s="57" t="n">
        <f aca="false">IF(OR(OR($B394="",$E394="",$F394=""),$L394&lt;&gt;"لا"),0,MAX(0,MIN($F394,EOMONTH(DATE(cfg_FY,7,1),0))-$E394+1))</f>
        <v>0</v>
      </c>
      <c r="AO394" s="57" t="n">
        <f aca="false">IF(OR(OR($B394="",$E394="",$F394=""),$L394&lt;&gt;"لا"),0,MAX(0,MIN($F394,EOMONTH(DATE(cfg_FY,8,1),0))-$E394+1))</f>
        <v>0</v>
      </c>
      <c r="AP394" s="57" t="n">
        <f aca="false">IF(OR(OR($B394="",$E394="",$F394=""),$L394&lt;&gt;"لا"),0,MAX(0,MIN($F394,EOMONTH(DATE(cfg_FY,9,1),0))-$E394+1))</f>
        <v>0</v>
      </c>
      <c r="AQ394" s="57" t="n">
        <f aca="false">IF(OR(OR($B394="",$E394="",$F394=""),$L394&lt;&gt;"لا"),0,MAX(0,MIN($F394,EOMONTH(DATE(cfg_FY,10,1),0))-$E394+1))</f>
        <v>0</v>
      </c>
      <c r="AR394" s="57" t="n">
        <f aca="false">IF(OR(OR($B394="",$E394="",$F394=""),$L394&lt;&gt;"لا"),0,MAX(0,MIN($F394,EOMONTH(DATE(cfg_FY,11,1),0))-$E394+1))</f>
        <v>0</v>
      </c>
      <c r="AS394" s="57" t="n">
        <f aca="false">IF(OR(OR($B394="",$E394="",$F394=""),$L394&lt;&gt;"لا"),0,MAX(0,MIN($F394,EOMONTH(DATE(cfg_FY,12,1),0))-$E394+1))</f>
        <v>0</v>
      </c>
      <c r="AT394" s="57" t="n">
        <f aca="false">IF(OR(OR($B394="",$E394="",$F394=""),$K394&lt;&gt;"نعم",$M394="نعم"),0,MAX(0,MIN($F394,EOMONTH(DATE(cfg_FY,1,1),0))-MAX($E394,DATE(cfg_FY,1,1))+1))</f>
        <v>0</v>
      </c>
      <c r="AU394" s="57" t="n">
        <f aca="false">IF(OR(OR($B394="",$E394="",$F394=""),$K394&lt;&gt;"نعم",$M394="نعم"),0,MAX(0,MIN($F394,EOMONTH(DATE(cfg_FY,2,1),0))-MAX($E394,DATE(cfg_FY,2,1))+1))</f>
        <v>0</v>
      </c>
      <c r="AV394" s="57" t="n">
        <f aca="false">IF(OR(OR($B394="",$E394="",$F394=""),$K394&lt;&gt;"نعم",$M394="نعم"),0,MAX(0,MIN($F394,EOMONTH(DATE(cfg_FY,3,1),0))-MAX($E394,DATE(cfg_FY,3,1))+1))</f>
        <v>0</v>
      </c>
      <c r="AW394" s="57" t="n">
        <f aca="false">IF(OR(OR($B394="",$E394="",$F394=""),$K394&lt;&gt;"نعم",$M394="نعم"),0,MAX(0,MIN($F394,EOMONTH(DATE(cfg_FY,4,1),0))-MAX($E394,DATE(cfg_FY,4,1))+1))</f>
        <v>0</v>
      </c>
      <c r="AX394" s="57" t="n">
        <f aca="false">IF(OR(OR($B394="",$E394="",$F394=""),$K394&lt;&gt;"نعم",$M394="نعم"),0,MAX(0,MIN($F394,EOMONTH(DATE(cfg_FY,5,1),0))-MAX($E394,DATE(cfg_FY,5,1))+1))</f>
        <v>0</v>
      </c>
      <c r="AY394" s="57" t="n">
        <f aca="false">IF(OR(OR($B394="",$E394="",$F394=""),$K394&lt;&gt;"نعم",$M394="نعم"),0,MAX(0,MIN($F394,EOMONTH(DATE(cfg_FY,6,1),0))-MAX($E394,DATE(cfg_FY,6,1))+1))</f>
        <v>0</v>
      </c>
      <c r="AZ394" s="57" t="n">
        <f aca="false">IF(OR(OR($B394="",$E394="",$F394=""),$K394&lt;&gt;"نعم",$M394="نعم"),0,MAX(0,MIN($F394,EOMONTH(DATE(cfg_FY,7,1),0))-MAX($E394,DATE(cfg_FY,7,1))+1))</f>
        <v>0</v>
      </c>
      <c r="BA394" s="57" t="n">
        <f aca="false">IF(OR(OR($B394="",$E394="",$F394=""),$K394&lt;&gt;"نعم",$M394="نعم"),0,MAX(0,MIN($F394,EOMONTH(DATE(cfg_FY,8,1),0))-MAX($E394,DATE(cfg_FY,8,1))+1))</f>
        <v>0</v>
      </c>
      <c r="BB394" s="57" t="n">
        <f aca="false">IF(OR(OR($B394="",$E394="",$F394=""),$K394&lt;&gt;"نعم",$M394="نعم"),0,MAX(0,MIN($F394,EOMONTH(DATE(cfg_FY,9,1),0))-MAX($E394,DATE(cfg_FY,9,1))+1))</f>
        <v>0</v>
      </c>
      <c r="BC394" s="57" t="n">
        <f aca="false">IF(OR(OR($B394="",$E394="",$F394=""),$K394&lt;&gt;"نعم",$M394="نعم"),0,MAX(0,MIN($F394,EOMONTH(DATE(cfg_FY,10,1),0))-MAX($E394,DATE(cfg_FY,10,1))+1))</f>
        <v>0</v>
      </c>
      <c r="BD394" s="57" t="n">
        <f aca="false">IF(OR(OR($B394="",$E394="",$F394=""),$K394&lt;&gt;"نعم",$M394="نعم"),0,MAX(0,MIN($F394,EOMONTH(DATE(cfg_FY,11,1),0))-MAX($E394,DATE(cfg_FY,11,1))+1))</f>
        <v>0</v>
      </c>
      <c r="BE394" s="57" t="n">
        <f aca="false">IF(OR(OR($B394="",$E394="",$F394=""),$K394&lt;&gt;"نعم",$M394="نعم"),0,MAX(0,MIN($F394,EOMONTH(DATE(cfg_FY,12,1),0))-MAX($E394,DATE(cfg_FY,12,1))+1))</f>
        <v>0</v>
      </c>
    </row>
    <row r="395" customFormat="false" ht="15" hidden="false" customHeight="false" outlineLevel="0" collapsed="false">
      <c r="A395" s="100" t="str">
        <f aca="false">IF(B395="","",ROW()-5)</f>
        <v/>
      </c>
      <c r="B395" s="79"/>
      <c r="C395" s="102" t="str">
        <f aca="false">IF(B395="","",IFERROR(INDEX(الموظفون!$C$6:$C$105,MATCH(B395,الموظفون!$B$6:$B$105,0)),"✖ رقم غير موجود"))</f>
        <v/>
      </c>
      <c r="D395" s="79"/>
      <c r="E395" s="94"/>
      <c r="F395" s="94"/>
      <c r="G395" s="110" t="str">
        <f aca="false">IF(OR($B395="",$E395="",$F395=""),"",MAX(0,F395-E395+1))</f>
        <v/>
      </c>
      <c r="H395" s="111" t="str">
        <f aca="false">IF(D395="","",IFERROR(VLOOKUP(D395,cfg_LT,2,FALSE()),1))</f>
        <v/>
      </c>
      <c r="I395" s="82"/>
      <c r="J395" s="111" t="str">
        <f aca="false">IF(D395="","",IF(I395&lt;&gt;"",I395,H395))</f>
        <v/>
      </c>
      <c r="K395" s="102" t="str">
        <f aca="false">IF(D395="","",IFERROR(VLOOKUP($D395,cfg_LT,3,FALSE()),""))</f>
        <v/>
      </c>
      <c r="L395" s="102" t="str">
        <f aca="false">IF(D395="","",IFERROR(VLOOKUP($D395,cfg_LT,4,FALSE()),""))</f>
        <v/>
      </c>
      <c r="M395" s="102" t="str">
        <f aca="false">IF(D395="","",IFERROR(VLOOKUP($D395,cfg_LT,5,FALSE()),""))</f>
        <v/>
      </c>
      <c r="N395" s="101" t="n">
        <f aca="false">IF(OR(OR($B395="",$E395="",$F395=""),M395&lt;&gt;"نعم"),0,G395*J395*IFERROR(INDEX(الموظفون!$R$6:$R$105,MATCH(B395,الموظفون!$B$6:$B$105,0)),0)/cfg_DAYS_M)</f>
        <v>0</v>
      </c>
      <c r="O395" s="100" t="str">
        <f aca="false">IF(OR(OR($B395="",$E395="",$F395=""),M395&lt;&gt;"نعم"),"",IF(YEAR(E395)=cfg_FY,MONTH(E395),""))</f>
        <v/>
      </c>
      <c r="P395" s="102" t="str">
        <f aca="false">IF(B395="","",IF(OR(D395="",E395="",F395=""),"⚠ أكمل النوع والتواريخ",IF(F395&lt;E395,"✖ النهاية قبل البداية",IF(COUNTIFS($B$6:$B$505,B395,$E$6:$E$505,"&lt;="&amp;F395,$F$6:$F$505,"&gt;="&amp;E395)&gt;1,"⚠ تداخل مع سجل آخر",IF(E395&gt;cfg_VAL_DATE,"⏳ قادمة",IF(F395&lt;cfg_VAL_DATE,"✔ منتهية","✈ جارية في تاريخ التقرير"))))))</f>
        <v/>
      </c>
      <c r="Q395" s="79"/>
      <c r="R395" s="110" t="n">
        <f aca="false">IF(OR(OR($B395="",$E395="",$F395=""),L395&lt;&gt;"لا"),0,MAX(0,MIN(F395,cfg_Y_START-1)-E395+1))</f>
        <v>0</v>
      </c>
      <c r="S395" s="110" t="n">
        <f aca="false">IF(OR(OR($B395="",$E395="",$F395=""),L395&lt;&gt;"لا"),0,MAX(0,MIN(F395,cfg_VAL_DATE)-E395+1))</f>
        <v>0</v>
      </c>
      <c r="T395" s="110" t="n">
        <f aca="false">IF(OR(OR($B395="",$E395="",$F395=""),K395&lt;&gt;"نعم"),0,IF(M395="نعم",IF(AND(ISNUMBER(O395),N(O395)&lt;=cfg_VAL_M),G395,0),MAX(0,MIN(F395,cfg_VAL_DATE)-MAX(E395,cfg_Y_START)+1)))</f>
        <v>0</v>
      </c>
      <c r="V395" s="110" t="n">
        <f aca="false">IF(OR($B395="",$E395="",$F395=""),0,MAX(0,MIN($F395,EOMONTH(DATE(cfg_FY,1,1),0))-MAX($E395,DATE(cfg_FY,1,1))+1)*(1-IF($M395="نعم",0,N($J395))))</f>
        <v>0</v>
      </c>
      <c r="W395" s="110" t="n">
        <f aca="false">IF(OR($B395="",$E395="",$F395=""),0,MAX(0,MIN($F395,EOMONTH(DATE(cfg_FY,2,1),0))-MAX($E395,DATE(cfg_FY,2,1))+1)*(1-IF($M395="نعم",0,N($J395))))</f>
        <v>0</v>
      </c>
      <c r="X395" s="110" t="n">
        <f aca="false">IF(OR($B395="",$E395="",$F395=""),0,MAX(0,MIN($F395,EOMONTH(DATE(cfg_FY,3,1),0))-MAX($E395,DATE(cfg_FY,3,1))+1)*(1-IF($M395="نعم",0,N($J395))))</f>
        <v>0</v>
      </c>
      <c r="Y395" s="110" t="n">
        <f aca="false">IF(OR($B395="",$E395="",$F395=""),0,MAX(0,MIN($F395,EOMONTH(DATE(cfg_FY,4,1),0))-MAX($E395,DATE(cfg_FY,4,1))+1)*(1-IF($M395="نعم",0,N($J395))))</f>
        <v>0</v>
      </c>
      <c r="Z395" s="110" t="n">
        <f aca="false">IF(OR($B395="",$E395="",$F395=""),0,MAX(0,MIN($F395,EOMONTH(DATE(cfg_FY,5,1),0))-MAX($E395,DATE(cfg_FY,5,1))+1)*(1-IF($M395="نعم",0,N($J395))))</f>
        <v>0</v>
      </c>
      <c r="AA395" s="110" t="n">
        <f aca="false">IF(OR($B395="",$E395="",$F395=""),0,MAX(0,MIN($F395,EOMONTH(DATE(cfg_FY,6,1),0))-MAX($E395,DATE(cfg_FY,6,1))+1)*(1-IF($M395="نعم",0,N($J395))))</f>
        <v>0</v>
      </c>
      <c r="AB395" s="110" t="n">
        <f aca="false">IF(OR($B395="",$E395="",$F395=""),0,MAX(0,MIN($F395,EOMONTH(DATE(cfg_FY,7,1),0))-MAX($E395,DATE(cfg_FY,7,1))+1)*(1-IF($M395="نعم",0,N($J395))))</f>
        <v>0</v>
      </c>
      <c r="AC395" s="110" t="n">
        <f aca="false">IF(OR($B395="",$E395="",$F395=""),0,MAX(0,MIN($F395,EOMONTH(DATE(cfg_FY,8,1),0))-MAX($E395,DATE(cfg_FY,8,1))+1)*(1-IF($M395="نعم",0,N($J395))))</f>
        <v>0</v>
      </c>
      <c r="AD395" s="110" t="n">
        <f aca="false">IF(OR($B395="",$E395="",$F395=""),0,MAX(0,MIN($F395,EOMONTH(DATE(cfg_FY,9,1),0))-MAX($E395,DATE(cfg_FY,9,1))+1)*(1-IF($M395="نعم",0,N($J395))))</f>
        <v>0</v>
      </c>
      <c r="AE395" s="110" t="n">
        <f aca="false">IF(OR($B395="",$E395="",$F395=""),0,MAX(0,MIN($F395,EOMONTH(DATE(cfg_FY,10,1),0))-MAX($E395,DATE(cfg_FY,10,1))+1)*(1-IF($M395="نعم",0,N($J395))))</f>
        <v>0</v>
      </c>
      <c r="AF395" s="110" t="n">
        <f aca="false">IF(OR($B395="",$E395="",$F395=""),0,MAX(0,MIN($F395,EOMONTH(DATE(cfg_FY,11,1),0))-MAX($E395,DATE(cfg_FY,11,1))+1)*(1-IF($M395="نعم",0,N($J395))))</f>
        <v>0</v>
      </c>
      <c r="AG395" s="110" t="n">
        <f aca="false">IF(OR($B395="",$E395="",$F395=""),0,MAX(0,MIN($F395,EOMONTH(DATE(cfg_FY,12,1),0))-MAX($E395,DATE(cfg_FY,12,1))+1)*(1-IF($M395="نعم",0,N($J395))))</f>
        <v>0</v>
      </c>
      <c r="AH395" s="110" t="n">
        <f aca="false">IF(OR(OR($B395="",$E395="",$F395=""),$L395&lt;&gt;"لا"),0,MAX(0,MIN($F395,EOMONTH(DATE(cfg_FY,1,1),0))-$E395+1))</f>
        <v>0</v>
      </c>
      <c r="AI395" s="110" t="n">
        <f aca="false">IF(OR(OR($B395="",$E395="",$F395=""),$L395&lt;&gt;"لا"),0,MAX(0,MIN($F395,EOMONTH(DATE(cfg_FY,2,1),0))-$E395+1))</f>
        <v>0</v>
      </c>
      <c r="AJ395" s="110" t="n">
        <f aca="false">IF(OR(OR($B395="",$E395="",$F395=""),$L395&lt;&gt;"لا"),0,MAX(0,MIN($F395,EOMONTH(DATE(cfg_FY,3,1),0))-$E395+1))</f>
        <v>0</v>
      </c>
      <c r="AK395" s="110" t="n">
        <f aca="false">IF(OR(OR($B395="",$E395="",$F395=""),$L395&lt;&gt;"لا"),0,MAX(0,MIN($F395,EOMONTH(DATE(cfg_FY,4,1),0))-$E395+1))</f>
        <v>0</v>
      </c>
      <c r="AL395" s="110" t="n">
        <f aca="false">IF(OR(OR($B395="",$E395="",$F395=""),$L395&lt;&gt;"لا"),0,MAX(0,MIN($F395,EOMONTH(DATE(cfg_FY,5,1),0))-$E395+1))</f>
        <v>0</v>
      </c>
      <c r="AM395" s="110" t="n">
        <f aca="false">IF(OR(OR($B395="",$E395="",$F395=""),$L395&lt;&gt;"لا"),0,MAX(0,MIN($F395,EOMONTH(DATE(cfg_FY,6,1),0))-$E395+1))</f>
        <v>0</v>
      </c>
      <c r="AN395" s="110" t="n">
        <f aca="false">IF(OR(OR($B395="",$E395="",$F395=""),$L395&lt;&gt;"لا"),0,MAX(0,MIN($F395,EOMONTH(DATE(cfg_FY,7,1),0))-$E395+1))</f>
        <v>0</v>
      </c>
      <c r="AO395" s="110" t="n">
        <f aca="false">IF(OR(OR($B395="",$E395="",$F395=""),$L395&lt;&gt;"لا"),0,MAX(0,MIN($F395,EOMONTH(DATE(cfg_FY,8,1),0))-$E395+1))</f>
        <v>0</v>
      </c>
      <c r="AP395" s="110" t="n">
        <f aca="false">IF(OR(OR($B395="",$E395="",$F395=""),$L395&lt;&gt;"لا"),0,MAX(0,MIN($F395,EOMONTH(DATE(cfg_FY,9,1),0))-$E395+1))</f>
        <v>0</v>
      </c>
      <c r="AQ395" s="110" t="n">
        <f aca="false">IF(OR(OR($B395="",$E395="",$F395=""),$L395&lt;&gt;"لا"),0,MAX(0,MIN($F395,EOMONTH(DATE(cfg_FY,10,1),0))-$E395+1))</f>
        <v>0</v>
      </c>
      <c r="AR395" s="110" t="n">
        <f aca="false">IF(OR(OR($B395="",$E395="",$F395=""),$L395&lt;&gt;"لا"),0,MAX(0,MIN($F395,EOMONTH(DATE(cfg_FY,11,1),0))-$E395+1))</f>
        <v>0</v>
      </c>
      <c r="AS395" s="110" t="n">
        <f aca="false">IF(OR(OR($B395="",$E395="",$F395=""),$L395&lt;&gt;"لا"),0,MAX(0,MIN($F395,EOMONTH(DATE(cfg_FY,12,1),0))-$E395+1))</f>
        <v>0</v>
      </c>
      <c r="AT395" s="110" t="n">
        <f aca="false">IF(OR(OR($B395="",$E395="",$F395=""),$K395&lt;&gt;"نعم",$M395="نعم"),0,MAX(0,MIN($F395,EOMONTH(DATE(cfg_FY,1,1),0))-MAX($E395,DATE(cfg_FY,1,1))+1))</f>
        <v>0</v>
      </c>
      <c r="AU395" s="110" t="n">
        <f aca="false">IF(OR(OR($B395="",$E395="",$F395=""),$K395&lt;&gt;"نعم",$M395="نعم"),0,MAX(0,MIN($F395,EOMONTH(DATE(cfg_FY,2,1),0))-MAX($E395,DATE(cfg_FY,2,1))+1))</f>
        <v>0</v>
      </c>
      <c r="AV395" s="110" t="n">
        <f aca="false">IF(OR(OR($B395="",$E395="",$F395=""),$K395&lt;&gt;"نعم",$M395="نعم"),0,MAX(0,MIN($F395,EOMONTH(DATE(cfg_FY,3,1),0))-MAX($E395,DATE(cfg_FY,3,1))+1))</f>
        <v>0</v>
      </c>
      <c r="AW395" s="110" t="n">
        <f aca="false">IF(OR(OR($B395="",$E395="",$F395=""),$K395&lt;&gt;"نعم",$M395="نعم"),0,MAX(0,MIN($F395,EOMONTH(DATE(cfg_FY,4,1),0))-MAX($E395,DATE(cfg_FY,4,1))+1))</f>
        <v>0</v>
      </c>
      <c r="AX395" s="110" t="n">
        <f aca="false">IF(OR(OR($B395="",$E395="",$F395=""),$K395&lt;&gt;"نعم",$M395="نعم"),0,MAX(0,MIN($F395,EOMONTH(DATE(cfg_FY,5,1),0))-MAX($E395,DATE(cfg_FY,5,1))+1))</f>
        <v>0</v>
      </c>
      <c r="AY395" s="110" t="n">
        <f aca="false">IF(OR(OR($B395="",$E395="",$F395=""),$K395&lt;&gt;"نعم",$M395="نعم"),0,MAX(0,MIN($F395,EOMONTH(DATE(cfg_FY,6,1),0))-MAX($E395,DATE(cfg_FY,6,1))+1))</f>
        <v>0</v>
      </c>
      <c r="AZ395" s="110" t="n">
        <f aca="false">IF(OR(OR($B395="",$E395="",$F395=""),$K395&lt;&gt;"نعم",$M395="نعم"),0,MAX(0,MIN($F395,EOMONTH(DATE(cfg_FY,7,1),0))-MAX($E395,DATE(cfg_FY,7,1))+1))</f>
        <v>0</v>
      </c>
      <c r="BA395" s="110" t="n">
        <f aca="false">IF(OR(OR($B395="",$E395="",$F395=""),$K395&lt;&gt;"نعم",$M395="نعم"),0,MAX(0,MIN($F395,EOMONTH(DATE(cfg_FY,8,1),0))-MAX($E395,DATE(cfg_FY,8,1))+1))</f>
        <v>0</v>
      </c>
      <c r="BB395" s="110" t="n">
        <f aca="false">IF(OR(OR($B395="",$E395="",$F395=""),$K395&lt;&gt;"نعم",$M395="نعم"),0,MAX(0,MIN($F395,EOMONTH(DATE(cfg_FY,9,1),0))-MAX($E395,DATE(cfg_FY,9,1))+1))</f>
        <v>0</v>
      </c>
      <c r="BC395" s="110" t="n">
        <f aca="false">IF(OR(OR($B395="",$E395="",$F395=""),$K395&lt;&gt;"نعم",$M395="نعم"),0,MAX(0,MIN($F395,EOMONTH(DATE(cfg_FY,10,1),0))-MAX($E395,DATE(cfg_FY,10,1))+1))</f>
        <v>0</v>
      </c>
      <c r="BD395" s="110" t="n">
        <f aca="false">IF(OR(OR($B395="",$E395="",$F395=""),$K395&lt;&gt;"نعم",$M395="نعم"),0,MAX(0,MIN($F395,EOMONTH(DATE(cfg_FY,11,1),0))-MAX($E395,DATE(cfg_FY,11,1))+1))</f>
        <v>0</v>
      </c>
      <c r="BE395" s="110" t="n">
        <f aca="false">IF(OR(OR($B395="",$E395="",$F395=""),$K395&lt;&gt;"نعم",$M395="نعم"),0,MAX(0,MIN($F395,EOMONTH(DATE(cfg_FY,12,1),0))-MAX($E395,DATE(cfg_FY,12,1))+1))</f>
        <v>0</v>
      </c>
    </row>
    <row r="396" customFormat="false" ht="15" hidden="false" customHeight="false" outlineLevel="0" collapsed="false">
      <c r="A396" s="93" t="str">
        <f aca="false">IF(B396="","",ROW()-5)</f>
        <v/>
      </c>
      <c r="B396" s="79"/>
      <c r="C396" s="80" t="str">
        <f aca="false">IF(B396="","",IFERROR(INDEX(الموظفون!$C$6:$C$105,MATCH(B396,الموظفون!$B$6:$B$105,0)),"✖ رقم غير موجود"))</f>
        <v/>
      </c>
      <c r="D396" s="79"/>
      <c r="E396" s="94"/>
      <c r="F396" s="94"/>
      <c r="G396" s="57" t="str">
        <f aca="false">IF(OR($B396="",$E396="",$F396=""),"",MAX(0,F396-E396+1))</f>
        <v/>
      </c>
      <c r="H396" s="58" t="str">
        <f aca="false">IF(D396="","",IFERROR(VLOOKUP(D396,cfg_LT,2,FALSE()),1))</f>
        <v/>
      </c>
      <c r="I396" s="82"/>
      <c r="J396" s="58" t="str">
        <f aca="false">IF(D396="","",IF(I396&lt;&gt;"",I396,H396))</f>
        <v/>
      </c>
      <c r="K396" s="80" t="str">
        <f aca="false">IF(D396="","",IFERROR(VLOOKUP($D396,cfg_LT,3,FALSE()),""))</f>
        <v/>
      </c>
      <c r="L396" s="80" t="str">
        <f aca="false">IF(D396="","",IFERROR(VLOOKUP($D396,cfg_LT,4,FALSE()),""))</f>
        <v/>
      </c>
      <c r="M396" s="80" t="str">
        <f aca="false">IF(D396="","",IFERROR(VLOOKUP($D396,cfg_LT,5,FALSE()),""))</f>
        <v/>
      </c>
      <c r="N396" s="97" t="n">
        <f aca="false">IF(OR(OR($B396="",$E396="",$F396=""),M396&lt;&gt;"نعم"),0,G396*J396*IFERROR(INDEX(الموظفون!$R$6:$R$105,MATCH(B396,الموظفون!$B$6:$B$105,0)),0)/cfg_DAYS_M)</f>
        <v>0</v>
      </c>
      <c r="O396" s="93" t="str">
        <f aca="false">IF(OR(OR($B396="",$E396="",$F396=""),M396&lt;&gt;"نعم"),"",IF(YEAR(E396)=cfg_FY,MONTH(E396),""))</f>
        <v/>
      </c>
      <c r="P396" s="80" t="str">
        <f aca="false">IF(B396="","",IF(OR(D396="",E396="",F396=""),"⚠ أكمل النوع والتواريخ",IF(F396&lt;E396,"✖ النهاية قبل البداية",IF(COUNTIFS($B$6:$B$505,B396,$E$6:$E$505,"&lt;="&amp;F396,$F$6:$F$505,"&gt;="&amp;E396)&gt;1,"⚠ تداخل مع سجل آخر",IF(E396&gt;cfg_VAL_DATE,"⏳ قادمة",IF(F396&lt;cfg_VAL_DATE,"✔ منتهية","✈ جارية في تاريخ التقرير"))))))</f>
        <v/>
      </c>
      <c r="Q396" s="79"/>
      <c r="R396" s="57" t="n">
        <f aca="false">IF(OR(OR($B396="",$E396="",$F396=""),L396&lt;&gt;"لا"),0,MAX(0,MIN(F396,cfg_Y_START-1)-E396+1))</f>
        <v>0</v>
      </c>
      <c r="S396" s="57" t="n">
        <f aca="false">IF(OR(OR($B396="",$E396="",$F396=""),L396&lt;&gt;"لا"),0,MAX(0,MIN(F396,cfg_VAL_DATE)-E396+1))</f>
        <v>0</v>
      </c>
      <c r="T396" s="57" t="n">
        <f aca="false">IF(OR(OR($B396="",$E396="",$F396=""),K396&lt;&gt;"نعم"),0,IF(M396="نعم",IF(AND(ISNUMBER(O396),N(O396)&lt;=cfg_VAL_M),G396,0),MAX(0,MIN(F396,cfg_VAL_DATE)-MAX(E396,cfg_Y_START)+1)))</f>
        <v>0</v>
      </c>
      <c r="V396" s="57" t="n">
        <f aca="false">IF(OR($B396="",$E396="",$F396=""),0,MAX(0,MIN($F396,EOMONTH(DATE(cfg_FY,1,1),0))-MAX($E396,DATE(cfg_FY,1,1))+1)*(1-IF($M396="نعم",0,N($J396))))</f>
        <v>0</v>
      </c>
      <c r="W396" s="57" t="n">
        <f aca="false">IF(OR($B396="",$E396="",$F396=""),0,MAX(0,MIN($F396,EOMONTH(DATE(cfg_FY,2,1),0))-MAX($E396,DATE(cfg_FY,2,1))+1)*(1-IF($M396="نعم",0,N($J396))))</f>
        <v>0</v>
      </c>
      <c r="X396" s="57" t="n">
        <f aca="false">IF(OR($B396="",$E396="",$F396=""),0,MAX(0,MIN($F396,EOMONTH(DATE(cfg_FY,3,1),0))-MAX($E396,DATE(cfg_FY,3,1))+1)*(1-IF($M396="نعم",0,N($J396))))</f>
        <v>0</v>
      </c>
      <c r="Y396" s="57" t="n">
        <f aca="false">IF(OR($B396="",$E396="",$F396=""),0,MAX(0,MIN($F396,EOMONTH(DATE(cfg_FY,4,1),0))-MAX($E396,DATE(cfg_FY,4,1))+1)*(1-IF($M396="نعم",0,N($J396))))</f>
        <v>0</v>
      </c>
      <c r="Z396" s="57" t="n">
        <f aca="false">IF(OR($B396="",$E396="",$F396=""),0,MAX(0,MIN($F396,EOMONTH(DATE(cfg_FY,5,1),0))-MAX($E396,DATE(cfg_FY,5,1))+1)*(1-IF($M396="نعم",0,N($J396))))</f>
        <v>0</v>
      </c>
      <c r="AA396" s="57" t="n">
        <f aca="false">IF(OR($B396="",$E396="",$F396=""),0,MAX(0,MIN($F396,EOMONTH(DATE(cfg_FY,6,1),0))-MAX($E396,DATE(cfg_FY,6,1))+1)*(1-IF($M396="نعم",0,N($J396))))</f>
        <v>0</v>
      </c>
      <c r="AB396" s="57" t="n">
        <f aca="false">IF(OR($B396="",$E396="",$F396=""),0,MAX(0,MIN($F396,EOMONTH(DATE(cfg_FY,7,1),0))-MAX($E396,DATE(cfg_FY,7,1))+1)*(1-IF($M396="نعم",0,N($J396))))</f>
        <v>0</v>
      </c>
      <c r="AC396" s="57" t="n">
        <f aca="false">IF(OR($B396="",$E396="",$F396=""),0,MAX(0,MIN($F396,EOMONTH(DATE(cfg_FY,8,1),0))-MAX($E396,DATE(cfg_FY,8,1))+1)*(1-IF($M396="نعم",0,N($J396))))</f>
        <v>0</v>
      </c>
      <c r="AD396" s="57" t="n">
        <f aca="false">IF(OR($B396="",$E396="",$F396=""),0,MAX(0,MIN($F396,EOMONTH(DATE(cfg_FY,9,1),0))-MAX($E396,DATE(cfg_FY,9,1))+1)*(1-IF($M396="نعم",0,N($J396))))</f>
        <v>0</v>
      </c>
      <c r="AE396" s="57" t="n">
        <f aca="false">IF(OR($B396="",$E396="",$F396=""),0,MAX(0,MIN($F396,EOMONTH(DATE(cfg_FY,10,1),0))-MAX($E396,DATE(cfg_FY,10,1))+1)*(1-IF($M396="نعم",0,N($J396))))</f>
        <v>0</v>
      </c>
      <c r="AF396" s="57" t="n">
        <f aca="false">IF(OR($B396="",$E396="",$F396=""),0,MAX(0,MIN($F396,EOMONTH(DATE(cfg_FY,11,1),0))-MAX($E396,DATE(cfg_FY,11,1))+1)*(1-IF($M396="نعم",0,N($J396))))</f>
        <v>0</v>
      </c>
      <c r="AG396" s="57" t="n">
        <f aca="false">IF(OR($B396="",$E396="",$F396=""),0,MAX(0,MIN($F396,EOMONTH(DATE(cfg_FY,12,1),0))-MAX($E396,DATE(cfg_FY,12,1))+1)*(1-IF($M396="نعم",0,N($J396))))</f>
        <v>0</v>
      </c>
      <c r="AH396" s="57" t="n">
        <f aca="false">IF(OR(OR($B396="",$E396="",$F396=""),$L396&lt;&gt;"لا"),0,MAX(0,MIN($F396,EOMONTH(DATE(cfg_FY,1,1),0))-$E396+1))</f>
        <v>0</v>
      </c>
      <c r="AI396" s="57" t="n">
        <f aca="false">IF(OR(OR($B396="",$E396="",$F396=""),$L396&lt;&gt;"لا"),0,MAX(0,MIN($F396,EOMONTH(DATE(cfg_FY,2,1),0))-$E396+1))</f>
        <v>0</v>
      </c>
      <c r="AJ396" s="57" t="n">
        <f aca="false">IF(OR(OR($B396="",$E396="",$F396=""),$L396&lt;&gt;"لا"),0,MAX(0,MIN($F396,EOMONTH(DATE(cfg_FY,3,1),0))-$E396+1))</f>
        <v>0</v>
      </c>
      <c r="AK396" s="57" t="n">
        <f aca="false">IF(OR(OR($B396="",$E396="",$F396=""),$L396&lt;&gt;"لا"),0,MAX(0,MIN($F396,EOMONTH(DATE(cfg_FY,4,1),0))-$E396+1))</f>
        <v>0</v>
      </c>
      <c r="AL396" s="57" t="n">
        <f aca="false">IF(OR(OR($B396="",$E396="",$F396=""),$L396&lt;&gt;"لا"),0,MAX(0,MIN($F396,EOMONTH(DATE(cfg_FY,5,1),0))-$E396+1))</f>
        <v>0</v>
      </c>
      <c r="AM396" s="57" t="n">
        <f aca="false">IF(OR(OR($B396="",$E396="",$F396=""),$L396&lt;&gt;"لا"),0,MAX(0,MIN($F396,EOMONTH(DATE(cfg_FY,6,1),0))-$E396+1))</f>
        <v>0</v>
      </c>
      <c r="AN396" s="57" t="n">
        <f aca="false">IF(OR(OR($B396="",$E396="",$F396=""),$L396&lt;&gt;"لا"),0,MAX(0,MIN($F396,EOMONTH(DATE(cfg_FY,7,1),0))-$E396+1))</f>
        <v>0</v>
      </c>
      <c r="AO396" s="57" t="n">
        <f aca="false">IF(OR(OR($B396="",$E396="",$F396=""),$L396&lt;&gt;"لا"),0,MAX(0,MIN($F396,EOMONTH(DATE(cfg_FY,8,1),0))-$E396+1))</f>
        <v>0</v>
      </c>
      <c r="AP396" s="57" t="n">
        <f aca="false">IF(OR(OR($B396="",$E396="",$F396=""),$L396&lt;&gt;"لا"),0,MAX(0,MIN($F396,EOMONTH(DATE(cfg_FY,9,1),0))-$E396+1))</f>
        <v>0</v>
      </c>
      <c r="AQ396" s="57" t="n">
        <f aca="false">IF(OR(OR($B396="",$E396="",$F396=""),$L396&lt;&gt;"لا"),0,MAX(0,MIN($F396,EOMONTH(DATE(cfg_FY,10,1),0))-$E396+1))</f>
        <v>0</v>
      </c>
      <c r="AR396" s="57" t="n">
        <f aca="false">IF(OR(OR($B396="",$E396="",$F396=""),$L396&lt;&gt;"لا"),0,MAX(0,MIN($F396,EOMONTH(DATE(cfg_FY,11,1),0))-$E396+1))</f>
        <v>0</v>
      </c>
      <c r="AS396" s="57" t="n">
        <f aca="false">IF(OR(OR($B396="",$E396="",$F396=""),$L396&lt;&gt;"لا"),0,MAX(0,MIN($F396,EOMONTH(DATE(cfg_FY,12,1),0))-$E396+1))</f>
        <v>0</v>
      </c>
      <c r="AT396" s="57" t="n">
        <f aca="false">IF(OR(OR($B396="",$E396="",$F396=""),$K396&lt;&gt;"نعم",$M396="نعم"),0,MAX(0,MIN($F396,EOMONTH(DATE(cfg_FY,1,1),0))-MAX($E396,DATE(cfg_FY,1,1))+1))</f>
        <v>0</v>
      </c>
      <c r="AU396" s="57" t="n">
        <f aca="false">IF(OR(OR($B396="",$E396="",$F396=""),$K396&lt;&gt;"نعم",$M396="نعم"),0,MAX(0,MIN($F396,EOMONTH(DATE(cfg_FY,2,1),0))-MAX($E396,DATE(cfg_FY,2,1))+1))</f>
        <v>0</v>
      </c>
      <c r="AV396" s="57" t="n">
        <f aca="false">IF(OR(OR($B396="",$E396="",$F396=""),$K396&lt;&gt;"نعم",$M396="نعم"),0,MAX(0,MIN($F396,EOMONTH(DATE(cfg_FY,3,1),0))-MAX($E396,DATE(cfg_FY,3,1))+1))</f>
        <v>0</v>
      </c>
      <c r="AW396" s="57" t="n">
        <f aca="false">IF(OR(OR($B396="",$E396="",$F396=""),$K396&lt;&gt;"نعم",$M396="نعم"),0,MAX(0,MIN($F396,EOMONTH(DATE(cfg_FY,4,1),0))-MAX($E396,DATE(cfg_FY,4,1))+1))</f>
        <v>0</v>
      </c>
      <c r="AX396" s="57" t="n">
        <f aca="false">IF(OR(OR($B396="",$E396="",$F396=""),$K396&lt;&gt;"نعم",$M396="نعم"),0,MAX(0,MIN($F396,EOMONTH(DATE(cfg_FY,5,1),0))-MAX($E396,DATE(cfg_FY,5,1))+1))</f>
        <v>0</v>
      </c>
      <c r="AY396" s="57" t="n">
        <f aca="false">IF(OR(OR($B396="",$E396="",$F396=""),$K396&lt;&gt;"نعم",$M396="نعم"),0,MAX(0,MIN($F396,EOMONTH(DATE(cfg_FY,6,1),0))-MAX($E396,DATE(cfg_FY,6,1))+1))</f>
        <v>0</v>
      </c>
      <c r="AZ396" s="57" t="n">
        <f aca="false">IF(OR(OR($B396="",$E396="",$F396=""),$K396&lt;&gt;"نعم",$M396="نعم"),0,MAX(0,MIN($F396,EOMONTH(DATE(cfg_FY,7,1),0))-MAX($E396,DATE(cfg_FY,7,1))+1))</f>
        <v>0</v>
      </c>
      <c r="BA396" s="57" t="n">
        <f aca="false">IF(OR(OR($B396="",$E396="",$F396=""),$K396&lt;&gt;"نعم",$M396="نعم"),0,MAX(0,MIN($F396,EOMONTH(DATE(cfg_FY,8,1),0))-MAX($E396,DATE(cfg_FY,8,1))+1))</f>
        <v>0</v>
      </c>
      <c r="BB396" s="57" t="n">
        <f aca="false">IF(OR(OR($B396="",$E396="",$F396=""),$K396&lt;&gt;"نعم",$M396="نعم"),0,MAX(0,MIN($F396,EOMONTH(DATE(cfg_FY,9,1),0))-MAX($E396,DATE(cfg_FY,9,1))+1))</f>
        <v>0</v>
      </c>
      <c r="BC396" s="57" t="n">
        <f aca="false">IF(OR(OR($B396="",$E396="",$F396=""),$K396&lt;&gt;"نعم",$M396="نعم"),0,MAX(0,MIN($F396,EOMONTH(DATE(cfg_FY,10,1),0))-MAX($E396,DATE(cfg_FY,10,1))+1))</f>
        <v>0</v>
      </c>
      <c r="BD396" s="57" t="n">
        <f aca="false">IF(OR(OR($B396="",$E396="",$F396=""),$K396&lt;&gt;"نعم",$M396="نعم"),0,MAX(0,MIN($F396,EOMONTH(DATE(cfg_FY,11,1),0))-MAX($E396,DATE(cfg_FY,11,1))+1))</f>
        <v>0</v>
      </c>
      <c r="BE396" s="57" t="n">
        <f aca="false">IF(OR(OR($B396="",$E396="",$F396=""),$K396&lt;&gt;"نعم",$M396="نعم"),0,MAX(0,MIN($F396,EOMONTH(DATE(cfg_FY,12,1),0))-MAX($E396,DATE(cfg_FY,12,1))+1))</f>
        <v>0</v>
      </c>
    </row>
    <row r="397" customFormat="false" ht="15" hidden="false" customHeight="false" outlineLevel="0" collapsed="false">
      <c r="A397" s="100" t="str">
        <f aca="false">IF(B397="","",ROW()-5)</f>
        <v/>
      </c>
      <c r="B397" s="79"/>
      <c r="C397" s="102" t="str">
        <f aca="false">IF(B397="","",IFERROR(INDEX(الموظفون!$C$6:$C$105,MATCH(B397,الموظفون!$B$6:$B$105,0)),"✖ رقم غير موجود"))</f>
        <v/>
      </c>
      <c r="D397" s="79"/>
      <c r="E397" s="94"/>
      <c r="F397" s="94"/>
      <c r="G397" s="110" t="str">
        <f aca="false">IF(OR($B397="",$E397="",$F397=""),"",MAX(0,F397-E397+1))</f>
        <v/>
      </c>
      <c r="H397" s="111" t="str">
        <f aca="false">IF(D397="","",IFERROR(VLOOKUP(D397,cfg_LT,2,FALSE()),1))</f>
        <v/>
      </c>
      <c r="I397" s="82"/>
      <c r="J397" s="111" t="str">
        <f aca="false">IF(D397="","",IF(I397&lt;&gt;"",I397,H397))</f>
        <v/>
      </c>
      <c r="K397" s="102" t="str">
        <f aca="false">IF(D397="","",IFERROR(VLOOKUP($D397,cfg_LT,3,FALSE()),""))</f>
        <v/>
      </c>
      <c r="L397" s="102" t="str">
        <f aca="false">IF(D397="","",IFERROR(VLOOKUP($D397,cfg_LT,4,FALSE()),""))</f>
        <v/>
      </c>
      <c r="M397" s="102" t="str">
        <f aca="false">IF(D397="","",IFERROR(VLOOKUP($D397,cfg_LT,5,FALSE()),""))</f>
        <v/>
      </c>
      <c r="N397" s="101" t="n">
        <f aca="false">IF(OR(OR($B397="",$E397="",$F397=""),M397&lt;&gt;"نعم"),0,G397*J397*IFERROR(INDEX(الموظفون!$R$6:$R$105,MATCH(B397,الموظفون!$B$6:$B$105,0)),0)/cfg_DAYS_M)</f>
        <v>0</v>
      </c>
      <c r="O397" s="100" t="str">
        <f aca="false">IF(OR(OR($B397="",$E397="",$F397=""),M397&lt;&gt;"نعم"),"",IF(YEAR(E397)=cfg_FY,MONTH(E397),""))</f>
        <v/>
      </c>
      <c r="P397" s="102" t="str">
        <f aca="false">IF(B397="","",IF(OR(D397="",E397="",F397=""),"⚠ أكمل النوع والتواريخ",IF(F397&lt;E397,"✖ النهاية قبل البداية",IF(COUNTIFS($B$6:$B$505,B397,$E$6:$E$505,"&lt;="&amp;F397,$F$6:$F$505,"&gt;="&amp;E397)&gt;1,"⚠ تداخل مع سجل آخر",IF(E397&gt;cfg_VAL_DATE,"⏳ قادمة",IF(F397&lt;cfg_VAL_DATE,"✔ منتهية","✈ جارية في تاريخ التقرير"))))))</f>
        <v/>
      </c>
      <c r="Q397" s="79"/>
      <c r="R397" s="110" t="n">
        <f aca="false">IF(OR(OR($B397="",$E397="",$F397=""),L397&lt;&gt;"لا"),0,MAX(0,MIN(F397,cfg_Y_START-1)-E397+1))</f>
        <v>0</v>
      </c>
      <c r="S397" s="110" t="n">
        <f aca="false">IF(OR(OR($B397="",$E397="",$F397=""),L397&lt;&gt;"لا"),0,MAX(0,MIN(F397,cfg_VAL_DATE)-E397+1))</f>
        <v>0</v>
      </c>
      <c r="T397" s="110" t="n">
        <f aca="false">IF(OR(OR($B397="",$E397="",$F397=""),K397&lt;&gt;"نعم"),0,IF(M397="نعم",IF(AND(ISNUMBER(O397),N(O397)&lt;=cfg_VAL_M),G397,0),MAX(0,MIN(F397,cfg_VAL_DATE)-MAX(E397,cfg_Y_START)+1)))</f>
        <v>0</v>
      </c>
      <c r="V397" s="110" t="n">
        <f aca="false">IF(OR($B397="",$E397="",$F397=""),0,MAX(0,MIN($F397,EOMONTH(DATE(cfg_FY,1,1),0))-MAX($E397,DATE(cfg_FY,1,1))+1)*(1-IF($M397="نعم",0,N($J397))))</f>
        <v>0</v>
      </c>
      <c r="W397" s="110" t="n">
        <f aca="false">IF(OR($B397="",$E397="",$F397=""),0,MAX(0,MIN($F397,EOMONTH(DATE(cfg_FY,2,1),0))-MAX($E397,DATE(cfg_FY,2,1))+1)*(1-IF($M397="نعم",0,N($J397))))</f>
        <v>0</v>
      </c>
      <c r="X397" s="110" t="n">
        <f aca="false">IF(OR($B397="",$E397="",$F397=""),0,MAX(0,MIN($F397,EOMONTH(DATE(cfg_FY,3,1),0))-MAX($E397,DATE(cfg_FY,3,1))+1)*(1-IF($M397="نعم",0,N($J397))))</f>
        <v>0</v>
      </c>
      <c r="Y397" s="110" t="n">
        <f aca="false">IF(OR($B397="",$E397="",$F397=""),0,MAX(0,MIN($F397,EOMONTH(DATE(cfg_FY,4,1),0))-MAX($E397,DATE(cfg_FY,4,1))+1)*(1-IF($M397="نعم",0,N($J397))))</f>
        <v>0</v>
      </c>
      <c r="Z397" s="110" t="n">
        <f aca="false">IF(OR($B397="",$E397="",$F397=""),0,MAX(0,MIN($F397,EOMONTH(DATE(cfg_FY,5,1),0))-MAX($E397,DATE(cfg_FY,5,1))+1)*(1-IF($M397="نعم",0,N($J397))))</f>
        <v>0</v>
      </c>
      <c r="AA397" s="110" t="n">
        <f aca="false">IF(OR($B397="",$E397="",$F397=""),0,MAX(0,MIN($F397,EOMONTH(DATE(cfg_FY,6,1),0))-MAX($E397,DATE(cfg_FY,6,1))+1)*(1-IF($M397="نعم",0,N($J397))))</f>
        <v>0</v>
      </c>
      <c r="AB397" s="110" t="n">
        <f aca="false">IF(OR($B397="",$E397="",$F397=""),0,MAX(0,MIN($F397,EOMONTH(DATE(cfg_FY,7,1),0))-MAX($E397,DATE(cfg_FY,7,1))+1)*(1-IF($M397="نعم",0,N($J397))))</f>
        <v>0</v>
      </c>
      <c r="AC397" s="110" t="n">
        <f aca="false">IF(OR($B397="",$E397="",$F397=""),0,MAX(0,MIN($F397,EOMONTH(DATE(cfg_FY,8,1),0))-MAX($E397,DATE(cfg_FY,8,1))+1)*(1-IF($M397="نعم",0,N($J397))))</f>
        <v>0</v>
      </c>
      <c r="AD397" s="110" t="n">
        <f aca="false">IF(OR($B397="",$E397="",$F397=""),0,MAX(0,MIN($F397,EOMONTH(DATE(cfg_FY,9,1),0))-MAX($E397,DATE(cfg_FY,9,1))+1)*(1-IF($M397="نعم",0,N($J397))))</f>
        <v>0</v>
      </c>
      <c r="AE397" s="110" t="n">
        <f aca="false">IF(OR($B397="",$E397="",$F397=""),0,MAX(0,MIN($F397,EOMONTH(DATE(cfg_FY,10,1),0))-MAX($E397,DATE(cfg_FY,10,1))+1)*(1-IF($M397="نعم",0,N($J397))))</f>
        <v>0</v>
      </c>
      <c r="AF397" s="110" t="n">
        <f aca="false">IF(OR($B397="",$E397="",$F397=""),0,MAX(0,MIN($F397,EOMONTH(DATE(cfg_FY,11,1),0))-MAX($E397,DATE(cfg_FY,11,1))+1)*(1-IF($M397="نعم",0,N($J397))))</f>
        <v>0</v>
      </c>
      <c r="AG397" s="110" t="n">
        <f aca="false">IF(OR($B397="",$E397="",$F397=""),0,MAX(0,MIN($F397,EOMONTH(DATE(cfg_FY,12,1),0))-MAX($E397,DATE(cfg_FY,12,1))+1)*(1-IF($M397="نعم",0,N($J397))))</f>
        <v>0</v>
      </c>
      <c r="AH397" s="110" t="n">
        <f aca="false">IF(OR(OR($B397="",$E397="",$F397=""),$L397&lt;&gt;"لا"),0,MAX(0,MIN($F397,EOMONTH(DATE(cfg_FY,1,1),0))-$E397+1))</f>
        <v>0</v>
      </c>
      <c r="AI397" s="110" t="n">
        <f aca="false">IF(OR(OR($B397="",$E397="",$F397=""),$L397&lt;&gt;"لا"),0,MAX(0,MIN($F397,EOMONTH(DATE(cfg_FY,2,1),0))-$E397+1))</f>
        <v>0</v>
      </c>
      <c r="AJ397" s="110" t="n">
        <f aca="false">IF(OR(OR($B397="",$E397="",$F397=""),$L397&lt;&gt;"لا"),0,MAX(0,MIN($F397,EOMONTH(DATE(cfg_FY,3,1),0))-$E397+1))</f>
        <v>0</v>
      </c>
      <c r="AK397" s="110" t="n">
        <f aca="false">IF(OR(OR($B397="",$E397="",$F397=""),$L397&lt;&gt;"لا"),0,MAX(0,MIN($F397,EOMONTH(DATE(cfg_FY,4,1),0))-$E397+1))</f>
        <v>0</v>
      </c>
      <c r="AL397" s="110" t="n">
        <f aca="false">IF(OR(OR($B397="",$E397="",$F397=""),$L397&lt;&gt;"لا"),0,MAX(0,MIN($F397,EOMONTH(DATE(cfg_FY,5,1),0))-$E397+1))</f>
        <v>0</v>
      </c>
      <c r="AM397" s="110" t="n">
        <f aca="false">IF(OR(OR($B397="",$E397="",$F397=""),$L397&lt;&gt;"لا"),0,MAX(0,MIN($F397,EOMONTH(DATE(cfg_FY,6,1),0))-$E397+1))</f>
        <v>0</v>
      </c>
      <c r="AN397" s="110" t="n">
        <f aca="false">IF(OR(OR($B397="",$E397="",$F397=""),$L397&lt;&gt;"لا"),0,MAX(0,MIN($F397,EOMONTH(DATE(cfg_FY,7,1),0))-$E397+1))</f>
        <v>0</v>
      </c>
      <c r="AO397" s="110" t="n">
        <f aca="false">IF(OR(OR($B397="",$E397="",$F397=""),$L397&lt;&gt;"لا"),0,MAX(0,MIN($F397,EOMONTH(DATE(cfg_FY,8,1),0))-$E397+1))</f>
        <v>0</v>
      </c>
      <c r="AP397" s="110" t="n">
        <f aca="false">IF(OR(OR($B397="",$E397="",$F397=""),$L397&lt;&gt;"لا"),0,MAX(0,MIN($F397,EOMONTH(DATE(cfg_FY,9,1),0))-$E397+1))</f>
        <v>0</v>
      </c>
      <c r="AQ397" s="110" t="n">
        <f aca="false">IF(OR(OR($B397="",$E397="",$F397=""),$L397&lt;&gt;"لا"),0,MAX(0,MIN($F397,EOMONTH(DATE(cfg_FY,10,1),0))-$E397+1))</f>
        <v>0</v>
      </c>
      <c r="AR397" s="110" t="n">
        <f aca="false">IF(OR(OR($B397="",$E397="",$F397=""),$L397&lt;&gt;"لا"),0,MAX(0,MIN($F397,EOMONTH(DATE(cfg_FY,11,1),0))-$E397+1))</f>
        <v>0</v>
      </c>
      <c r="AS397" s="110" t="n">
        <f aca="false">IF(OR(OR($B397="",$E397="",$F397=""),$L397&lt;&gt;"لا"),0,MAX(0,MIN($F397,EOMONTH(DATE(cfg_FY,12,1),0))-$E397+1))</f>
        <v>0</v>
      </c>
      <c r="AT397" s="110" t="n">
        <f aca="false">IF(OR(OR($B397="",$E397="",$F397=""),$K397&lt;&gt;"نعم",$M397="نعم"),0,MAX(0,MIN($F397,EOMONTH(DATE(cfg_FY,1,1),0))-MAX($E397,DATE(cfg_FY,1,1))+1))</f>
        <v>0</v>
      </c>
      <c r="AU397" s="110" t="n">
        <f aca="false">IF(OR(OR($B397="",$E397="",$F397=""),$K397&lt;&gt;"نعم",$M397="نعم"),0,MAX(0,MIN($F397,EOMONTH(DATE(cfg_FY,2,1),0))-MAX($E397,DATE(cfg_FY,2,1))+1))</f>
        <v>0</v>
      </c>
      <c r="AV397" s="110" t="n">
        <f aca="false">IF(OR(OR($B397="",$E397="",$F397=""),$K397&lt;&gt;"نعم",$M397="نعم"),0,MAX(0,MIN($F397,EOMONTH(DATE(cfg_FY,3,1),0))-MAX($E397,DATE(cfg_FY,3,1))+1))</f>
        <v>0</v>
      </c>
      <c r="AW397" s="110" t="n">
        <f aca="false">IF(OR(OR($B397="",$E397="",$F397=""),$K397&lt;&gt;"نعم",$M397="نعم"),0,MAX(0,MIN($F397,EOMONTH(DATE(cfg_FY,4,1),0))-MAX($E397,DATE(cfg_FY,4,1))+1))</f>
        <v>0</v>
      </c>
      <c r="AX397" s="110" t="n">
        <f aca="false">IF(OR(OR($B397="",$E397="",$F397=""),$K397&lt;&gt;"نعم",$M397="نعم"),0,MAX(0,MIN($F397,EOMONTH(DATE(cfg_FY,5,1),0))-MAX($E397,DATE(cfg_FY,5,1))+1))</f>
        <v>0</v>
      </c>
      <c r="AY397" s="110" t="n">
        <f aca="false">IF(OR(OR($B397="",$E397="",$F397=""),$K397&lt;&gt;"نعم",$M397="نعم"),0,MAX(0,MIN($F397,EOMONTH(DATE(cfg_FY,6,1),0))-MAX($E397,DATE(cfg_FY,6,1))+1))</f>
        <v>0</v>
      </c>
      <c r="AZ397" s="110" t="n">
        <f aca="false">IF(OR(OR($B397="",$E397="",$F397=""),$K397&lt;&gt;"نعم",$M397="نعم"),0,MAX(0,MIN($F397,EOMONTH(DATE(cfg_FY,7,1),0))-MAX($E397,DATE(cfg_FY,7,1))+1))</f>
        <v>0</v>
      </c>
      <c r="BA397" s="110" t="n">
        <f aca="false">IF(OR(OR($B397="",$E397="",$F397=""),$K397&lt;&gt;"نعم",$M397="نعم"),0,MAX(0,MIN($F397,EOMONTH(DATE(cfg_FY,8,1),0))-MAX($E397,DATE(cfg_FY,8,1))+1))</f>
        <v>0</v>
      </c>
      <c r="BB397" s="110" t="n">
        <f aca="false">IF(OR(OR($B397="",$E397="",$F397=""),$K397&lt;&gt;"نعم",$M397="نعم"),0,MAX(0,MIN($F397,EOMONTH(DATE(cfg_FY,9,1),0))-MAX($E397,DATE(cfg_FY,9,1))+1))</f>
        <v>0</v>
      </c>
      <c r="BC397" s="110" t="n">
        <f aca="false">IF(OR(OR($B397="",$E397="",$F397=""),$K397&lt;&gt;"نعم",$M397="نعم"),0,MAX(0,MIN($F397,EOMONTH(DATE(cfg_FY,10,1),0))-MAX($E397,DATE(cfg_FY,10,1))+1))</f>
        <v>0</v>
      </c>
      <c r="BD397" s="110" t="n">
        <f aca="false">IF(OR(OR($B397="",$E397="",$F397=""),$K397&lt;&gt;"نعم",$M397="نعم"),0,MAX(0,MIN($F397,EOMONTH(DATE(cfg_FY,11,1),0))-MAX($E397,DATE(cfg_FY,11,1))+1))</f>
        <v>0</v>
      </c>
      <c r="BE397" s="110" t="n">
        <f aca="false">IF(OR(OR($B397="",$E397="",$F397=""),$K397&lt;&gt;"نعم",$M397="نعم"),0,MAX(0,MIN($F397,EOMONTH(DATE(cfg_FY,12,1),0))-MAX($E397,DATE(cfg_FY,12,1))+1))</f>
        <v>0</v>
      </c>
    </row>
    <row r="398" customFormat="false" ht="15" hidden="false" customHeight="false" outlineLevel="0" collapsed="false">
      <c r="A398" s="93" t="str">
        <f aca="false">IF(B398="","",ROW()-5)</f>
        <v/>
      </c>
      <c r="B398" s="79"/>
      <c r="C398" s="80" t="str">
        <f aca="false">IF(B398="","",IFERROR(INDEX(الموظفون!$C$6:$C$105,MATCH(B398,الموظفون!$B$6:$B$105,0)),"✖ رقم غير موجود"))</f>
        <v/>
      </c>
      <c r="D398" s="79"/>
      <c r="E398" s="94"/>
      <c r="F398" s="94"/>
      <c r="G398" s="57" t="str">
        <f aca="false">IF(OR($B398="",$E398="",$F398=""),"",MAX(0,F398-E398+1))</f>
        <v/>
      </c>
      <c r="H398" s="58" t="str">
        <f aca="false">IF(D398="","",IFERROR(VLOOKUP(D398,cfg_LT,2,FALSE()),1))</f>
        <v/>
      </c>
      <c r="I398" s="82"/>
      <c r="J398" s="58" t="str">
        <f aca="false">IF(D398="","",IF(I398&lt;&gt;"",I398,H398))</f>
        <v/>
      </c>
      <c r="K398" s="80" t="str">
        <f aca="false">IF(D398="","",IFERROR(VLOOKUP($D398,cfg_LT,3,FALSE()),""))</f>
        <v/>
      </c>
      <c r="L398" s="80" t="str">
        <f aca="false">IF(D398="","",IFERROR(VLOOKUP($D398,cfg_LT,4,FALSE()),""))</f>
        <v/>
      </c>
      <c r="M398" s="80" t="str">
        <f aca="false">IF(D398="","",IFERROR(VLOOKUP($D398,cfg_LT,5,FALSE()),""))</f>
        <v/>
      </c>
      <c r="N398" s="97" t="n">
        <f aca="false">IF(OR(OR($B398="",$E398="",$F398=""),M398&lt;&gt;"نعم"),0,G398*J398*IFERROR(INDEX(الموظفون!$R$6:$R$105,MATCH(B398,الموظفون!$B$6:$B$105,0)),0)/cfg_DAYS_M)</f>
        <v>0</v>
      </c>
      <c r="O398" s="93" t="str">
        <f aca="false">IF(OR(OR($B398="",$E398="",$F398=""),M398&lt;&gt;"نعم"),"",IF(YEAR(E398)=cfg_FY,MONTH(E398),""))</f>
        <v/>
      </c>
      <c r="P398" s="80" t="str">
        <f aca="false">IF(B398="","",IF(OR(D398="",E398="",F398=""),"⚠ أكمل النوع والتواريخ",IF(F398&lt;E398,"✖ النهاية قبل البداية",IF(COUNTIFS($B$6:$B$505,B398,$E$6:$E$505,"&lt;="&amp;F398,$F$6:$F$505,"&gt;="&amp;E398)&gt;1,"⚠ تداخل مع سجل آخر",IF(E398&gt;cfg_VAL_DATE,"⏳ قادمة",IF(F398&lt;cfg_VAL_DATE,"✔ منتهية","✈ جارية في تاريخ التقرير"))))))</f>
        <v/>
      </c>
      <c r="Q398" s="79"/>
      <c r="R398" s="57" t="n">
        <f aca="false">IF(OR(OR($B398="",$E398="",$F398=""),L398&lt;&gt;"لا"),0,MAX(0,MIN(F398,cfg_Y_START-1)-E398+1))</f>
        <v>0</v>
      </c>
      <c r="S398" s="57" t="n">
        <f aca="false">IF(OR(OR($B398="",$E398="",$F398=""),L398&lt;&gt;"لا"),0,MAX(0,MIN(F398,cfg_VAL_DATE)-E398+1))</f>
        <v>0</v>
      </c>
      <c r="T398" s="57" t="n">
        <f aca="false">IF(OR(OR($B398="",$E398="",$F398=""),K398&lt;&gt;"نعم"),0,IF(M398="نعم",IF(AND(ISNUMBER(O398),N(O398)&lt;=cfg_VAL_M),G398,0),MAX(0,MIN(F398,cfg_VAL_DATE)-MAX(E398,cfg_Y_START)+1)))</f>
        <v>0</v>
      </c>
      <c r="V398" s="57" t="n">
        <f aca="false">IF(OR($B398="",$E398="",$F398=""),0,MAX(0,MIN($F398,EOMONTH(DATE(cfg_FY,1,1),0))-MAX($E398,DATE(cfg_FY,1,1))+1)*(1-IF($M398="نعم",0,N($J398))))</f>
        <v>0</v>
      </c>
      <c r="W398" s="57" t="n">
        <f aca="false">IF(OR($B398="",$E398="",$F398=""),0,MAX(0,MIN($F398,EOMONTH(DATE(cfg_FY,2,1),0))-MAX($E398,DATE(cfg_FY,2,1))+1)*(1-IF($M398="نعم",0,N($J398))))</f>
        <v>0</v>
      </c>
      <c r="X398" s="57" t="n">
        <f aca="false">IF(OR($B398="",$E398="",$F398=""),0,MAX(0,MIN($F398,EOMONTH(DATE(cfg_FY,3,1),0))-MAX($E398,DATE(cfg_FY,3,1))+1)*(1-IF($M398="نعم",0,N($J398))))</f>
        <v>0</v>
      </c>
      <c r="Y398" s="57" t="n">
        <f aca="false">IF(OR($B398="",$E398="",$F398=""),0,MAX(0,MIN($F398,EOMONTH(DATE(cfg_FY,4,1),0))-MAX($E398,DATE(cfg_FY,4,1))+1)*(1-IF($M398="نعم",0,N($J398))))</f>
        <v>0</v>
      </c>
      <c r="Z398" s="57" t="n">
        <f aca="false">IF(OR($B398="",$E398="",$F398=""),0,MAX(0,MIN($F398,EOMONTH(DATE(cfg_FY,5,1),0))-MAX($E398,DATE(cfg_FY,5,1))+1)*(1-IF($M398="نعم",0,N($J398))))</f>
        <v>0</v>
      </c>
      <c r="AA398" s="57" t="n">
        <f aca="false">IF(OR($B398="",$E398="",$F398=""),0,MAX(0,MIN($F398,EOMONTH(DATE(cfg_FY,6,1),0))-MAX($E398,DATE(cfg_FY,6,1))+1)*(1-IF($M398="نعم",0,N($J398))))</f>
        <v>0</v>
      </c>
      <c r="AB398" s="57" t="n">
        <f aca="false">IF(OR($B398="",$E398="",$F398=""),0,MAX(0,MIN($F398,EOMONTH(DATE(cfg_FY,7,1),0))-MAX($E398,DATE(cfg_FY,7,1))+1)*(1-IF($M398="نعم",0,N($J398))))</f>
        <v>0</v>
      </c>
      <c r="AC398" s="57" t="n">
        <f aca="false">IF(OR($B398="",$E398="",$F398=""),0,MAX(0,MIN($F398,EOMONTH(DATE(cfg_FY,8,1),0))-MAX($E398,DATE(cfg_FY,8,1))+1)*(1-IF($M398="نعم",0,N($J398))))</f>
        <v>0</v>
      </c>
      <c r="AD398" s="57" t="n">
        <f aca="false">IF(OR($B398="",$E398="",$F398=""),0,MAX(0,MIN($F398,EOMONTH(DATE(cfg_FY,9,1),0))-MAX($E398,DATE(cfg_FY,9,1))+1)*(1-IF($M398="نعم",0,N($J398))))</f>
        <v>0</v>
      </c>
      <c r="AE398" s="57" t="n">
        <f aca="false">IF(OR($B398="",$E398="",$F398=""),0,MAX(0,MIN($F398,EOMONTH(DATE(cfg_FY,10,1),0))-MAX($E398,DATE(cfg_FY,10,1))+1)*(1-IF($M398="نعم",0,N($J398))))</f>
        <v>0</v>
      </c>
      <c r="AF398" s="57" t="n">
        <f aca="false">IF(OR($B398="",$E398="",$F398=""),0,MAX(0,MIN($F398,EOMONTH(DATE(cfg_FY,11,1),0))-MAX($E398,DATE(cfg_FY,11,1))+1)*(1-IF($M398="نعم",0,N($J398))))</f>
        <v>0</v>
      </c>
      <c r="AG398" s="57" t="n">
        <f aca="false">IF(OR($B398="",$E398="",$F398=""),0,MAX(0,MIN($F398,EOMONTH(DATE(cfg_FY,12,1),0))-MAX($E398,DATE(cfg_FY,12,1))+1)*(1-IF($M398="نعم",0,N($J398))))</f>
        <v>0</v>
      </c>
      <c r="AH398" s="57" t="n">
        <f aca="false">IF(OR(OR($B398="",$E398="",$F398=""),$L398&lt;&gt;"لا"),0,MAX(0,MIN($F398,EOMONTH(DATE(cfg_FY,1,1),0))-$E398+1))</f>
        <v>0</v>
      </c>
      <c r="AI398" s="57" t="n">
        <f aca="false">IF(OR(OR($B398="",$E398="",$F398=""),$L398&lt;&gt;"لا"),0,MAX(0,MIN($F398,EOMONTH(DATE(cfg_FY,2,1),0))-$E398+1))</f>
        <v>0</v>
      </c>
      <c r="AJ398" s="57" t="n">
        <f aca="false">IF(OR(OR($B398="",$E398="",$F398=""),$L398&lt;&gt;"لا"),0,MAX(0,MIN($F398,EOMONTH(DATE(cfg_FY,3,1),0))-$E398+1))</f>
        <v>0</v>
      </c>
      <c r="AK398" s="57" t="n">
        <f aca="false">IF(OR(OR($B398="",$E398="",$F398=""),$L398&lt;&gt;"لا"),0,MAX(0,MIN($F398,EOMONTH(DATE(cfg_FY,4,1),0))-$E398+1))</f>
        <v>0</v>
      </c>
      <c r="AL398" s="57" t="n">
        <f aca="false">IF(OR(OR($B398="",$E398="",$F398=""),$L398&lt;&gt;"لا"),0,MAX(0,MIN($F398,EOMONTH(DATE(cfg_FY,5,1),0))-$E398+1))</f>
        <v>0</v>
      </c>
      <c r="AM398" s="57" t="n">
        <f aca="false">IF(OR(OR($B398="",$E398="",$F398=""),$L398&lt;&gt;"لا"),0,MAX(0,MIN($F398,EOMONTH(DATE(cfg_FY,6,1),0))-$E398+1))</f>
        <v>0</v>
      </c>
      <c r="AN398" s="57" t="n">
        <f aca="false">IF(OR(OR($B398="",$E398="",$F398=""),$L398&lt;&gt;"لا"),0,MAX(0,MIN($F398,EOMONTH(DATE(cfg_FY,7,1),0))-$E398+1))</f>
        <v>0</v>
      </c>
      <c r="AO398" s="57" t="n">
        <f aca="false">IF(OR(OR($B398="",$E398="",$F398=""),$L398&lt;&gt;"لا"),0,MAX(0,MIN($F398,EOMONTH(DATE(cfg_FY,8,1),0))-$E398+1))</f>
        <v>0</v>
      </c>
      <c r="AP398" s="57" t="n">
        <f aca="false">IF(OR(OR($B398="",$E398="",$F398=""),$L398&lt;&gt;"لا"),0,MAX(0,MIN($F398,EOMONTH(DATE(cfg_FY,9,1),0))-$E398+1))</f>
        <v>0</v>
      </c>
      <c r="AQ398" s="57" t="n">
        <f aca="false">IF(OR(OR($B398="",$E398="",$F398=""),$L398&lt;&gt;"لا"),0,MAX(0,MIN($F398,EOMONTH(DATE(cfg_FY,10,1),0))-$E398+1))</f>
        <v>0</v>
      </c>
      <c r="AR398" s="57" t="n">
        <f aca="false">IF(OR(OR($B398="",$E398="",$F398=""),$L398&lt;&gt;"لا"),0,MAX(0,MIN($F398,EOMONTH(DATE(cfg_FY,11,1),0))-$E398+1))</f>
        <v>0</v>
      </c>
      <c r="AS398" s="57" t="n">
        <f aca="false">IF(OR(OR($B398="",$E398="",$F398=""),$L398&lt;&gt;"لا"),0,MAX(0,MIN($F398,EOMONTH(DATE(cfg_FY,12,1),0))-$E398+1))</f>
        <v>0</v>
      </c>
      <c r="AT398" s="57" t="n">
        <f aca="false">IF(OR(OR($B398="",$E398="",$F398=""),$K398&lt;&gt;"نعم",$M398="نعم"),0,MAX(0,MIN($F398,EOMONTH(DATE(cfg_FY,1,1),0))-MAX($E398,DATE(cfg_FY,1,1))+1))</f>
        <v>0</v>
      </c>
      <c r="AU398" s="57" t="n">
        <f aca="false">IF(OR(OR($B398="",$E398="",$F398=""),$K398&lt;&gt;"نعم",$M398="نعم"),0,MAX(0,MIN($F398,EOMONTH(DATE(cfg_FY,2,1),0))-MAX($E398,DATE(cfg_FY,2,1))+1))</f>
        <v>0</v>
      </c>
      <c r="AV398" s="57" t="n">
        <f aca="false">IF(OR(OR($B398="",$E398="",$F398=""),$K398&lt;&gt;"نعم",$M398="نعم"),0,MAX(0,MIN($F398,EOMONTH(DATE(cfg_FY,3,1),0))-MAX($E398,DATE(cfg_FY,3,1))+1))</f>
        <v>0</v>
      </c>
      <c r="AW398" s="57" t="n">
        <f aca="false">IF(OR(OR($B398="",$E398="",$F398=""),$K398&lt;&gt;"نعم",$M398="نعم"),0,MAX(0,MIN($F398,EOMONTH(DATE(cfg_FY,4,1),0))-MAX($E398,DATE(cfg_FY,4,1))+1))</f>
        <v>0</v>
      </c>
      <c r="AX398" s="57" t="n">
        <f aca="false">IF(OR(OR($B398="",$E398="",$F398=""),$K398&lt;&gt;"نعم",$M398="نعم"),0,MAX(0,MIN($F398,EOMONTH(DATE(cfg_FY,5,1),0))-MAX($E398,DATE(cfg_FY,5,1))+1))</f>
        <v>0</v>
      </c>
      <c r="AY398" s="57" t="n">
        <f aca="false">IF(OR(OR($B398="",$E398="",$F398=""),$K398&lt;&gt;"نعم",$M398="نعم"),0,MAX(0,MIN($F398,EOMONTH(DATE(cfg_FY,6,1),0))-MAX($E398,DATE(cfg_FY,6,1))+1))</f>
        <v>0</v>
      </c>
      <c r="AZ398" s="57" t="n">
        <f aca="false">IF(OR(OR($B398="",$E398="",$F398=""),$K398&lt;&gt;"نعم",$M398="نعم"),0,MAX(0,MIN($F398,EOMONTH(DATE(cfg_FY,7,1),0))-MAX($E398,DATE(cfg_FY,7,1))+1))</f>
        <v>0</v>
      </c>
      <c r="BA398" s="57" t="n">
        <f aca="false">IF(OR(OR($B398="",$E398="",$F398=""),$K398&lt;&gt;"نعم",$M398="نعم"),0,MAX(0,MIN($F398,EOMONTH(DATE(cfg_FY,8,1),0))-MAX($E398,DATE(cfg_FY,8,1))+1))</f>
        <v>0</v>
      </c>
      <c r="BB398" s="57" t="n">
        <f aca="false">IF(OR(OR($B398="",$E398="",$F398=""),$K398&lt;&gt;"نعم",$M398="نعم"),0,MAX(0,MIN($F398,EOMONTH(DATE(cfg_FY,9,1),0))-MAX($E398,DATE(cfg_FY,9,1))+1))</f>
        <v>0</v>
      </c>
      <c r="BC398" s="57" t="n">
        <f aca="false">IF(OR(OR($B398="",$E398="",$F398=""),$K398&lt;&gt;"نعم",$M398="نعم"),0,MAX(0,MIN($F398,EOMONTH(DATE(cfg_FY,10,1),0))-MAX($E398,DATE(cfg_FY,10,1))+1))</f>
        <v>0</v>
      </c>
      <c r="BD398" s="57" t="n">
        <f aca="false">IF(OR(OR($B398="",$E398="",$F398=""),$K398&lt;&gt;"نعم",$M398="نعم"),0,MAX(0,MIN($F398,EOMONTH(DATE(cfg_FY,11,1),0))-MAX($E398,DATE(cfg_FY,11,1))+1))</f>
        <v>0</v>
      </c>
      <c r="BE398" s="57" t="n">
        <f aca="false">IF(OR(OR($B398="",$E398="",$F398=""),$K398&lt;&gt;"نعم",$M398="نعم"),0,MAX(0,MIN($F398,EOMONTH(DATE(cfg_FY,12,1),0))-MAX($E398,DATE(cfg_FY,12,1))+1))</f>
        <v>0</v>
      </c>
    </row>
    <row r="399" customFormat="false" ht="15" hidden="false" customHeight="false" outlineLevel="0" collapsed="false">
      <c r="A399" s="100" t="str">
        <f aca="false">IF(B399="","",ROW()-5)</f>
        <v/>
      </c>
      <c r="B399" s="79"/>
      <c r="C399" s="102" t="str">
        <f aca="false">IF(B399="","",IFERROR(INDEX(الموظفون!$C$6:$C$105,MATCH(B399,الموظفون!$B$6:$B$105,0)),"✖ رقم غير موجود"))</f>
        <v/>
      </c>
      <c r="D399" s="79"/>
      <c r="E399" s="94"/>
      <c r="F399" s="94"/>
      <c r="G399" s="110" t="str">
        <f aca="false">IF(OR($B399="",$E399="",$F399=""),"",MAX(0,F399-E399+1))</f>
        <v/>
      </c>
      <c r="H399" s="111" t="str">
        <f aca="false">IF(D399="","",IFERROR(VLOOKUP(D399,cfg_LT,2,FALSE()),1))</f>
        <v/>
      </c>
      <c r="I399" s="82"/>
      <c r="J399" s="111" t="str">
        <f aca="false">IF(D399="","",IF(I399&lt;&gt;"",I399,H399))</f>
        <v/>
      </c>
      <c r="K399" s="102" t="str">
        <f aca="false">IF(D399="","",IFERROR(VLOOKUP($D399,cfg_LT,3,FALSE()),""))</f>
        <v/>
      </c>
      <c r="L399" s="102" t="str">
        <f aca="false">IF(D399="","",IFERROR(VLOOKUP($D399,cfg_LT,4,FALSE()),""))</f>
        <v/>
      </c>
      <c r="M399" s="102" t="str">
        <f aca="false">IF(D399="","",IFERROR(VLOOKUP($D399,cfg_LT,5,FALSE()),""))</f>
        <v/>
      </c>
      <c r="N399" s="101" t="n">
        <f aca="false">IF(OR(OR($B399="",$E399="",$F399=""),M399&lt;&gt;"نعم"),0,G399*J399*IFERROR(INDEX(الموظفون!$R$6:$R$105,MATCH(B399,الموظفون!$B$6:$B$105,0)),0)/cfg_DAYS_M)</f>
        <v>0</v>
      </c>
      <c r="O399" s="100" t="str">
        <f aca="false">IF(OR(OR($B399="",$E399="",$F399=""),M399&lt;&gt;"نعم"),"",IF(YEAR(E399)=cfg_FY,MONTH(E399),""))</f>
        <v/>
      </c>
      <c r="P399" s="102" t="str">
        <f aca="false">IF(B399="","",IF(OR(D399="",E399="",F399=""),"⚠ أكمل النوع والتواريخ",IF(F399&lt;E399,"✖ النهاية قبل البداية",IF(COUNTIFS($B$6:$B$505,B399,$E$6:$E$505,"&lt;="&amp;F399,$F$6:$F$505,"&gt;="&amp;E399)&gt;1,"⚠ تداخل مع سجل آخر",IF(E399&gt;cfg_VAL_DATE,"⏳ قادمة",IF(F399&lt;cfg_VAL_DATE,"✔ منتهية","✈ جارية في تاريخ التقرير"))))))</f>
        <v/>
      </c>
      <c r="Q399" s="79"/>
      <c r="R399" s="110" t="n">
        <f aca="false">IF(OR(OR($B399="",$E399="",$F399=""),L399&lt;&gt;"لا"),0,MAX(0,MIN(F399,cfg_Y_START-1)-E399+1))</f>
        <v>0</v>
      </c>
      <c r="S399" s="110" t="n">
        <f aca="false">IF(OR(OR($B399="",$E399="",$F399=""),L399&lt;&gt;"لا"),0,MAX(0,MIN(F399,cfg_VAL_DATE)-E399+1))</f>
        <v>0</v>
      </c>
      <c r="T399" s="110" t="n">
        <f aca="false">IF(OR(OR($B399="",$E399="",$F399=""),K399&lt;&gt;"نعم"),0,IF(M399="نعم",IF(AND(ISNUMBER(O399),N(O399)&lt;=cfg_VAL_M),G399,0),MAX(0,MIN(F399,cfg_VAL_DATE)-MAX(E399,cfg_Y_START)+1)))</f>
        <v>0</v>
      </c>
      <c r="V399" s="110" t="n">
        <f aca="false">IF(OR($B399="",$E399="",$F399=""),0,MAX(0,MIN($F399,EOMONTH(DATE(cfg_FY,1,1),0))-MAX($E399,DATE(cfg_FY,1,1))+1)*(1-IF($M399="نعم",0,N($J399))))</f>
        <v>0</v>
      </c>
      <c r="W399" s="110" t="n">
        <f aca="false">IF(OR($B399="",$E399="",$F399=""),0,MAX(0,MIN($F399,EOMONTH(DATE(cfg_FY,2,1),0))-MAX($E399,DATE(cfg_FY,2,1))+1)*(1-IF($M399="نعم",0,N($J399))))</f>
        <v>0</v>
      </c>
      <c r="X399" s="110" t="n">
        <f aca="false">IF(OR($B399="",$E399="",$F399=""),0,MAX(0,MIN($F399,EOMONTH(DATE(cfg_FY,3,1),0))-MAX($E399,DATE(cfg_FY,3,1))+1)*(1-IF($M399="نعم",0,N($J399))))</f>
        <v>0</v>
      </c>
      <c r="Y399" s="110" t="n">
        <f aca="false">IF(OR($B399="",$E399="",$F399=""),0,MAX(0,MIN($F399,EOMONTH(DATE(cfg_FY,4,1),0))-MAX($E399,DATE(cfg_FY,4,1))+1)*(1-IF($M399="نعم",0,N($J399))))</f>
        <v>0</v>
      </c>
      <c r="Z399" s="110" t="n">
        <f aca="false">IF(OR($B399="",$E399="",$F399=""),0,MAX(0,MIN($F399,EOMONTH(DATE(cfg_FY,5,1),0))-MAX($E399,DATE(cfg_FY,5,1))+1)*(1-IF($M399="نعم",0,N($J399))))</f>
        <v>0</v>
      </c>
      <c r="AA399" s="110" t="n">
        <f aca="false">IF(OR($B399="",$E399="",$F399=""),0,MAX(0,MIN($F399,EOMONTH(DATE(cfg_FY,6,1),0))-MAX($E399,DATE(cfg_FY,6,1))+1)*(1-IF($M399="نعم",0,N($J399))))</f>
        <v>0</v>
      </c>
      <c r="AB399" s="110" t="n">
        <f aca="false">IF(OR($B399="",$E399="",$F399=""),0,MAX(0,MIN($F399,EOMONTH(DATE(cfg_FY,7,1),0))-MAX($E399,DATE(cfg_FY,7,1))+1)*(1-IF($M399="نعم",0,N($J399))))</f>
        <v>0</v>
      </c>
      <c r="AC399" s="110" t="n">
        <f aca="false">IF(OR($B399="",$E399="",$F399=""),0,MAX(0,MIN($F399,EOMONTH(DATE(cfg_FY,8,1),0))-MAX($E399,DATE(cfg_FY,8,1))+1)*(1-IF($M399="نعم",0,N($J399))))</f>
        <v>0</v>
      </c>
      <c r="AD399" s="110" t="n">
        <f aca="false">IF(OR($B399="",$E399="",$F399=""),0,MAX(0,MIN($F399,EOMONTH(DATE(cfg_FY,9,1),0))-MAX($E399,DATE(cfg_FY,9,1))+1)*(1-IF($M399="نعم",0,N($J399))))</f>
        <v>0</v>
      </c>
      <c r="AE399" s="110" t="n">
        <f aca="false">IF(OR($B399="",$E399="",$F399=""),0,MAX(0,MIN($F399,EOMONTH(DATE(cfg_FY,10,1),0))-MAX($E399,DATE(cfg_FY,10,1))+1)*(1-IF($M399="نعم",0,N($J399))))</f>
        <v>0</v>
      </c>
      <c r="AF399" s="110" t="n">
        <f aca="false">IF(OR($B399="",$E399="",$F399=""),0,MAX(0,MIN($F399,EOMONTH(DATE(cfg_FY,11,1),0))-MAX($E399,DATE(cfg_FY,11,1))+1)*(1-IF($M399="نعم",0,N($J399))))</f>
        <v>0</v>
      </c>
      <c r="AG399" s="110" t="n">
        <f aca="false">IF(OR($B399="",$E399="",$F399=""),0,MAX(0,MIN($F399,EOMONTH(DATE(cfg_FY,12,1),0))-MAX($E399,DATE(cfg_FY,12,1))+1)*(1-IF($M399="نعم",0,N($J399))))</f>
        <v>0</v>
      </c>
      <c r="AH399" s="110" t="n">
        <f aca="false">IF(OR(OR($B399="",$E399="",$F399=""),$L399&lt;&gt;"لا"),0,MAX(0,MIN($F399,EOMONTH(DATE(cfg_FY,1,1),0))-$E399+1))</f>
        <v>0</v>
      </c>
      <c r="AI399" s="110" t="n">
        <f aca="false">IF(OR(OR($B399="",$E399="",$F399=""),$L399&lt;&gt;"لا"),0,MAX(0,MIN($F399,EOMONTH(DATE(cfg_FY,2,1),0))-$E399+1))</f>
        <v>0</v>
      </c>
      <c r="AJ399" s="110" t="n">
        <f aca="false">IF(OR(OR($B399="",$E399="",$F399=""),$L399&lt;&gt;"لا"),0,MAX(0,MIN($F399,EOMONTH(DATE(cfg_FY,3,1),0))-$E399+1))</f>
        <v>0</v>
      </c>
      <c r="AK399" s="110" t="n">
        <f aca="false">IF(OR(OR($B399="",$E399="",$F399=""),$L399&lt;&gt;"لا"),0,MAX(0,MIN($F399,EOMONTH(DATE(cfg_FY,4,1),0))-$E399+1))</f>
        <v>0</v>
      </c>
      <c r="AL399" s="110" t="n">
        <f aca="false">IF(OR(OR($B399="",$E399="",$F399=""),$L399&lt;&gt;"لا"),0,MAX(0,MIN($F399,EOMONTH(DATE(cfg_FY,5,1),0))-$E399+1))</f>
        <v>0</v>
      </c>
      <c r="AM399" s="110" t="n">
        <f aca="false">IF(OR(OR($B399="",$E399="",$F399=""),$L399&lt;&gt;"لا"),0,MAX(0,MIN($F399,EOMONTH(DATE(cfg_FY,6,1),0))-$E399+1))</f>
        <v>0</v>
      </c>
      <c r="AN399" s="110" t="n">
        <f aca="false">IF(OR(OR($B399="",$E399="",$F399=""),$L399&lt;&gt;"لا"),0,MAX(0,MIN($F399,EOMONTH(DATE(cfg_FY,7,1),0))-$E399+1))</f>
        <v>0</v>
      </c>
      <c r="AO399" s="110" t="n">
        <f aca="false">IF(OR(OR($B399="",$E399="",$F399=""),$L399&lt;&gt;"لا"),0,MAX(0,MIN($F399,EOMONTH(DATE(cfg_FY,8,1),0))-$E399+1))</f>
        <v>0</v>
      </c>
      <c r="AP399" s="110" t="n">
        <f aca="false">IF(OR(OR($B399="",$E399="",$F399=""),$L399&lt;&gt;"لا"),0,MAX(0,MIN($F399,EOMONTH(DATE(cfg_FY,9,1),0))-$E399+1))</f>
        <v>0</v>
      </c>
      <c r="AQ399" s="110" t="n">
        <f aca="false">IF(OR(OR($B399="",$E399="",$F399=""),$L399&lt;&gt;"لا"),0,MAX(0,MIN($F399,EOMONTH(DATE(cfg_FY,10,1),0))-$E399+1))</f>
        <v>0</v>
      </c>
      <c r="AR399" s="110" t="n">
        <f aca="false">IF(OR(OR($B399="",$E399="",$F399=""),$L399&lt;&gt;"لا"),0,MAX(0,MIN($F399,EOMONTH(DATE(cfg_FY,11,1),0))-$E399+1))</f>
        <v>0</v>
      </c>
      <c r="AS399" s="110" t="n">
        <f aca="false">IF(OR(OR($B399="",$E399="",$F399=""),$L399&lt;&gt;"لا"),0,MAX(0,MIN($F399,EOMONTH(DATE(cfg_FY,12,1),0))-$E399+1))</f>
        <v>0</v>
      </c>
      <c r="AT399" s="110" t="n">
        <f aca="false">IF(OR(OR($B399="",$E399="",$F399=""),$K399&lt;&gt;"نعم",$M399="نعم"),0,MAX(0,MIN($F399,EOMONTH(DATE(cfg_FY,1,1),0))-MAX($E399,DATE(cfg_FY,1,1))+1))</f>
        <v>0</v>
      </c>
      <c r="AU399" s="110" t="n">
        <f aca="false">IF(OR(OR($B399="",$E399="",$F399=""),$K399&lt;&gt;"نعم",$M399="نعم"),0,MAX(0,MIN($F399,EOMONTH(DATE(cfg_FY,2,1),0))-MAX($E399,DATE(cfg_FY,2,1))+1))</f>
        <v>0</v>
      </c>
      <c r="AV399" s="110" t="n">
        <f aca="false">IF(OR(OR($B399="",$E399="",$F399=""),$K399&lt;&gt;"نعم",$M399="نعم"),0,MAX(0,MIN($F399,EOMONTH(DATE(cfg_FY,3,1),0))-MAX($E399,DATE(cfg_FY,3,1))+1))</f>
        <v>0</v>
      </c>
      <c r="AW399" s="110" t="n">
        <f aca="false">IF(OR(OR($B399="",$E399="",$F399=""),$K399&lt;&gt;"نعم",$M399="نعم"),0,MAX(0,MIN($F399,EOMONTH(DATE(cfg_FY,4,1),0))-MAX($E399,DATE(cfg_FY,4,1))+1))</f>
        <v>0</v>
      </c>
      <c r="AX399" s="110" t="n">
        <f aca="false">IF(OR(OR($B399="",$E399="",$F399=""),$K399&lt;&gt;"نعم",$M399="نعم"),0,MAX(0,MIN($F399,EOMONTH(DATE(cfg_FY,5,1),0))-MAX($E399,DATE(cfg_FY,5,1))+1))</f>
        <v>0</v>
      </c>
      <c r="AY399" s="110" t="n">
        <f aca="false">IF(OR(OR($B399="",$E399="",$F399=""),$K399&lt;&gt;"نعم",$M399="نعم"),0,MAX(0,MIN($F399,EOMONTH(DATE(cfg_FY,6,1),0))-MAX($E399,DATE(cfg_FY,6,1))+1))</f>
        <v>0</v>
      </c>
      <c r="AZ399" s="110" t="n">
        <f aca="false">IF(OR(OR($B399="",$E399="",$F399=""),$K399&lt;&gt;"نعم",$M399="نعم"),0,MAX(0,MIN($F399,EOMONTH(DATE(cfg_FY,7,1),0))-MAX($E399,DATE(cfg_FY,7,1))+1))</f>
        <v>0</v>
      </c>
      <c r="BA399" s="110" t="n">
        <f aca="false">IF(OR(OR($B399="",$E399="",$F399=""),$K399&lt;&gt;"نعم",$M399="نعم"),0,MAX(0,MIN($F399,EOMONTH(DATE(cfg_FY,8,1),0))-MAX($E399,DATE(cfg_FY,8,1))+1))</f>
        <v>0</v>
      </c>
      <c r="BB399" s="110" t="n">
        <f aca="false">IF(OR(OR($B399="",$E399="",$F399=""),$K399&lt;&gt;"نعم",$M399="نعم"),0,MAX(0,MIN($F399,EOMONTH(DATE(cfg_FY,9,1),0))-MAX($E399,DATE(cfg_FY,9,1))+1))</f>
        <v>0</v>
      </c>
      <c r="BC399" s="110" t="n">
        <f aca="false">IF(OR(OR($B399="",$E399="",$F399=""),$K399&lt;&gt;"نعم",$M399="نعم"),0,MAX(0,MIN($F399,EOMONTH(DATE(cfg_FY,10,1),0))-MAX($E399,DATE(cfg_FY,10,1))+1))</f>
        <v>0</v>
      </c>
      <c r="BD399" s="110" t="n">
        <f aca="false">IF(OR(OR($B399="",$E399="",$F399=""),$K399&lt;&gt;"نعم",$M399="نعم"),0,MAX(0,MIN($F399,EOMONTH(DATE(cfg_FY,11,1),0))-MAX($E399,DATE(cfg_FY,11,1))+1))</f>
        <v>0</v>
      </c>
      <c r="BE399" s="110" t="n">
        <f aca="false">IF(OR(OR($B399="",$E399="",$F399=""),$K399&lt;&gt;"نعم",$M399="نعم"),0,MAX(0,MIN($F399,EOMONTH(DATE(cfg_FY,12,1),0))-MAX($E399,DATE(cfg_FY,12,1))+1))</f>
        <v>0</v>
      </c>
    </row>
    <row r="400" customFormat="false" ht="15" hidden="false" customHeight="false" outlineLevel="0" collapsed="false">
      <c r="A400" s="93" t="str">
        <f aca="false">IF(B400="","",ROW()-5)</f>
        <v/>
      </c>
      <c r="B400" s="79"/>
      <c r="C400" s="80" t="str">
        <f aca="false">IF(B400="","",IFERROR(INDEX(الموظفون!$C$6:$C$105,MATCH(B400,الموظفون!$B$6:$B$105,0)),"✖ رقم غير موجود"))</f>
        <v/>
      </c>
      <c r="D400" s="79"/>
      <c r="E400" s="94"/>
      <c r="F400" s="94"/>
      <c r="G400" s="57" t="str">
        <f aca="false">IF(OR($B400="",$E400="",$F400=""),"",MAX(0,F400-E400+1))</f>
        <v/>
      </c>
      <c r="H400" s="58" t="str">
        <f aca="false">IF(D400="","",IFERROR(VLOOKUP(D400,cfg_LT,2,FALSE()),1))</f>
        <v/>
      </c>
      <c r="I400" s="82"/>
      <c r="J400" s="58" t="str">
        <f aca="false">IF(D400="","",IF(I400&lt;&gt;"",I400,H400))</f>
        <v/>
      </c>
      <c r="K400" s="80" t="str">
        <f aca="false">IF(D400="","",IFERROR(VLOOKUP($D400,cfg_LT,3,FALSE()),""))</f>
        <v/>
      </c>
      <c r="L400" s="80" t="str">
        <f aca="false">IF(D400="","",IFERROR(VLOOKUP($D400,cfg_LT,4,FALSE()),""))</f>
        <v/>
      </c>
      <c r="M400" s="80" t="str">
        <f aca="false">IF(D400="","",IFERROR(VLOOKUP($D400,cfg_LT,5,FALSE()),""))</f>
        <v/>
      </c>
      <c r="N400" s="97" t="n">
        <f aca="false">IF(OR(OR($B400="",$E400="",$F400=""),M400&lt;&gt;"نعم"),0,G400*J400*IFERROR(INDEX(الموظفون!$R$6:$R$105,MATCH(B400,الموظفون!$B$6:$B$105,0)),0)/cfg_DAYS_M)</f>
        <v>0</v>
      </c>
      <c r="O400" s="93" t="str">
        <f aca="false">IF(OR(OR($B400="",$E400="",$F400=""),M400&lt;&gt;"نعم"),"",IF(YEAR(E400)=cfg_FY,MONTH(E400),""))</f>
        <v/>
      </c>
      <c r="P400" s="80" t="str">
        <f aca="false">IF(B400="","",IF(OR(D400="",E400="",F400=""),"⚠ أكمل النوع والتواريخ",IF(F400&lt;E400,"✖ النهاية قبل البداية",IF(COUNTIFS($B$6:$B$505,B400,$E$6:$E$505,"&lt;="&amp;F400,$F$6:$F$505,"&gt;="&amp;E400)&gt;1,"⚠ تداخل مع سجل آخر",IF(E400&gt;cfg_VAL_DATE,"⏳ قادمة",IF(F400&lt;cfg_VAL_DATE,"✔ منتهية","✈ جارية في تاريخ التقرير"))))))</f>
        <v/>
      </c>
      <c r="Q400" s="79"/>
      <c r="R400" s="57" t="n">
        <f aca="false">IF(OR(OR($B400="",$E400="",$F400=""),L400&lt;&gt;"لا"),0,MAX(0,MIN(F400,cfg_Y_START-1)-E400+1))</f>
        <v>0</v>
      </c>
      <c r="S400" s="57" t="n">
        <f aca="false">IF(OR(OR($B400="",$E400="",$F400=""),L400&lt;&gt;"لا"),0,MAX(0,MIN(F400,cfg_VAL_DATE)-E400+1))</f>
        <v>0</v>
      </c>
      <c r="T400" s="57" t="n">
        <f aca="false">IF(OR(OR($B400="",$E400="",$F400=""),K400&lt;&gt;"نعم"),0,IF(M400="نعم",IF(AND(ISNUMBER(O400),N(O400)&lt;=cfg_VAL_M),G400,0),MAX(0,MIN(F400,cfg_VAL_DATE)-MAX(E400,cfg_Y_START)+1)))</f>
        <v>0</v>
      </c>
      <c r="V400" s="57" t="n">
        <f aca="false">IF(OR($B400="",$E400="",$F400=""),0,MAX(0,MIN($F400,EOMONTH(DATE(cfg_FY,1,1),0))-MAX($E400,DATE(cfg_FY,1,1))+1)*(1-IF($M400="نعم",0,N($J400))))</f>
        <v>0</v>
      </c>
      <c r="W400" s="57" t="n">
        <f aca="false">IF(OR($B400="",$E400="",$F400=""),0,MAX(0,MIN($F400,EOMONTH(DATE(cfg_FY,2,1),0))-MAX($E400,DATE(cfg_FY,2,1))+1)*(1-IF($M400="نعم",0,N($J400))))</f>
        <v>0</v>
      </c>
      <c r="X400" s="57" t="n">
        <f aca="false">IF(OR($B400="",$E400="",$F400=""),0,MAX(0,MIN($F400,EOMONTH(DATE(cfg_FY,3,1),0))-MAX($E400,DATE(cfg_FY,3,1))+1)*(1-IF($M400="نعم",0,N($J400))))</f>
        <v>0</v>
      </c>
      <c r="Y400" s="57" t="n">
        <f aca="false">IF(OR($B400="",$E400="",$F400=""),0,MAX(0,MIN($F400,EOMONTH(DATE(cfg_FY,4,1),0))-MAX($E400,DATE(cfg_FY,4,1))+1)*(1-IF($M400="نعم",0,N($J400))))</f>
        <v>0</v>
      </c>
      <c r="Z400" s="57" t="n">
        <f aca="false">IF(OR($B400="",$E400="",$F400=""),0,MAX(0,MIN($F400,EOMONTH(DATE(cfg_FY,5,1),0))-MAX($E400,DATE(cfg_FY,5,1))+1)*(1-IF($M400="نعم",0,N($J400))))</f>
        <v>0</v>
      </c>
      <c r="AA400" s="57" t="n">
        <f aca="false">IF(OR($B400="",$E400="",$F400=""),0,MAX(0,MIN($F400,EOMONTH(DATE(cfg_FY,6,1),0))-MAX($E400,DATE(cfg_FY,6,1))+1)*(1-IF($M400="نعم",0,N($J400))))</f>
        <v>0</v>
      </c>
      <c r="AB400" s="57" t="n">
        <f aca="false">IF(OR($B400="",$E400="",$F400=""),0,MAX(0,MIN($F400,EOMONTH(DATE(cfg_FY,7,1),0))-MAX($E400,DATE(cfg_FY,7,1))+1)*(1-IF($M400="نعم",0,N($J400))))</f>
        <v>0</v>
      </c>
      <c r="AC400" s="57" t="n">
        <f aca="false">IF(OR($B400="",$E400="",$F400=""),0,MAX(0,MIN($F400,EOMONTH(DATE(cfg_FY,8,1),0))-MAX($E400,DATE(cfg_FY,8,1))+1)*(1-IF($M400="نعم",0,N($J400))))</f>
        <v>0</v>
      </c>
      <c r="AD400" s="57" t="n">
        <f aca="false">IF(OR($B400="",$E400="",$F400=""),0,MAX(0,MIN($F400,EOMONTH(DATE(cfg_FY,9,1),0))-MAX($E400,DATE(cfg_FY,9,1))+1)*(1-IF($M400="نعم",0,N($J400))))</f>
        <v>0</v>
      </c>
      <c r="AE400" s="57" t="n">
        <f aca="false">IF(OR($B400="",$E400="",$F400=""),0,MAX(0,MIN($F400,EOMONTH(DATE(cfg_FY,10,1),0))-MAX($E400,DATE(cfg_FY,10,1))+1)*(1-IF($M400="نعم",0,N($J400))))</f>
        <v>0</v>
      </c>
      <c r="AF400" s="57" t="n">
        <f aca="false">IF(OR($B400="",$E400="",$F400=""),0,MAX(0,MIN($F400,EOMONTH(DATE(cfg_FY,11,1),0))-MAX($E400,DATE(cfg_FY,11,1))+1)*(1-IF($M400="نعم",0,N($J400))))</f>
        <v>0</v>
      </c>
      <c r="AG400" s="57" t="n">
        <f aca="false">IF(OR($B400="",$E400="",$F400=""),0,MAX(0,MIN($F400,EOMONTH(DATE(cfg_FY,12,1),0))-MAX($E400,DATE(cfg_FY,12,1))+1)*(1-IF($M400="نعم",0,N($J400))))</f>
        <v>0</v>
      </c>
      <c r="AH400" s="57" t="n">
        <f aca="false">IF(OR(OR($B400="",$E400="",$F400=""),$L400&lt;&gt;"لا"),0,MAX(0,MIN($F400,EOMONTH(DATE(cfg_FY,1,1),0))-$E400+1))</f>
        <v>0</v>
      </c>
      <c r="AI400" s="57" t="n">
        <f aca="false">IF(OR(OR($B400="",$E400="",$F400=""),$L400&lt;&gt;"لا"),0,MAX(0,MIN($F400,EOMONTH(DATE(cfg_FY,2,1),0))-$E400+1))</f>
        <v>0</v>
      </c>
      <c r="AJ400" s="57" t="n">
        <f aca="false">IF(OR(OR($B400="",$E400="",$F400=""),$L400&lt;&gt;"لا"),0,MAX(0,MIN($F400,EOMONTH(DATE(cfg_FY,3,1),0))-$E400+1))</f>
        <v>0</v>
      </c>
      <c r="AK400" s="57" t="n">
        <f aca="false">IF(OR(OR($B400="",$E400="",$F400=""),$L400&lt;&gt;"لا"),0,MAX(0,MIN($F400,EOMONTH(DATE(cfg_FY,4,1),0))-$E400+1))</f>
        <v>0</v>
      </c>
      <c r="AL400" s="57" t="n">
        <f aca="false">IF(OR(OR($B400="",$E400="",$F400=""),$L400&lt;&gt;"لا"),0,MAX(0,MIN($F400,EOMONTH(DATE(cfg_FY,5,1),0))-$E400+1))</f>
        <v>0</v>
      </c>
      <c r="AM400" s="57" t="n">
        <f aca="false">IF(OR(OR($B400="",$E400="",$F400=""),$L400&lt;&gt;"لا"),0,MAX(0,MIN($F400,EOMONTH(DATE(cfg_FY,6,1),0))-$E400+1))</f>
        <v>0</v>
      </c>
      <c r="AN400" s="57" t="n">
        <f aca="false">IF(OR(OR($B400="",$E400="",$F400=""),$L400&lt;&gt;"لا"),0,MAX(0,MIN($F400,EOMONTH(DATE(cfg_FY,7,1),0))-$E400+1))</f>
        <v>0</v>
      </c>
      <c r="AO400" s="57" t="n">
        <f aca="false">IF(OR(OR($B400="",$E400="",$F400=""),$L400&lt;&gt;"لا"),0,MAX(0,MIN($F400,EOMONTH(DATE(cfg_FY,8,1),0))-$E400+1))</f>
        <v>0</v>
      </c>
      <c r="AP400" s="57" t="n">
        <f aca="false">IF(OR(OR($B400="",$E400="",$F400=""),$L400&lt;&gt;"لا"),0,MAX(0,MIN($F400,EOMONTH(DATE(cfg_FY,9,1),0))-$E400+1))</f>
        <v>0</v>
      </c>
      <c r="AQ400" s="57" t="n">
        <f aca="false">IF(OR(OR($B400="",$E400="",$F400=""),$L400&lt;&gt;"لا"),0,MAX(0,MIN($F400,EOMONTH(DATE(cfg_FY,10,1),0))-$E400+1))</f>
        <v>0</v>
      </c>
      <c r="AR400" s="57" t="n">
        <f aca="false">IF(OR(OR($B400="",$E400="",$F400=""),$L400&lt;&gt;"لا"),0,MAX(0,MIN($F400,EOMONTH(DATE(cfg_FY,11,1),0))-$E400+1))</f>
        <v>0</v>
      </c>
      <c r="AS400" s="57" t="n">
        <f aca="false">IF(OR(OR($B400="",$E400="",$F400=""),$L400&lt;&gt;"لا"),0,MAX(0,MIN($F400,EOMONTH(DATE(cfg_FY,12,1),0))-$E400+1))</f>
        <v>0</v>
      </c>
      <c r="AT400" s="57" t="n">
        <f aca="false">IF(OR(OR($B400="",$E400="",$F400=""),$K400&lt;&gt;"نعم",$M400="نعم"),0,MAX(0,MIN($F400,EOMONTH(DATE(cfg_FY,1,1),0))-MAX($E400,DATE(cfg_FY,1,1))+1))</f>
        <v>0</v>
      </c>
      <c r="AU400" s="57" t="n">
        <f aca="false">IF(OR(OR($B400="",$E400="",$F400=""),$K400&lt;&gt;"نعم",$M400="نعم"),0,MAX(0,MIN($F400,EOMONTH(DATE(cfg_FY,2,1),0))-MAX($E400,DATE(cfg_FY,2,1))+1))</f>
        <v>0</v>
      </c>
      <c r="AV400" s="57" t="n">
        <f aca="false">IF(OR(OR($B400="",$E400="",$F400=""),$K400&lt;&gt;"نعم",$M400="نعم"),0,MAX(0,MIN($F400,EOMONTH(DATE(cfg_FY,3,1),0))-MAX($E400,DATE(cfg_FY,3,1))+1))</f>
        <v>0</v>
      </c>
      <c r="AW400" s="57" t="n">
        <f aca="false">IF(OR(OR($B400="",$E400="",$F400=""),$K400&lt;&gt;"نعم",$M400="نعم"),0,MAX(0,MIN($F400,EOMONTH(DATE(cfg_FY,4,1),0))-MAX($E400,DATE(cfg_FY,4,1))+1))</f>
        <v>0</v>
      </c>
      <c r="AX400" s="57" t="n">
        <f aca="false">IF(OR(OR($B400="",$E400="",$F400=""),$K400&lt;&gt;"نعم",$M400="نعم"),0,MAX(0,MIN($F400,EOMONTH(DATE(cfg_FY,5,1),0))-MAX($E400,DATE(cfg_FY,5,1))+1))</f>
        <v>0</v>
      </c>
      <c r="AY400" s="57" t="n">
        <f aca="false">IF(OR(OR($B400="",$E400="",$F400=""),$K400&lt;&gt;"نعم",$M400="نعم"),0,MAX(0,MIN($F400,EOMONTH(DATE(cfg_FY,6,1),0))-MAX($E400,DATE(cfg_FY,6,1))+1))</f>
        <v>0</v>
      </c>
      <c r="AZ400" s="57" t="n">
        <f aca="false">IF(OR(OR($B400="",$E400="",$F400=""),$K400&lt;&gt;"نعم",$M400="نعم"),0,MAX(0,MIN($F400,EOMONTH(DATE(cfg_FY,7,1),0))-MAX($E400,DATE(cfg_FY,7,1))+1))</f>
        <v>0</v>
      </c>
      <c r="BA400" s="57" t="n">
        <f aca="false">IF(OR(OR($B400="",$E400="",$F400=""),$K400&lt;&gt;"نعم",$M400="نعم"),0,MAX(0,MIN($F400,EOMONTH(DATE(cfg_FY,8,1),0))-MAX($E400,DATE(cfg_FY,8,1))+1))</f>
        <v>0</v>
      </c>
      <c r="BB400" s="57" t="n">
        <f aca="false">IF(OR(OR($B400="",$E400="",$F400=""),$K400&lt;&gt;"نعم",$M400="نعم"),0,MAX(0,MIN($F400,EOMONTH(DATE(cfg_FY,9,1),0))-MAX($E400,DATE(cfg_FY,9,1))+1))</f>
        <v>0</v>
      </c>
      <c r="BC400" s="57" t="n">
        <f aca="false">IF(OR(OR($B400="",$E400="",$F400=""),$K400&lt;&gt;"نعم",$M400="نعم"),0,MAX(0,MIN($F400,EOMONTH(DATE(cfg_FY,10,1),0))-MAX($E400,DATE(cfg_FY,10,1))+1))</f>
        <v>0</v>
      </c>
      <c r="BD400" s="57" t="n">
        <f aca="false">IF(OR(OR($B400="",$E400="",$F400=""),$K400&lt;&gt;"نعم",$M400="نعم"),0,MAX(0,MIN($F400,EOMONTH(DATE(cfg_FY,11,1),0))-MAX($E400,DATE(cfg_FY,11,1))+1))</f>
        <v>0</v>
      </c>
      <c r="BE400" s="57" t="n">
        <f aca="false">IF(OR(OR($B400="",$E400="",$F400=""),$K400&lt;&gt;"نعم",$M400="نعم"),0,MAX(0,MIN($F400,EOMONTH(DATE(cfg_FY,12,1),0))-MAX($E400,DATE(cfg_FY,12,1))+1))</f>
        <v>0</v>
      </c>
    </row>
    <row r="401" customFormat="false" ht="15" hidden="false" customHeight="false" outlineLevel="0" collapsed="false">
      <c r="A401" s="100" t="str">
        <f aca="false">IF(B401="","",ROW()-5)</f>
        <v/>
      </c>
      <c r="B401" s="79"/>
      <c r="C401" s="102" t="str">
        <f aca="false">IF(B401="","",IFERROR(INDEX(الموظفون!$C$6:$C$105,MATCH(B401,الموظفون!$B$6:$B$105,0)),"✖ رقم غير موجود"))</f>
        <v/>
      </c>
      <c r="D401" s="79"/>
      <c r="E401" s="94"/>
      <c r="F401" s="94"/>
      <c r="G401" s="110" t="str">
        <f aca="false">IF(OR($B401="",$E401="",$F401=""),"",MAX(0,F401-E401+1))</f>
        <v/>
      </c>
      <c r="H401" s="111" t="str">
        <f aca="false">IF(D401="","",IFERROR(VLOOKUP(D401,cfg_LT,2,FALSE()),1))</f>
        <v/>
      </c>
      <c r="I401" s="82"/>
      <c r="J401" s="111" t="str">
        <f aca="false">IF(D401="","",IF(I401&lt;&gt;"",I401,H401))</f>
        <v/>
      </c>
      <c r="K401" s="102" t="str">
        <f aca="false">IF(D401="","",IFERROR(VLOOKUP($D401,cfg_LT,3,FALSE()),""))</f>
        <v/>
      </c>
      <c r="L401" s="102" t="str">
        <f aca="false">IF(D401="","",IFERROR(VLOOKUP($D401,cfg_LT,4,FALSE()),""))</f>
        <v/>
      </c>
      <c r="M401" s="102" t="str">
        <f aca="false">IF(D401="","",IFERROR(VLOOKUP($D401,cfg_LT,5,FALSE()),""))</f>
        <v/>
      </c>
      <c r="N401" s="101" t="n">
        <f aca="false">IF(OR(OR($B401="",$E401="",$F401=""),M401&lt;&gt;"نعم"),0,G401*J401*IFERROR(INDEX(الموظفون!$R$6:$R$105,MATCH(B401,الموظفون!$B$6:$B$105,0)),0)/cfg_DAYS_M)</f>
        <v>0</v>
      </c>
      <c r="O401" s="100" t="str">
        <f aca="false">IF(OR(OR($B401="",$E401="",$F401=""),M401&lt;&gt;"نعم"),"",IF(YEAR(E401)=cfg_FY,MONTH(E401),""))</f>
        <v/>
      </c>
      <c r="P401" s="102" t="str">
        <f aca="false">IF(B401="","",IF(OR(D401="",E401="",F401=""),"⚠ أكمل النوع والتواريخ",IF(F401&lt;E401,"✖ النهاية قبل البداية",IF(COUNTIFS($B$6:$B$505,B401,$E$6:$E$505,"&lt;="&amp;F401,$F$6:$F$505,"&gt;="&amp;E401)&gt;1,"⚠ تداخل مع سجل آخر",IF(E401&gt;cfg_VAL_DATE,"⏳ قادمة",IF(F401&lt;cfg_VAL_DATE,"✔ منتهية","✈ جارية في تاريخ التقرير"))))))</f>
        <v/>
      </c>
      <c r="Q401" s="79"/>
      <c r="R401" s="110" t="n">
        <f aca="false">IF(OR(OR($B401="",$E401="",$F401=""),L401&lt;&gt;"لا"),0,MAX(0,MIN(F401,cfg_Y_START-1)-E401+1))</f>
        <v>0</v>
      </c>
      <c r="S401" s="110" t="n">
        <f aca="false">IF(OR(OR($B401="",$E401="",$F401=""),L401&lt;&gt;"لا"),0,MAX(0,MIN(F401,cfg_VAL_DATE)-E401+1))</f>
        <v>0</v>
      </c>
      <c r="T401" s="110" t="n">
        <f aca="false">IF(OR(OR($B401="",$E401="",$F401=""),K401&lt;&gt;"نعم"),0,IF(M401="نعم",IF(AND(ISNUMBER(O401),N(O401)&lt;=cfg_VAL_M),G401,0),MAX(0,MIN(F401,cfg_VAL_DATE)-MAX(E401,cfg_Y_START)+1)))</f>
        <v>0</v>
      </c>
      <c r="V401" s="110" t="n">
        <f aca="false">IF(OR($B401="",$E401="",$F401=""),0,MAX(0,MIN($F401,EOMONTH(DATE(cfg_FY,1,1),0))-MAX($E401,DATE(cfg_FY,1,1))+1)*(1-IF($M401="نعم",0,N($J401))))</f>
        <v>0</v>
      </c>
      <c r="W401" s="110" t="n">
        <f aca="false">IF(OR($B401="",$E401="",$F401=""),0,MAX(0,MIN($F401,EOMONTH(DATE(cfg_FY,2,1),0))-MAX($E401,DATE(cfg_FY,2,1))+1)*(1-IF($M401="نعم",0,N($J401))))</f>
        <v>0</v>
      </c>
      <c r="X401" s="110" t="n">
        <f aca="false">IF(OR($B401="",$E401="",$F401=""),0,MAX(0,MIN($F401,EOMONTH(DATE(cfg_FY,3,1),0))-MAX($E401,DATE(cfg_FY,3,1))+1)*(1-IF($M401="نعم",0,N($J401))))</f>
        <v>0</v>
      </c>
      <c r="Y401" s="110" t="n">
        <f aca="false">IF(OR($B401="",$E401="",$F401=""),0,MAX(0,MIN($F401,EOMONTH(DATE(cfg_FY,4,1),0))-MAX($E401,DATE(cfg_FY,4,1))+1)*(1-IF($M401="نعم",0,N($J401))))</f>
        <v>0</v>
      </c>
      <c r="Z401" s="110" t="n">
        <f aca="false">IF(OR($B401="",$E401="",$F401=""),0,MAX(0,MIN($F401,EOMONTH(DATE(cfg_FY,5,1),0))-MAX($E401,DATE(cfg_FY,5,1))+1)*(1-IF($M401="نعم",0,N($J401))))</f>
        <v>0</v>
      </c>
      <c r="AA401" s="110" t="n">
        <f aca="false">IF(OR($B401="",$E401="",$F401=""),0,MAX(0,MIN($F401,EOMONTH(DATE(cfg_FY,6,1),0))-MAX($E401,DATE(cfg_FY,6,1))+1)*(1-IF($M401="نعم",0,N($J401))))</f>
        <v>0</v>
      </c>
      <c r="AB401" s="110" t="n">
        <f aca="false">IF(OR($B401="",$E401="",$F401=""),0,MAX(0,MIN($F401,EOMONTH(DATE(cfg_FY,7,1),0))-MAX($E401,DATE(cfg_FY,7,1))+1)*(1-IF($M401="نعم",0,N($J401))))</f>
        <v>0</v>
      </c>
      <c r="AC401" s="110" t="n">
        <f aca="false">IF(OR($B401="",$E401="",$F401=""),0,MAX(0,MIN($F401,EOMONTH(DATE(cfg_FY,8,1),0))-MAX($E401,DATE(cfg_FY,8,1))+1)*(1-IF($M401="نعم",0,N($J401))))</f>
        <v>0</v>
      </c>
      <c r="AD401" s="110" t="n">
        <f aca="false">IF(OR($B401="",$E401="",$F401=""),0,MAX(0,MIN($F401,EOMONTH(DATE(cfg_FY,9,1),0))-MAX($E401,DATE(cfg_FY,9,1))+1)*(1-IF($M401="نعم",0,N($J401))))</f>
        <v>0</v>
      </c>
      <c r="AE401" s="110" t="n">
        <f aca="false">IF(OR($B401="",$E401="",$F401=""),0,MAX(0,MIN($F401,EOMONTH(DATE(cfg_FY,10,1),0))-MAX($E401,DATE(cfg_FY,10,1))+1)*(1-IF($M401="نعم",0,N($J401))))</f>
        <v>0</v>
      </c>
      <c r="AF401" s="110" t="n">
        <f aca="false">IF(OR($B401="",$E401="",$F401=""),0,MAX(0,MIN($F401,EOMONTH(DATE(cfg_FY,11,1),0))-MAX($E401,DATE(cfg_FY,11,1))+1)*(1-IF($M401="نعم",0,N($J401))))</f>
        <v>0</v>
      </c>
      <c r="AG401" s="110" t="n">
        <f aca="false">IF(OR($B401="",$E401="",$F401=""),0,MAX(0,MIN($F401,EOMONTH(DATE(cfg_FY,12,1),0))-MAX($E401,DATE(cfg_FY,12,1))+1)*(1-IF($M401="نعم",0,N($J401))))</f>
        <v>0</v>
      </c>
      <c r="AH401" s="110" t="n">
        <f aca="false">IF(OR(OR($B401="",$E401="",$F401=""),$L401&lt;&gt;"لا"),0,MAX(0,MIN($F401,EOMONTH(DATE(cfg_FY,1,1),0))-$E401+1))</f>
        <v>0</v>
      </c>
      <c r="AI401" s="110" t="n">
        <f aca="false">IF(OR(OR($B401="",$E401="",$F401=""),$L401&lt;&gt;"لا"),0,MAX(0,MIN($F401,EOMONTH(DATE(cfg_FY,2,1),0))-$E401+1))</f>
        <v>0</v>
      </c>
      <c r="AJ401" s="110" t="n">
        <f aca="false">IF(OR(OR($B401="",$E401="",$F401=""),$L401&lt;&gt;"لا"),0,MAX(0,MIN($F401,EOMONTH(DATE(cfg_FY,3,1),0))-$E401+1))</f>
        <v>0</v>
      </c>
      <c r="AK401" s="110" t="n">
        <f aca="false">IF(OR(OR($B401="",$E401="",$F401=""),$L401&lt;&gt;"لا"),0,MAX(0,MIN($F401,EOMONTH(DATE(cfg_FY,4,1),0))-$E401+1))</f>
        <v>0</v>
      </c>
      <c r="AL401" s="110" t="n">
        <f aca="false">IF(OR(OR($B401="",$E401="",$F401=""),$L401&lt;&gt;"لا"),0,MAX(0,MIN($F401,EOMONTH(DATE(cfg_FY,5,1),0))-$E401+1))</f>
        <v>0</v>
      </c>
      <c r="AM401" s="110" t="n">
        <f aca="false">IF(OR(OR($B401="",$E401="",$F401=""),$L401&lt;&gt;"لا"),0,MAX(0,MIN($F401,EOMONTH(DATE(cfg_FY,6,1),0))-$E401+1))</f>
        <v>0</v>
      </c>
      <c r="AN401" s="110" t="n">
        <f aca="false">IF(OR(OR($B401="",$E401="",$F401=""),$L401&lt;&gt;"لا"),0,MAX(0,MIN($F401,EOMONTH(DATE(cfg_FY,7,1),0))-$E401+1))</f>
        <v>0</v>
      </c>
      <c r="AO401" s="110" t="n">
        <f aca="false">IF(OR(OR($B401="",$E401="",$F401=""),$L401&lt;&gt;"لا"),0,MAX(0,MIN($F401,EOMONTH(DATE(cfg_FY,8,1),0))-$E401+1))</f>
        <v>0</v>
      </c>
      <c r="AP401" s="110" t="n">
        <f aca="false">IF(OR(OR($B401="",$E401="",$F401=""),$L401&lt;&gt;"لا"),0,MAX(0,MIN($F401,EOMONTH(DATE(cfg_FY,9,1),0))-$E401+1))</f>
        <v>0</v>
      </c>
      <c r="AQ401" s="110" t="n">
        <f aca="false">IF(OR(OR($B401="",$E401="",$F401=""),$L401&lt;&gt;"لا"),0,MAX(0,MIN($F401,EOMONTH(DATE(cfg_FY,10,1),0))-$E401+1))</f>
        <v>0</v>
      </c>
      <c r="AR401" s="110" t="n">
        <f aca="false">IF(OR(OR($B401="",$E401="",$F401=""),$L401&lt;&gt;"لا"),0,MAX(0,MIN($F401,EOMONTH(DATE(cfg_FY,11,1),0))-$E401+1))</f>
        <v>0</v>
      </c>
      <c r="AS401" s="110" t="n">
        <f aca="false">IF(OR(OR($B401="",$E401="",$F401=""),$L401&lt;&gt;"لا"),0,MAX(0,MIN($F401,EOMONTH(DATE(cfg_FY,12,1),0))-$E401+1))</f>
        <v>0</v>
      </c>
      <c r="AT401" s="110" t="n">
        <f aca="false">IF(OR(OR($B401="",$E401="",$F401=""),$K401&lt;&gt;"نعم",$M401="نعم"),0,MAX(0,MIN($F401,EOMONTH(DATE(cfg_FY,1,1),0))-MAX($E401,DATE(cfg_FY,1,1))+1))</f>
        <v>0</v>
      </c>
      <c r="AU401" s="110" t="n">
        <f aca="false">IF(OR(OR($B401="",$E401="",$F401=""),$K401&lt;&gt;"نعم",$M401="نعم"),0,MAX(0,MIN($F401,EOMONTH(DATE(cfg_FY,2,1),0))-MAX($E401,DATE(cfg_FY,2,1))+1))</f>
        <v>0</v>
      </c>
      <c r="AV401" s="110" t="n">
        <f aca="false">IF(OR(OR($B401="",$E401="",$F401=""),$K401&lt;&gt;"نعم",$M401="نعم"),0,MAX(0,MIN($F401,EOMONTH(DATE(cfg_FY,3,1),0))-MAX($E401,DATE(cfg_FY,3,1))+1))</f>
        <v>0</v>
      </c>
      <c r="AW401" s="110" t="n">
        <f aca="false">IF(OR(OR($B401="",$E401="",$F401=""),$K401&lt;&gt;"نعم",$M401="نعم"),0,MAX(0,MIN($F401,EOMONTH(DATE(cfg_FY,4,1),0))-MAX($E401,DATE(cfg_FY,4,1))+1))</f>
        <v>0</v>
      </c>
      <c r="AX401" s="110" t="n">
        <f aca="false">IF(OR(OR($B401="",$E401="",$F401=""),$K401&lt;&gt;"نعم",$M401="نعم"),0,MAX(0,MIN($F401,EOMONTH(DATE(cfg_FY,5,1),0))-MAX($E401,DATE(cfg_FY,5,1))+1))</f>
        <v>0</v>
      </c>
      <c r="AY401" s="110" t="n">
        <f aca="false">IF(OR(OR($B401="",$E401="",$F401=""),$K401&lt;&gt;"نعم",$M401="نعم"),0,MAX(0,MIN($F401,EOMONTH(DATE(cfg_FY,6,1),0))-MAX($E401,DATE(cfg_FY,6,1))+1))</f>
        <v>0</v>
      </c>
      <c r="AZ401" s="110" t="n">
        <f aca="false">IF(OR(OR($B401="",$E401="",$F401=""),$K401&lt;&gt;"نعم",$M401="نعم"),0,MAX(0,MIN($F401,EOMONTH(DATE(cfg_FY,7,1),0))-MAX($E401,DATE(cfg_FY,7,1))+1))</f>
        <v>0</v>
      </c>
      <c r="BA401" s="110" t="n">
        <f aca="false">IF(OR(OR($B401="",$E401="",$F401=""),$K401&lt;&gt;"نعم",$M401="نعم"),0,MAX(0,MIN($F401,EOMONTH(DATE(cfg_FY,8,1),0))-MAX($E401,DATE(cfg_FY,8,1))+1))</f>
        <v>0</v>
      </c>
      <c r="BB401" s="110" t="n">
        <f aca="false">IF(OR(OR($B401="",$E401="",$F401=""),$K401&lt;&gt;"نعم",$M401="نعم"),0,MAX(0,MIN($F401,EOMONTH(DATE(cfg_FY,9,1),0))-MAX($E401,DATE(cfg_FY,9,1))+1))</f>
        <v>0</v>
      </c>
      <c r="BC401" s="110" t="n">
        <f aca="false">IF(OR(OR($B401="",$E401="",$F401=""),$K401&lt;&gt;"نعم",$M401="نعم"),0,MAX(0,MIN($F401,EOMONTH(DATE(cfg_FY,10,1),0))-MAX($E401,DATE(cfg_FY,10,1))+1))</f>
        <v>0</v>
      </c>
      <c r="BD401" s="110" t="n">
        <f aca="false">IF(OR(OR($B401="",$E401="",$F401=""),$K401&lt;&gt;"نعم",$M401="نعم"),0,MAX(0,MIN($F401,EOMONTH(DATE(cfg_FY,11,1),0))-MAX($E401,DATE(cfg_FY,11,1))+1))</f>
        <v>0</v>
      </c>
      <c r="BE401" s="110" t="n">
        <f aca="false">IF(OR(OR($B401="",$E401="",$F401=""),$K401&lt;&gt;"نعم",$M401="نعم"),0,MAX(0,MIN($F401,EOMONTH(DATE(cfg_FY,12,1),0))-MAX($E401,DATE(cfg_FY,12,1))+1))</f>
        <v>0</v>
      </c>
    </row>
    <row r="402" customFormat="false" ht="15" hidden="false" customHeight="false" outlineLevel="0" collapsed="false">
      <c r="A402" s="93" t="str">
        <f aca="false">IF(B402="","",ROW()-5)</f>
        <v/>
      </c>
      <c r="B402" s="79"/>
      <c r="C402" s="80" t="str">
        <f aca="false">IF(B402="","",IFERROR(INDEX(الموظفون!$C$6:$C$105,MATCH(B402,الموظفون!$B$6:$B$105,0)),"✖ رقم غير موجود"))</f>
        <v/>
      </c>
      <c r="D402" s="79"/>
      <c r="E402" s="94"/>
      <c r="F402" s="94"/>
      <c r="G402" s="57" t="str">
        <f aca="false">IF(OR($B402="",$E402="",$F402=""),"",MAX(0,F402-E402+1))</f>
        <v/>
      </c>
      <c r="H402" s="58" t="str">
        <f aca="false">IF(D402="","",IFERROR(VLOOKUP(D402,cfg_LT,2,FALSE()),1))</f>
        <v/>
      </c>
      <c r="I402" s="82"/>
      <c r="J402" s="58" t="str">
        <f aca="false">IF(D402="","",IF(I402&lt;&gt;"",I402,H402))</f>
        <v/>
      </c>
      <c r="K402" s="80" t="str">
        <f aca="false">IF(D402="","",IFERROR(VLOOKUP($D402,cfg_LT,3,FALSE()),""))</f>
        <v/>
      </c>
      <c r="L402" s="80" t="str">
        <f aca="false">IF(D402="","",IFERROR(VLOOKUP($D402,cfg_LT,4,FALSE()),""))</f>
        <v/>
      </c>
      <c r="M402" s="80" t="str">
        <f aca="false">IF(D402="","",IFERROR(VLOOKUP($D402,cfg_LT,5,FALSE()),""))</f>
        <v/>
      </c>
      <c r="N402" s="97" t="n">
        <f aca="false">IF(OR(OR($B402="",$E402="",$F402=""),M402&lt;&gt;"نعم"),0,G402*J402*IFERROR(INDEX(الموظفون!$R$6:$R$105,MATCH(B402,الموظفون!$B$6:$B$105,0)),0)/cfg_DAYS_M)</f>
        <v>0</v>
      </c>
      <c r="O402" s="93" t="str">
        <f aca="false">IF(OR(OR($B402="",$E402="",$F402=""),M402&lt;&gt;"نعم"),"",IF(YEAR(E402)=cfg_FY,MONTH(E402),""))</f>
        <v/>
      </c>
      <c r="P402" s="80" t="str">
        <f aca="false">IF(B402="","",IF(OR(D402="",E402="",F402=""),"⚠ أكمل النوع والتواريخ",IF(F402&lt;E402,"✖ النهاية قبل البداية",IF(COUNTIFS($B$6:$B$505,B402,$E$6:$E$505,"&lt;="&amp;F402,$F$6:$F$505,"&gt;="&amp;E402)&gt;1,"⚠ تداخل مع سجل آخر",IF(E402&gt;cfg_VAL_DATE,"⏳ قادمة",IF(F402&lt;cfg_VAL_DATE,"✔ منتهية","✈ جارية في تاريخ التقرير"))))))</f>
        <v/>
      </c>
      <c r="Q402" s="79"/>
      <c r="R402" s="57" t="n">
        <f aca="false">IF(OR(OR($B402="",$E402="",$F402=""),L402&lt;&gt;"لا"),0,MAX(0,MIN(F402,cfg_Y_START-1)-E402+1))</f>
        <v>0</v>
      </c>
      <c r="S402" s="57" t="n">
        <f aca="false">IF(OR(OR($B402="",$E402="",$F402=""),L402&lt;&gt;"لا"),0,MAX(0,MIN(F402,cfg_VAL_DATE)-E402+1))</f>
        <v>0</v>
      </c>
      <c r="T402" s="57" t="n">
        <f aca="false">IF(OR(OR($B402="",$E402="",$F402=""),K402&lt;&gt;"نعم"),0,IF(M402="نعم",IF(AND(ISNUMBER(O402),N(O402)&lt;=cfg_VAL_M),G402,0),MAX(0,MIN(F402,cfg_VAL_DATE)-MAX(E402,cfg_Y_START)+1)))</f>
        <v>0</v>
      </c>
      <c r="V402" s="57" t="n">
        <f aca="false">IF(OR($B402="",$E402="",$F402=""),0,MAX(0,MIN($F402,EOMONTH(DATE(cfg_FY,1,1),0))-MAX($E402,DATE(cfg_FY,1,1))+1)*(1-IF($M402="نعم",0,N($J402))))</f>
        <v>0</v>
      </c>
      <c r="W402" s="57" t="n">
        <f aca="false">IF(OR($B402="",$E402="",$F402=""),0,MAX(0,MIN($F402,EOMONTH(DATE(cfg_FY,2,1),0))-MAX($E402,DATE(cfg_FY,2,1))+1)*(1-IF($M402="نعم",0,N($J402))))</f>
        <v>0</v>
      </c>
      <c r="X402" s="57" t="n">
        <f aca="false">IF(OR($B402="",$E402="",$F402=""),0,MAX(0,MIN($F402,EOMONTH(DATE(cfg_FY,3,1),0))-MAX($E402,DATE(cfg_FY,3,1))+1)*(1-IF($M402="نعم",0,N($J402))))</f>
        <v>0</v>
      </c>
      <c r="Y402" s="57" t="n">
        <f aca="false">IF(OR($B402="",$E402="",$F402=""),0,MAX(0,MIN($F402,EOMONTH(DATE(cfg_FY,4,1),0))-MAX($E402,DATE(cfg_FY,4,1))+1)*(1-IF($M402="نعم",0,N($J402))))</f>
        <v>0</v>
      </c>
      <c r="Z402" s="57" t="n">
        <f aca="false">IF(OR($B402="",$E402="",$F402=""),0,MAX(0,MIN($F402,EOMONTH(DATE(cfg_FY,5,1),0))-MAX($E402,DATE(cfg_FY,5,1))+1)*(1-IF($M402="نعم",0,N($J402))))</f>
        <v>0</v>
      </c>
      <c r="AA402" s="57" t="n">
        <f aca="false">IF(OR($B402="",$E402="",$F402=""),0,MAX(0,MIN($F402,EOMONTH(DATE(cfg_FY,6,1),0))-MAX($E402,DATE(cfg_FY,6,1))+1)*(1-IF($M402="نعم",0,N($J402))))</f>
        <v>0</v>
      </c>
      <c r="AB402" s="57" t="n">
        <f aca="false">IF(OR($B402="",$E402="",$F402=""),0,MAX(0,MIN($F402,EOMONTH(DATE(cfg_FY,7,1),0))-MAX($E402,DATE(cfg_FY,7,1))+1)*(1-IF($M402="نعم",0,N($J402))))</f>
        <v>0</v>
      </c>
      <c r="AC402" s="57" t="n">
        <f aca="false">IF(OR($B402="",$E402="",$F402=""),0,MAX(0,MIN($F402,EOMONTH(DATE(cfg_FY,8,1),0))-MAX($E402,DATE(cfg_FY,8,1))+1)*(1-IF($M402="نعم",0,N($J402))))</f>
        <v>0</v>
      </c>
      <c r="AD402" s="57" t="n">
        <f aca="false">IF(OR($B402="",$E402="",$F402=""),0,MAX(0,MIN($F402,EOMONTH(DATE(cfg_FY,9,1),0))-MAX($E402,DATE(cfg_FY,9,1))+1)*(1-IF($M402="نعم",0,N($J402))))</f>
        <v>0</v>
      </c>
      <c r="AE402" s="57" t="n">
        <f aca="false">IF(OR($B402="",$E402="",$F402=""),0,MAX(0,MIN($F402,EOMONTH(DATE(cfg_FY,10,1),0))-MAX($E402,DATE(cfg_FY,10,1))+1)*(1-IF($M402="نعم",0,N($J402))))</f>
        <v>0</v>
      </c>
      <c r="AF402" s="57" t="n">
        <f aca="false">IF(OR($B402="",$E402="",$F402=""),0,MAX(0,MIN($F402,EOMONTH(DATE(cfg_FY,11,1),0))-MAX($E402,DATE(cfg_FY,11,1))+1)*(1-IF($M402="نعم",0,N($J402))))</f>
        <v>0</v>
      </c>
      <c r="AG402" s="57" t="n">
        <f aca="false">IF(OR($B402="",$E402="",$F402=""),0,MAX(0,MIN($F402,EOMONTH(DATE(cfg_FY,12,1),0))-MAX($E402,DATE(cfg_FY,12,1))+1)*(1-IF($M402="نعم",0,N($J402))))</f>
        <v>0</v>
      </c>
      <c r="AH402" s="57" t="n">
        <f aca="false">IF(OR(OR($B402="",$E402="",$F402=""),$L402&lt;&gt;"لا"),0,MAX(0,MIN($F402,EOMONTH(DATE(cfg_FY,1,1),0))-$E402+1))</f>
        <v>0</v>
      </c>
      <c r="AI402" s="57" t="n">
        <f aca="false">IF(OR(OR($B402="",$E402="",$F402=""),$L402&lt;&gt;"لا"),0,MAX(0,MIN($F402,EOMONTH(DATE(cfg_FY,2,1),0))-$E402+1))</f>
        <v>0</v>
      </c>
      <c r="AJ402" s="57" t="n">
        <f aca="false">IF(OR(OR($B402="",$E402="",$F402=""),$L402&lt;&gt;"لا"),0,MAX(0,MIN($F402,EOMONTH(DATE(cfg_FY,3,1),0))-$E402+1))</f>
        <v>0</v>
      </c>
      <c r="AK402" s="57" t="n">
        <f aca="false">IF(OR(OR($B402="",$E402="",$F402=""),$L402&lt;&gt;"لا"),0,MAX(0,MIN($F402,EOMONTH(DATE(cfg_FY,4,1),0))-$E402+1))</f>
        <v>0</v>
      </c>
      <c r="AL402" s="57" t="n">
        <f aca="false">IF(OR(OR($B402="",$E402="",$F402=""),$L402&lt;&gt;"لا"),0,MAX(0,MIN($F402,EOMONTH(DATE(cfg_FY,5,1),0))-$E402+1))</f>
        <v>0</v>
      </c>
      <c r="AM402" s="57" t="n">
        <f aca="false">IF(OR(OR($B402="",$E402="",$F402=""),$L402&lt;&gt;"لا"),0,MAX(0,MIN($F402,EOMONTH(DATE(cfg_FY,6,1),0))-$E402+1))</f>
        <v>0</v>
      </c>
      <c r="AN402" s="57" t="n">
        <f aca="false">IF(OR(OR($B402="",$E402="",$F402=""),$L402&lt;&gt;"لا"),0,MAX(0,MIN($F402,EOMONTH(DATE(cfg_FY,7,1),0))-$E402+1))</f>
        <v>0</v>
      </c>
      <c r="AO402" s="57" t="n">
        <f aca="false">IF(OR(OR($B402="",$E402="",$F402=""),$L402&lt;&gt;"لا"),0,MAX(0,MIN($F402,EOMONTH(DATE(cfg_FY,8,1),0))-$E402+1))</f>
        <v>0</v>
      </c>
      <c r="AP402" s="57" t="n">
        <f aca="false">IF(OR(OR($B402="",$E402="",$F402=""),$L402&lt;&gt;"لا"),0,MAX(0,MIN($F402,EOMONTH(DATE(cfg_FY,9,1),0))-$E402+1))</f>
        <v>0</v>
      </c>
      <c r="AQ402" s="57" t="n">
        <f aca="false">IF(OR(OR($B402="",$E402="",$F402=""),$L402&lt;&gt;"لا"),0,MAX(0,MIN($F402,EOMONTH(DATE(cfg_FY,10,1),0))-$E402+1))</f>
        <v>0</v>
      </c>
      <c r="AR402" s="57" t="n">
        <f aca="false">IF(OR(OR($B402="",$E402="",$F402=""),$L402&lt;&gt;"لا"),0,MAX(0,MIN($F402,EOMONTH(DATE(cfg_FY,11,1),0))-$E402+1))</f>
        <v>0</v>
      </c>
      <c r="AS402" s="57" t="n">
        <f aca="false">IF(OR(OR($B402="",$E402="",$F402=""),$L402&lt;&gt;"لا"),0,MAX(0,MIN($F402,EOMONTH(DATE(cfg_FY,12,1),0))-$E402+1))</f>
        <v>0</v>
      </c>
      <c r="AT402" s="57" t="n">
        <f aca="false">IF(OR(OR($B402="",$E402="",$F402=""),$K402&lt;&gt;"نعم",$M402="نعم"),0,MAX(0,MIN($F402,EOMONTH(DATE(cfg_FY,1,1),0))-MAX($E402,DATE(cfg_FY,1,1))+1))</f>
        <v>0</v>
      </c>
      <c r="AU402" s="57" t="n">
        <f aca="false">IF(OR(OR($B402="",$E402="",$F402=""),$K402&lt;&gt;"نعم",$M402="نعم"),0,MAX(0,MIN($F402,EOMONTH(DATE(cfg_FY,2,1),0))-MAX($E402,DATE(cfg_FY,2,1))+1))</f>
        <v>0</v>
      </c>
      <c r="AV402" s="57" t="n">
        <f aca="false">IF(OR(OR($B402="",$E402="",$F402=""),$K402&lt;&gt;"نعم",$M402="نعم"),0,MAX(0,MIN($F402,EOMONTH(DATE(cfg_FY,3,1),0))-MAX($E402,DATE(cfg_FY,3,1))+1))</f>
        <v>0</v>
      </c>
      <c r="AW402" s="57" t="n">
        <f aca="false">IF(OR(OR($B402="",$E402="",$F402=""),$K402&lt;&gt;"نعم",$M402="نعم"),0,MAX(0,MIN($F402,EOMONTH(DATE(cfg_FY,4,1),0))-MAX($E402,DATE(cfg_FY,4,1))+1))</f>
        <v>0</v>
      </c>
      <c r="AX402" s="57" t="n">
        <f aca="false">IF(OR(OR($B402="",$E402="",$F402=""),$K402&lt;&gt;"نعم",$M402="نعم"),0,MAX(0,MIN($F402,EOMONTH(DATE(cfg_FY,5,1),0))-MAX($E402,DATE(cfg_FY,5,1))+1))</f>
        <v>0</v>
      </c>
      <c r="AY402" s="57" t="n">
        <f aca="false">IF(OR(OR($B402="",$E402="",$F402=""),$K402&lt;&gt;"نعم",$M402="نعم"),0,MAX(0,MIN($F402,EOMONTH(DATE(cfg_FY,6,1),0))-MAX($E402,DATE(cfg_FY,6,1))+1))</f>
        <v>0</v>
      </c>
      <c r="AZ402" s="57" t="n">
        <f aca="false">IF(OR(OR($B402="",$E402="",$F402=""),$K402&lt;&gt;"نعم",$M402="نعم"),0,MAX(0,MIN($F402,EOMONTH(DATE(cfg_FY,7,1),0))-MAX($E402,DATE(cfg_FY,7,1))+1))</f>
        <v>0</v>
      </c>
      <c r="BA402" s="57" t="n">
        <f aca="false">IF(OR(OR($B402="",$E402="",$F402=""),$K402&lt;&gt;"نعم",$M402="نعم"),0,MAX(0,MIN($F402,EOMONTH(DATE(cfg_FY,8,1),0))-MAX($E402,DATE(cfg_FY,8,1))+1))</f>
        <v>0</v>
      </c>
      <c r="BB402" s="57" t="n">
        <f aca="false">IF(OR(OR($B402="",$E402="",$F402=""),$K402&lt;&gt;"نعم",$M402="نعم"),0,MAX(0,MIN($F402,EOMONTH(DATE(cfg_FY,9,1),0))-MAX($E402,DATE(cfg_FY,9,1))+1))</f>
        <v>0</v>
      </c>
      <c r="BC402" s="57" t="n">
        <f aca="false">IF(OR(OR($B402="",$E402="",$F402=""),$K402&lt;&gt;"نعم",$M402="نعم"),0,MAX(0,MIN($F402,EOMONTH(DATE(cfg_FY,10,1),0))-MAX($E402,DATE(cfg_FY,10,1))+1))</f>
        <v>0</v>
      </c>
      <c r="BD402" s="57" t="n">
        <f aca="false">IF(OR(OR($B402="",$E402="",$F402=""),$K402&lt;&gt;"نعم",$M402="نعم"),0,MAX(0,MIN($F402,EOMONTH(DATE(cfg_FY,11,1),0))-MAX($E402,DATE(cfg_FY,11,1))+1))</f>
        <v>0</v>
      </c>
      <c r="BE402" s="57" t="n">
        <f aca="false">IF(OR(OR($B402="",$E402="",$F402=""),$K402&lt;&gt;"نعم",$M402="نعم"),0,MAX(0,MIN($F402,EOMONTH(DATE(cfg_FY,12,1),0))-MAX($E402,DATE(cfg_FY,12,1))+1))</f>
        <v>0</v>
      </c>
    </row>
    <row r="403" customFormat="false" ht="15" hidden="false" customHeight="false" outlineLevel="0" collapsed="false">
      <c r="A403" s="100" t="str">
        <f aca="false">IF(B403="","",ROW()-5)</f>
        <v/>
      </c>
      <c r="B403" s="79"/>
      <c r="C403" s="102" t="str">
        <f aca="false">IF(B403="","",IFERROR(INDEX(الموظفون!$C$6:$C$105,MATCH(B403,الموظفون!$B$6:$B$105,0)),"✖ رقم غير موجود"))</f>
        <v/>
      </c>
      <c r="D403" s="79"/>
      <c r="E403" s="94"/>
      <c r="F403" s="94"/>
      <c r="G403" s="110" t="str">
        <f aca="false">IF(OR($B403="",$E403="",$F403=""),"",MAX(0,F403-E403+1))</f>
        <v/>
      </c>
      <c r="H403" s="111" t="str">
        <f aca="false">IF(D403="","",IFERROR(VLOOKUP(D403,cfg_LT,2,FALSE()),1))</f>
        <v/>
      </c>
      <c r="I403" s="82"/>
      <c r="J403" s="111" t="str">
        <f aca="false">IF(D403="","",IF(I403&lt;&gt;"",I403,H403))</f>
        <v/>
      </c>
      <c r="K403" s="102" t="str">
        <f aca="false">IF(D403="","",IFERROR(VLOOKUP($D403,cfg_LT,3,FALSE()),""))</f>
        <v/>
      </c>
      <c r="L403" s="102" t="str">
        <f aca="false">IF(D403="","",IFERROR(VLOOKUP($D403,cfg_LT,4,FALSE()),""))</f>
        <v/>
      </c>
      <c r="M403" s="102" t="str">
        <f aca="false">IF(D403="","",IFERROR(VLOOKUP($D403,cfg_LT,5,FALSE()),""))</f>
        <v/>
      </c>
      <c r="N403" s="101" t="n">
        <f aca="false">IF(OR(OR($B403="",$E403="",$F403=""),M403&lt;&gt;"نعم"),0,G403*J403*IFERROR(INDEX(الموظفون!$R$6:$R$105,MATCH(B403,الموظفون!$B$6:$B$105,0)),0)/cfg_DAYS_M)</f>
        <v>0</v>
      </c>
      <c r="O403" s="100" t="str">
        <f aca="false">IF(OR(OR($B403="",$E403="",$F403=""),M403&lt;&gt;"نعم"),"",IF(YEAR(E403)=cfg_FY,MONTH(E403),""))</f>
        <v/>
      </c>
      <c r="P403" s="102" t="str">
        <f aca="false">IF(B403="","",IF(OR(D403="",E403="",F403=""),"⚠ أكمل النوع والتواريخ",IF(F403&lt;E403,"✖ النهاية قبل البداية",IF(COUNTIFS($B$6:$B$505,B403,$E$6:$E$505,"&lt;="&amp;F403,$F$6:$F$505,"&gt;="&amp;E403)&gt;1,"⚠ تداخل مع سجل آخر",IF(E403&gt;cfg_VAL_DATE,"⏳ قادمة",IF(F403&lt;cfg_VAL_DATE,"✔ منتهية","✈ جارية في تاريخ التقرير"))))))</f>
        <v/>
      </c>
      <c r="Q403" s="79"/>
      <c r="R403" s="110" t="n">
        <f aca="false">IF(OR(OR($B403="",$E403="",$F403=""),L403&lt;&gt;"لا"),0,MAX(0,MIN(F403,cfg_Y_START-1)-E403+1))</f>
        <v>0</v>
      </c>
      <c r="S403" s="110" t="n">
        <f aca="false">IF(OR(OR($B403="",$E403="",$F403=""),L403&lt;&gt;"لا"),0,MAX(0,MIN(F403,cfg_VAL_DATE)-E403+1))</f>
        <v>0</v>
      </c>
      <c r="T403" s="110" t="n">
        <f aca="false">IF(OR(OR($B403="",$E403="",$F403=""),K403&lt;&gt;"نعم"),0,IF(M403="نعم",IF(AND(ISNUMBER(O403),N(O403)&lt;=cfg_VAL_M),G403,0),MAX(0,MIN(F403,cfg_VAL_DATE)-MAX(E403,cfg_Y_START)+1)))</f>
        <v>0</v>
      </c>
      <c r="V403" s="110" t="n">
        <f aca="false">IF(OR($B403="",$E403="",$F403=""),0,MAX(0,MIN($F403,EOMONTH(DATE(cfg_FY,1,1),0))-MAX($E403,DATE(cfg_FY,1,1))+1)*(1-IF($M403="نعم",0,N($J403))))</f>
        <v>0</v>
      </c>
      <c r="W403" s="110" t="n">
        <f aca="false">IF(OR($B403="",$E403="",$F403=""),0,MAX(0,MIN($F403,EOMONTH(DATE(cfg_FY,2,1),0))-MAX($E403,DATE(cfg_FY,2,1))+1)*(1-IF($M403="نعم",0,N($J403))))</f>
        <v>0</v>
      </c>
      <c r="X403" s="110" t="n">
        <f aca="false">IF(OR($B403="",$E403="",$F403=""),0,MAX(0,MIN($F403,EOMONTH(DATE(cfg_FY,3,1),0))-MAX($E403,DATE(cfg_FY,3,1))+1)*(1-IF($M403="نعم",0,N($J403))))</f>
        <v>0</v>
      </c>
      <c r="Y403" s="110" t="n">
        <f aca="false">IF(OR($B403="",$E403="",$F403=""),0,MAX(0,MIN($F403,EOMONTH(DATE(cfg_FY,4,1),0))-MAX($E403,DATE(cfg_FY,4,1))+1)*(1-IF($M403="نعم",0,N($J403))))</f>
        <v>0</v>
      </c>
      <c r="Z403" s="110" t="n">
        <f aca="false">IF(OR($B403="",$E403="",$F403=""),0,MAX(0,MIN($F403,EOMONTH(DATE(cfg_FY,5,1),0))-MAX($E403,DATE(cfg_FY,5,1))+1)*(1-IF($M403="نعم",0,N($J403))))</f>
        <v>0</v>
      </c>
      <c r="AA403" s="110" t="n">
        <f aca="false">IF(OR($B403="",$E403="",$F403=""),0,MAX(0,MIN($F403,EOMONTH(DATE(cfg_FY,6,1),0))-MAX($E403,DATE(cfg_FY,6,1))+1)*(1-IF($M403="نعم",0,N($J403))))</f>
        <v>0</v>
      </c>
      <c r="AB403" s="110" t="n">
        <f aca="false">IF(OR($B403="",$E403="",$F403=""),0,MAX(0,MIN($F403,EOMONTH(DATE(cfg_FY,7,1),0))-MAX($E403,DATE(cfg_FY,7,1))+1)*(1-IF($M403="نعم",0,N($J403))))</f>
        <v>0</v>
      </c>
      <c r="AC403" s="110" t="n">
        <f aca="false">IF(OR($B403="",$E403="",$F403=""),0,MAX(0,MIN($F403,EOMONTH(DATE(cfg_FY,8,1),0))-MAX($E403,DATE(cfg_FY,8,1))+1)*(1-IF($M403="نعم",0,N($J403))))</f>
        <v>0</v>
      </c>
      <c r="AD403" s="110" t="n">
        <f aca="false">IF(OR($B403="",$E403="",$F403=""),0,MAX(0,MIN($F403,EOMONTH(DATE(cfg_FY,9,1),0))-MAX($E403,DATE(cfg_FY,9,1))+1)*(1-IF($M403="نعم",0,N($J403))))</f>
        <v>0</v>
      </c>
      <c r="AE403" s="110" t="n">
        <f aca="false">IF(OR($B403="",$E403="",$F403=""),0,MAX(0,MIN($F403,EOMONTH(DATE(cfg_FY,10,1),0))-MAX($E403,DATE(cfg_FY,10,1))+1)*(1-IF($M403="نعم",0,N($J403))))</f>
        <v>0</v>
      </c>
      <c r="AF403" s="110" t="n">
        <f aca="false">IF(OR($B403="",$E403="",$F403=""),0,MAX(0,MIN($F403,EOMONTH(DATE(cfg_FY,11,1),0))-MAX($E403,DATE(cfg_FY,11,1))+1)*(1-IF($M403="نعم",0,N($J403))))</f>
        <v>0</v>
      </c>
      <c r="AG403" s="110" t="n">
        <f aca="false">IF(OR($B403="",$E403="",$F403=""),0,MAX(0,MIN($F403,EOMONTH(DATE(cfg_FY,12,1),0))-MAX($E403,DATE(cfg_FY,12,1))+1)*(1-IF($M403="نعم",0,N($J403))))</f>
        <v>0</v>
      </c>
      <c r="AH403" s="110" t="n">
        <f aca="false">IF(OR(OR($B403="",$E403="",$F403=""),$L403&lt;&gt;"لا"),0,MAX(0,MIN($F403,EOMONTH(DATE(cfg_FY,1,1),0))-$E403+1))</f>
        <v>0</v>
      </c>
      <c r="AI403" s="110" t="n">
        <f aca="false">IF(OR(OR($B403="",$E403="",$F403=""),$L403&lt;&gt;"لا"),0,MAX(0,MIN($F403,EOMONTH(DATE(cfg_FY,2,1),0))-$E403+1))</f>
        <v>0</v>
      </c>
      <c r="AJ403" s="110" t="n">
        <f aca="false">IF(OR(OR($B403="",$E403="",$F403=""),$L403&lt;&gt;"لا"),0,MAX(0,MIN($F403,EOMONTH(DATE(cfg_FY,3,1),0))-$E403+1))</f>
        <v>0</v>
      </c>
      <c r="AK403" s="110" t="n">
        <f aca="false">IF(OR(OR($B403="",$E403="",$F403=""),$L403&lt;&gt;"لا"),0,MAX(0,MIN($F403,EOMONTH(DATE(cfg_FY,4,1),0))-$E403+1))</f>
        <v>0</v>
      </c>
      <c r="AL403" s="110" t="n">
        <f aca="false">IF(OR(OR($B403="",$E403="",$F403=""),$L403&lt;&gt;"لا"),0,MAX(0,MIN($F403,EOMONTH(DATE(cfg_FY,5,1),0))-$E403+1))</f>
        <v>0</v>
      </c>
      <c r="AM403" s="110" t="n">
        <f aca="false">IF(OR(OR($B403="",$E403="",$F403=""),$L403&lt;&gt;"لا"),0,MAX(0,MIN($F403,EOMONTH(DATE(cfg_FY,6,1),0))-$E403+1))</f>
        <v>0</v>
      </c>
      <c r="AN403" s="110" t="n">
        <f aca="false">IF(OR(OR($B403="",$E403="",$F403=""),$L403&lt;&gt;"لا"),0,MAX(0,MIN($F403,EOMONTH(DATE(cfg_FY,7,1),0))-$E403+1))</f>
        <v>0</v>
      </c>
      <c r="AO403" s="110" t="n">
        <f aca="false">IF(OR(OR($B403="",$E403="",$F403=""),$L403&lt;&gt;"لا"),0,MAX(0,MIN($F403,EOMONTH(DATE(cfg_FY,8,1),0))-$E403+1))</f>
        <v>0</v>
      </c>
      <c r="AP403" s="110" t="n">
        <f aca="false">IF(OR(OR($B403="",$E403="",$F403=""),$L403&lt;&gt;"لا"),0,MAX(0,MIN($F403,EOMONTH(DATE(cfg_FY,9,1),0))-$E403+1))</f>
        <v>0</v>
      </c>
      <c r="AQ403" s="110" t="n">
        <f aca="false">IF(OR(OR($B403="",$E403="",$F403=""),$L403&lt;&gt;"لا"),0,MAX(0,MIN($F403,EOMONTH(DATE(cfg_FY,10,1),0))-$E403+1))</f>
        <v>0</v>
      </c>
      <c r="AR403" s="110" t="n">
        <f aca="false">IF(OR(OR($B403="",$E403="",$F403=""),$L403&lt;&gt;"لا"),0,MAX(0,MIN($F403,EOMONTH(DATE(cfg_FY,11,1),0))-$E403+1))</f>
        <v>0</v>
      </c>
      <c r="AS403" s="110" t="n">
        <f aca="false">IF(OR(OR($B403="",$E403="",$F403=""),$L403&lt;&gt;"لا"),0,MAX(0,MIN($F403,EOMONTH(DATE(cfg_FY,12,1),0))-$E403+1))</f>
        <v>0</v>
      </c>
      <c r="AT403" s="110" t="n">
        <f aca="false">IF(OR(OR($B403="",$E403="",$F403=""),$K403&lt;&gt;"نعم",$M403="نعم"),0,MAX(0,MIN($F403,EOMONTH(DATE(cfg_FY,1,1),0))-MAX($E403,DATE(cfg_FY,1,1))+1))</f>
        <v>0</v>
      </c>
      <c r="AU403" s="110" t="n">
        <f aca="false">IF(OR(OR($B403="",$E403="",$F403=""),$K403&lt;&gt;"نعم",$M403="نعم"),0,MAX(0,MIN($F403,EOMONTH(DATE(cfg_FY,2,1),0))-MAX($E403,DATE(cfg_FY,2,1))+1))</f>
        <v>0</v>
      </c>
      <c r="AV403" s="110" t="n">
        <f aca="false">IF(OR(OR($B403="",$E403="",$F403=""),$K403&lt;&gt;"نعم",$M403="نعم"),0,MAX(0,MIN($F403,EOMONTH(DATE(cfg_FY,3,1),0))-MAX($E403,DATE(cfg_FY,3,1))+1))</f>
        <v>0</v>
      </c>
      <c r="AW403" s="110" t="n">
        <f aca="false">IF(OR(OR($B403="",$E403="",$F403=""),$K403&lt;&gt;"نعم",$M403="نعم"),0,MAX(0,MIN($F403,EOMONTH(DATE(cfg_FY,4,1),0))-MAX($E403,DATE(cfg_FY,4,1))+1))</f>
        <v>0</v>
      </c>
      <c r="AX403" s="110" t="n">
        <f aca="false">IF(OR(OR($B403="",$E403="",$F403=""),$K403&lt;&gt;"نعم",$M403="نعم"),0,MAX(0,MIN($F403,EOMONTH(DATE(cfg_FY,5,1),0))-MAX($E403,DATE(cfg_FY,5,1))+1))</f>
        <v>0</v>
      </c>
      <c r="AY403" s="110" t="n">
        <f aca="false">IF(OR(OR($B403="",$E403="",$F403=""),$K403&lt;&gt;"نعم",$M403="نعم"),0,MAX(0,MIN($F403,EOMONTH(DATE(cfg_FY,6,1),0))-MAX($E403,DATE(cfg_FY,6,1))+1))</f>
        <v>0</v>
      </c>
      <c r="AZ403" s="110" t="n">
        <f aca="false">IF(OR(OR($B403="",$E403="",$F403=""),$K403&lt;&gt;"نعم",$M403="نعم"),0,MAX(0,MIN($F403,EOMONTH(DATE(cfg_FY,7,1),0))-MAX($E403,DATE(cfg_FY,7,1))+1))</f>
        <v>0</v>
      </c>
      <c r="BA403" s="110" t="n">
        <f aca="false">IF(OR(OR($B403="",$E403="",$F403=""),$K403&lt;&gt;"نعم",$M403="نعم"),0,MAX(0,MIN($F403,EOMONTH(DATE(cfg_FY,8,1),0))-MAX($E403,DATE(cfg_FY,8,1))+1))</f>
        <v>0</v>
      </c>
      <c r="BB403" s="110" t="n">
        <f aca="false">IF(OR(OR($B403="",$E403="",$F403=""),$K403&lt;&gt;"نعم",$M403="نعم"),0,MAX(0,MIN($F403,EOMONTH(DATE(cfg_FY,9,1),0))-MAX($E403,DATE(cfg_FY,9,1))+1))</f>
        <v>0</v>
      </c>
      <c r="BC403" s="110" t="n">
        <f aca="false">IF(OR(OR($B403="",$E403="",$F403=""),$K403&lt;&gt;"نعم",$M403="نعم"),0,MAX(0,MIN($F403,EOMONTH(DATE(cfg_FY,10,1),0))-MAX($E403,DATE(cfg_FY,10,1))+1))</f>
        <v>0</v>
      </c>
      <c r="BD403" s="110" t="n">
        <f aca="false">IF(OR(OR($B403="",$E403="",$F403=""),$K403&lt;&gt;"نعم",$M403="نعم"),0,MAX(0,MIN($F403,EOMONTH(DATE(cfg_FY,11,1),0))-MAX($E403,DATE(cfg_FY,11,1))+1))</f>
        <v>0</v>
      </c>
      <c r="BE403" s="110" t="n">
        <f aca="false">IF(OR(OR($B403="",$E403="",$F403=""),$K403&lt;&gt;"نعم",$M403="نعم"),0,MAX(0,MIN($F403,EOMONTH(DATE(cfg_FY,12,1),0))-MAX($E403,DATE(cfg_FY,12,1))+1))</f>
        <v>0</v>
      </c>
    </row>
    <row r="404" customFormat="false" ht="15" hidden="false" customHeight="false" outlineLevel="0" collapsed="false">
      <c r="A404" s="93" t="str">
        <f aca="false">IF(B404="","",ROW()-5)</f>
        <v/>
      </c>
      <c r="B404" s="79"/>
      <c r="C404" s="80" t="str">
        <f aca="false">IF(B404="","",IFERROR(INDEX(الموظفون!$C$6:$C$105,MATCH(B404,الموظفون!$B$6:$B$105,0)),"✖ رقم غير موجود"))</f>
        <v/>
      </c>
      <c r="D404" s="79"/>
      <c r="E404" s="94"/>
      <c r="F404" s="94"/>
      <c r="G404" s="57" t="str">
        <f aca="false">IF(OR($B404="",$E404="",$F404=""),"",MAX(0,F404-E404+1))</f>
        <v/>
      </c>
      <c r="H404" s="58" t="str">
        <f aca="false">IF(D404="","",IFERROR(VLOOKUP(D404,cfg_LT,2,FALSE()),1))</f>
        <v/>
      </c>
      <c r="I404" s="82"/>
      <c r="J404" s="58" t="str">
        <f aca="false">IF(D404="","",IF(I404&lt;&gt;"",I404,H404))</f>
        <v/>
      </c>
      <c r="K404" s="80" t="str">
        <f aca="false">IF(D404="","",IFERROR(VLOOKUP($D404,cfg_LT,3,FALSE()),""))</f>
        <v/>
      </c>
      <c r="L404" s="80" t="str">
        <f aca="false">IF(D404="","",IFERROR(VLOOKUP($D404,cfg_LT,4,FALSE()),""))</f>
        <v/>
      </c>
      <c r="M404" s="80" t="str">
        <f aca="false">IF(D404="","",IFERROR(VLOOKUP($D404,cfg_LT,5,FALSE()),""))</f>
        <v/>
      </c>
      <c r="N404" s="97" t="n">
        <f aca="false">IF(OR(OR($B404="",$E404="",$F404=""),M404&lt;&gt;"نعم"),0,G404*J404*IFERROR(INDEX(الموظفون!$R$6:$R$105,MATCH(B404,الموظفون!$B$6:$B$105,0)),0)/cfg_DAYS_M)</f>
        <v>0</v>
      </c>
      <c r="O404" s="93" t="str">
        <f aca="false">IF(OR(OR($B404="",$E404="",$F404=""),M404&lt;&gt;"نعم"),"",IF(YEAR(E404)=cfg_FY,MONTH(E404),""))</f>
        <v/>
      </c>
      <c r="P404" s="80" t="str">
        <f aca="false">IF(B404="","",IF(OR(D404="",E404="",F404=""),"⚠ أكمل النوع والتواريخ",IF(F404&lt;E404,"✖ النهاية قبل البداية",IF(COUNTIFS($B$6:$B$505,B404,$E$6:$E$505,"&lt;="&amp;F404,$F$6:$F$505,"&gt;="&amp;E404)&gt;1,"⚠ تداخل مع سجل آخر",IF(E404&gt;cfg_VAL_DATE,"⏳ قادمة",IF(F404&lt;cfg_VAL_DATE,"✔ منتهية","✈ جارية في تاريخ التقرير"))))))</f>
        <v/>
      </c>
      <c r="Q404" s="79"/>
      <c r="R404" s="57" t="n">
        <f aca="false">IF(OR(OR($B404="",$E404="",$F404=""),L404&lt;&gt;"لا"),0,MAX(0,MIN(F404,cfg_Y_START-1)-E404+1))</f>
        <v>0</v>
      </c>
      <c r="S404" s="57" t="n">
        <f aca="false">IF(OR(OR($B404="",$E404="",$F404=""),L404&lt;&gt;"لا"),0,MAX(0,MIN(F404,cfg_VAL_DATE)-E404+1))</f>
        <v>0</v>
      </c>
      <c r="T404" s="57" t="n">
        <f aca="false">IF(OR(OR($B404="",$E404="",$F404=""),K404&lt;&gt;"نعم"),0,IF(M404="نعم",IF(AND(ISNUMBER(O404),N(O404)&lt;=cfg_VAL_M),G404,0),MAX(0,MIN(F404,cfg_VAL_DATE)-MAX(E404,cfg_Y_START)+1)))</f>
        <v>0</v>
      </c>
      <c r="V404" s="57" t="n">
        <f aca="false">IF(OR($B404="",$E404="",$F404=""),0,MAX(0,MIN($F404,EOMONTH(DATE(cfg_FY,1,1),0))-MAX($E404,DATE(cfg_FY,1,1))+1)*(1-IF($M404="نعم",0,N($J404))))</f>
        <v>0</v>
      </c>
      <c r="W404" s="57" t="n">
        <f aca="false">IF(OR($B404="",$E404="",$F404=""),0,MAX(0,MIN($F404,EOMONTH(DATE(cfg_FY,2,1),0))-MAX($E404,DATE(cfg_FY,2,1))+1)*(1-IF($M404="نعم",0,N($J404))))</f>
        <v>0</v>
      </c>
      <c r="X404" s="57" t="n">
        <f aca="false">IF(OR($B404="",$E404="",$F404=""),0,MAX(0,MIN($F404,EOMONTH(DATE(cfg_FY,3,1),0))-MAX($E404,DATE(cfg_FY,3,1))+1)*(1-IF($M404="نعم",0,N($J404))))</f>
        <v>0</v>
      </c>
      <c r="Y404" s="57" t="n">
        <f aca="false">IF(OR($B404="",$E404="",$F404=""),0,MAX(0,MIN($F404,EOMONTH(DATE(cfg_FY,4,1),0))-MAX($E404,DATE(cfg_FY,4,1))+1)*(1-IF($M404="نعم",0,N($J404))))</f>
        <v>0</v>
      </c>
      <c r="Z404" s="57" t="n">
        <f aca="false">IF(OR($B404="",$E404="",$F404=""),0,MAX(0,MIN($F404,EOMONTH(DATE(cfg_FY,5,1),0))-MAX($E404,DATE(cfg_FY,5,1))+1)*(1-IF($M404="نعم",0,N($J404))))</f>
        <v>0</v>
      </c>
      <c r="AA404" s="57" t="n">
        <f aca="false">IF(OR($B404="",$E404="",$F404=""),0,MAX(0,MIN($F404,EOMONTH(DATE(cfg_FY,6,1),0))-MAX($E404,DATE(cfg_FY,6,1))+1)*(1-IF($M404="نعم",0,N($J404))))</f>
        <v>0</v>
      </c>
      <c r="AB404" s="57" t="n">
        <f aca="false">IF(OR($B404="",$E404="",$F404=""),0,MAX(0,MIN($F404,EOMONTH(DATE(cfg_FY,7,1),0))-MAX($E404,DATE(cfg_FY,7,1))+1)*(1-IF($M404="نعم",0,N($J404))))</f>
        <v>0</v>
      </c>
      <c r="AC404" s="57" t="n">
        <f aca="false">IF(OR($B404="",$E404="",$F404=""),0,MAX(0,MIN($F404,EOMONTH(DATE(cfg_FY,8,1),0))-MAX($E404,DATE(cfg_FY,8,1))+1)*(1-IF($M404="نعم",0,N($J404))))</f>
        <v>0</v>
      </c>
      <c r="AD404" s="57" t="n">
        <f aca="false">IF(OR($B404="",$E404="",$F404=""),0,MAX(0,MIN($F404,EOMONTH(DATE(cfg_FY,9,1),0))-MAX($E404,DATE(cfg_FY,9,1))+1)*(1-IF($M404="نعم",0,N($J404))))</f>
        <v>0</v>
      </c>
      <c r="AE404" s="57" t="n">
        <f aca="false">IF(OR($B404="",$E404="",$F404=""),0,MAX(0,MIN($F404,EOMONTH(DATE(cfg_FY,10,1),0))-MAX($E404,DATE(cfg_FY,10,1))+1)*(1-IF($M404="نعم",0,N($J404))))</f>
        <v>0</v>
      </c>
      <c r="AF404" s="57" t="n">
        <f aca="false">IF(OR($B404="",$E404="",$F404=""),0,MAX(0,MIN($F404,EOMONTH(DATE(cfg_FY,11,1),0))-MAX($E404,DATE(cfg_FY,11,1))+1)*(1-IF($M404="نعم",0,N($J404))))</f>
        <v>0</v>
      </c>
      <c r="AG404" s="57" t="n">
        <f aca="false">IF(OR($B404="",$E404="",$F404=""),0,MAX(0,MIN($F404,EOMONTH(DATE(cfg_FY,12,1),0))-MAX($E404,DATE(cfg_FY,12,1))+1)*(1-IF($M404="نعم",0,N($J404))))</f>
        <v>0</v>
      </c>
      <c r="AH404" s="57" t="n">
        <f aca="false">IF(OR(OR($B404="",$E404="",$F404=""),$L404&lt;&gt;"لا"),0,MAX(0,MIN($F404,EOMONTH(DATE(cfg_FY,1,1),0))-$E404+1))</f>
        <v>0</v>
      </c>
      <c r="AI404" s="57" t="n">
        <f aca="false">IF(OR(OR($B404="",$E404="",$F404=""),$L404&lt;&gt;"لا"),0,MAX(0,MIN($F404,EOMONTH(DATE(cfg_FY,2,1),0))-$E404+1))</f>
        <v>0</v>
      </c>
      <c r="AJ404" s="57" t="n">
        <f aca="false">IF(OR(OR($B404="",$E404="",$F404=""),$L404&lt;&gt;"لا"),0,MAX(0,MIN($F404,EOMONTH(DATE(cfg_FY,3,1),0))-$E404+1))</f>
        <v>0</v>
      </c>
      <c r="AK404" s="57" t="n">
        <f aca="false">IF(OR(OR($B404="",$E404="",$F404=""),$L404&lt;&gt;"لا"),0,MAX(0,MIN($F404,EOMONTH(DATE(cfg_FY,4,1),0))-$E404+1))</f>
        <v>0</v>
      </c>
      <c r="AL404" s="57" t="n">
        <f aca="false">IF(OR(OR($B404="",$E404="",$F404=""),$L404&lt;&gt;"لا"),0,MAX(0,MIN($F404,EOMONTH(DATE(cfg_FY,5,1),0))-$E404+1))</f>
        <v>0</v>
      </c>
      <c r="AM404" s="57" t="n">
        <f aca="false">IF(OR(OR($B404="",$E404="",$F404=""),$L404&lt;&gt;"لا"),0,MAX(0,MIN($F404,EOMONTH(DATE(cfg_FY,6,1),0))-$E404+1))</f>
        <v>0</v>
      </c>
      <c r="AN404" s="57" t="n">
        <f aca="false">IF(OR(OR($B404="",$E404="",$F404=""),$L404&lt;&gt;"لا"),0,MAX(0,MIN($F404,EOMONTH(DATE(cfg_FY,7,1),0))-$E404+1))</f>
        <v>0</v>
      </c>
      <c r="AO404" s="57" t="n">
        <f aca="false">IF(OR(OR($B404="",$E404="",$F404=""),$L404&lt;&gt;"لا"),0,MAX(0,MIN($F404,EOMONTH(DATE(cfg_FY,8,1),0))-$E404+1))</f>
        <v>0</v>
      </c>
      <c r="AP404" s="57" t="n">
        <f aca="false">IF(OR(OR($B404="",$E404="",$F404=""),$L404&lt;&gt;"لا"),0,MAX(0,MIN($F404,EOMONTH(DATE(cfg_FY,9,1),0))-$E404+1))</f>
        <v>0</v>
      </c>
      <c r="AQ404" s="57" t="n">
        <f aca="false">IF(OR(OR($B404="",$E404="",$F404=""),$L404&lt;&gt;"لا"),0,MAX(0,MIN($F404,EOMONTH(DATE(cfg_FY,10,1),0))-$E404+1))</f>
        <v>0</v>
      </c>
      <c r="AR404" s="57" t="n">
        <f aca="false">IF(OR(OR($B404="",$E404="",$F404=""),$L404&lt;&gt;"لا"),0,MAX(0,MIN($F404,EOMONTH(DATE(cfg_FY,11,1),0))-$E404+1))</f>
        <v>0</v>
      </c>
      <c r="AS404" s="57" t="n">
        <f aca="false">IF(OR(OR($B404="",$E404="",$F404=""),$L404&lt;&gt;"لا"),0,MAX(0,MIN($F404,EOMONTH(DATE(cfg_FY,12,1),0))-$E404+1))</f>
        <v>0</v>
      </c>
      <c r="AT404" s="57" t="n">
        <f aca="false">IF(OR(OR($B404="",$E404="",$F404=""),$K404&lt;&gt;"نعم",$M404="نعم"),0,MAX(0,MIN($F404,EOMONTH(DATE(cfg_FY,1,1),0))-MAX($E404,DATE(cfg_FY,1,1))+1))</f>
        <v>0</v>
      </c>
      <c r="AU404" s="57" t="n">
        <f aca="false">IF(OR(OR($B404="",$E404="",$F404=""),$K404&lt;&gt;"نعم",$M404="نعم"),0,MAX(0,MIN($F404,EOMONTH(DATE(cfg_FY,2,1),0))-MAX($E404,DATE(cfg_FY,2,1))+1))</f>
        <v>0</v>
      </c>
      <c r="AV404" s="57" t="n">
        <f aca="false">IF(OR(OR($B404="",$E404="",$F404=""),$K404&lt;&gt;"نعم",$M404="نعم"),0,MAX(0,MIN($F404,EOMONTH(DATE(cfg_FY,3,1),0))-MAX($E404,DATE(cfg_FY,3,1))+1))</f>
        <v>0</v>
      </c>
      <c r="AW404" s="57" t="n">
        <f aca="false">IF(OR(OR($B404="",$E404="",$F404=""),$K404&lt;&gt;"نعم",$M404="نعم"),0,MAX(0,MIN($F404,EOMONTH(DATE(cfg_FY,4,1),0))-MAX($E404,DATE(cfg_FY,4,1))+1))</f>
        <v>0</v>
      </c>
      <c r="AX404" s="57" t="n">
        <f aca="false">IF(OR(OR($B404="",$E404="",$F404=""),$K404&lt;&gt;"نعم",$M404="نعم"),0,MAX(0,MIN($F404,EOMONTH(DATE(cfg_FY,5,1),0))-MAX($E404,DATE(cfg_FY,5,1))+1))</f>
        <v>0</v>
      </c>
      <c r="AY404" s="57" t="n">
        <f aca="false">IF(OR(OR($B404="",$E404="",$F404=""),$K404&lt;&gt;"نعم",$M404="نعم"),0,MAX(0,MIN($F404,EOMONTH(DATE(cfg_FY,6,1),0))-MAX($E404,DATE(cfg_FY,6,1))+1))</f>
        <v>0</v>
      </c>
      <c r="AZ404" s="57" t="n">
        <f aca="false">IF(OR(OR($B404="",$E404="",$F404=""),$K404&lt;&gt;"نعم",$M404="نعم"),0,MAX(0,MIN($F404,EOMONTH(DATE(cfg_FY,7,1),0))-MAX($E404,DATE(cfg_FY,7,1))+1))</f>
        <v>0</v>
      </c>
      <c r="BA404" s="57" t="n">
        <f aca="false">IF(OR(OR($B404="",$E404="",$F404=""),$K404&lt;&gt;"نعم",$M404="نعم"),0,MAX(0,MIN($F404,EOMONTH(DATE(cfg_FY,8,1),0))-MAX($E404,DATE(cfg_FY,8,1))+1))</f>
        <v>0</v>
      </c>
      <c r="BB404" s="57" t="n">
        <f aca="false">IF(OR(OR($B404="",$E404="",$F404=""),$K404&lt;&gt;"نعم",$M404="نعم"),0,MAX(0,MIN($F404,EOMONTH(DATE(cfg_FY,9,1),0))-MAX($E404,DATE(cfg_FY,9,1))+1))</f>
        <v>0</v>
      </c>
      <c r="BC404" s="57" t="n">
        <f aca="false">IF(OR(OR($B404="",$E404="",$F404=""),$K404&lt;&gt;"نعم",$M404="نعم"),0,MAX(0,MIN($F404,EOMONTH(DATE(cfg_FY,10,1),0))-MAX($E404,DATE(cfg_FY,10,1))+1))</f>
        <v>0</v>
      </c>
      <c r="BD404" s="57" t="n">
        <f aca="false">IF(OR(OR($B404="",$E404="",$F404=""),$K404&lt;&gt;"نعم",$M404="نعم"),0,MAX(0,MIN($F404,EOMONTH(DATE(cfg_FY,11,1),0))-MAX($E404,DATE(cfg_FY,11,1))+1))</f>
        <v>0</v>
      </c>
      <c r="BE404" s="57" t="n">
        <f aca="false">IF(OR(OR($B404="",$E404="",$F404=""),$K404&lt;&gt;"نعم",$M404="نعم"),0,MAX(0,MIN($F404,EOMONTH(DATE(cfg_FY,12,1),0))-MAX($E404,DATE(cfg_FY,12,1))+1))</f>
        <v>0</v>
      </c>
    </row>
    <row r="405" customFormat="false" ht="15" hidden="false" customHeight="false" outlineLevel="0" collapsed="false">
      <c r="A405" s="100" t="str">
        <f aca="false">IF(B405="","",ROW()-5)</f>
        <v/>
      </c>
      <c r="B405" s="79"/>
      <c r="C405" s="102" t="str">
        <f aca="false">IF(B405="","",IFERROR(INDEX(الموظفون!$C$6:$C$105,MATCH(B405,الموظفون!$B$6:$B$105,0)),"✖ رقم غير موجود"))</f>
        <v/>
      </c>
      <c r="D405" s="79"/>
      <c r="E405" s="94"/>
      <c r="F405" s="94"/>
      <c r="G405" s="110" t="str">
        <f aca="false">IF(OR($B405="",$E405="",$F405=""),"",MAX(0,F405-E405+1))</f>
        <v/>
      </c>
      <c r="H405" s="111" t="str">
        <f aca="false">IF(D405="","",IFERROR(VLOOKUP(D405,cfg_LT,2,FALSE()),1))</f>
        <v/>
      </c>
      <c r="I405" s="82"/>
      <c r="J405" s="111" t="str">
        <f aca="false">IF(D405="","",IF(I405&lt;&gt;"",I405,H405))</f>
        <v/>
      </c>
      <c r="K405" s="102" t="str">
        <f aca="false">IF(D405="","",IFERROR(VLOOKUP($D405,cfg_LT,3,FALSE()),""))</f>
        <v/>
      </c>
      <c r="L405" s="102" t="str">
        <f aca="false">IF(D405="","",IFERROR(VLOOKUP($D405,cfg_LT,4,FALSE()),""))</f>
        <v/>
      </c>
      <c r="M405" s="102" t="str">
        <f aca="false">IF(D405="","",IFERROR(VLOOKUP($D405,cfg_LT,5,FALSE()),""))</f>
        <v/>
      </c>
      <c r="N405" s="101" t="n">
        <f aca="false">IF(OR(OR($B405="",$E405="",$F405=""),M405&lt;&gt;"نعم"),0,G405*J405*IFERROR(INDEX(الموظفون!$R$6:$R$105,MATCH(B405,الموظفون!$B$6:$B$105,0)),0)/cfg_DAYS_M)</f>
        <v>0</v>
      </c>
      <c r="O405" s="100" t="str">
        <f aca="false">IF(OR(OR($B405="",$E405="",$F405=""),M405&lt;&gt;"نعم"),"",IF(YEAR(E405)=cfg_FY,MONTH(E405),""))</f>
        <v/>
      </c>
      <c r="P405" s="102" t="str">
        <f aca="false">IF(B405="","",IF(OR(D405="",E405="",F405=""),"⚠ أكمل النوع والتواريخ",IF(F405&lt;E405,"✖ النهاية قبل البداية",IF(COUNTIFS($B$6:$B$505,B405,$E$6:$E$505,"&lt;="&amp;F405,$F$6:$F$505,"&gt;="&amp;E405)&gt;1,"⚠ تداخل مع سجل آخر",IF(E405&gt;cfg_VAL_DATE,"⏳ قادمة",IF(F405&lt;cfg_VAL_DATE,"✔ منتهية","✈ جارية في تاريخ التقرير"))))))</f>
        <v/>
      </c>
      <c r="Q405" s="79"/>
      <c r="R405" s="110" t="n">
        <f aca="false">IF(OR(OR($B405="",$E405="",$F405=""),L405&lt;&gt;"لا"),0,MAX(0,MIN(F405,cfg_Y_START-1)-E405+1))</f>
        <v>0</v>
      </c>
      <c r="S405" s="110" t="n">
        <f aca="false">IF(OR(OR($B405="",$E405="",$F405=""),L405&lt;&gt;"لا"),0,MAX(0,MIN(F405,cfg_VAL_DATE)-E405+1))</f>
        <v>0</v>
      </c>
      <c r="T405" s="110" t="n">
        <f aca="false">IF(OR(OR($B405="",$E405="",$F405=""),K405&lt;&gt;"نعم"),0,IF(M405="نعم",IF(AND(ISNUMBER(O405),N(O405)&lt;=cfg_VAL_M),G405,0),MAX(0,MIN(F405,cfg_VAL_DATE)-MAX(E405,cfg_Y_START)+1)))</f>
        <v>0</v>
      </c>
      <c r="V405" s="110" t="n">
        <f aca="false">IF(OR($B405="",$E405="",$F405=""),0,MAX(0,MIN($F405,EOMONTH(DATE(cfg_FY,1,1),0))-MAX($E405,DATE(cfg_FY,1,1))+1)*(1-IF($M405="نعم",0,N($J405))))</f>
        <v>0</v>
      </c>
      <c r="W405" s="110" t="n">
        <f aca="false">IF(OR($B405="",$E405="",$F405=""),0,MAX(0,MIN($F405,EOMONTH(DATE(cfg_FY,2,1),0))-MAX($E405,DATE(cfg_FY,2,1))+1)*(1-IF($M405="نعم",0,N($J405))))</f>
        <v>0</v>
      </c>
      <c r="X405" s="110" t="n">
        <f aca="false">IF(OR($B405="",$E405="",$F405=""),0,MAX(0,MIN($F405,EOMONTH(DATE(cfg_FY,3,1),0))-MAX($E405,DATE(cfg_FY,3,1))+1)*(1-IF($M405="نعم",0,N($J405))))</f>
        <v>0</v>
      </c>
      <c r="Y405" s="110" t="n">
        <f aca="false">IF(OR($B405="",$E405="",$F405=""),0,MAX(0,MIN($F405,EOMONTH(DATE(cfg_FY,4,1),0))-MAX($E405,DATE(cfg_FY,4,1))+1)*(1-IF($M405="نعم",0,N($J405))))</f>
        <v>0</v>
      </c>
      <c r="Z405" s="110" t="n">
        <f aca="false">IF(OR($B405="",$E405="",$F405=""),0,MAX(0,MIN($F405,EOMONTH(DATE(cfg_FY,5,1),0))-MAX($E405,DATE(cfg_FY,5,1))+1)*(1-IF($M405="نعم",0,N($J405))))</f>
        <v>0</v>
      </c>
      <c r="AA405" s="110" t="n">
        <f aca="false">IF(OR($B405="",$E405="",$F405=""),0,MAX(0,MIN($F405,EOMONTH(DATE(cfg_FY,6,1),0))-MAX($E405,DATE(cfg_FY,6,1))+1)*(1-IF($M405="نعم",0,N($J405))))</f>
        <v>0</v>
      </c>
      <c r="AB405" s="110" t="n">
        <f aca="false">IF(OR($B405="",$E405="",$F405=""),0,MAX(0,MIN($F405,EOMONTH(DATE(cfg_FY,7,1),0))-MAX($E405,DATE(cfg_FY,7,1))+1)*(1-IF($M405="نعم",0,N($J405))))</f>
        <v>0</v>
      </c>
      <c r="AC405" s="110" t="n">
        <f aca="false">IF(OR($B405="",$E405="",$F405=""),0,MAX(0,MIN($F405,EOMONTH(DATE(cfg_FY,8,1),0))-MAX($E405,DATE(cfg_FY,8,1))+1)*(1-IF($M405="نعم",0,N($J405))))</f>
        <v>0</v>
      </c>
      <c r="AD405" s="110" t="n">
        <f aca="false">IF(OR($B405="",$E405="",$F405=""),0,MAX(0,MIN($F405,EOMONTH(DATE(cfg_FY,9,1),0))-MAX($E405,DATE(cfg_FY,9,1))+1)*(1-IF($M405="نعم",0,N($J405))))</f>
        <v>0</v>
      </c>
      <c r="AE405" s="110" t="n">
        <f aca="false">IF(OR($B405="",$E405="",$F405=""),0,MAX(0,MIN($F405,EOMONTH(DATE(cfg_FY,10,1),0))-MAX($E405,DATE(cfg_FY,10,1))+1)*(1-IF($M405="نعم",0,N($J405))))</f>
        <v>0</v>
      </c>
      <c r="AF405" s="110" t="n">
        <f aca="false">IF(OR($B405="",$E405="",$F405=""),0,MAX(0,MIN($F405,EOMONTH(DATE(cfg_FY,11,1),0))-MAX($E405,DATE(cfg_FY,11,1))+1)*(1-IF($M405="نعم",0,N($J405))))</f>
        <v>0</v>
      </c>
      <c r="AG405" s="110" t="n">
        <f aca="false">IF(OR($B405="",$E405="",$F405=""),0,MAX(0,MIN($F405,EOMONTH(DATE(cfg_FY,12,1),0))-MAX($E405,DATE(cfg_FY,12,1))+1)*(1-IF($M405="نعم",0,N($J405))))</f>
        <v>0</v>
      </c>
      <c r="AH405" s="110" t="n">
        <f aca="false">IF(OR(OR($B405="",$E405="",$F405=""),$L405&lt;&gt;"لا"),0,MAX(0,MIN($F405,EOMONTH(DATE(cfg_FY,1,1),0))-$E405+1))</f>
        <v>0</v>
      </c>
      <c r="AI405" s="110" t="n">
        <f aca="false">IF(OR(OR($B405="",$E405="",$F405=""),$L405&lt;&gt;"لا"),0,MAX(0,MIN($F405,EOMONTH(DATE(cfg_FY,2,1),0))-$E405+1))</f>
        <v>0</v>
      </c>
      <c r="AJ405" s="110" t="n">
        <f aca="false">IF(OR(OR($B405="",$E405="",$F405=""),$L405&lt;&gt;"لا"),0,MAX(0,MIN($F405,EOMONTH(DATE(cfg_FY,3,1),0))-$E405+1))</f>
        <v>0</v>
      </c>
      <c r="AK405" s="110" t="n">
        <f aca="false">IF(OR(OR($B405="",$E405="",$F405=""),$L405&lt;&gt;"لا"),0,MAX(0,MIN($F405,EOMONTH(DATE(cfg_FY,4,1),0))-$E405+1))</f>
        <v>0</v>
      </c>
      <c r="AL405" s="110" t="n">
        <f aca="false">IF(OR(OR($B405="",$E405="",$F405=""),$L405&lt;&gt;"لا"),0,MAX(0,MIN($F405,EOMONTH(DATE(cfg_FY,5,1),0))-$E405+1))</f>
        <v>0</v>
      </c>
      <c r="AM405" s="110" t="n">
        <f aca="false">IF(OR(OR($B405="",$E405="",$F405=""),$L405&lt;&gt;"لا"),0,MAX(0,MIN($F405,EOMONTH(DATE(cfg_FY,6,1),0))-$E405+1))</f>
        <v>0</v>
      </c>
      <c r="AN405" s="110" t="n">
        <f aca="false">IF(OR(OR($B405="",$E405="",$F405=""),$L405&lt;&gt;"لا"),0,MAX(0,MIN($F405,EOMONTH(DATE(cfg_FY,7,1),0))-$E405+1))</f>
        <v>0</v>
      </c>
      <c r="AO405" s="110" t="n">
        <f aca="false">IF(OR(OR($B405="",$E405="",$F405=""),$L405&lt;&gt;"لا"),0,MAX(0,MIN($F405,EOMONTH(DATE(cfg_FY,8,1),0))-$E405+1))</f>
        <v>0</v>
      </c>
      <c r="AP405" s="110" t="n">
        <f aca="false">IF(OR(OR($B405="",$E405="",$F405=""),$L405&lt;&gt;"لا"),0,MAX(0,MIN($F405,EOMONTH(DATE(cfg_FY,9,1),0))-$E405+1))</f>
        <v>0</v>
      </c>
      <c r="AQ405" s="110" t="n">
        <f aca="false">IF(OR(OR($B405="",$E405="",$F405=""),$L405&lt;&gt;"لا"),0,MAX(0,MIN($F405,EOMONTH(DATE(cfg_FY,10,1),0))-$E405+1))</f>
        <v>0</v>
      </c>
      <c r="AR405" s="110" t="n">
        <f aca="false">IF(OR(OR($B405="",$E405="",$F405=""),$L405&lt;&gt;"لا"),0,MAX(0,MIN($F405,EOMONTH(DATE(cfg_FY,11,1),0))-$E405+1))</f>
        <v>0</v>
      </c>
      <c r="AS405" s="110" t="n">
        <f aca="false">IF(OR(OR($B405="",$E405="",$F405=""),$L405&lt;&gt;"لا"),0,MAX(0,MIN($F405,EOMONTH(DATE(cfg_FY,12,1),0))-$E405+1))</f>
        <v>0</v>
      </c>
      <c r="AT405" s="110" t="n">
        <f aca="false">IF(OR(OR($B405="",$E405="",$F405=""),$K405&lt;&gt;"نعم",$M405="نعم"),0,MAX(0,MIN($F405,EOMONTH(DATE(cfg_FY,1,1),0))-MAX($E405,DATE(cfg_FY,1,1))+1))</f>
        <v>0</v>
      </c>
      <c r="AU405" s="110" t="n">
        <f aca="false">IF(OR(OR($B405="",$E405="",$F405=""),$K405&lt;&gt;"نعم",$M405="نعم"),0,MAX(0,MIN($F405,EOMONTH(DATE(cfg_FY,2,1),0))-MAX($E405,DATE(cfg_FY,2,1))+1))</f>
        <v>0</v>
      </c>
      <c r="AV405" s="110" t="n">
        <f aca="false">IF(OR(OR($B405="",$E405="",$F405=""),$K405&lt;&gt;"نعم",$M405="نعم"),0,MAX(0,MIN($F405,EOMONTH(DATE(cfg_FY,3,1),0))-MAX($E405,DATE(cfg_FY,3,1))+1))</f>
        <v>0</v>
      </c>
      <c r="AW405" s="110" t="n">
        <f aca="false">IF(OR(OR($B405="",$E405="",$F405=""),$K405&lt;&gt;"نعم",$M405="نعم"),0,MAX(0,MIN($F405,EOMONTH(DATE(cfg_FY,4,1),0))-MAX($E405,DATE(cfg_FY,4,1))+1))</f>
        <v>0</v>
      </c>
      <c r="AX405" s="110" t="n">
        <f aca="false">IF(OR(OR($B405="",$E405="",$F405=""),$K405&lt;&gt;"نعم",$M405="نعم"),0,MAX(0,MIN($F405,EOMONTH(DATE(cfg_FY,5,1),0))-MAX($E405,DATE(cfg_FY,5,1))+1))</f>
        <v>0</v>
      </c>
      <c r="AY405" s="110" t="n">
        <f aca="false">IF(OR(OR($B405="",$E405="",$F405=""),$K405&lt;&gt;"نعم",$M405="نعم"),0,MAX(0,MIN($F405,EOMONTH(DATE(cfg_FY,6,1),0))-MAX($E405,DATE(cfg_FY,6,1))+1))</f>
        <v>0</v>
      </c>
      <c r="AZ405" s="110" t="n">
        <f aca="false">IF(OR(OR($B405="",$E405="",$F405=""),$K405&lt;&gt;"نعم",$M405="نعم"),0,MAX(0,MIN($F405,EOMONTH(DATE(cfg_FY,7,1),0))-MAX($E405,DATE(cfg_FY,7,1))+1))</f>
        <v>0</v>
      </c>
      <c r="BA405" s="110" t="n">
        <f aca="false">IF(OR(OR($B405="",$E405="",$F405=""),$K405&lt;&gt;"نعم",$M405="نعم"),0,MAX(0,MIN($F405,EOMONTH(DATE(cfg_FY,8,1),0))-MAX($E405,DATE(cfg_FY,8,1))+1))</f>
        <v>0</v>
      </c>
      <c r="BB405" s="110" t="n">
        <f aca="false">IF(OR(OR($B405="",$E405="",$F405=""),$K405&lt;&gt;"نعم",$M405="نعم"),0,MAX(0,MIN($F405,EOMONTH(DATE(cfg_FY,9,1),0))-MAX($E405,DATE(cfg_FY,9,1))+1))</f>
        <v>0</v>
      </c>
      <c r="BC405" s="110" t="n">
        <f aca="false">IF(OR(OR($B405="",$E405="",$F405=""),$K405&lt;&gt;"نعم",$M405="نعم"),0,MAX(0,MIN($F405,EOMONTH(DATE(cfg_FY,10,1),0))-MAX($E405,DATE(cfg_FY,10,1))+1))</f>
        <v>0</v>
      </c>
      <c r="BD405" s="110" t="n">
        <f aca="false">IF(OR(OR($B405="",$E405="",$F405=""),$K405&lt;&gt;"نعم",$M405="نعم"),0,MAX(0,MIN($F405,EOMONTH(DATE(cfg_FY,11,1),0))-MAX($E405,DATE(cfg_FY,11,1))+1))</f>
        <v>0</v>
      </c>
      <c r="BE405" s="110" t="n">
        <f aca="false">IF(OR(OR($B405="",$E405="",$F405=""),$K405&lt;&gt;"نعم",$M405="نعم"),0,MAX(0,MIN($F405,EOMONTH(DATE(cfg_FY,12,1),0))-MAX($E405,DATE(cfg_FY,12,1))+1))</f>
        <v>0</v>
      </c>
    </row>
    <row r="406" customFormat="false" ht="15" hidden="false" customHeight="false" outlineLevel="0" collapsed="false">
      <c r="A406" s="93" t="str">
        <f aca="false">IF(B406="","",ROW()-5)</f>
        <v/>
      </c>
      <c r="B406" s="79"/>
      <c r="C406" s="80" t="str">
        <f aca="false">IF(B406="","",IFERROR(INDEX(الموظفون!$C$6:$C$105,MATCH(B406,الموظفون!$B$6:$B$105,0)),"✖ رقم غير موجود"))</f>
        <v/>
      </c>
      <c r="D406" s="79"/>
      <c r="E406" s="94"/>
      <c r="F406" s="94"/>
      <c r="G406" s="57" t="str">
        <f aca="false">IF(OR($B406="",$E406="",$F406=""),"",MAX(0,F406-E406+1))</f>
        <v/>
      </c>
      <c r="H406" s="58" t="str">
        <f aca="false">IF(D406="","",IFERROR(VLOOKUP(D406,cfg_LT,2,FALSE()),1))</f>
        <v/>
      </c>
      <c r="I406" s="82"/>
      <c r="J406" s="58" t="str">
        <f aca="false">IF(D406="","",IF(I406&lt;&gt;"",I406,H406))</f>
        <v/>
      </c>
      <c r="K406" s="80" t="str">
        <f aca="false">IF(D406="","",IFERROR(VLOOKUP($D406,cfg_LT,3,FALSE()),""))</f>
        <v/>
      </c>
      <c r="L406" s="80" t="str">
        <f aca="false">IF(D406="","",IFERROR(VLOOKUP($D406,cfg_LT,4,FALSE()),""))</f>
        <v/>
      </c>
      <c r="M406" s="80" t="str">
        <f aca="false">IF(D406="","",IFERROR(VLOOKUP($D406,cfg_LT,5,FALSE()),""))</f>
        <v/>
      </c>
      <c r="N406" s="97" t="n">
        <f aca="false">IF(OR(OR($B406="",$E406="",$F406=""),M406&lt;&gt;"نعم"),0,G406*J406*IFERROR(INDEX(الموظفون!$R$6:$R$105,MATCH(B406,الموظفون!$B$6:$B$105,0)),0)/cfg_DAYS_M)</f>
        <v>0</v>
      </c>
      <c r="O406" s="93" t="str">
        <f aca="false">IF(OR(OR($B406="",$E406="",$F406=""),M406&lt;&gt;"نعم"),"",IF(YEAR(E406)=cfg_FY,MONTH(E406),""))</f>
        <v/>
      </c>
      <c r="P406" s="80" t="str">
        <f aca="false">IF(B406="","",IF(OR(D406="",E406="",F406=""),"⚠ أكمل النوع والتواريخ",IF(F406&lt;E406,"✖ النهاية قبل البداية",IF(COUNTIFS($B$6:$B$505,B406,$E$6:$E$505,"&lt;="&amp;F406,$F$6:$F$505,"&gt;="&amp;E406)&gt;1,"⚠ تداخل مع سجل آخر",IF(E406&gt;cfg_VAL_DATE,"⏳ قادمة",IF(F406&lt;cfg_VAL_DATE,"✔ منتهية","✈ جارية في تاريخ التقرير"))))))</f>
        <v/>
      </c>
      <c r="Q406" s="79"/>
      <c r="R406" s="57" t="n">
        <f aca="false">IF(OR(OR($B406="",$E406="",$F406=""),L406&lt;&gt;"لا"),0,MAX(0,MIN(F406,cfg_Y_START-1)-E406+1))</f>
        <v>0</v>
      </c>
      <c r="S406" s="57" t="n">
        <f aca="false">IF(OR(OR($B406="",$E406="",$F406=""),L406&lt;&gt;"لا"),0,MAX(0,MIN(F406,cfg_VAL_DATE)-E406+1))</f>
        <v>0</v>
      </c>
      <c r="T406" s="57" t="n">
        <f aca="false">IF(OR(OR($B406="",$E406="",$F406=""),K406&lt;&gt;"نعم"),0,IF(M406="نعم",IF(AND(ISNUMBER(O406),N(O406)&lt;=cfg_VAL_M),G406,0),MAX(0,MIN(F406,cfg_VAL_DATE)-MAX(E406,cfg_Y_START)+1)))</f>
        <v>0</v>
      </c>
      <c r="V406" s="57" t="n">
        <f aca="false">IF(OR($B406="",$E406="",$F406=""),0,MAX(0,MIN($F406,EOMONTH(DATE(cfg_FY,1,1),0))-MAX($E406,DATE(cfg_FY,1,1))+1)*(1-IF($M406="نعم",0,N($J406))))</f>
        <v>0</v>
      </c>
      <c r="W406" s="57" t="n">
        <f aca="false">IF(OR($B406="",$E406="",$F406=""),0,MAX(0,MIN($F406,EOMONTH(DATE(cfg_FY,2,1),0))-MAX($E406,DATE(cfg_FY,2,1))+1)*(1-IF($M406="نعم",0,N($J406))))</f>
        <v>0</v>
      </c>
      <c r="X406" s="57" t="n">
        <f aca="false">IF(OR($B406="",$E406="",$F406=""),0,MAX(0,MIN($F406,EOMONTH(DATE(cfg_FY,3,1),0))-MAX($E406,DATE(cfg_FY,3,1))+1)*(1-IF($M406="نعم",0,N($J406))))</f>
        <v>0</v>
      </c>
      <c r="Y406" s="57" t="n">
        <f aca="false">IF(OR($B406="",$E406="",$F406=""),0,MAX(0,MIN($F406,EOMONTH(DATE(cfg_FY,4,1),0))-MAX($E406,DATE(cfg_FY,4,1))+1)*(1-IF($M406="نعم",0,N($J406))))</f>
        <v>0</v>
      </c>
      <c r="Z406" s="57" t="n">
        <f aca="false">IF(OR($B406="",$E406="",$F406=""),0,MAX(0,MIN($F406,EOMONTH(DATE(cfg_FY,5,1),0))-MAX($E406,DATE(cfg_FY,5,1))+1)*(1-IF($M406="نعم",0,N($J406))))</f>
        <v>0</v>
      </c>
      <c r="AA406" s="57" t="n">
        <f aca="false">IF(OR($B406="",$E406="",$F406=""),0,MAX(0,MIN($F406,EOMONTH(DATE(cfg_FY,6,1),0))-MAX($E406,DATE(cfg_FY,6,1))+1)*(1-IF($M406="نعم",0,N($J406))))</f>
        <v>0</v>
      </c>
      <c r="AB406" s="57" t="n">
        <f aca="false">IF(OR($B406="",$E406="",$F406=""),0,MAX(0,MIN($F406,EOMONTH(DATE(cfg_FY,7,1),0))-MAX($E406,DATE(cfg_FY,7,1))+1)*(1-IF($M406="نعم",0,N($J406))))</f>
        <v>0</v>
      </c>
      <c r="AC406" s="57" t="n">
        <f aca="false">IF(OR($B406="",$E406="",$F406=""),0,MAX(0,MIN($F406,EOMONTH(DATE(cfg_FY,8,1),0))-MAX($E406,DATE(cfg_FY,8,1))+1)*(1-IF($M406="نعم",0,N($J406))))</f>
        <v>0</v>
      </c>
      <c r="AD406" s="57" t="n">
        <f aca="false">IF(OR($B406="",$E406="",$F406=""),0,MAX(0,MIN($F406,EOMONTH(DATE(cfg_FY,9,1),0))-MAX($E406,DATE(cfg_FY,9,1))+1)*(1-IF($M406="نعم",0,N($J406))))</f>
        <v>0</v>
      </c>
      <c r="AE406" s="57" t="n">
        <f aca="false">IF(OR($B406="",$E406="",$F406=""),0,MAX(0,MIN($F406,EOMONTH(DATE(cfg_FY,10,1),0))-MAX($E406,DATE(cfg_FY,10,1))+1)*(1-IF($M406="نعم",0,N($J406))))</f>
        <v>0</v>
      </c>
      <c r="AF406" s="57" t="n">
        <f aca="false">IF(OR($B406="",$E406="",$F406=""),0,MAX(0,MIN($F406,EOMONTH(DATE(cfg_FY,11,1),0))-MAX($E406,DATE(cfg_FY,11,1))+1)*(1-IF($M406="نعم",0,N($J406))))</f>
        <v>0</v>
      </c>
      <c r="AG406" s="57" t="n">
        <f aca="false">IF(OR($B406="",$E406="",$F406=""),0,MAX(0,MIN($F406,EOMONTH(DATE(cfg_FY,12,1),0))-MAX($E406,DATE(cfg_FY,12,1))+1)*(1-IF($M406="نعم",0,N($J406))))</f>
        <v>0</v>
      </c>
      <c r="AH406" s="57" t="n">
        <f aca="false">IF(OR(OR($B406="",$E406="",$F406=""),$L406&lt;&gt;"لا"),0,MAX(0,MIN($F406,EOMONTH(DATE(cfg_FY,1,1),0))-$E406+1))</f>
        <v>0</v>
      </c>
      <c r="AI406" s="57" t="n">
        <f aca="false">IF(OR(OR($B406="",$E406="",$F406=""),$L406&lt;&gt;"لا"),0,MAX(0,MIN($F406,EOMONTH(DATE(cfg_FY,2,1),0))-$E406+1))</f>
        <v>0</v>
      </c>
      <c r="AJ406" s="57" t="n">
        <f aca="false">IF(OR(OR($B406="",$E406="",$F406=""),$L406&lt;&gt;"لا"),0,MAX(0,MIN($F406,EOMONTH(DATE(cfg_FY,3,1),0))-$E406+1))</f>
        <v>0</v>
      </c>
      <c r="AK406" s="57" t="n">
        <f aca="false">IF(OR(OR($B406="",$E406="",$F406=""),$L406&lt;&gt;"لا"),0,MAX(0,MIN($F406,EOMONTH(DATE(cfg_FY,4,1),0))-$E406+1))</f>
        <v>0</v>
      </c>
      <c r="AL406" s="57" t="n">
        <f aca="false">IF(OR(OR($B406="",$E406="",$F406=""),$L406&lt;&gt;"لا"),0,MAX(0,MIN($F406,EOMONTH(DATE(cfg_FY,5,1),0))-$E406+1))</f>
        <v>0</v>
      </c>
      <c r="AM406" s="57" t="n">
        <f aca="false">IF(OR(OR($B406="",$E406="",$F406=""),$L406&lt;&gt;"لا"),0,MAX(0,MIN($F406,EOMONTH(DATE(cfg_FY,6,1),0))-$E406+1))</f>
        <v>0</v>
      </c>
      <c r="AN406" s="57" t="n">
        <f aca="false">IF(OR(OR($B406="",$E406="",$F406=""),$L406&lt;&gt;"لا"),0,MAX(0,MIN($F406,EOMONTH(DATE(cfg_FY,7,1),0))-$E406+1))</f>
        <v>0</v>
      </c>
      <c r="AO406" s="57" t="n">
        <f aca="false">IF(OR(OR($B406="",$E406="",$F406=""),$L406&lt;&gt;"لا"),0,MAX(0,MIN($F406,EOMONTH(DATE(cfg_FY,8,1),0))-$E406+1))</f>
        <v>0</v>
      </c>
      <c r="AP406" s="57" t="n">
        <f aca="false">IF(OR(OR($B406="",$E406="",$F406=""),$L406&lt;&gt;"لا"),0,MAX(0,MIN($F406,EOMONTH(DATE(cfg_FY,9,1),0))-$E406+1))</f>
        <v>0</v>
      </c>
      <c r="AQ406" s="57" t="n">
        <f aca="false">IF(OR(OR($B406="",$E406="",$F406=""),$L406&lt;&gt;"لا"),0,MAX(0,MIN($F406,EOMONTH(DATE(cfg_FY,10,1),0))-$E406+1))</f>
        <v>0</v>
      </c>
      <c r="AR406" s="57" t="n">
        <f aca="false">IF(OR(OR($B406="",$E406="",$F406=""),$L406&lt;&gt;"لا"),0,MAX(0,MIN($F406,EOMONTH(DATE(cfg_FY,11,1),0))-$E406+1))</f>
        <v>0</v>
      </c>
      <c r="AS406" s="57" t="n">
        <f aca="false">IF(OR(OR($B406="",$E406="",$F406=""),$L406&lt;&gt;"لا"),0,MAX(0,MIN($F406,EOMONTH(DATE(cfg_FY,12,1),0))-$E406+1))</f>
        <v>0</v>
      </c>
      <c r="AT406" s="57" t="n">
        <f aca="false">IF(OR(OR($B406="",$E406="",$F406=""),$K406&lt;&gt;"نعم",$M406="نعم"),0,MAX(0,MIN($F406,EOMONTH(DATE(cfg_FY,1,1),0))-MAX($E406,DATE(cfg_FY,1,1))+1))</f>
        <v>0</v>
      </c>
      <c r="AU406" s="57" t="n">
        <f aca="false">IF(OR(OR($B406="",$E406="",$F406=""),$K406&lt;&gt;"نعم",$M406="نعم"),0,MAX(0,MIN($F406,EOMONTH(DATE(cfg_FY,2,1),0))-MAX($E406,DATE(cfg_FY,2,1))+1))</f>
        <v>0</v>
      </c>
      <c r="AV406" s="57" t="n">
        <f aca="false">IF(OR(OR($B406="",$E406="",$F406=""),$K406&lt;&gt;"نعم",$M406="نعم"),0,MAX(0,MIN($F406,EOMONTH(DATE(cfg_FY,3,1),0))-MAX($E406,DATE(cfg_FY,3,1))+1))</f>
        <v>0</v>
      </c>
      <c r="AW406" s="57" t="n">
        <f aca="false">IF(OR(OR($B406="",$E406="",$F406=""),$K406&lt;&gt;"نعم",$M406="نعم"),0,MAX(0,MIN($F406,EOMONTH(DATE(cfg_FY,4,1),0))-MAX($E406,DATE(cfg_FY,4,1))+1))</f>
        <v>0</v>
      </c>
      <c r="AX406" s="57" t="n">
        <f aca="false">IF(OR(OR($B406="",$E406="",$F406=""),$K406&lt;&gt;"نعم",$M406="نعم"),0,MAX(0,MIN($F406,EOMONTH(DATE(cfg_FY,5,1),0))-MAX($E406,DATE(cfg_FY,5,1))+1))</f>
        <v>0</v>
      </c>
      <c r="AY406" s="57" t="n">
        <f aca="false">IF(OR(OR($B406="",$E406="",$F406=""),$K406&lt;&gt;"نعم",$M406="نعم"),0,MAX(0,MIN($F406,EOMONTH(DATE(cfg_FY,6,1),0))-MAX($E406,DATE(cfg_FY,6,1))+1))</f>
        <v>0</v>
      </c>
      <c r="AZ406" s="57" t="n">
        <f aca="false">IF(OR(OR($B406="",$E406="",$F406=""),$K406&lt;&gt;"نعم",$M406="نعم"),0,MAX(0,MIN($F406,EOMONTH(DATE(cfg_FY,7,1),0))-MAX($E406,DATE(cfg_FY,7,1))+1))</f>
        <v>0</v>
      </c>
      <c r="BA406" s="57" t="n">
        <f aca="false">IF(OR(OR($B406="",$E406="",$F406=""),$K406&lt;&gt;"نعم",$M406="نعم"),0,MAX(0,MIN($F406,EOMONTH(DATE(cfg_FY,8,1),0))-MAX($E406,DATE(cfg_FY,8,1))+1))</f>
        <v>0</v>
      </c>
      <c r="BB406" s="57" t="n">
        <f aca="false">IF(OR(OR($B406="",$E406="",$F406=""),$K406&lt;&gt;"نعم",$M406="نعم"),0,MAX(0,MIN($F406,EOMONTH(DATE(cfg_FY,9,1),0))-MAX($E406,DATE(cfg_FY,9,1))+1))</f>
        <v>0</v>
      </c>
      <c r="BC406" s="57" t="n">
        <f aca="false">IF(OR(OR($B406="",$E406="",$F406=""),$K406&lt;&gt;"نعم",$M406="نعم"),0,MAX(0,MIN($F406,EOMONTH(DATE(cfg_FY,10,1),0))-MAX($E406,DATE(cfg_FY,10,1))+1))</f>
        <v>0</v>
      </c>
      <c r="BD406" s="57" t="n">
        <f aca="false">IF(OR(OR($B406="",$E406="",$F406=""),$K406&lt;&gt;"نعم",$M406="نعم"),0,MAX(0,MIN($F406,EOMONTH(DATE(cfg_FY,11,1),0))-MAX($E406,DATE(cfg_FY,11,1))+1))</f>
        <v>0</v>
      </c>
      <c r="BE406" s="57" t="n">
        <f aca="false">IF(OR(OR($B406="",$E406="",$F406=""),$K406&lt;&gt;"نعم",$M406="نعم"),0,MAX(0,MIN($F406,EOMONTH(DATE(cfg_FY,12,1),0))-MAX($E406,DATE(cfg_FY,12,1))+1))</f>
        <v>0</v>
      </c>
    </row>
    <row r="407" customFormat="false" ht="15" hidden="false" customHeight="false" outlineLevel="0" collapsed="false">
      <c r="A407" s="100" t="str">
        <f aca="false">IF(B407="","",ROW()-5)</f>
        <v/>
      </c>
      <c r="B407" s="79"/>
      <c r="C407" s="102" t="str">
        <f aca="false">IF(B407="","",IFERROR(INDEX(الموظفون!$C$6:$C$105,MATCH(B407,الموظفون!$B$6:$B$105,0)),"✖ رقم غير موجود"))</f>
        <v/>
      </c>
      <c r="D407" s="79"/>
      <c r="E407" s="94"/>
      <c r="F407" s="94"/>
      <c r="G407" s="110" t="str">
        <f aca="false">IF(OR($B407="",$E407="",$F407=""),"",MAX(0,F407-E407+1))</f>
        <v/>
      </c>
      <c r="H407" s="111" t="str">
        <f aca="false">IF(D407="","",IFERROR(VLOOKUP(D407,cfg_LT,2,FALSE()),1))</f>
        <v/>
      </c>
      <c r="I407" s="82"/>
      <c r="J407" s="111" t="str">
        <f aca="false">IF(D407="","",IF(I407&lt;&gt;"",I407,H407))</f>
        <v/>
      </c>
      <c r="K407" s="102" t="str">
        <f aca="false">IF(D407="","",IFERROR(VLOOKUP($D407,cfg_LT,3,FALSE()),""))</f>
        <v/>
      </c>
      <c r="L407" s="102" t="str">
        <f aca="false">IF(D407="","",IFERROR(VLOOKUP($D407,cfg_LT,4,FALSE()),""))</f>
        <v/>
      </c>
      <c r="M407" s="102" t="str">
        <f aca="false">IF(D407="","",IFERROR(VLOOKUP($D407,cfg_LT,5,FALSE()),""))</f>
        <v/>
      </c>
      <c r="N407" s="101" t="n">
        <f aca="false">IF(OR(OR($B407="",$E407="",$F407=""),M407&lt;&gt;"نعم"),0,G407*J407*IFERROR(INDEX(الموظفون!$R$6:$R$105,MATCH(B407,الموظفون!$B$6:$B$105,0)),0)/cfg_DAYS_M)</f>
        <v>0</v>
      </c>
      <c r="O407" s="100" t="str">
        <f aca="false">IF(OR(OR($B407="",$E407="",$F407=""),M407&lt;&gt;"نعم"),"",IF(YEAR(E407)=cfg_FY,MONTH(E407),""))</f>
        <v/>
      </c>
      <c r="P407" s="102" t="str">
        <f aca="false">IF(B407="","",IF(OR(D407="",E407="",F407=""),"⚠ أكمل النوع والتواريخ",IF(F407&lt;E407,"✖ النهاية قبل البداية",IF(COUNTIFS($B$6:$B$505,B407,$E$6:$E$505,"&lt;="&amp;F407,$F$6:$F$505,"&gt;="&amp;E407)&gt;1,"⚠ تداخل مع سجل آخر",IF(E407&gt;cfg_VAL_DATE,"⏳ قادمة",IF(F407&lt;cfg_VAL_DATE,"✔ منتهية","✈ جارية في تاريخ التقرير"))))))</f>
        <v/>
      </c>
      <c r="Q407" s="79"/>
      <c r="R407" s="110" t="n">
        <f aca="false">IF(OR(OR($B407="",$E407="",$F407=""),L407&lt;&gt;"لا"),0,MAX(0,MIN(F407,cfg_Y_START-1)-E407+1))</f>
        <v>0</v>
      </c>
      <c r="S407" s="110" t="n">
        <f aca="false">IF(OR(OR($B407="",$E407="",$F407=""),L407&lt;&gt;"لا"),0,MAX(0,MIN(F407,cfg_VAL_DATE)-E407+1))</f>
        <v>0</v>
      </c>
      <c r="T407" s="110" t="n">
        <f aca="false">IF(OR(OR($B407="",$E407="",$F407=""),K407&lt;&gt;"نعم"),0,IF(M407="نعم",IF(AND(ISNUMBER(O407),N(O407)&lt;=cfg_VAL_M),G407,0),MAX(0,MIN(F407,cfg_VAL_DATE)-MAX(E407,cfg_Y_START)+1)))</f>
        <v>0</v>
      </c>
      <c r="V407" s="110" t="n">
        <f aca="false">IF(OR($B407="",$E407="",$F407=""),0,MAX(0,MIN($F407,EOMONTH(DATE(cfg_FY,1,1),0))-MAX($E407,DATE(cfg_FY,1,1))+1)*(1-IF($M407="نعم",0,N($J407))))</f>
        <v>0</v>
      </c>
      <c r="W407" s="110" t="n">
        <f aca="false">IF(OR($B407="",$E407="",$F407=""),0,MAX(0,MIN($F407,EOMONTH(DATE(cfg_FY,2,1),0))-MAX($E407,DATE(cfg_FY,2,1))+1)*(1-IF($M407="نعم",0,N($J407))))</f>
        <v>0</v>
      </c>
      <c r="X407" s="110" t="n">
        <f aca="false">IF(OR($B407="",$E407="",$F407=""),0,MAX(0,MIN($F407,EOMONTH(DATE(cfg_FY,3,1),0))-MAX($E407,DATE(cfg_FY,3,1))+1)*(1-IF($M407="نعم",0,N($J407))))</f>
        <v>0</v>
      </c>
      <c r="Y407" s="110" t="n">
        <f aca="false">IF(OR($B407="",$E407="",$F407=""),0,MAX(0,MIN($F407,EOMONTH(DATE(cfg_FY,4,1),0))-MAX($E407,DATE(cfg_FY,4,1))+1)*(1-IF($M407="نعم",0,N($J407))))</f>
        <v>0</v>
      </c>
      <c r="Z407" s="110" t="n">
        <f aca="false">IF(OR($B407="",$E407="",$F407=""),0,MAX(0,MIN($F407,EOMONTH(DATE(cfg_FY,5,1),0))-MAX($E407,DATE(cfg_FY,5,1))+1)*(1-IF($M407="نعم",0,N($J407))))</f>
        <v>0</v>
      </c>
      <c r="AA407" s="110" t="n">
        <f aca="false">IF(OR($B407="",$E407="",$F407=""),0,MAX(0,MIN($F407,EOMONTH(DATE(cfg_FY,6,1),0))-MAX($E407,DATE(cfg_FY,6,1))+1)*(1-IF($M407="نعم",0,N($J407))))</f>
        <v>0</v>
      </c>
      <c r="AB407" s="110" t="n">
        <f aca="false">IF(OR($B407="",$E407="",$F407=""),0,MAX(0,MIN($F407,EOMONTH(DATE(cfg_FY,7,1),0))-MAX($E407,DATE(cfg_FY,7,1))+1)*(1-IF($M407="نعم",0,N($J407))))</f>
        <v>0</v>
      </c>
      <c r="AC407" s="110" t="n">
        <f aca="false">IF(OR($B407="",$E407="",$F407=""),0,MAX(0,MIN($F407,EOMONTH(DATE(cfg_FY,8,1),0))-MAX($E407,DATE(cfg_FY,8,1))+1)*(1-IF($M407="نعم",0,N($J407))))</f>
        <v>0</v>
      </c>
      <c r="AD407" s="110" t="n">
        <f aca="false">IF(OR($B407="",$E407="",$F407=""),0,MAX(0,MIN($F407,EOMONTH(DATE(cfg_FY,9,1),0))-MAX($E407,DATE(cfg_FY,9,1))+1)*(1-IF($M407="نعم",0,N($J407))))</f>
        <v>0</v>
      </c>
      <c r="AE407" s="110" t="n">
        <f aca="false">IF(OR($B407="",$E407="",$F407=""),0,MAX(0,MIN($F407,EOMONTH(DATE(cfg_FY,10,1),0))-MAX($E407,DATE(cfg_FY,10,1))+1)*(1-IF($M407="نعم",0,N($J407))))</f>
        <v>0</v>
      </c>
      <c r="AF407" s="110" t="n">
        <f aca="false">IF(OR($B407="",$E407="",$F407=""),0,MAX(0,MIN($F407,EOMONTH(DATE(cfg_FY,11,1),0))-MAX($E407,DATE(cfg_FY,11,1))+1)*(1-IF($M407="نعم",0,N($J407))))</f>
        <v>0</v>
      </c>
      <c r="AG407" s="110" t="n">
        <f aca="false">IF(OR($B407="",$E407="",$F407=""),0,MAX(0,MIN($F407,EOMONTH(DATE(cfg_FY,12,1),0))-MAX($E407,DATE(cfg_FY,12,1))+1)*(1-IF($M407="نعم",0,N($J407))))</f>
        <v>0</v>
      </c>
      <c r="AH407" s="110" t="n">
        <f aca="false">IF(OR(OR($B407="",$E407="",$F407=""),$L407&lt;&gt;"لا"),0,MAX(0,MIN($F407,EOMONTH(DATE(cfg_FY,1,1),0))-$E407+1))</f>
        <v>0</v>
      </c>
      <c r="AI407" s="110" t="n">
        <f aca="false">IF(OR(OR($B407="",$E407="",$F407=""),$L407&lt;&gt;"لا"),0,MAX(0,MIN($F407,EOMONTH(DATE(cfg_FY,2,1),0))-$E407+1))</f>
        <v>0</v>
      </c>
      <c r="AJ407" s="110" t="n">
        <f aca="false">IF(OR(OR($B407="",$E407="",$F407=""),$L407&lt;&gt;"لا"),0,MAX(0,MIN($F407,EOMONTH(DATE(cfg_FY,3,1),0))-$E407+1))</f>
        <v>0</v>
      </c>
      <c r="AK407" s="110" t="n">
        <f aca="false">IF(OR(OR($B407="",$E407="",$F407=""),$L407&lt;&gt;"لا"),0,MAX(0,MIN($F407,EOMONTH(DATE(cfg_FY,4,1),0))-$E407+1))</f>
        <v>0</v>
      </c>
      <c r="AL407" s="110" t="n">
        <f aca="false">IF(OR(OR($B407="",$E407="",$F407=""),$L407&lt;&gt;"لا"),0,MAX(0,MIN($F407,EOMONTH(DATE(cfg_FY,5,1),0))-$E407+1))</f>
        <v>0</v>
      </c>
      <c r="AM407" s="110" t="n">
        <f aca="false">IF(OR(OR($B407="",$E407="",$F407=""),$L407&lt;&gt;"لا"),0,MAX(0,MIN($F407,EOMONTH(DATE(cfg_FY,6,1),0))-$E407+1))</f>
        <v>0</v>
      </c>
      <c r="AN407" s="110" t="n">
        <f aca="false">IF(OR(OR($B407="",$E407="",$F407=""),$L407&lt;&gt;"لا"),0,MAX(0,MIN($F407,EOMONTH(DATE(cfg_FY,7,1),0))-$E407+1))</f>
        <v>0</v>
      </c>
      <c r="AO407" s="110" t="n">
        <f aca="false">IF(OR(OR($B407="",$E407="",$F407=""),$L407&lt;&gt;"لا"),0,MAX(0,MIN($F407,EOMONTH(DATE(cfg_FY,8,1),0))-$E407+1))</f>
        <v>0</v>
      </c>
      <c r="AP407" s="110" t="n">
        <f aca="false">IF(OR(OR($B407="",$E407="",$F407=""),$L407&lt;&gt;"لا"),0,MAX(0,MIN($F407,EOMONTH(DATE(cfg_FY,9,1),0))-$E407+1))</f>
        <v>0</v>
      </c>
      <c r="AQ407" s="110" t="n">
        <f aca="false">IF(OR(OR($B407="",$E407="",$F407=""),$L407&lt;&gt;"لا"),0,MAX(0,MIN($F407,EOMONTH(DATE(cfg_FY,10,1),0))-$E407+1))</f>
        <v>0</v>
      </c>
      <c r="AR407" s="110" t="n">
        <f aca="false">IF(OR(OR($B407="",$E407="",$F407=""),$L407&lt;&gt;"لا"),0,MAX(0,MIN($F407,EOMONTH(DATE(cfg_FY,11,1),0))-$E407+1))</f>
        <v>0</v>
      </c>
      <c r="AS407" s="110" t="n">
        <f aca="false">IF(OR(OR($B407="",$E407="",$F407=""),$L407&lt;&gt;"لا"),0,MAX(0,MIN($F407,EOMONTH(DATE(cfg_FY,12,1),0))-$E407+1))</f>
        <v>0</v>
      </c>
      <c r="AT407" s="110" t="n">
        <f aca="false">IF(OR(OR($B407="",$E407="",$F407=""),$K407&lt;&gt;"نعم",$M407="نعم"),0,MAX(0,MIN($F407,EOMONTH(DATE(cfg_FY,1,1),0))-MAX($E407,DATE(cfg_FY,1,1))+1))</f>
        <v>0</v>
      </c>
      <c r="AU407" s="110" t="n">
        <f aca="false">IF(OR(OR($B407="",$E407="",$F407=""),$K407&lt;&gt;"نعم",$M407="نعم"),0,MAX(0,MIN($F407,EOMONTH(DATE(cfg_FY,2,1),0))-MAX($E407,DATE(cfg_FY,2,1))+1))</f>
        <v>0</v>
      </c>
      <c r="AV407" s="110" t="n">
        <f aca="false">IF(OR(OR($B407="",$E407="",$F407=""),$K407&lt;&gt;"نعم",$M407="نعم"),0,MAX(0,MIN($F407,EOMONTH(DATE(cfg_FY,3,1),0))-MAX($E407,DATE(cfg_FY,3,1))+1))</f>
        <v>0</v>
      </c>
      <c r="AW407" s="110" t="n">
        <f aca="false">IF(OR(OR($B407="",$E407="",$F407=""),$K407&lt;&gt;"نعم",$M407="نعم"),0,MAX(0,MIN($F407,EOMONTH(DATE(cfg_FY,4,1),0))-MAX($E407,DATE(cfg_FY,4,1))+1))</f>
        <v>0</v>
      </c>
      <c r="AX407" s="110" t="n">
        <f aca="false">IF(OR(OR($B407="",$E407="",$F407=""),$K407&lt;&gt;"نعم",$M407="نعم"),0,MAX(0,MIN($F407,EOMONTH(DATE(cfg_FY,5,1),0))-MAX($E407,DATE(cfg_FY,5,1))+1))</f>
        <v>0</v>
      </c>
      <c r="AY407" s="110" t="n">
        <f aca="false">IF(OR(OR($B407="",$E407="",$F407=""),$K407&lt;&gt;"نعم",$M407="نعم"),0,MAX(0,MIN($F407,EOMONTH(DATE(cfg_FY,6,1),0))-MAX($E407,DATE(cfg_FY,6,1))+1))</f>
        <v>0</v>
      </c>
      <c r="AZ407" s="110" t="n">
        <f aca="false">IF(OR(OR($B407="",$E407="",$F407=""),$K407&lt;&gt;"نعم",$M407="نعم"),0,MAX(0,MIN($F407,EOMONTH(DATE(cfg_FY,7,1),0))-MAX($E407,DATE(cfg_FY,7,1))+1))</f>
        <v>0</v>
      </c>
      <c r="BA407" s="110" t="n">
        <f aca="false">IF(OR(OR($B407="",$E407="",$F407=""),$K407&lt;&gt;"نعم",$M407="نعم"),0,MAX(0,MIN($F407,EOMONTH(DATE(cfg_FY,8,1),0))-MAX($E407,DATE(cfg_FY,8,1))+1))</f>
        <v>0</v>
      </c>
      <c r="BB407" s="110" t="n">
        <f aca="false">IF(OR(OR($B407="",$E407="",$F407=""),$K407&lt;&gt;"نعم",$M407="نعم"),0,MAX(0,MIN($F407,EOMONTH(DATE(cfg_FY,9,1),0))-MAX($E407,DATE(cfg_FY,9,1))+1))</f>
        <v>0</v>
      </c>
      <c r="BC407" s="110" t="n">
        <f aca="false">IF(OR(OR($B407="",$E407="",$F407=""),$K407&lt;&gt;"نعم",$M407="نعم"),0,MAX(0,MIN($F407,EOMONTH(DATE(cfg_FY,10,1),0))-MAX($E407,DATE(cfg_FY,10,1))+1))</f>
        <v>0</v>
      </c>
      <c r="BD407" s="110" t="n">
        <f aca="false">IF(OR(OR($B407="",$E407="",$F407=""),$K407&lt;&gt;"نعم",$M407="نعم"),0,MAX(0,MIN($F407,EOMONTH(DATE(cfg_FY,11,1),0))-MAX($E407,DATE(cfg_FY,11,1))+1))</f>
        <v>0</v>
      </c>
      <c r="BE407" s="110" t="n">
        <f aca="false">IF(OR(OR($B407="",$E407="",$F407=""),$K407&lt;&gt;"نعم",$M407="نعم"),0,MAX(0,MIN($F407,EOMONTH(DATE(cfg_FY,12,1),0))-MAX($E407,DATE(cfg_FY,12,1))+1))</f>
        <v>0</v>
      </c>
    </row>
    <row r="408" customFormat="false" ht="15" hidden="false" customHeight="false" outlineLevel="0" collapsed="false">
      <c r="A408" s="93" t="str">
        <f aca="false">IF(B408="","",ROW()-5)</f>
        <v/>
      </c>
      <c r="B408" s="79"/>
      <c r="C408" s="80" t="str">
        <f aca="false">IF(B408="","",IFERROR(INDEX(الموظفون!$C$6:$C$105,MATCH(B408,الموظفون!$B$6:$B$105,0)),"✖ رقم غير موجود"))</f>
        <v/>
      </c>
      <c r="D408" s="79"/>
      <c r="E408" s="94"/>
      <c r="F408" s="94"/>
      <c r="G408" s="57" t="str">
        <f aca="false">IF(OR($B408="",$E408="",$F408=""),"",MAX(0,F408-E408+1))</f>
        <v/>
      </c>
      <c r="H408" s="58" t="str">
        <f aca="false">IF(D408="","",IFERROR(VLOOKUP(D408,cfg_LT,2,FALSE()),1))</f>
        <v/>
      </c>
      <c r="I408" s="82"/>
      <c r="J408" s="58" t="str">
        <f aca="false">IF(D408="","",IF(I408&lt;&gt;"",I408,H408))</f>
        <v/>
      </c>
      <c r="K408" s="80" t="str">
        <f aca="false">IF(D408="","",IFERROR(VLOOKUP($D408,cfg_LT,3,FALSE()),""))</f>
        <v/>
      </c>
      <c r="L408" s="80" t="str">
        <f aca="false">IF(D408="","",IFERROR(VLOOKUP($D408,cfg_LT,4,FALSE()),""))</f>
        <v/>
      </c>
      <c r="M408" s="80" t="str">
        <f aca="false">IF(D408="","",IFERROR(VLOOKUP($D408,cfg_LT,5,FALSE()),""))</f>
        <v/>
      </c>
      <c r="N408" s="97" t="n">
        <f aca="false">IF(OR(OR($B408="",$E408="",$F408=""),M408&lt;&gt;"نعم"),0,G408*J408*IFERROR(INDEX(الموظفون!$R$6:$R$105,MATCH(B408,الموظفون!$B$6:$B$105,0)),0)/cfg_DAYS_M)</f>
        <v>0</v>
      </c>
      <c r="O408" s="93" t="str">
        <f aca="false">IF(OR(OR($B408="",$E408="",$F408=""),M408&lt;&gt;"نعم"),"",IF(YEAR(E408)=cfg_FY,MONTH(E408),""))</f>
        <v/>
      </c>
      <c r="P408" s="80" t="str">
        <f aca="false">IF(B408="","",IF(OR(D408="",E408="",F408=""),"⚠ أكمل النوع والتواريخ",IF(F408&lt;E408,"✖ النهاية قبل البداية",IF(COUNTIFS($B$6:$B$505,B408,$E$6:$E$505,"&lt;="&amp;F408,$F$6:$F$505,"&gt;="&amp;E408)&gt;1,"⚠ تداخل مع سجل آخر",IF(E408&gt;cfg_VAL_DATE,"⏳ قادمة",IF(F408&lt;cfg_VAL_DATE,"✔ منتهية","✈ جارية في تاريخ التقرير"))))))</f>
        <v/>
      </c>
      <c r="Q408" s="79"/>
      <c r="R408" s="57" t="n">
        <f aca="false">IF(OR(OR($B408="",$E408="",$F408=""),L408&lt;&gt;"لا"),0,MAX(0,MIN(F408,cfg_Y_START-1)-E408+1))</f>
        <v>0</v>
      </c>
      <c r="S408" s="57" t="n">
        <f aca="false">IF(OR(OR($B408="",$E408="",$F408=""),L408&lt;&gt;"لا"),0,MAX(0,MIN(F408,cfg_VAL_DATE)-E408+1))</f>
        <v>0</v>
      </c>
      <c r="T408" s="57" t="n">
        <f aca="false">IF(OR(OR($B408="",$E408="",$F408=""),K408&lt;&gt;"نعم"),0,IF(M408="نعم",IF(AND(ISNUMBER(O408),N(O408)&lt;=cfg_VAL_M),G408,0),MAX(0,MIN(F408,cfg_VAL_DATE)-MAX(E408,cfg_Y_START)+1)))</f>
        <v>0</v>
      </c>
      <c r="V408" s="57" t="n">
        <f aca="false">IF(OR($B408="",$E408="",$F408=""),0,MAX(0,MIN($F408,EOMONTH(DATE(cfg_FY,1,1),0))-MAX($E408,DATE(cfg_FY,1,1))+1)*(1-IF($M408="نعم",0,N($J408))))</f>
        <v>0</v>
      </c>
      <c r="W408" s="57" t="n">
        <f aca="false">IF(OR($B408="",$E408="",$F408=""),0,MAX(0,MIN($F408,EOMONTH(DATE(cfg_FY,2,1),0))-MAX($E408,DATE(cfg_FY,2,1))+1)*(1-IF($M408="نعم",0,N($J408))))</f>
        <v>0</v>
      </c>
      <c r="X408" s="57" t="n">
        <f aca="false">IF(OR($B408="",$E408="",$F408=""),0,MAX(0,MIN($F408,EOMONTH(DATE(cfg_FY,3,1),0))-MAX($E408,DATE(cfg_FY,3,1))+1)*(1-IF($M408="نعم",0,N($J408))))</f>
        <v>0</v>
      </c>
      <c r="Y408" s="57" t="n">
        <f aca="false">IF(OR($B408="",$E408="",$F408=""),0,MAX(0,MIN($F408,EOMONTH(DATE(cfg_FY,4,1),0))-MAX($E408,DATE(cfg_FY,4,1))+1)*(1-IF($M408="نعم",0,N($J408))))</f>
        <v>0</v>
      </c>
      <c r="Z408" s="57" t="n">
        <f aca="false">IF(OR($B408="",$E408="",$F408=""),0,MAX(0,MIN($F408,EOMONTH(DATE(cfg_FY,5,1),0))-MAX($E408,DATE(cfg_FY,5,1))+1)*(1-IF($M408="نعم",0,N($J408))))</f>
        <v>0</v>
      </c>
      <c r="AA408" s="57" t="n">
        <f aca="false">IF(OR($B408="",$E408="",$F408=""),0,MAX(0,MIN($F408,EOMONTH(DATE(cfg_FY,6,1),0))-MAX($E408,DATE(cfg_FY,6,1))+1)*(1-IF($M408="نعم",0,N($J408))))</f>
        <v>0</v>
      </c>
      <c r="AB408" s="57" t="n">
        <f aca="false">IF(OR($B408="",$E408="",$F408=""),0,MAX(0,MIN($F408,EOMONTH(DATE(cfg_FY,7,1),0))-MAX($E408,DATE(cfg_FY,7,1))+1)*(1-IF($M408="نعم",0,N($J408))))</f>
        <v>0</v>
      </c>
      <c r="AC408" s="57" t="n">
        <f aca="false">IF(OR($B408="",$E408="",$F408=""),0,MAX(0,MIN($F408,EOMONTH(DATE(cfg_FY,8,1),0))-MAX($E408,DATE(cfg_FY,8,1))+1)*(1-IF($M408="نعم",0,N($J408))))</f>
        <v>0</v>
      </c>
      <c r="AD408" s="57" t="n">
        <f aca="false">IF(OR($B408="",$E408="",$F408=""),0,MAX(0,MIN($F408,EOMONTH(DATE(cfg_FY,9,1),0))-MAX($E408,DATE(cfg_FY,9,1))+1)*(1-IF($M408="نعم",0,N($J408))))</f>
        <v>0</v>
      </c>
      <c r="AE408" s="57" t="n">
        <f aca="false">IF(OR($B408="",$E408="",$F408=""),0,MAX(0,MIN($F408,EOMONTH(DATE(cfg_FY,10,1),0))-MAX($E408,DATE(cfg_FY,10,1))+1)*(1-IF($M408="نعم",0,N($J408))))</f>
        <v>0</v>
      </c>
      <c r="AF408" s="57" t="n">
        <f aca="false">IF(OR($B408="",$E408="",$F408=""),0,MAX(0,MIN($F408,EOMONTH(DATE(cfg_FY,11,1),0))-MAX($E408,DATE(cfg_FY,11,1))+1)*(1-IF($M408="نعم",0,N($J408))))</f>
        <v>0</v>
      </c>
      <c r="AG408" s="57" t="n">
        <f aca="false">IF(OR($B408="",$E408="",$F408=""),0,MAX(0,MIN($F408,EOMONTH(DATE(cfg_FY,12,1),0))-MAX($E408,DATE(cfg_FY,12,1))+1)*(1-IF($M408="نعم",0,N($J408))))</f>
        <v>0</v>
      </c>
      <c r="AH408" s="57" t="n">
        <f aca="false">IF(OR(OR($B408="",$E408="",$F408=""),$L408&lt;&gt;"لا"),0,MAX(0,MIN($F408,EOMONTH(DATE(cfg_FY,1,1),0))-$E408+1))</f>
        <v>0</v>
      </c>
      <c r="AI408" s="57" t="n">
        <f aca="false">IF(OR(OR($B408="",$E408="",$F408=""),$L408&lt;&gt;"لا"),0,MAX(0,MIN($F408,EOMONTH(DATE(cfg_FY,2,1),0))-$E408+1))</f>
        <v>0</v>
      </c>
      <c r="AJ408" s="57" t="n">
        <f aca="false">IF(OR(OR($B408="",$E408="",$F408=""),$L408&lt;&gt;"لا"),0,MAX(0,MIN($F408,EOMONTH(DATE(cfg_FY,3,1),0))-$E408+1))</f>
        <v>0</v>
      </c>
      <c r="AK408" s="57" t="n">
        <f aca="false">IF(OR(OR($B408="",$E408="",$F408=""),$L408&lt;&gt;"لا"),0,MAX(0,MIN($F408,EOMONTH(DATE(cfg_FY,4,1),0))-$E408+1))</f>
        <v>0</v>
      </c>
      <c r="AL408" s="57" t="n">
        <f aca="false">IF(OR(OR($B408="",$E408="",$F408=""),$L408&lt;&gt;"لا"),0,MAX(0,MIN($F408,EOMONTH(DATE(cfg_FY,5,1),0))-$E408+1))</f>
        <v>0</v>
      </c>
      <c r="AM408" s="57" t="n">
        <f aca="false">IF(OR(OR($B408="",$E408="",$F408=""),$L408&lt;&gt;"لا"),0,MAX(0,MIN($F408,EOMONTH(DATE(cfg_FY,6,1),0))-$E408+1))</f>
        <v>0</v>
      </c>
      <c r="AN408" s="57" t="n">
        <f aca="false">IF(OR(OR($B408="",$E408="",$F408=""),$L408&lt;&gt;"لا"),0,MAX(0,MIN($F408,EOMONTH(DATE(cfg_FY,7,1),0))-$E408+1))</f>
        <v>0</v>
      </c>
      <c r="AO408" s="57" t="n">
        <f aca="false">IF(OR(OR($B408="",$E408="",$F408=""),$L408&lt;&gt;"لا"),0,MAX(0,MIN($F408,EOMONTH(DATE(cfg_FY,8,1),0))-$E408+1))</f>
        <v>0</v>
      </c>
      <c r="AP408" s="57" t="n">
        <f aca="false">IF(OR(OR($B408="",$E408="",$F408=""),$L408&lt;&gt;"لا"),0,MAX(0,MIN($F408,EOMONTH(DATE(cfg_FY,9,1),0))-$E408+1))</f>
        <v>0</v>
      </c>
      <c r="AQ408" s="57" t="n">
        <f aca="false">IF(OR(OR($B408="",$E408="",$F408=""),$L408&lt;&gt;"لا"),0,MAX(0,MIN($F408,EOMONTH(DATE(cfg_FY,10,1),0))-$E408+1))</f>
        <v>0</v>
      </c>
      <c r="AR408" s="57" t="n">
        <f aca="false">IF(OR(OR($B408="",$E408="",$F408=""),$L408&lt;&gt;"لا"),0,MAX(0,MIN($F408,EOMONTH(DATE(cfg_FY,11,1),0))-$E408+1))</f>
        <v>0</v>
      </c>
      <c r="AS408" s="57" t="n">
        <f aca="false">IF(OR(OR($B408="",$E408="",$F408=""),$L408&lt;&gt;"لا"),0,MAX(0,MIN($F408,EOMONTH(DATE(cfg_FY,12,1),0))-$E408+1))</f>
        <v>0</v>
      </c>
      <c r="AT408" s="57" t="n">
        <f aca="false">IF(OR(OR($B408="",$E408="",$F408=""),$K408&lt;&gt;"نعم",$M408="نعم"),0,MAX(0,MIN($F408,EOMONTH(DATE(cfg_FY,1,1),0))-MAX($E408,DATE(cfg_FY,1,1))+1))</f>
        <v>0</v>
      </c>
      <c r="AU408" s="57" t="n">
        <f aca="false">IF(OR(OR($B408="",$E408="",$F408=""),$K408&lt;&gt;"نعم",$M408="نعم"),0,MAX(0,MIN($F408,EOMONTH(DATE(cfg_FY,2,1),0))-MAX($E408,DATE(cfg_FY,2,1))+1))</f>
        <v>0</v>
      </c>
      <c r="AV408" s="57" t="n">
        <f aca="false">IF(OR(OR($B408="",$E408="",$F408=""),$K408&lt;&gt;"نعم",$M408="نعم"),0,MAX(0,MIN($F408,EOMONTH(DATE(cfg_FY,3,1),0))-MAX($E408,DATE(cfg_FY,3,1))+1))</f>
        <v>0</v>
      </c>
      <c r="AW408" s="57" t="n">
        <f aca="false">IF(OR(OR($B408="",$E408="",$F408=""),$K408&lt;&gt;"نعم",$M408="نعم"),0,MAX(0,MIN($F408,EOMONTH(DATE(cfg_FY,4,1),0))-MAX($E408,DATE(cfg_FY,4,1))+1))</f>
        <v>0</v>
      </c>
      <c r="AX408" s="57" t="n">
        <f aca="false">IF(OR(OR($B408="",$E408="",$F408=""),$K408&lt;&gt;"نعم",$M408="نعم"),0,MAX(0,MIN($F408,EOMONTH(DATE(cfg_FY,5,1),0))-MAX($E408,DATE(cfg_FY,5,1))+1))</f>
        <v>0</v>
      </c>
      <c r="AY408" s="57" t="n">
        <f aca="false">IF(OR(OR($B408="",$E408="",$F408=""),$K408&lt;&gt;"نعم",$M408="نعم"),0,MAX(0,MIN($F408,EOMONTH(DATE(cfg_FY,6,1),0))-MAX($E408,DATE(cfg_FY,6,1))+1))</f>
        <v>0</v>
      </c>
      <c r="AZ408" s="57" t="n">
        <f aca="false">IF(OR(OR($B408="",$E408="",$F408=""),$K408&lt;&gt;"نعم",$M408="نعم"),0,MAX(0,MIN($F408,EOMONTH(DATE(cfg_FY,7,1),0))-MAX($E408,DATE(cfg_FY,7,1))+1))</f>
        <v>0</v>
      </c>
      <c r="BA408" s="57" t="n">
        <f aca="false">IF(OR(OR($B408="",$E408="",$F408=""),$K408&lt;&gt;"نعم",$M408="نعم"),0,MAX(0,MIN($F408,EOMONTH(DATE(cfg_FY,8,1),0))-MAX($E408,DATE(cfg_FY,8,1))+1))</f>
        <v>0</v>
      </c>
      <c r="BB408" s="57" t="n">
        <f aca="false">IF(OR(OR($B408="",$E408="",$F408=""),$K408&lt;&gt;"نعم",$M408="نعم"),0,MAX(0,MIN($F408,EOMONTH(DATE(cfg_FY,9,1),0))-MAX($E408,DATE(cfg_FY,9,1))+1))</f>
        <v>0</v>
      </c>
      <c r="BC408" s="57" t="n">
        <f aca="false">IF(OR(OR($B408="",$E408="",$F408=""),$K408&lt;&gt;"نعم",$M408="نعم"),0,MAX(0,MIN($F408,EOMONTH(DATE(cfg_FY,10,1),0))-MAX($E408,DATE(cfg_FY,10,1))+1))</f>
        <v>0</v>
      </c>
      <c r="BD408" s="57" t="n">
        <f aca="false">IF(OR(OR($B408="",$E408="",$F408=""),$K408&lt;&gt;"نعم",$M408="نعم"),0,MAX(0,MIN($F408,EOMONTH(DATE(cfg_FY,11,1),0))-MAX($E408,DATE(cfg_FY,11,1))+1))</f>
        <v>0</v>
      </c>
      <c r="BE408" s="57" t="n">
        <f aca="false">IF(OR(OR($B408="",$E408="",$F408=""),$K408&lt;&gt;"نعم",$M408="نعم"),0,MAX(0,MIN($F408,EOMONTH(DATE(cfg_FY,12,1),0))-MAX($E408,DATE(cfg_FY,12,1))+1))</f>
        <v>0</v>
      </c>
    </row>
    <row r="409" customFormat="false" ht="15" hidden="false" customHeight="false" outlineLevel="0" collapsed="false">
      <c r="A409" s="100" t="str">
        <f aca="false">IF(B409="","",ROW()-5)</f>
        <v/>
      </c>
      <c r="B409" s="79"/>
      <c r="C409" s="102" t="str">
        <f aca="false">IF(B409="","",IFERROR(INDEX(الموظفون!$C$6:$C$105,MATCH(B409,الموظفون!$B$6:$B$105,0)),"✖ رقم غير موجود"))</f>
        <v/>
      </c>
      <c r="D409" s="79"/>
      <c r="E409" s="94"/>
      <c r="F409" s="94"/>
      <c r="G409" s="110" t="str">
        <f aca="false">IF(OR($B409="",$E409="",$F409=""),"",MAX(0,F409-E409+1))</f>
        <v/>
      </c>
      <c r="H409" s="111" t="str">
        <f aca="false">IF(D409="","",IFERROR(VLOOKUP(D409,cfg_LT,2,FALSE()),1))</f>
        <v/>
      </c>
      <c r="I409" s="82"/>
      <c r="J409" s="111" t="str">
        <f aca="false">IF(D409="","",IF(I409&lt;&gt;"",I409,H409))</f>
        <v/>
      </c>
      <c r="K409" s="102" t="str">
        <f aca="false">IF(D409="","",IFERROR(VLOOKUP($D409,cfg_LT,3,FALSE()),""))</f>
        <v/>
      </c>
      <c r="L409" s="102" t="str">
        <f aca="false">IF(D409="","",IFERROR(VLOOKUP($D409,cfg_LT,4,FALSE()),""))</f>
        <v/>
      </c>
      <c r="M409" s="102" t="str">
        <f aca="false">IF(D409="","",IFERROR(VLOOKUP($D409,cfg_LT,5,FALSE()),""))</f>
        <v/>
      </c>
      <c r="N409" s="101" t="n">
        <f aca="false">IF(OR(OR($B409="",$E409="",$F409=""),M409&lt;&gt;"نعم"),0,G409*J409*IFERROR(INDEX(الموظفون!$R$6:$R$105,MATCH(B409,الموظفون!$B$6:$B$105,0)),0)/cfg_DAYS_M)</f>
        <v>0</v>
      </c>
      <c r="O409" s="100" t="str">
        <f aca="false">IF(OR(OR($B409="",$E409="",$F409=""),M409&lt;&gt;"نعم"),"",IF(YEAR(E409)=cfg_FY,MONTH(E409),""))</f>
        <v/>
      </c>
      <c r="P409" s="102" t="str">
        <f aca="false">IF(B409="","",IF(OR(D409="",E409="",F409=""),"⚠ أكمل النوع والتواريخ",IF(F409&lt;E409,"✖ النهاية قبل البداية",IF(COUNTIFS($B$6:$B$505,B409,$E$6:$E$505,"&lt;="&amp;F409,$F$6:$F$505,"&gt;="&amp;E409)&gt;1,"⚠ تداخل مع سجل آخر",IF(E409&gt;cfg_VAL_DATE,"⏳ قادمة",IF(F409&lt;cfg_VAL_DATE,"✔ منتهية","✈ جارية في تاريخ التقرير"))))))</f>
        <v/>
      </c>
      <c r="Q409" s="79"/>
      <c r="R409" s="110" t="n">
        <f aca="false">IF(OR(OR($B409="",$E409="",$F409=""),L409&lt;&gt;"لا"),0,MAX(0,MIN(F409,cfg_Y_START-1)-E409+1))</f>
        <v>0</v>
      </c>
      <c r="S409" s="110" t="n">
        <f aca="false">IF(OR(OR($B409="",$E409="",$F409=""),L409&lt;&gt;"لا"),0,MAX(0,MIN(F409,cfg_VAL_DATE)-E409+1))</f>
        <v>0</v>
      </c>
      <c r="T409" s="110" t="n">
        <f aca="false">IF(OR(OR($B409="",$E409="",$F409=""),K409&lt;&gt;"نعم"),0,IF(M409="نعم",IF(AND(ISNUMBER(O409),N(O409)&lt;=cfg_VAL_M),G409,0),MAX(0,MIN(F409,cfg_VAL_DATE)-MAX(E409,cfg_Y_START)+1)))</f>
        <v>0</v>
      </c>
      <c r="V409" s="110" t="n">
        <f aca="false">IF(OR($B409="",$E409="",$F409=""),0,MAX(0,MIN($F409,EOMONTH(DATE(cfg_FY,1,1),0))-MAX($E409,DATE(cfg_FY,1,1))+1)*(1-IF($M409="نعم",0,N($J409))))</f>
        <v>0</v>
      </c>
      <c r="W409" s="110" t="n">
        <f aca="false">IF(OR($B409="",$E409="",$F409=""),0,MAX(0,MIN($F409,EOMONTH(DATE(cfg_FY,2,1),0))-MAX($E409,DATE(cfg_FY,2,1))+1)*(1-IF($M409="نعم",0,N($J409))))</f>
        <v>0</v>
      </c>
      <c r="X409" s="110" t="n">
        <f aca="false">IF(OR($B409="",$E409="",$F409=""),0,MAX(0,MIN($F409,EOMONTH(DATE(cfg_FY,3,1),0))-MAX($E409,DATE(cfg_FY,3,1))+1)*(1-IF($M409="نعم",0,N($J409))))</f>
        <v>0</v>
      </c>
      <c r="Y409" s="110" t="n">
        <f aca="false">IF(OR($B409="",$E409="",$F409=""),0,MAX(0,MIN($F409,EOMONTH(DATE(cfg_FY,4,1),0))-MAX($E409,DATE(cfg_FY,4,1))+1)*(1-IF($M409="نعم",0,N($J409))))</f>
        <v>0</v>
      </c>
      <c r="Z409" s="110" t="n">
        <f aca="false">IF(OR($B409="",$E409="",$F409=""),0,MAX(0,MIN($F409,EOMONTH(DATE(cfg_FY,5,1),0))-MAX($E409,DATE(cfg_FY,5,1))+1)*(1-IF($M409="نعم",0,N($J409))))</f>
        <v>0</v>
      </c>
      <c r="AA409" s="110" t="n">
        <f aca="false">IF(OR($B409="",$E409="",$F409=""),0,MAX(0,MIN($F409,EOMONTH(DATE(cfg_FY,6,1),0))-MAX($E409,DATE(cfg_FY,6,1))+1)*(1-IF($M409="نعم",0,N($J409))))</f>
        <v>0</v>
      </c>
      <c r="AB409" s="110" t="n">
        <f aca="false">IF(OR($B409="",$E409="",$F409=""),0,MAX(0,MIN($F409,EOMONTH(DATE(cfg_FY,7,1),0))-MAX($E409,DATE(cfg_FY,7,1))+1)*(1-IF($M409="نعم",0,N($J409))))</f>
        <v>0</v>
      </c>
      <c r="AC409" s="110" t="n">
        <f aca="false">IF(OR($B409="",$E409="",$F409=""),0,MAX(0,MIN($F409,EOMONTH(DATE(cfg_FY,8,1),0))-MAX($E409,DATE(cfg_FY,8,1))+1)*(1-IF($M409="نعم",0,N($J409))))</f>
        <v>0</v>
      </c>
      <c r="AD409" s="110" t="n">
        <f aca="false">IF(OR($B409="",$E409="",$F409=""),0,MAX(0,MIN($F409,EOMONTH(DATE(cfg_FY,9,1),0))-MAX($E409,DATE(cfg_FY,9,1))+1)*(1-IF($M409="نعم",0,N($J409))))</f>
        <v>0</v>
      </c>
      <c r="AE409" s="110" t="n">
        <f aca="false">IF(OR($B409="",$E409="",$F409=""),0,MAX(0,MIN($F409,EOMONTH(DATE(cfg_FY,10,1),0))-MAX($E409,DATE(cfg_FY,10,1))+1)*(1-IF($M409="نعم",0,N($J409))))</f>
        <v>0</v>
      </c>
      <c r="AF409" s="110" t="n">
        <f aca="false">IF(OR($B409="",$E409="",$F409=""),0,MAX(0,MIN($F409,EOMONTH(DATE(cfg_FY,11,1),0))-MAX($E409,DATE(cfg_FY,11,1))+1)*(1-IF($M409="نعم",0,N($J409))))</f>
        <v>0</v>
      </c>
      <c r="AG409" s="110" t="n">
        <f aca="false">IF(OR($B409="",$E409="",$F409=""),0,MAX(0,MIN($F409,EOMONTH(DATE(cfg_FY,12,1),0))-MAX($E409,DATE(cfg_FY,12,1))+1)*(1-IF($M409="نعم",0,N($J409))))</f>
        <v>0</v>
      </c>
      <c r="AH409" s="110" t="n">
        <f aca="false">IF(OR(OR($B409="",$E409="",$F409=""),$L409&lt;&gt;"لا"),0,MAX(0,MIN($F409,EOMONTH(DATE(cfg_FY,1,1),0))-$E409+1))</f>
        <v>0</v>
      </c>
      <c r="AI409" s="110" t="n">
        <f aca="false">IF(OR(OR($B409="",$E409="",$F409=""),$L409&lt;&gt;"لا"),0,MAX(0,MIN($F409,EOMONTH(DATE(cfg_FY,2,1),0))-$E409+1))</f>
        <v>0</v>
      </c>
      <c r="AJ409" s="110" t="n">
        <f aca="false">IF(OR(OR($B409="",$E409="",$F409=""),$L409&lt;&gt;"لا"),0,MAX(0,MIN($F409,EOMONTH(DATE(cfg_FY,3,1),0))-$E409+1))</f>
        <v>0</v>
      </c>
      <c r="AK409" s="110" t="n">
        <f aca="false">IF(OR(OR($B409="",$E409="",$F409=""),$L409&lt;&gt;"لا"),0,MAX(0,MIN($F409,EOMONTH(DATE(cfg_FY,4,1),0))-$E409+1))</f>
        <v>0</v>
      </c>
      <c r="AL409" s="110" t="n">
        <f aca="false">IF(OR(OR($B409="",$E409="",$F409=""),$L409&lt;&gt;"لا"),0,MAX(0,MIN($F409,EOMONTH(DATE(cfg_FY,5,1),0))-$E409+1))</f>
        <v>0</v>
      </c>
      <c r="AM409" s="110" t="n">
        <f aca="false">IF(OR(OR($B409="",$E409="",$F409=""),$L409&lt;&gt;"لا"),0,MAX(0,MIN($F409,EOMONTH(DATE(cfg_FY,6,1),0))-$E409+1))</f>
        <v>0</v>
      </c>
      <c r="AN409" s="110" t="n">
        <f aca="false">IF(OR(OR($B409="",$E409="",$F409=""),$L409&lt;&gt;"لا"),0,MAX(0,MIN($F409,EOMONTH(DATE(cfg_FY,7,1),0))-$E409+1))</f>
        <v>0</v>
      </c>
      <c r="AO409" s="110" t="n">
        <f aca="false">IF(OR(OR($B409="",$E409="",$F409=""),$L409&lt;&gt;"لا"),0,MAX(0,MIN($F409,EOMONTH(DATE(cfg_FY,8,1),0))-$E409+1))</f>
        <v>0</v>
      </c>
      <c r="AP409" s="110" t="n">
        <f aca="false">IF(OR(OR($B409="",$E409="",$F409=""),$L409&lt;&gt;"لا"),0,MAX(0,MIN($F409,EOMONTH(DATE(cfg_FY,9,1),0))-$E409+1))</f>
        <v>0</v>
      </c>
      <c r="AQ409" s="110" t="n">
        <f aca="false">IF(OR(OR($B409="",$E409="",$F409=""),$L409&lt;&gt;"لا"),0,MAX(0,MIN($F409,EOMONTH(DATE(cfg_FY,10,1),0))-$E409+1))</f>
        <v>0</v>
      </c>
      <c r="AR409" s="110" t="n">
        <f aca="false">IF(OR(OR($B409="",$E409="",$F409=""),$L409&lt;&gt;"لا"),0,MAX(0,MIN($F409,EOMONTH(DATE(cfg_FY,11,1),0))-$E409+1))</f>
        <v>0</v>
      </c>
      <c r="AS409" s="110" t="n">
        <f aca="false">IF(OR(OR($B409="",$E409="",$F409=""),$L409&lt;&gt;"لا"),0,MAX(0,MIN($F409,EOMONTH(DATE(cfg_FY,12,1),0))-$E409+1))</f>
        <v>0</v>
      </c>
      <c r="AT409" s="110" t="n">
        <f aca="false">IF(OR(OR($B409="",$E409="",$F409=""),$K409&lt;&gt;"نعم",$M409="نعم"),0,MAX(0,MIN($F409,EOMONTH(DATE(cfg_FY,1,1),0))-MAX($E409,DATE(cfg_FY,1,1))+1))</f>
        <v>0</v>
      </c>
      <c r="AU409" s="110" t="n">
        <f aca="false">IF(OR(OR($B409="",$E409="",$F409=""),$K409&lt;&gt;"نعم",$M409="نعم"),0,MAX(0,MIN($F409,EOMONTH(DATE(cfg_FY,2,1),0))-MAX($E409,DATE(cfg_FY,2,1))+1))</f>
        <v>0</v>
      </c>
      <c r="AV409" s="110" t="n">
        <f aca="false">IF(OR(OR($B409="",$E409="",$F409=""),$K409&lt;&gt;"نعم",$M409="نعم"),0,MAX(0,MIN($F409,EOMONTH(DATE(cfg_FY,3,1),0))-MAX($E409,DATE(cfg_FY,3,1))+1))</f>
        <v>0</v>
      </c>
      <c r="AW409" s="110" t="n">
        <f aca="false">IF(OR(OR($B409="",$E409="",$F409=""),$K409&lt;&gt;"نعم",$M409="نعم"),0,MAX(0,MIN($F409,EOMONTH(DATE(cfg_FY,4,1),0))-MAX($E409,DATE(cfg_FY,4,1))+1))</f>
        <v>0</v>
      </c>
      <c r="AX409" s="110" t="n">
        <f aca="false">IF(OR(OR($B409="",$E409="",$F409=""),$K409&lt;&gt;"نعم",$M409="نعم"),0,MAX(0,MIN($F409,EOMONTH(DATE(cfg_FY,5,1),0))-MAX($E409,DATE(cfg_FY,5,1))+1))</f>
        <v>0</v>
      </c>
      <c r="AY409" s="110" t="n">
        <f aca="false">IF(OR(OR($B409="",$E409="",$F409=""),$K409&lt;&gt;"نعم",$M409="نعم"),0,MAX(0,MIN($F409,EOMONTH(DATE(cfg_FY,6,1),0))-MAX($E409,DATE(cfg_FY,6,1))+1))</f>
        <v>0</v>
      </c>
      <c r="AZ409" s="110" t="n">
        <f aca="false">IF(OR(OR($B409="",$E409="",$F409=""),$K409&lt;&gt;"نعم",$M409="نعم"),0,MAX(0,MIN($F409,EOMONTH(DATE(cfg_FY,7,1),0))-MAX($E409,DATE(cfg_FY,7,1))+1))</f>
        <v>0</v>
      </c>
      <c r="BA409" s="110" t="n">
        <f aca="false">IF(OR(OR($B409="",$E409="",$F409=""),$K409&lt;&gt;"نعم",$M409="نعم"),0,MAX(0,MIN($F409,EOMONTH(DATE(cfg_FY,8,1),0))-MAX($E409,DATE(cfg_FY,8,1))+1))</f>
        <v>0</v>
      </c>
      <c r="BB409" s="110" t="n">
        <f aca="false">IF(OR(OR($B409="",$E409="",$F409=""),$K409&lt;&gt;"نعم",$M409="نعم"),0,MAX(0,MIN($F409,EOMONTH(DATE(cfg_FY,9,1),0))-MAX($E409,DATE(cfg_FY,9,1))+1))</f>
        <v>0</v>
      </c>
      <c r="BC409" s="110" t="n">
        <f aca="false">IF(OR(OR($B409="",$E409="",$F409=""),$K409&lt;&gt;"نعم",$M409="نعم"),0,MAX(0,MIN($F409,EOMONTH(DATE(cfg_FY,10,1),0))-MAX($E409,DATE(cfg_FY,10,1))+1))</f>
        <v>0</v>
      </c>
      <c r="BD409" s="110" t="n">
        <f aca="false">IF(OR(OR($B409="",$E409="",$F409=""),$K409&lt;&gt;"نعم",$M409="نعم"),0,MAX(0,MIN($F409,EOMONTH(DATE(cfg_FY,11,1),0))-MAX($E409,DATE(cfg_FY,11,1))+1))</f>
        <v>0</v>
      </c>
      <c r="BE409" s="110" t="n">
        <f aca="false">IF(OR(OR($B409="",$E409="",$F409=""),$K409&lt;&gt;"نعم",$M409="نعم"),0,MAX(0,MIN($F409,EOMONTH(DATE(cfg_FY,12,1),0))-MAX($E409,DATE(cfg_FY,12,1))+1))</f>
        <v>0</v>
      </c>
    </row>
    <row r="410" customFormat="false" ht="15" hidden="false" customHeight="false" outlineLevel="0" collapsed="false">
      <c r="A410" s="93" t="str">
        <f aca="false">IF(B410="","",ROW()-5)</f>
        <v/>
      </c>
      <c r="B410" s="79"/>
      <c r="C410" s="80" t="str">
        <f aca="false">IF(B410="","",IFERROR(INDEX(الموظفون!$C$6:$C$105,MATCH(B410,الموظفون!$B$6:$B$105,0)),"✖ رقم غير موجود"))</f>
        <v/>
      </c>
      <c r="D410" s="79"/>
      <c r="E410" s="94"/>
      <c r="F410" s="94"/>
      <c r="G410" s="57" t="str">
        <f aca="false">IF(OR($B410="",$E410="",$F410=""),"",MAX(0,F410-E410+1))</f>
        <v/>
      </c>
      <c r="H410" s="58" t="str">
        <f aca="false">IF(D410="","",IFERROR(VLOOKUP(D410,cfg_LT,2,FALSE()),1))</f>
        <v/>
      </c>
      <c r="I410" s="82"/>
      <c r="J410" s="58" t="str">
        <f aca="false">IF(D410="","",IF(I410&lt;&gt;"",I410,H410))</f>
        <v/>
      </c>
      <c r="K410" s="80" t="str">
        <f aca="false">IF(D410="","",IFERROR(VLOOKUP($D410,cfg_LT,3,FALSE()),""))</f>
        <v/>
      </c>
      <c r="L410" s="80" t="str">
        <f aca="false">IF(D410="","",IFERROR(VLOOKUP($D410,cfg_LT,4,FALSE()),""))</f>
        <v/>
      </c>
      <c r="M410" s="80" t="str">
        <f aca="false">IF(D410="","",IFERROR(VLOOKUP($D410,cfg_LT,5,FALSE()),""))</f>
        <v/>
      </c>
      <c r="N410" s="97" t="n">
        <f aca="false">IF(OR(OR($B410="",$E410="",$F410=""),M410&lt;&gt;"نعم"),0,G410*J410*IFERROR(INDEX(الموظفون!$R$6:$R$105,MATCH(B410,الموظفون!$B$6:$B$105,0)),0)/cfg_DAYS_M)</f>
        <v>0</v>
      </c>
      <c r="O410" s="93" t="str">
        <f aca="false">IF(OR(OR($B410="",$E410="",$F410=""),M410&lt;&gt;"نعم"),"",IF(YEAR(E410)=cfg_FY,MONTH(E410),""))</f>
        <v/>
      </c>
      <c r="P410" s="80" t="str">
        <f aca="false">IF(B410="","",IF(OR(D410="",E410="",F410=""),"⚠ أكمل النوع والتواريخ",IF(F410&lt;E410,"✖ النهاية قبل البداية",IF(COUNTIFS($B$6:$B$505,B410,$E$6:$E$505,"&lt;="&amp;F410,$F$6:$F$505,"&gt;="&amp;E410)&gt;1,"⚠ تداخل مع سجل آخر",IF(E410&gt;cfg_VAL_DATE,"⏳ قادمة",IF(F410&lt;cfg_VAL_DATE,"✔ منتهية","✈ جارية في تاريخ التقرير"))))))</f>
        <v/>
      </c>
      <c r="Q410" s="79"/>
      <c r="R410" s="57" t="n">
        <f aca="false">IF(OR(OR($B410="",$E410="",$F410=""),L410&lt;&gt;"لا"),0,MAX(0,MIN(F410,cfg_Y_START-1)-E410+1))</f>
        <v>0</v>
      </c>
      <c r="S410" s="57" t="n">
        <f aca="false">IF(OR(OR($B410="",$E410="",$F410=""),L410&lt;&gt;"لا"),0,MAX(0,MIN(F410,cfg_VAL_DATE)-E410+1))</f>
        <v>0</v>
      </c>
      <c r="T410" s="57" t="n">
        <f aca="false">IF(OR(OR($B410="",$E410="",$F410=""),K410&lt;&gt;"نعم"),0,IF(M410="نعم",IF(AND(ISNUMBER(O410),N(O410)&lt;=cfg_VAL_M),G410,0),MAX(0,MIN(F410,cfg_VAL_DATE)-MAX(E410,cfg_Y_START)+1)))</f>
        <v>0</v>
      </c>
      <c r="V410" s="57" t="n">
        <f aca="false">IF(OR($B410="",$E410="",$F410=""),0,MAX(0,MIN($F410,EOMONTH(DATE(cfg_FY,1,1),0))-MAX($E410,DATE(cfg_FY,1,1))+1)*(1-IF($M410="نعم",0,N($J410))))</f>
        <v>0</v>
      </c>
      <c r="W410" s="57" t="n">
        <f aca="false">IF(OR($B410="",$E410="",$F410=""),0,MAX(0,MIN($F410,EOMONTH(DATE(cfg_FY,2,1),0))-MAX($E410,DATE(cfg_FY,2,1))+1)*(1-IF($M410="نعم",0,N($J410))))</f>
        <v>0</v>
      </c>
      <c r="X410" s="57" t="n">
        <f aca="false">IF(OR($B410="",$E410="",$F410=""),0,MAX(0,MIN($F410,EOMONTH(DATE(cfg_FY,3,1),0))-MAX($E410,DATE(cfg_FY,3,1))+1)*(1-IF($M410="نعم",0,N($J410))))</f>
        <v>0</v>
      </c>
      <c r="Y410" s="57" t="n">
        <f aca="false">IF(OR($B410="",$E410="",$F410=""),0,MAX(0,MIN($F410,EOMONTH(DATE(cfg_FY,4,1),0))-MAX($E410,DATE(cfg_FY,4,1))+1)*(1-IF($M410="نعم",0,N($J410))))</f>
        <v>0</v>
      </c>
      <c r="Z410" s="57" t="n">
        <f aca="false">IF(OR($B410="",$E410="",$F410=""),0,MAX(0,MIN($F410,EOMONTH(DATE(cfg_FY,5,1),0))-MAX($E410,DATE(cfg_FY,5,1))+1)*(1-IF($M410="نعم",0,N($J410))))</f>
        <v>0</v>
      </c>
      <c r="AA410" s="57" t="n">
        <f aca="false">IF(OR($B410="",$E410="",$F410=""),0,MAX(0,MIN($F410,EOMONTH(DATE(cfg_FY,6,1),0))-MAX($E410,DATE(cfg_FY,6,1))+1)*(1-IF($M410="نعم",0,N($J410))))</f>
        <v>0</v>
      </c>
      <c r="AB410" s="57" t="n">
        <f aca="false">IF(OR($B410="",$E410="",$F410=""),0,MAX(0,MIN($F410,EOMONTH(DATE(cfg_FY,7,1),0))-MAX($E410,DATE(cfg_FY,7,1))+1)*(1-IF($M410="نعم",0,N($J410))))</f>
        <v>0</v>
      </c>
      <c r="AC410" s="57" t="n">
        <f aca="false">IF(OR($B410="",$E410="",$F410=""),0,MAX(0,MIN($F410,EOMONTH(DATE(cfg_FY,8,1),0))-MAX($E410,DATE(cfg_FY,8,1))+1)*(1-IF($M410="نعم",0,N($J410))))</f>
        <v>0</v>
      </c>
      <c r="AD410" s="57" t="n">
        <f aca="false">IF(OR($B410="",$E410="",$F410=""),0,MAX(0,MIN($F410,EOMONTH(DATE(cfg_FY,9,1),0))-MAX($E410,DATE(cfg_FY,9,1))+1)*(1-IF($M410="نعم",0,N($J410))))</f>
        <v>0</v>
      </c>
      <c r="AE410" s="57" t="n">
        <f aca="false">IF(OR($B410="",$E410="",$F410=""),0,MAX(0,MIN($F410,EOMONTH(DATE(cfg_FY,10,1),0))-MAX($E410,DATE(cfg_FY,10,1))+1)*(1-IF($M410="نعم",0,N($J410))))</f>
        <v>0</v>
      </c>
      <c r="AF410" s="57" t="n">
        <f aca="false">IF(OR($B410="",$E410="",$F410=""),0,MAX(0,MIN($F410,EOMONTH(DATE(cfg_FY,11,1),0))-MAX($E410,DATE(cfg_FY,11,1))+1)*(1-IF($M410="نعم",0,N($J410))))</f>
        <v>0</v>
      </c>
      <c r="AG410" s="57" t="n">
        <f aca="false">IF(OR($B410="",$E410="",$F410=""),0,MAX(0,MIN($F410,EOMONTH(DATE(cfg_FY,12,1),0))-MAX($E410,DATE(cfg_FY,12,1))+1)*(1-IF($M410="نعم",0,N($J410))))</f>
        <v>0</v>
      </c>
      <c r="AH410" s="57" t="n">
        <f aca="false">IF(OR(OR($B410="",$E410="",$F410=""),$L410&lt;&gt;"لا"),0,MAX(0,MIN($F410,EOMONTH(DATE(cfg_FY,1,1),0))-$E410+1))</f>
        <v>0</v>
      </c>
      <c r="AI410" s="57" t="n">
        <f aca="false">IF(OR(OR($B410="",$E410="",$F410=""),$L410&lt;&gt;"لا"),0,MAX(0,MIN($F410,EOMONTH(DATE(cfg_FY,2,1),0))-$E410+1))</f>
        <v>0</v>
      </c>
      <c r="AJ410" s="57" t="n">
        <f aca="false">IF(OR(OR($B410="",$E410="",$F410=""),$L410&lt;&gt;"لا"),0,MAX(0,MIN($F410,EOMONTH(DATE(cfg_FY,3,1),0))-$E410+1))</f>
        <v>0</v>
      </c>
      <c r="AK410" s="57" t="n">
        <f aca="false">IF(OR(OR($B410="",$E410="",$F410=""),$L410&lt;&gt;"لا"),0,MAX(0,MIN($F410,EOMONTH(DATE(cfg_FY,4,1),0))-$E410+1))</f>
        <v>0</v>
      </c>
      <c r="AL410" s="57" t="n">
        <f aca="false">IF(OR(OR($B410="",$E410="",$F410=""),$L410&lt;&gt;"لا"),0,MAX(0,MIN($F410,EOMONTH(DATE(cfg_FY,5,1),0))-$E410+1))</f>
        <v>0</v>
      </c>
      <c r="AM410" s="57" t="n">
        <f aca="false">IF(OR(OR($B410="",$E410="",$F410=""),$L410&lt;&gt;"لا"),0,MAX(0,MIN($F410,EOMONTH(DATE(cfg_FY,6,1),0))-$E410+1))</f>
        <v>0</v>
      </c>
      <c r="AN410" s="57" t="n">
        <f aca="false">IF(OR(OR($B410="",$E410="",$F410=""),$L410&lt;&gt;"لا"),0,MAX(0,MIN($F410,EOMONTH(DATE(cfg_FY,7,1),0))-$E410+1))</f>
        <v>0</v>
      </c>
      <c r="AO410" s="57" t="n">
        <f aca="false">IF(OR(OR($B410="",$E410="",$F410=""),$L410&lt;&gt;"لا"),0,MAX(0,MIN($F410,EOMONTH(DATE(cfg_FY,8,1),0))-$E410+1))</f>
        <v>0</v>
      </c>
      <c r="AP410" s="57" t="n">
        <f aca="false">IF(OR(OR($B410="",$E410="",$F410=""),$L410&lt;&gt;"لا"),0,MAX(0,MIN($F410,EOMONTH(DATE(cfg_FY,9,1),0))-$E410+1))</f>
        <v>0</v>
      </c>
      <c r="AQ410" s="57" t="n">
        <f aca="false">IF(OR(OR($B410="",$E410="",$F410=""),$L410&lt;&gt;"لا"),0,MAX(0,MIN($F410,EOMONTH(DATE(cfg_FY,10,1),0))-$E410+1))</f>
        <v>0</v>
      </c>
      <c r="AR410" s="57" t="n">
        <f aca="false">IF(OR(OR($B410="",$E410="",$F410=""),$L410&lt;&gt;"لا"),0,MAX(0,MIN($F410,EOMONTH(DATE(cfg_FY,11,1),0))-$E410+1))</f>
        <v>0</v>
      </c>
      <c r="AS410" s="57" t="n">
        <f aca="false">IF(OR(OR($B410="",$E410="",$F410=""),$L410&lt;&gt;"لا"),0,MAX(0,MIN($F410,EOMONTH(DATE(cfg_FY,12,1),0))-$E410+1))</f>
        <v>0</v>
      </c>
      <c r="AT410" s="57" t="n">
        <f aca="false">IF(OR(OR($B410="",$E410="",$F410=""),$K410&lt;&gt;"نعم",$M410="نعم"),0,MAX(0,MIN($F410,EOMONTH(DATE(cfg_FY,1,1),0))-MAX($E410,DATE(cfg_FY,1,1))+1))</f>
        <v>0</v>
      </c>
      <c r="AU410" s="57" t="n">
        <f aca="false">IF(OR(OR($B410="",$E410="",$F410=""),$K410&lt;&gt;"نعم",$M410="نعم"),0,MAX(0,MIN($F410,EOMONTH(DATE(cfg_FY,2,1),0))-MAX($E410,DATE(cfg_FY,2,1))+1))</f>
        <v>0</v>
      </c>
      <c r="AV410" s="57" t="n">
        <f aca="false">IF(OR(OR($B410="",$E410="",$F410=""),$K410&lt;&gt;"نعم",$M410="نعم"),0,MAX(0,MIN($F410,EOMONTH(DATE(cfg_FY,3,1),0))-MAX($E410,DATE(cfg_FY,3,1))+1))</f>
        <v>0</v>
      </c>
      <c r="AW410" s="57" t="n">
        <f aca="false">IF(OR(OR($B410="",$E410="",$F410=""),$K410&lt;&gt;"نعم",$M410="نعم"),0,MAX(0,MIN($F410,EOMONTH(DATE(cfg_FY,4,1),0))-MAX($E410,DATE(cfg_FY,4,1))+1))</f>
        <v>0</v>
      </c>
      <c r="AX410" s="57" t="n">
        <f aca="false">IF(OR(OR($B410="",$E410="",$F410=""),$K410&lt;&gt;"نعم",$M410="نعم"),0,MAX(0,MIN($F410,EOMONTH(DATE(cfg_FY,5,1),0))-MAX($E410,DATE(cfg_FY,5,1))+1))</f>
        <v>0</v>
      </c>
      <c r="AY410" s="57" t="n">
        <f aca="false">IF(OR(OR($B410="",$E410="",$F410=""),$K410&lt;&gt;"نعم",$M410="نعم"),0,MAX(0,MIN($F410,EOMONTH(DATE(cfg_FY,6,1),0))-MAX($E410,DATE(cfg_FY,6,1))+1))</f>
        <v>0</v>
      </c>
      <c r="AZ410" s="57" t="n">
        <f aca="false">IF(OR(OR($B410="",$E410="",$F410=""),$K410&lt;&gt;"نعم",$M410="نعم"),0,MAX(0,MIN($F410,EOMONTH(DATE(cfg_FY,7,1),0))-MAX($E410,DATE(cfg_FY,7,1))+1))</f>
        <v>0</v>
      </c>
      <c r="BA410" s="57" t="n">
        <f aca="false">IF(OR(OR($B410="",$E410="",$F410=""),$K410&lt;&gt;"نعم",$M410="نعم"),0,MAX(0,MIN($F410,EOMONTH(DATE(cfg_FY,8,1),0))-MAX($E410,DATE(cfg_FY,8,1))+1))</f>
        <v>0</v>
      </c>
      <c r="BB410" s="57" t="n">
        <f aca="false">IF(OR(OR($B410="",$E410="",$F410=""),$K410&lt;&gt;"نعم",$M410="نعم"),0,MAX(0,MIN($F410,EOMONTH(DATE(cfg_FY,9,1),0))-MAX($E410,DATE(cfg_FY,9,1))+1))</f>
        <v>0</v>
      </c>
      <c r="BC410" s="57" t="n">
        <f aca="false">IF(OR(OR($B410="",$E410="",$F410=""),$K410&lt;&gt;"نعم",$M410="نعم"),0,MAX(0,MIN($F410,EOMONTH(DATE(cfg_FY,10,1),0))-MAX($E410,DATE(cfg_FY,10,1))+1))</f>
        <v>0</v>
      </c>
      <c r="BD410" s="57" t="n">
        <f aca="false">IF(OR(OR($B410="",$E410="",$F410=""),$K410&lt;&gt;"نعم",$M410="نعم"),0,MAX(0,MIN($F410,EOMONTH(DATE(cfg_FY,11,1),0))-MAX($E410,DATE(cfg_FY,11,1))+1))</f>
        <v>0</v>
      </c>
      <c r="BE410" s="57" t="n">
        <f aca="false">IF(OR(OR($B410="",$E410="",$F410=""),$K410&lt;&gt;"نعم",$M410="نعم"),0,MAX(0,MIN($F410,EOMONTH(DATE(cfg_FY,12,1),0))-MAX($E410,DATE(cfg_FY,12,1))+1))</f>
        <v>0</v>
      </c>
    </row>
    <row r="411" customFormat="false" ht="15" hidden="false" customHeight="false" outlineLevel="0" collapsed="false">
      <c r="A411" s="100" t="str">
        <f aca="false">IF(B411="","",ROW()-5)</f>
        <v/>
      </c>
      <c r="B411" s="79"/>
      <c r="C411" s="102" t="str">
        <f aca="false">IF(B411="","",IFERROR(INDEX(الموظفون!$C$6:$C$105,MATCH(B411,الموظفون!$B$6:$B$105,0)),"✖ رقم غير موجود"))</f>
        <v/>
      </c>
      <c r="D411" s="79"/>
      <c r="E411" s="94"/>
      <c r="F411" s="94"/>
      <c r="G411" s="110" t="str">
        <f aca="false">IF(OR($B411="",$E411="",$F411=""),"",MAX(0,F411-E411+1))</f>
        <v/>
      </c>
      <c r="H411" s="111" t="str">
        <f aca="false">IF(D411="","",IFERROR(VLOOKUP(D411,cfg_LT,2,FALSE()),1))</f>
        <v/>
      </c>
      <c r="I411" s="82"/>
      <c r="J411" s="111" t="str">
        <f aca="false">IF(D411="","",IF(I411&lt;&gt;"",I411,H411))</f>
        <v/>
      </c>
      <c r="K411" s="102" t="str">
        <f aca="false">IF(D411="","",IFERROR(VLOOKUP($D411,cfg_LT,3,FALSE()),""))</f>
        <v/>
      </c>
      <c r="L411" s="102" t="str">
        <f aca="false">IF(D411="","",IFERROR(VLOOKUP($D411,cfg_LT,4,FALSE()),""))</f>
        <v/>
      </c>
      <c r="M411" s="102" t="str">
        <f aca="false">IF(D411="","",IFERROR(VLOOKUP($D411,cfg_LT,5,FALSE()),""))</f>
        <v/>
      </c>
      <c r="N411" s="101" t="n">
        <f aca="false">IF(OR(OR($B411="",$E411="",$F411=""),M411&lt;&gt;"نعم"),0,G411*J411*IFERROR(INDEX(الموظفون!$R$6:$R$105,MATCH(B411,الموظفون!$B$6:$B$105,0)),0)/cfg_DAYS_M)</f>
        <v>0</v>
      </c>
      <c r="O411" s="100" t="str">
        <f aca="false">IF(OR(OR($B411="",$E411="",$F411=""),M411&lt;&gt;"نعم"),"",IF(YEAR(E411)=cfg_FY,MONTH(E411),""))</f>
        <v/>
      </c>
      <c r="P411" s="102" t="str">
        <f aca="false">IF(B411="","",IF(OR(D411="",E411="",F411=""),"⚠ أكمل النوع والتواريخ",IF(F411&lt;E411,"✖ النهاية قبل البداية",IF(COUNTIFS($B$6:$B$505,B411,$E$6:$E$505,"&lt;="&amp;F411,$F$6:$F$505,"&gt;="&amp;E411)&gt;1,"⚠ تداخل مع سجل آخر",IF(E411&gt;cfg_VAL_DATE,"⏳ قادمة",IF(F411&lt;cfg_VAL_DATE,"✔ منتهية","✈ جارية في تاريخ التقرير"))))))</f>
        <v/>
      </c>
      <c r="Q411" s="79"/>
      <c r="R411" s="110" t="n">
        <f aca="false">IF(OR(OR($B411="",$E411="",$F411=""),L411&lt;&gt;"لا"),0,MAX(0,MIN(F411,cfg_Y_START-1)-E411+1))</f>
        <v>0</v>
      </c>
      <c r="S411" s="110" t="n">
        <f aca="false">IF(OR(OR($B411="",$E411="",$F411=""),L411&lt;&gt;"لا"),0,MAX(0,MIN(F411,cfg_VAL_DATE)-E411+1))</f>
        <v>0</v>
      </c>
      <c r="T411" s="110" t="n">
        <f aca="false">IF(OR(OR($B411="",$E411="",$F411=""),K411&lt;&gt;"نعم"),0,IF(M411="نعم",IF(AND(ISNUMBER(O411),N(O411)&lt;=cfg_VAL_M),G411,0),MAX(0,MIN(F411,cfg_VAL_DATE)-MAX(E411,cfg_Y_START)+1)))</f>
        <v>0</v>
      </c>
      <c r="V411" s="110" t="n">
        <f aca="false">IF(OR($B411="",$E411="",$F411=""),0,MAX(0,MIN($F411,EOMONTH(DATE(cfg_FY,1,1),0))-MAX($E411,DATE(cfg_FY,1,1))+1)*(1-IF($M411="نعم",0,N($J411))))</f>
        <v>0</v>
      </c>
      <c r="W411" s="110" t="n">
        <f aca="false">IF(OR($B411="",$E411="",$F411=""),0,MAX(0,MIN($F411,EOMONTH(DATE(cfg_FY,2,1),0))-MAX($E411,DATE(cfg_FY,2,1))+1)*(1-IF($M411="نعم",0,N($J411))))</f>
        <v>0</v>
      </c>
      <c r="X411" s="110" t="n">
        <f aca="false">IF(OR($B411="",$E411="",$F411=""),0,MAX(0,MIN($F411,EOMONTH(DATE(cfg_FY,3,1),0))-MAX($E411,DATE(cfg_FY,3,1))+1)*(1-IF($M411="نعم",0,N($J411))))</f>
        <v>0</v>
      </c>
      <c r="Y411" s="110" t="n">
        <f aca="false">IF(OR($B411="",$E411="",$F411=""),0,MAX(0,MIN($F411,EOMONTH(DATE(cfg_FY,4,1),0))-MAX($E411,DATE(cfg_FY,4,1))+1)*(1-IF($M411="نعم",0,N($J411))))</f>
        <v>0</v>
      </c>
      <c r="Z411" s="110" t="n">
        <f aca="false">IF(OR($B411="",$E411="",$F411=""),0,MAX(0,MIN($F411,EOMONTH(DATE(cfg_FY,5,1),0))-MAX($E411,DATE(cfg_FY,5,1))+1)*(1-IF($M411="نعم",0,N($J411))))</f>
        <v>0</v>
      </c>
      <c r="AA411" s="110" t="n">
        <f aca="false">IF(OR($B411="",$E411="",$F411=""),0,MAX(0,MIN($F411,EOMONTH(DATE(cfg_FY,6,1),0))-MAX($E411,DATE(cfg_FY,6,1))+1)*(1-IF($M411="نعم",0,N($J411))))</f>
        <v>0</v>
      </c>
      <c r="AB411" s="110" t="n">
        <f aca="false">IF(OR($B411="",$E411="",$F411=""),0,MAX(0,MIN($F411,EOMONTH(DATE(cfg_FY,7,1),0))-MAX($E411,DATE(cfg_FY,7,1))+1)*(1-IF($M411="نعم",0,N($J411))))</f>
        <v>0</v>
      </c>
      <c r="AC411" s="110" t="n">
        <f aca="false">IF(OR($B411="",$E411="",$F411=""),0,MAX(0,MIN($F411,EOMONTH(DATE(cfg_FY,8,1),0))-MAX($E411,DATE(cfg_FY,8,1))+1)*(1-IF($M411="نعم",0,N($J411))))</f>
        <v>0</v>
      </c>
      <c r="AD411" s="110" t="n">
        <f aca="false">IF(OR($B411="",$E411="",$F411=""),0,MAX(0,MIN($F411,EOMONTH(DATE(cfg_FY,9,1),0))-MAX($E411,DATE(cfg_FY,9,1))+1)*(1-IF($M411="نعم",0,N($J411))))</f>
        <v>0</v>
      </c>
      <c r="AE411" s="110" t="n">
        <f aca="false">IF(OR($B411="",$E411="",$F411=""),0,MAX(0,MIN($F411,EOMONTH(DATE(cfg_FY,10,1),0))-MAX($E411,DATE(cfg_FY,10,1))+1)*(1-IF($M411="نعم",0,N($J411))))</f>
        <v>0</v>
      </c>
      <c r="AF411" s="110" t="n">
        <f aca="false">IF(OR($B411="",$E411="",$F411=""),0,MAX(0,MIN($F411,EOMONTH(DATE(cfg_FY,11,1),0))-MAX($E411,DATE(cfg_FY,11,1))+1)*(1-IF($M411="نعم",0,N($J411))))</f>
        <v>0</v>
      </c>
      <c r="AG411" s="110" t="n">
        <f aca="false">IF(OR($B411="",$E411="",$F411=""),0,MAX(0,MIN($F411,EOMONTH(DATE(cfg_FY,12,1),0))-MAX($E411,DATE(cfg_FY,12,1))+1)*(1-IF($M411="نعم",0,N($J411))))</f>
        <v>0</v>
      </c>
      <c r="AH411" s="110" t="n">
        <f aca="false">IF(OR(OR($B411="",$E411="",$F411=""),$L411&lt;&gt;"لا"),0,MAX(0,MIN($F411,EOMONTH(DATE(cfg_FY,1,1),0))-$E411+1))</f>
        <v>0</v>
      </c>
      <c r="AI411" s="110" t="n">
        <f aca="false">IF(OR(OR($B411="",$E411="",$F411=""),$L411&lt;&gt;"لا"),0,MAX(0,MIN($F411,EOMONTH(DATE(cfg_FY,2,1),0))-$E411+1))</f>
        <v>0</v>
      </c>
      <c r="AJ411" s="110" t="n">
        <f aca="false">IF(OR(OR($B411="",$E411="",$F411=""),$L411&lt;&gt;"لا"),0,MAX(0,MIN($F411,EOMONTH(DATE(cfg_FY,3,1),0))-$E411+1))</f>
        <v>0</v>
      </c>
      <c r="AK411" s="110" t="n">
        <f aca="false">IF(OR(OR($B411="",$E411="",$F411=""),$L411&lt;&gt;"لا"),0,MAX(0,MIN($F411,EOMONTH(DATE(cfg_FY,4,1),0))-$E411+1))</f>
        <v>0</v>
      </c>
      <c r="AL411" s="110" t="n">
        <f aca="false">IF(OR(OR($B411="",$E411="",$F411=""),$L411&lt;&gt;"لا"),0,MAX(0,MIN($F411,EOMONTH(DATE(cfg_FY,5,1),0))-$E411+1))</f>
        <v>0</v>
      </c>
      <c r="AM411" s="110" t="n">
        <f aca="false">IF(OR(OR($B411="",$E411="",$F411=""),$L411&lt;&gt;"لا"),0,MAX(0,MIN($F411,EOMONTH(DATE(cfg_FY,6,1),0))-$E411+1))</f>
        <v>0</v>
      </c>
      <c r="AN411" s="110" t="n">
        <f aca="false">IF(OR(OR($B411="",$E411="",$F411=""),$L411&lt;&gt;"لا"),0,MAX(0,MIN($F411,EOMONTH(DATE(cfg_FY,7,1),0))-$E411+1))</f>
        <v>0</v>
      </c>
      <c r="AO411" s="110" t="n">
        <f aca="false">IF(OR(OR($B411="",$E411="",$F411=""),$L411&lt;&gt;"لا"),0,MAX(0,MIN($F411,EOMONTH(DATE(cfg_FY,8,1),0))-$E411+1))</f>
        <v>0</v>
      </c>
      <c r="AP411" s="110" t="n">
        <f aca="false">IF(OR(OR($B411="",$E411="",$F411=""),$L411&lt;&gt;"لا"),0,MAX(0,MIN($F411,EOMONTH(DATE(cfg_FY,9,1),0))-$E411+1))</f>
        <v>0</v>
      </c>
      <c r="AQ411" s="110" t="n">
        <f aca="false">IF(OR(OR($B411="",$E411="",$F411=""),$L411&lt;&gt;"لا"),0,MAX(0,MIN($F411,EOMONTH(DATE(cfg_FY,10,1),0))-$E411+1))</f>
        <v>0</v>
      </c>
      <c r="AR411" s="110" t="n">
        <f aca="false">IF(OR(OR($B411="",$E411="",$F411=""),$L411&lt;&gt;"لا"),0,MAX(0,MIN($F411,EOMONTH(DATE(cfg_FY,11,1),0))-$E411+1))</f>
        <v>0</v>
      </c>
      <c r="AS411" s="110" t="n">
        <f aca="false">IF(OR(OR($B411="",$E411="",$F411=""),$L411&lt;&gt;"لا"),0,MAX(0,MIN($F411,EOMONTH(DATE(cfg_FY,12,1),0))-$E411+1))</f>
        <v>0</v>
      </c>
      <c r="AT411" s="110" t="n">
        <f aca="false">IF(OR(OR($B411="",$E411="",$F411=""),$K411&lt;&gt;"نعم",$M411="نعم"),0,MAX(0,MIN($F411,EOMONTH(DATE(cfg_FY,1,1),0))-MAX($E411,DATE(cfg_FY,1,1))+1))</f>
        <v>0</v>
      </c>
      <c r="AU411" s="110" t="n">
        <f aca="false">IF(OR(OR($B411="",$E411="",$F411=""),$K411&lt;&gt;"نعم",$M411="نعم"),0,MAX(0,MIN($F411,EOMONTH(DATE(cfg_FY,2,1),0))-MAX($E411,DATE(cfg_FY,2,1))+1))</f>
        <v>0</v>
      </c>
      <c r="AV411" s="110" t="n">
        <f aca="false">IF(OR(OR($B411="",$E411="",$F411=""),$K411&lt;&gt;"نعم",$M411="نعم"),0,MAX(0,MIN($F411,EOMONTH(DATE(cfg_FY,3,1),0))-MAX($E411,DATE(cfg_FY,3,1))+1))</f>
        <v>0</v>
      </c>
      <c r="AW411" s="110" t="n">
        <f aca="false">IF(OR(OR($B411="",$E411="",$F411=""),$K411&lt;&gt;"نعم",$M411="نعم"),0,MAX(0,MIN($F411,EOMONTH(DATE(cfg_FY,4,1),0))-MAX($E411,DATE(cfg_FY,4,1))+1))</f>
        <v>0</v>
      </c>
      <c r="AX411" s="110" t="n">
        <f aca="false">IF(OR(OR($B411="",$E411="",$F411=""),$K411&lt;&gt;"نعم",$M411="نعم"),0,MAX(0,MIN($F411,EOMONTH(DATE(cfg_FY,5,1),0))-MAX($E411,DATE(cfg_FY,5,1))+1))</f>
        <v>0</v>
      </c>
      <c r="AY411" s="110" t="n">
        <f aca="false">IF(OR(OR($B411="",$E411="",$F411=""),$K411&lt;&gt;"نعم",$M411="نعم"),0,MAX(0,MIN($F411,EOMONTH(DATE(cfg_FY,6,1),0))-MAX($E411,DATE(cfg_FY,6,1))+1))</f>
        <v>0</v>
      </c>
      <c r="AZ411" s="110" t="n">
        <f aca="false">IF(OR(OR($B411="",$E411="",$F411=""),$K411&lt;&gt;"نعم",$M411="نعم"),0,MAX(0,MIN($F411,EOMONTH(DATE(cfg_FY,7,1),0))-MAX($E411,DATE(cfg_FY,7,1))+1))</f>
        <v>0</v>
      </c>
      <c r="BA411" s="110" t="n">
        <f aca="false">IF(OR(OR($B411="",$E411="",$F411=""),$K411&lt;&gt;"نعم",$M411="نعم"),0,MAX(0,MIN($F411,EOMONTH(DATE(cfg_FY,8,1),0))-MAX($E411,DATE(cfg_FY,8,1))+1))</f>
        <v>0</v>
      </c>
      <c r="BB411" s="110" t="n">
        <f aca="false">IF(OR(OR($B411="",$E411="",$F411=""),$K411&lt;&gt;"نعم",$M411="نعم"),0,MAX(0,MIN($F411,EOMONTH(DATE(cfg_FY,9,1),0))-MAX($E411,DATE(cfg_FY,9,1))+1))</f>
        <v>0</v>
      </c>
      <c r="BC411" s="110" t="n">
        <f aca="false">IF(OR(OR($B411="",$E411="",$F411=""),$K411&lt;&gt;"نعم",$M411="نعم"),0,MAX(0,MIN($F411,EOMONTH(DATE(cfg_FY,10,1),0))-MAX($E411,DATE(cfg_FY,10,1))+1))</f>
        <v>0</v>
      </c>
      <c r="BD411" s="110" t="n">
        <f aca="false">IF(OR(OR($B411="",$E411="",$F411=""),$K411&lt;&gt;"نعم",$M411="نعم"),0,MAX(0,MIN($F411,EOMONTH(DATE(cfg_FY,11,1),0))-MAX($E411,DATE(cfg_FY,11,1))+1))</f>
        <v>0</v>
      </c>
      <c r="BE411" s="110" t="n">
        <f aca="false">IF(OR(OR($B411="",$E411="",$F411=""),$K411&lt;&gt;"نعم",$M411="نعم"),0,MAX(0,MIN($F411,EOMONTH(DATE(cfg_FY,12,1),0))-MAX($E411,DATE(cfg_FY,12,1))+1))</f>
        <v>0</v>
      </c>
    </row>
    <row r="412" customFormat="false" ht="15" hidden="false" customHeight="false" outlineLevel="0" collapsed="false">
      <c r="A412" s="93" t="str">
        <f aca="false">IF(B412="","",ROW()-5)</f>
        <v/>
      </c>
      <c r="B412" s="79"/>
      <c r="C412" s="80" t="str">
        <f aca="false">IF(B412="","",IFERROR(INDEX(الموظفون!$C$6:$C$105,MATCH(B412,الموظفون!$B$6:$B$105,0)),"✖ رقم غير موجود"))</f>
        <v/>
      </c>
      <c r="D412" s="79"/>
      <c r="E412" s="94"/>
      <c r="F412" s="94"/>
      <c r="G412" s="57" t="str">
        <f aca="false">IF(OR($B412="",$E412="",$F412=""),"",MAX(0,F412-E412+1))</f>
        <v/>
      </c>
      <c r="H412" s="58" t="str">
        <f aca="false">IF(D412="","",IFERROR(VLOOKUP(D412,cfg_LT,2,FALSE()),1))</f>
        <v/>
      </c>
      <c r="I412" s="82"/>
      <c r="J412" s="58" t="str">
        <f aca="false">IF(D412="","",IF(I412&lt;&gt;"",I412,H412))</f>
        <v/>
      </c>
      <c r="K412" s="80" t="str">
        <f aca="false">IF(D412="","",IFERROR(VLOOKUP($D412,cfg_LT,3,FALSE()),""))</f>
        <v/>
      </c>
      <c r="L412" s="80" t="str">
        <f aca="false">IF(D412="","",IFERROR(VLOOKUP($D412,cfg_LT,4,FALSE()),""))</f>
        <v/>
      </c>
      <c r="M412" s="80" t="str">
        <f aca="false">IF(D412="","",IFERROR(VLOOKUP($D412,cfg_LT,5,FALSE()),""))</f>
        <v/>
      </c>
      <c r="N412" s="97" t="n">
        <f aca="false">IF(OR(OR($B412="",$E412="",$F412=""),M412&lt;&gt;"نعم"),0,G412*J412*IFERROR(INDEX(الموظفون!$R$6:$R$105,MATCH(B412,الموظفون!$B$6:$B$105,0)),0)/cfg_DAYS_M)</f>
        <v>0</v>
      </c>
      <c r="O412" s="93" t="str">
        <f aca="false">IF(OR(OR($B412="",$E412="",$F412=""),M412&lt;&gt;"نعم"),"",IF(YEAR(E412)=cfg_FY,MONTH(E412),""))</f>
        <v/>
      </c>
      <c r="P412" s="80" t="str">
        <f aca="false">IF(B412="","",IF(OR(D412="",E412="",F412=""),"⚠ أكمل النوع والتواريخ",IF(F412&lt;E412,"✖ النهاية قبل البداية",IF(COUNTIFS($B$6:$B$505,B412,$E$6:$E$505,"&lt;="&amp;F412,$F$6:$F$505,"&gt;="&amp;E412)&gt;1,"⚠ تداخل مع سجل آخر",IF(E412&gt;cfg_VAL_DATE,"⏳ قادمة",IF(F412&lt;cfg_VAL_DATE,"✔ منتهية","✈ جارية في تاريخ التقرير"))))))</f>
        <v/>
      </c>
      <c r="Q412" s="79"/>
      <c r="R412" s="57" t="n">
        <f aca="false">IF(OR(OR($B412="",$E412="",$F412=""),L412&lt;&gt;"لا"),0,MAX(0,MIN(F412,cfg_Y_START-1)-E412+1))</f>
        <v>0</v>
      </c>
      <c r="S412" s="57" t="n">
        <f aca="false">IF(OR(OR($B412="",$E412="",$F412=""),L412&lt;&gt;"لا"),0,MAX(0,MIN(F412,cfg_VAL_DATE)-E412+1))</f>
        <v>0</v>
      </c>
      <c r="T412" s="57" t="n">
        <f aca="false">IF(OR(OR($B412="",$E412="",$F412=""),K412&lt;&gt;"نعم"),0,IF(M412="نعم",IF(AND(ISNUMBER(O412),N(O412)&lt;=cfg_VAL_M),G412,0),MAX(0,MIN(F412,cfg_VAL_DATE)-MAX(E412,cfg_Y_START)+1)))</f>
        <v>0</v>
      </c>
      <c r="V412" s="57" t="n">
        <f aca="false">IF(OR($B412="",$E412="",$F412=""),0,MAX(0,MIN($F412,EOMONTH(DATE(cfg_FY,1,1),0))-MAX($E412,DATE(cfg_FY,1,1))+1)*(1-IF($M412="نعم",0,N($J412))))</f>
        <v>0</v>
      </c>
      <c r="W412" s="57" t="n">
        <f aca="false">IF(OR($B412="",$E412="",$F412=""),0,MAX(0,MIN($F412,EOMONTH(DATE(cfg_FY,2,1),0))-MAX($E412,DATE(cfg_FY,2,1))+1)*(1-IF($M412="نعم",0,N($J412))))</f>
        <v>0</v>
      </c>
      <c r="X412" s="57" t="n">
        <f aca="false">IF(OR($B412="",$E412="",$F412=""),0,MAX(0,MIN($F412,EOMONTH(DATE(cfg_FY,3,1),0))-MAX($E412,DATE(cfg_FY,3,1))+1)*(1-IF($M412="نعم",0,N($J412))))</f>
        <v>0</v>
      </c>
      <c r="Y412" s="57" t="n">
        <f aca="false">IF(OR($B412="",$E412="",$F412=""),0,MAX(0,MIN($F412,EOMONTH(DATE(cfg_FY,4,1),0))-MAX($E412,DATE(cfg_FY,4,1))+1)*(1-IF($M412="نعم",0,N($J412))))</f>
        <v>0</v>
      </c>
      <c r="Z412" s="57" t="n">
        <f aca="false">IF(OR($B412="",$E412="",$F412=""),0,MAX(0,MIN($F412,EOMONTH(DATE(cfg_FY,5,1),0))-MAX($E412,DATE(cfg_FY,5,1))+1)*(1-IF($M412="نعم",0,N($J412))))</f>
        <v>0</v>
      </c>
      <c r="AA412" s="57" t="n">
        <f aca="false">IF(OR($B412="",$E412="",$F412=""),0,MAX(0,MIN($F412,EOMONTH(DATE(cfg_FY,6,1),0))-MAX($E412,DATE(cfg_FY,6,1))+1)*(1-IF($M412="نعم",0,N($J412))))</f>
        <v>0</v>
      </c>
      <c r="AB412" s="57" t="n">
        <f aca="false">IF(OR($B412="",$E412="",$F412=""),0,MAX(0,MIN($F412,EOMONTH(DATE(cfg_FY,7,1),0))-MAX($E412,DATE(cfg_FY,7,1))+1)*(1-IF($M412="نعم",0,N($J412))))</f>
        <v>0</v>
      </c>
      <c r="AC412" s="57" t="n">
        <f aca="false">IF(OR($B412="",$E412="",$F412=""),0,MAX(0,MIN($F412,EOMONTH(DATE(cfg_FY,8,1),0))-MAX($E412,DATE(cfg_FY,8,1))+1)*(1-IF($M412="نعم",0,N($J412))))</f>
        <v>0</v>
      </c>
      <c r="AD412" s="57" t="n">
        <f aca="false">IF(OR($B412="",$E412="",$F412=""),0,MAX(0,MIN($F412,EOMONTH(DATE(cfg_FY,9,1),0))-MAX($E412,DATE(cfg_FY,9,1))+1)*(1-IF($M412="نعم",0,N($J412))))</f>
        <v>0</v>
      </c>
      <c r="AE412" s="57" t="n">
        <f aca="false">IF(OR($B412="",$E412="",$F412=""),0,MAX(0,MIN($F412,EOMONTH(DATE(cfg_FY,10,1),0))-MAX($E412,DATE(cfg_FY,10,1))+1)*(1-IF($M412="نعم",0,N($J412))))</f>
        <v>0</v>
      </c>
      <c r="AF412" s="57" t="n">
        <f aca="false">IF(OR($B412="",$E412="",$F412=""),0,MAX(0,MIN($F412,EOMONTH(DATE(cfg_FY,11,1),0))-MAX($E412,DATE(cfg_FY,11,1))+1)*(1-IF($M412="نعم",0,N($J412))))</f>
        <v>0</v>
      </c>
      <c r="AG412" s="57" t="n">
        <f aca="false">IF(OR($B412="",$E412="",$F412=""),0,MAX(0,MIN($F412,EOMONTH(DATE(cfg_FY,12,1),0))-MAX($E412,DATE(cfg_FY,12,1))+1)*(1-IF($M412="نعم",0,N($J412))))</f>
        <v>0</v>
      </c>
      <c r="AH412" s="57" t="n">
        <f aca="false">IF(OR(OR($B412="",$E412="",$F412=""),$L412&lt;&gt;"لا"),0,MAX(0,MIN($F412,EOMONTH(DATE(cfg_FY,1,1),0))-$E412+1))</f>
        <v>0</v>
      </c>
      <c r="AI412" s="57" t="n">
        <f aca="false">IF(OR(OR($B412="",$E412="",$F412=""),$L412&lt;&gt;"لا"),0,MAX(0,MIN($F412,EOMONTH(DATE(cfg_FY,2,1),0))-$E412+1))</f>
        <v>0</v>
      </c>
      <c r="AJ412" s="57" t="n">
        <f aca="false">IF(OR(OR($B412="",$E412="",$F412=""),$L412&lt;&gt;"لا"),0,MAX(0,MIN($F412,EOMONTH(DATE(cfg_FY,3,1),0))-$E412+1))</f>
        <v>0</v>
      </c>
      <c r="AK412" s="57" t="n">
        <f aca="false">IF(OR(OR($B412="",$E412="",$F412=""),$L412&lt;&gt;"لا"),0,MAX(0,MIN($F412,EOMONTH(DATE(cfg_FY,4,1),0))-$E412+1))</f>
        <v>0</v>
      </c>
      <c r="AL412" s="57" t="n">
        <f aca="false">IF(OR(OR($B412="",$E412="",$F412=""),$L412&lt;&gt;"لا"),0,MAX(0,MIN($F412,EOMONTH(DATE(cfg_FY,5,1),0))-$E412+1))</f>
        <v>0</v>
      </c>
      <c r="AM412" s="57" t="n">
        <f aca="false">IF(OR(OR($B412="",$E412="",$F412=""),$L412&lt;&gt;"لا"),0,MAX(0,MIN($F412,EOMONTH(DATE(cfg_FY,6,1),0))-$E412+1))</f>
        <v>0</v>
      </c>
      <c r="AN412" s="57" t="n">
        <f aca="false">IF(OR(OR($B412="",$E412="",$F412=""),$L412&lt;&gt;"لا"),0,MAX(0,MIN($F412,EOMONTH(DATE(cfg_FY,7,1),0))-$E412+1))</f>
        <v>0</v>
      </c>
      <c r="AO412" s="57" t="n">
        <f aca="false">IF(OR(OR($B412="",$E412="",$F412=""),$L412&lt;&gt;"لا"),0,MAX(0,MIN($F412,EOMONTH(DATE(cfg_FY,8,1),0))-$E412+1))</f>
        <v>0</v>
      </c>
      <c r="AP412" s="57" t="n">
        <f aca="false">IF(OR(OR($B412="",$E412="",$F412=""),$L412&lt;&gt;"لا"),0,MAX(0,MIN($F412,EOMONTH(DATE(cfg_FY,9,1),0))-$E412+1))</f>
        <v>0</v>
      </c>
      <c r="AQ412" s="57" t="n">
        <f aca="false">IF(OR(OR($B412="",$E412="",$F412=""),$L412&lt;&gt;"لا"),0,MAX(0,MIN($F412,EOMONTH(DATE(cfg_FY,10,1),0))-$E412+1))</f>
        <v>0</v>
      </c>
      <c r="AR412" s="57" t="n">
        <f aca="false">IF(OR(OR($B412="",$E412="",$F412=""),$L412&lt;&gt;"لا"),0,MAX(0,MIN($F412,EOMONTH(DATE(cfg_FY,11,1),0))-$E412+1))</f>
        <v>0</v>
      </c>
      <c r="AS412" s="57" t="n">
        <f aca="false">IF(OR(OR($B412="",$E412="",$F412=""),$L412&lt;&gt;"لا"),0,MAX(0,MIN($F412,EOMONTH(DATE(cfg_FY,12,1),0))-$E412+1))</f>
        <v>0</v>
      </c>
      <c r="AT412" s="57" t="n">
        <f aca="false">IF(OR(OR($B412="",$E412="",$F412=""),$K412&lt;&gt;"نعم",$M412="نعم"),0,MAX(0,MIN($F412,EOMONTH(DATE(cfg_FY,1,1),0))-MAX($E412,DATE(cfg_FY,1,1))+1))</f>
        <v>0</v>
      </c>
      <c r="AU412" s="57" t="n">
        <f aca="false">IF(OR(OR($B412="",$E412="",$F412=""),$K412&lt;&gt;"نعم",$M412="نعم"),0,MAX(0,MIN($F412,EOMONTH(DATE(cfg_FY,2,1),0))-MAX($E412,DATE(cfg_FY,2,1))+1))</f>
        <v>0</v>
      </c>
      <c r="AV412" s="57" t="n">
        <f aca="false">IF(OR(OR($B412="",$E412="",$F412=""),$K412&lt;&gt;"نعم",$M412="نعم"),0,MAX(0,MIN($F412,EOMONTH(DATE(cfg_FY,3,1),0))-MAX($E412,DATE(cfg_FY,3,1))+1))</f>
        <v>0</v>
      </c>
      <c r="AW412" s="57" t="n">
        <f aca="false">IF(OR(OR($B412="",$E412="",$F412=""),$K412&lt;&gt;"نعم",$M412="نعم"),0,MAX(0,MIN($F412,EOMONTH(DATE(cfg_FY,4,1),0))-MAX($E412,DATE(cfg_FY,4,1))+1))</f>
        <v>0</v>
      </c>
      <c r="AX412" s="57" t="n">
        <f aca="false">IF(OR(OR($B412="",$E412="",$F412=""),$K412&lt;&gt;"نعم",$M412="نعم"),0,MAX(0,MIN($F412,EOMONTH(DATE(cfg_FY,5,1),0))-MAX($E412,DATE(cfg_FY,5,1))+1))</f>
        <v>0</v>
      </c>
      <c r="AY412" s="57" t="n">
        <f aca="false">IF(OR(OR($B412="",$E412="",$F412=""),$K412&lt;&gt;"نعم",$M412="نعم"),0,MAX(0,MIN($F412,EOMONTH(DATE(cfg_FY,6,1),0))-MAX($E412,DATE(cfg_FY,6,1))+1))</f>
        <v>0</v>
      </c>
      <c r="AZ412" s="57" t="n">
        <f aca="false">IF(OR(OR($B412="",$E412="",$F412=""),$K412&lt;&gt;"نعم",$M412="نعم"),0,MAX(0,MIN($F412,EOMONTH(DATE(cfg_FY,7,1),0))-MAX($E412,DATE(cfg_FY,7,1))+1))</f>
        <v>0</v>
      </c>
      <c r="BA412" s="57" t="n">
        <f aca="false">IF(OR(OR($B412="",$E412="",$F412=""),$K412&lt;&gt;"نعم",$M412="نعم"),0,MAX(0,MIN($F412,EOMONTH(DATE(cfg_FY,8,1),0))-MAX($E412,DATE(cfg_FY,8,1))+1))</f>
        <v>0</v>
      </c>
      <c r="BB412" s="57" t="n">
        <f aca="false">IF(OR(OR($B412="",$E412="",$F412=""),$K412&lt;&gt;"نعم",$M412="نعم"),0,MAX(0,MIN($F412,EOMONTH(DATE(cfg_FY,9,1),0))-MAX($E412,DATE(cfg_FY,9,1))+1))</f>
        <v>0</v>
      </c>
      <c r="BC412" s="57" t="n">
        <f aca="false">IF(OR(OR($B412="",$E412="",$F412=""),$K412&lt;&gt;"نعم",$M412="نعم"),0,MAX(0,MIN($F412,EOMONTH(DATE(cfg_FY,10,1),0))-MAX($E412,DATE(cfg_FY,10,1))+1))</f>
        <v>0</v>
      </c>
      <c r="BD412" s="57" t="n">
        <f aca="false">IF(OR(OR($B412="",$E412="",$F412=""),$K412&lt;&gt;"نعم",$M412="نعم"),0,MAX(0,MIN($F412,EOMONTH(DATE(cfg_FY,11,1),0))-MAX($E412,DATE(cfg_FY,11,1))+1))</f>
        <v>0</v>
      </c>
      <c r="BE412" s="57" t="n">
        <f aca="false">IF(OR(OR($B412="",$E412="",$F412=""),$K412&lt;&gt;"نعم",$M412="نعم"),0,MAX(0,MIN($F412,EOMONTH(DATE(cfg_FY,12,1),0))-MAX($E412,DATE(cfg_FY,12,1))+1))</f>
        <v>0</v>
      </c>
    </row>
    <row r="413" customFormat="false" ht="15" hidden="false" customHeight="false" outlineLevel="0" collapsed="false">
      <c r="A413" s="100" t="str">
        <f aca="false">IF(B413="","",ROW()-5)</f>
        <v/>
      </c>
      <c r="B413" s="79"/>
      <c r="C413" s="102" t="str">
        <f aca="false">IF(B413="","",IFERROR(INDEX(الموظفون!$C$6:$C$105,MATCH(B413,الموظفون!$B$6:$B$105,0)),"✖ رقم غير موجود"))</f>
        <v/>
      </c>
      <c r="D413" s="79"/>
      <c r="E413" s="94"/>
      <c r="F413" s="94"/>
      <c r="G413" s="110" t="str">
        <f aca="false">IF(OR($B413="",$E413="",$F413=""),"",MAX(0,F413-E413+1))</f>
        <v/>
      </c>
      <c r="H413" s="111" t="str">
        <f aca="false">IF(D413="","",IFERROR(VLOOKUP(D413,cfg_LT,2,FALSE()),1))</f>
        <v/>
      </c>
      <c r="I413" s="82"/>
      <c r="J413" s="111" t="str">
        <f aca="false">IF(D413="","",IF(I413&lt;&gt;"",I413,H413))</f>
        <v/>
      </c>
      <c r="K413" s="102" t="str">
        <f aca="false">IF(D413="","",IFERROR(VLOOKUP($D413,cfg_LT,3,FALSE()),""))</f>
        <v/>
      </c>
      <c r="L413" s="102" t="str">
        <f aca="false">IF(D413="","",IFERROR(VLOOKUP($D413,cfg_LT,4,FALSE()),""))</f>
        <v/>
      </c>
      <c r="M413" s="102" t="str">
        <f aca="false">IF(D413="","",IFERROR(VLOOKUP($D413,cfg_LT,5,FALSE()),""))</f>
        <v/>
      </c>
      <c r="N413" s="101" t="n">
        <f aca="false">IF(OR(OR($B413="",$E413="",$F413=""),M413&lt;&gt;"نعم"),0,G413*J413*IFERROR(INDEX(الموظفون!$R$6:$R$105,MATCH(B413,الموظفون!$B$6:$B$105,0)),0)/cfg_DAYS_M)</f>
        <v>0</v>
      </c>
      <c r="O413" s="100" t="str">
        <f aca="false">IF(OR(OR($B413="",$E413="",$F413=""),M413&lt;&gt;"نعم"),"",IF(YEAR(E413)=cfg_FY,MONTH(E413),""))</f>
        <v/>
      </c>
      <c r="P413" s="102" t="str">
        <f aca="false">IF(B413="","",IF(OR(D413="",E413="",F413=""),"⚠ أكمل النوع والتواريخ",IF(F413&lt;E413,"✖ النهاية قبل البداية",IF(COUNTIFS($B$6:$B$505,B413,$E$6:$E$505,"&lt;="&amp;F413,$F$6:$F$505,"&gt;="&amp;E413)&gt;1,"⚠ تداخل مع سجل آخر",IF(E413&gt;cfg_VAL_DATE,"⏳ قادمة",IF(F413&lt;cfg_VAL_DATE,"✔ منتهية","✈ جارية في تاريخ التقرير"))))))</f>
        <v/>
      </c>
      <c r="Q413" s="79"/>
      <c r="R413" s="110" t="n">
        <f aca="false">IF(OR(OR($B413="",$E413="",$F413=""),L413&lt;&gt;"لا"),0,MAX(0,MIN(F413,cfg_Y_START-1)-E413+1))</f>
        <v>0</v>
      </c>
      <c r="S413" s="110" t="n">
        <f aca="false">IF(OR(OR($B413="",$E413="",$F413=""),L413&lt;&gt;"لا"),0,MAX(0,MIN(F413,cfg_VAL_DATE)-E413+1))</f>
        <v>0</v>
      </c>
      <c r="T413" s="110" t="n">
        <f aca="false">IF(OR(OR($B413="",$E413="",$F413=""),K413&lt;&gt;"نعم"),0,IF(M413="نعم",IF(AND(ISNUMBER(O413),N(O413)&lt;=cfg_VAL_M),G413,0),MAX(0,MIN(F413,cfg_VAL_DATE)-MAX(E413,cfg_Y_START)+1)))</f>
        <v>0</v>
      </c>
      <c r="V413" s="110" t="n">
        <f aca="false">IF(OR($B413="",$E413="",$F413=""),0,MAX(0,MIN($F413,EOMONTH(DATE(cfg_FY,1,1),0))-MAX($E413,DATE(cfg_FY,1,1))+1)*(1-IF($M413="نعم",0,N($J413))))</f>
        <v>0</v>
      </c>
      <c r="W413" s="110" t="n">
        <f aca="false">IF(OR($B413="",$E413="",$F413=""),0,MAX(0,MIN($F413,EOMONTH(DATE(cfg_FY,2,1),0))-MAX($E413,DATE(cfg_FY,2,1))+1)*(1-IF($M413="نعم",0,N($J413))))</f>
        <v>0</v>
      </c>
      <c r="X413" s="110" t="n">
        <f aca="false">IF(OR($B413="",$E413="",$F413=""),0,MAX(0,MIN($F413,EOMONTH(DATE(cfg_FY,3,1),0))-MAX($E413,DATE(cfg_FY,3,1))+1)*(1-IF($M413="نعم",0,N($J413))))</f>
        <v>0</v>
      </c>
      <c r="Y413" s="110" t="n">
        <f aca="false">IF(OR($B413="",$E413="",$F413=""),0,MAX(0,MIN($F413,EOMONTH(DATE(cfg_FY,4,1),0))-MAX($E413,DATE(cfg_FY,4,1))+1)*(1-IF($M413="نعم",0,N($J413))))</f>
        <v>0</v>
      </c>
      <c r="Z413" s="110" t="n">
        <f aca="false">IF(OR($B413="",$E413="",$F413=""),0,MAX(0,MIN($F413,EOMONTH(DATE(cfg_FY,5,1),0))-MAX($E413,DATE(cfg_FY,5,1))+1)*(1-IF($M413="نعم",0,N($J413))))</f>
        <v>0</v>
      </c>
      <c r="AA413" s="110" t="n">
        <f aca="false">IF(OR($B413="",$E413="",$F413=""),0,MAX(0,MIN($F413,EOMONTH(DATE(cfg_FY,6,1),0))-MAX($E413,DATE(cfg_FY,6,1))+1)*(1-IF($M413="نعم",0,N($J413))))</f>
        <v>0</v>
      </c>
      <c r="AB413" s="110" t="n">
        <f aca="false">IF(OR($B413="",$E413="",$F413=""),0,MAX(0,MIN($F413,EOMONTH(DATE(cfg_FY,7,1),0))-MAX($E413,DATE(cfg_FY,7,1))+1)*(1-IF($M413="نعم",0,N($J413))))</f>
        <v>0</v>
      </c>
      <c r="AC413" s="110" t="n">
        <f aca="false">IF(OR($B413="",$E413="",$F413=""),0,MAX(0,MIN($F413,EOMONTH(DATE(cfg_FY,8,1),0))-MAX($E413,DATE(cfg_FY,8,1))+1)*(1-IF($M413="نعم",0,N($J413))))</f>
        <v>0</v>
      </c>
      <c r="AD413" s="110" t="n">
        <f aca="false">IF(OR($B413="",$E413="",$F413=""),0,MAX(0,MIN($F413,EOMONTH(DATE(cfg_FY,9,1),0))-MAX($E413,DATE(cfg_FY,9,1))+1)*(1-IF($M413="نعم",0,N($J413))))</f>
        <v>0</v>
      </c>
      <c r="AE413" s="110" t="n">
        <f aca="false">IF(OR($B413="",$E413="",$F413=""),0,MAX(0,MIN($F413,EOMONTH(DATE(cfg_FY,10,1),0))-MAX($E413,DATE(cfg_FY,10,1))+1)*(1-IF($M413="نعم",0,N($J413))))</f>
        <v>0</v>
      </c>
      <c r="AF413" s="110" t="n">
        <f aca="false">IF(OR($B413="",$E413="",$F413=""),0,MAX(0,MIN($F413,EOMONTH(DATE(cfg_FY,11,1),0))-MAX($E413,DATE(cfg_FY,11,1))+1)*(1-IF($M413="نعم",0,N($J413))))</f>
        <v>0</v>
      </c>
      <c r="AG413" s="110" t="n">
        <f aca="false">IF(OR($B413="",$E413="",$F413=""),0,MAX(0,MIN($F413,EOMONTH(DATE(cfg_FY,12,1),0))-MAX($E413,DATE(cfg_FY,12,1))+1)*(1-IF($M413="نعم",0,N($J413))))</f>
        <v>0</v>
      </c>
      <c r="AH413" s="110" t="n">
        <f aca="false">IF(OR(OR($B413="",$E413="",$F413=""),$L413&lt;&gt;"لا"),0,MAX(0,MIN($F413,EOMONTH(DATE(cfg_FY,1,1),0))-$E413+1))</f>
        <v>0</v>
      </c>
      <c r="AI413" s="110" t="n">
        <f aca="false">IF(OR(OR($B413="",$E413="",$F413=""),$L413&lt;&gt;"لا"),0,MAX(0,MIN($F413,EOMONTH(DATE(cfg_FY,2,1),0))-$E413+1))</f>
        <v>0</v>
      </c>
      <c r="AJ413" s="110" t="n">
        <f aca="false">IF(OR(OR($B413="",$E413="",$F413=""),$L413&lt;&gt;"لا"),0,MAX(0,MIN($F413,EOMONTH(DATE(cfg_FY,3,1),0))-$E413+1))</f>
        <v>0</v>
      </c>
      <c r="AK413" s="110" t="n">
        <f aca="false">IF(OR(OR($B413="",$E413="",$F413=""),$L413&lt;&gt;"لا"),0,MAX(0,MIN($F413,EOMONTH(DATE(cfg_FY,4,1),0))-$E413+1))</f>
        <v>0</v>
      </c>
      <c r="AL413" s="110" t="n">
        <f aca="false">IF(OR(OR($B413="",$E413="",$F413=""),$L413&lt;&gt;"لا"),0,MAX(0,MIN($F413,EOMONTH(DATE(cfg_FY,5,1),0))-$E413+1))</f>
        <v>0</v>
      </c>
      <c r="AM413" s="110" t="n">
        <f aca="false">IF(OR(OR($B413="",$E413="",$F413=""),$L413&lt;&gt;"لا"),0,MAX(0,MIN($F413,EOMONTH(DATE(cfg_FY,6,1),0))-$E413+1))</f>
        <v>0</v>
      </c>
      <c r="AN413" s="110" t="n">
        <f aca="false">IF(OR(OR($B413="",$E413="",$F413=""),$L413&lt;&gt;"لا"),0,MAX(0,MIN($F413,EOMONTH(DATE(cfg_FY,7,1),0))-$E413+1))</f>
        <v>0</v>
      </c>
      <c r="AO413" s="110" t="n">
        <f aca="false">IF(OR(OR($B413="",$E413="",$F413=""),$L413&lt;&gt;"لا"),0,MAX(0,MIN($F413,EOMONTH(DATE(cfg_FY,8,1),0))-$E413+1))</f>
        <v>0</v>
      </c>
      <c r="AP413" s="110" t="n">
        <f aca="false">IF(OR(OR($B413="",$E413="",$F413=""),$L413&lt;&gt;"لا"),0,MAX(0,MIN($F413,EOMONTH(DATE(cfg_FY,9,1),0))-$E413+1))</f>
        <v>0</v>
      </c>
      <c r="AQ413" s="110" t="n">
        <f aca="false">IF(OR(OR($B413="",$E413="",$F413=""),$L413&lt;&gt;"لا"),0,MAX(0,MIN($F413,EOMONTH(DATE(cfg_FY,10,1),0))-$E413+1))</f>
        <v>0</v>
      </c>
      <c r="AR413" s="110" t="n">
        <f aca="false">IF(OR(OR($B413="",$E413="",$F413=""),$L413&lt;&gt;"لا"),0,MAX(0,MIN($F413,EOMONTH(DATE(cfg_FY,11,1),0))-$E413+1))</f>
        <v>0</v>
      </c>
      <c r="AS413" s="110" t="n">
        <f aca="false">IF(OR(OR($B413="",$E413="",$F413=""),$L413&lt;&gt;"لا"),0,MAX(0,MIN($F413,EOMONTH(DATE(cfg_FY,12,1),0))-$E413+1))</f>
        <v>0</v>
      </c>
      <c r="AT413" s="110" t="n">
        <f aca="false">IF(OR(OR($B413="",$E413="",$F413=""),$K413&lt;&gt;"نعم",$M413="نعم"),0,MAX(0,MIN($F413,EOMONTH(DATE(cfg_FY,1,1),0))-MAX($E413,DATE(cfg_FY,1,1))+1))</f>
        <v>0</v>
      </c>
      <c r="AU413" s="110" t="n">
        <f aca="false">IF(OR(OR($B413="",$E413="",$F413=""),$K413&lt;&gt;"نعم",$M413="نعم"),0,MAX(0,MIN($F413,EOMONTH(DATE(cfg_FY,2,1),0))-MAX($E413,DATE(cfg_FY,2,1))+1))</f>
        <v>0</v>
      </c>
      <c r="AV413" s="110" t="n">
        <f aca="false">IF(OR(OR($B413="",$E413="",$F413=""),$K413&lt;&gt;"نعم",$M413="نعم"),0,MAX(0,MIN($F413,EOMONTH(DATE(cfg_FY,3,1),0))-MAX($E413,DATE(cfg_FY,3,1))+1))</f>
        <v>0</v>
      </c>
      <c r="AW413" s="110" t="n">
        <f aca="false">IF(OR(OR($B413="",$E413="",$F413=""),$K413&lt;&gt;"نعم",$M413="نعم"),0,MAX(0,MIN($F413,EOMONTH(DATE(cfg_FY,4,1),0))-MAX($E413,DATE(cfg_FY,4,1))+1))</f>
        <v>0</v>
      </c>
      <c r="AX413" s="110" t="n">
        <f aca="false">IF(OR(OR($B413="",$E413="",$F413=""),$K413&lt;&gt;"نعم",$M413="نعم"),0,MAX(0,MIN($F413,EOMONTH(DATE(cfg_FY,5,1),0))-MAX($E413,DATE(cfg_FY,5,1))+1))</f>
        <v>0</v>
      </c>
      <c r="AY413" s="110" t="n">
        <f aca="false">IF(OR(OR($B413="",$E413="",$F413=""),$K413&lt;&gt;"نعم",$M413="نعم"),0,MAX(0,MIN($F413,EOMONTH(DATE(cfg_FY,6,1),0))-MAX($E413,DATE(cfg_FY,6,1))+1))</f>
        <v>0</v>
      </c>
      <c r="AZ413" s="110" t="n">
        <f aca="false">IF(OR(OR($B413="",$E413="",$F413=""),$K413&lt;&gt;"نعم",$M413="نعم"),0,MAX(0,MIN($F413,EOMONTH(DATE(cfg_FY,7,1),0))-MAX($E413,DATE(cfg_FY,7,1))+1))</f>
        <v>0</v>
      </c>
      <c r="BA413" s="110" t="n">
        <f aca="false">IF(OR(OR($B413="",$E413="",$F413=""),$K413&lt;&gt;"نعم",$M413="نعم"),0,MAX(0,MIN($F413,EOMONTH(DATE(cfg_FY,8,1),0))-MAX($E413,DATE(cfg_FY,8,1))+1))</f>
        <v>0</v>
      </c>
      <c r="BB413" s="110" t="n">
        <f aca="false">IF(OR(OR($B413="",$E413="",$F413=""),$K413&lt;&gt;"نعم",$M413="نعم"),0,MAX(0,MIN($F413,EOMONTH(DATE(cfg_FY,9,1),0))-MAX($E413,DATE(cfg_FY,9,1))+1))</f>
        <v>0</v>
      </c>
      <c r="BC413" s="110" t="n">
        <f aca="false">IF(OR(OR($B413="",$E413="",$F413=""),$K413&lt;&gt;"نعم",$M413="نعم"),0,MAX(0,MIN($F413,EOMONTH(DATE(cfg_FY,10,1),0))-MAX($E413,DATE(cfg_FY,10,1))+1))</f>
        <v>0</v>
      </c>
      <c r="BD413" s="110" t="n">
        <f aca="false">IF(OR(OR($B413="",$E413="",$F413=""),$K413&lt;&gt;"نعم",$M413="نعم"),0,MAX(0,MIN($F413,EOMONTH(DATE(cfg_FY,11,1),0))-MAX($E413,DATE(cfg_FY,11,1))+1))</f>
        <v>0</v>
      </c>
      <c r="BE413" s="110" t="n">
        <f aca="false">IF(OR(OR($B413="",$E413="",$F413=""),$K413&lt;&gt;"نعم",$M413="نعم"),0,MAX(0,MIN($F413,EOMONTH(DATE(cfg_FY,12,1),0))-MAX($E413,DATE(cfg_FY,12,1))+1))</f>
        <v>0</v>
      </c>
    </row>
    <row r="414" customFormat="false" ht="15" hidden="false" customHeight="false" outlineLevel="0" collapsed="false">
      <c r="A414" s="93" t="str">
        <f aca="false">IF(B414="","",ROW()-5)</f>
        <v/>
      </c>
      <c r="B414" s="79"/>
      <c r="C414" s="80" t="str">
        <f aca="false">IF(B414="","",IFERROR(INDEX(الموظفون!$C$6:$C$105,MATCH(B414,الموظفون!$B$6:$B$105,0)),"✖ رقم غير موجود"))</f>
        <v/>
      </c>
      <c r="D414" s="79"/>
      <c r="E414" s="94"/>
      <c r="F414" s="94"/>
      <c r="G414" s="57" t="str">
        <f aca="false">IF(OR($B414="",$E414="",$F414=""),"",MAX(0,F414-E414+1))</f>
        <v/>
      </c>
      <c r="H414" s="58" t="str">
        <f aca="false">IF(D414="","",IFERROR(VLOOKUP(D414,cfg_LT,2,FALSE()),1))</f>
        <v/>
      </c>
      <c r="I414" s="82"/>
      <c r="J414" s="58" t="str">
        <f aca="false">IF(D414="","",IF(I414&lt;&gt;"",I414,H414))</f>
        <v/>
      </c>
      <c r="K414" s="80" t="str">
        <f aca="false">IF(D414="","",IFERROR(VLOOKUP($D414,cfg_LT,3,FALSE()),""))</f>
        <v/>
      </c>
      <c r="L414" s="80" t="str">
        <f aca="false">IF(D414="","",IFERROR(VLOOKUP($D414,cfg_LT,4,FALSE()),""))</f>
        <v/>
      </c>
      <c r="M414" s="80" t="str">
        <f aca="false">IF(D414="","",IFERROR(VLOOKUP($D414,cfg_LT,5,FALSE()),""))</f>
        <v/>
      </c>
      <c r="N414" s="97" t="n">
        <f aca="false">IF(OR(OR($B414="",$E414="",$F414=""),M414&lt;&gt;"نعم"),0,G414*J414*IFERROR(INDEX(الموظفون!$R$6:$R$105,MATCH(B414,الموظفون!$B$6:$B$105,0)),0)/cfg_DAYS_M)</f>
        <v>0</v>
      </c>
      <c r="O414" s="93" t="str">
        <f aca="false">IF(OR(OR($B414="",$E414="",$F414=""),M414&lt;&gt;"نعم"),"",IF(YEAR(E414)=cfg_FY,MONTH(E414),""))</f>
        <v/>
      </c>
      <c r="P414" s="80" t="str">
        <f aca="false">IF(B414="","",IF(OR(D414="",E414="",F414=""),"⚠ أكمل النوع والتواريخ",IF(F414&lt;E414,"✖ النهاية قبل البداية",IF(COUNTIFS($B$6:$B$505,B414,$E$6:$E$505,"&lt;="&amp;F414,$F$6:$F$505,"&gt;="&amp;E414)&gt;1,"⚠ تداخل مع سجل آخر",IF(E414&gt;cfg_VAL_DATE,"⏳ قادمة",IF(F414&lt;cfg_VAL_DATE,"✔ منتهية","✈ جارية في تاريخ التقرير"))))))</f>
        <v/>
      </c>
      <c r="Q414" s="79"/>
      <c r="R414" s="57" t="n">
        <f aca="false">IF(OR(OR($B414="",$E414="",$F414=""),L414&lt;&gt;"لا"),0,MAX(0,MIN(F414,cfg_Y_START-1)-E414+1))</f>
        <v>0</v>
      </c>
      <c r="S414" s="57" t="n">
        <f aca="false">IF(OR(OR($B414="",$E414="",$F414=""),L414&lt;&gt;"لا"),0,MAX(0,MIN(F414,cfg_VAL_DATE)-E414+1))</f>
        <v>0</v>
      </c>
      <c r="T414" s="57" t="n">
        <f aca="false">IF(OR(OR($B414="",$E414="",$F414=""),K414&lt;&gt;"نعم"),0,IF(M414="نعم",IF(AND(ISNUMBER(O414),N(O414)&lt;=cfg_VAL_M),G414,0),MAX(0,MIN(F414,cfg_VAL_DATE)-MAX(E414,cfg_Y_START)+1)))</f>
        <v>0</v>
      </c>
      <c r="V414" s="57" t="n">
        <f aca="false">IF(OR($B414="",$E414="",$F414=""),0,MAX(0,MIN($F414,EOMONTH(DATE(cfg_FY,1,1),0))-MAX($E414,DATE(cfg_FY,1,1))+1)*(1-IF($M414="نعم",0,N($J414))))</f>
        <v>0</v>
      </c>
      <c r="W414" s="57" t="n">
        <f aca="false">IF(OR($B414="",$E414="",$F414=""),0,MAX(0,MIN($F414,EOMONTH(DATE(cfg_FY,2,1),0))-MAX($E414,DATE(cfg_FY,2,1))+1)*(1-IF($M414="نعم",0,N($J414))))</f>
        <v>0</v>
      </c>
      <c r="X414" s="57" t="n">
        <f aca="false">IF(OR($B414="",$E414="",$F414=""),0,MAX(0,MIN($F414,EOMONTH(DATE(cfg_FY,3,1),0))-MAX($E414,DATE(cfg_FY,3,1))+1)*(1-IF($M414="نعم",0,N($J414))))</f>
        <v>0</v>
      </c>
      <c r="Y414" s="57" t="n">
        <f aca="false">IF(OR($B414="",$E414="",$F414=""),0,MAX(0,MIN($F414,EOMONTH(DATE(cfg_FY,4,1),0))-MAX($E414,DATE(cfg_FY,4,1))+1)*(1-IF($M414="نعم",0,N($J414))))</f>
        <v>0</v>
      </c>
      <c r="Z414" s="57" t="n">
        <f aca="false">IF(OR($B414="",$E414="",$F414=""),0,MAX(0,MIN($F414,EOMONTH(DATE(cfg_FY,5,1),0))-MAX($E414,DATE(cfg_FY,5,1))+1)*(1-IF($M414="نعم",0,N($J414))))</f>
        <v>0</v>
      </c>
      <c r="AA414" s="57" t="n">
        <f aca="false">IF(OR($B414="",$E414="",$F414=""),0,MAX(0,MIN($F414,EOMONTH(DATE(cfg_FY,6,1),0))-MAX($E414,DATE(cfg_FY,6,1))+1)*(1-IF($M414="نعم",0,N($J414))))</f>
        <v>0</v>
      </c>
      <c r="AB414" s="57" t="n">
        <f aca="false">IF(OR($B414="",$E414="",$F414=""),0,MAX(0,MIN($F414,EOMONTH(DATE(cfg_FY,7,1),0))-MAX($E414,DATE(cfg_FY,7,1))+1)*(1-IF($M414="نعم",0,N($J414))))</f>
        <v>0</v>
      </c>
      <c r="AC414" s="57" t="n">
        <f aca="false">IF(OR($B414="",$E414="",$F414=""),0,MAX(0,MIN($F414,EOMONTH(DATE(cfg_FY,8,1),0))-MAX($E414,DATE(cfg_FY,8,1))+1)*(1-IF($M414="نعم",0,N($J414))))</f>
        <v>0</v>
      </c>
      <c r="AD414" s="57" t="n">
        <f aca="false">IF(OR($B414="",$E414="",$F414=""),0,MAX(0,MIN($F414,EOMONTH(DATE(cfg_FY,9,1),0))-MAX($E414,DATE(cfg_FY,9,1))+1)*(1-IF($M414="نعم",0,N($J414))))</f>
        <v>0</v>
      </c>
      <c r="AE414" s="57" t="n">
        <f aca="false">IF(OR($B414="",$E414="",$F414=""),0,MAX(0,MIN($F414,EOMONTH(DATE(cfg_FY,10,1),0))-MAX($E414,DATE(cfg_FY,10,1))+1)*(1-IF($M414="نعم",0,N($J414))))</f>
        <v>0</v>
      </c>
      <c r="AF414" s="57" t="n">
        <f aca="false">IF(OR($B414="",$E414="",$F414=""),0,MAX(0,MIN($F414,EOMONTH(DATE(cfg_FY,11,1),0))-MAX($E414,DATE(cfg_FY,11,1))+1)*(1-IF($M414="نعم",0,N($J414))))</f>
        <v>0</v>
      </c>
      <c r="AG414" s="57" t="n">
        <f aca="false">IF(OR($B414="",$E414="",$F414=""),0,MAX(0,MIN($F414,EOMONTH(DATE(cfg_FY,12,1),0))-MAX($E414,DATE(cfg_FY,12,1))+1)*(1-IF($M414="نعم",0,N($J414))))</f>
        <v>0</v>
      </c>
      <c r="AH414" s="57" t="n">
        <f aca="false">IF(OR(OR($B414="",$E414="",$F414=""),$L414&lt;&gt;"لا"),0,MAX(0,MIN($F414,EOMONTH(DATE(cfg_FY,1,1),0))-$E414+1))</f>
        <v>0</v>
      </c>
      <c r="AI414" s="57" t="n">
        <f aca="false">IF(OR(OR($B414="",$E414="",$F414=""),$L414&lt;&gt;"لا"),0,MAX(0,MIN($F414,EOMONTH(DATE(cfg_FY,2,1),0))-$E414+1))</f>
        <v>0</v>
      </c>
      <c r="AJ414" s="57" t="n">
        <f aca="false">IF(OR(OR($B414="",$E414="",$F414=""),$L414&lt;&gt;"لا"),0,MAX(0,MIN($F414,EOMONTH(DATE(cfg_FY,3,1),0))-$E414+1))</f>
        <v>0</v>
      </c>
      <c r="AK414" s="57" t="n">
        <f aca="false">IF(OR(OR($B414="",$E414="",$F414=""),$L414&lt;&gt;"لا"),0,MAX(0,MIN($F414,EOMONTH(DATE(cfg_FY,4,1),0))-$E414+1))</f>
        <v>0</v>
      </c>
      <c r="AL414" s="57" t="n">
        <f aca="false">IF(OR(OR($B414="",$E414="",$F414=""),$L414&lt;&gt;"لا"),0,MAX(0,MIN($F414,EOMONTH(DATE(cfg_FY,5,1),0))-$E414+1))</f>
        <v>0</v>
      </c>
      <c r="AM414" s="57" t="n">
        <f aca="false">IF(OR(OR($B414="",$E414="",$F414=""),$L414&lt;&gt;"لا"),0,MAX(0,MIN($F414,EOMONTH(DATE(cfg_FY,6,1),0))-$E414+1))</f>
        <v>0</v>
      </c>
      <c r="AN414" s="57" t="n">
        <f aca="false">IF(OR(OR($B414="",$E414="",$F414=""),$L414&lt;&gt;"لا"),0,MAX(0,MIN($F414,EOMONTH(DATE(cfg_FY,7,1),0))-$E414+1))</f>
        <v>0</v>
      </c>
      <c r="AO414" s="57" t="n">
        <f aca="false">IF(OR(OR($B414="",$E414="",$F414=""),$L414&lt;&gt;"لا"),0,MAX(0,MIN($F414,EOMONTH(DATE(cfg_FY,8,1),0))-$E414+1))</f>
        <v>0</v>
      </c>
      <c r="AP414" s="57" t="n">
        <f aca="false">IF(OR(OR($B414="",$E414="",$F414=""),$L414&lt;&gt;"لا"),0,MAX(0,MIN($F414,EOMONTH(DATE(cfg_FY,9,1),0))-$E414+1))</f>
        <v>0</v>
      </c>
      <c r="AQ414" s="57" t="n">
        <f aca="false">IF(OR(OR($B414="",$E414="",$F414=""),$L414&lt;&gt;"لا"),0,MAX(0,MIN($F414,EOMONTH(DATE(cfg_FY,10,1),0))-$E414+1))</f>
        <v>0</v>
      </c>
      <c r="AR414" s="57" t="n">
        <f aca="false">IF(OR(OR($B414="",$E414="",$F414=""),$L414&lt;&gt;"لا"),0,MAX(0,MIN($F414,EOMONTH(DATE(cfg_FY,11,1),0))-$E414+1))</f>
        <v>0</v>
      </c>
      <c r="AS414" s="57" t="n">
        <f aca="false">IF(OR(OR($B414="",$E414="",$F414=""),$L414&lt;&gt;"لا"),0,MAX(0,MIN($F414,EOMONTH(DATE(cfg_FY,12,1),0))-$E414+1))</f>
        <v>0</v>
      </c>
      <c r="AT414" s="57" t="n">
        <f aca="false">IF(OR(OR($B414="",$E414="",$F414=""),$K414&lt;&gt;"نعم",$M414="نعم"),0,MAX(0,MIN($F414,EOMONTH(DATE(cfg_FY,1,1),0))-MAX($E414,DATE(cfg_FY,1,1))+1))</f>
        <v>0</v>
      </c>
      <c r="AU414" s="57" t="n">
        <f aca="false">IF(OR(OR($B414="",$E414="",$F414=""),$K414&lt;&gt;"نعم",$M414="نعم"),0,MAX(0,MIN($F414,EOMONTH(DATE(cfg_FY,2,1),0))-MAX($E414,DATE(cfg_FY,2,1))+1))</f>
        <v>0</v>
      </c>
      <c r="AV414" s="57" t="n">
        <f aca="false">IF(OR(OR($B414="",$E414="",$F414=""),$K414&lt;&gt;"نعم",$M414="نعم"),0,MAX(0,MIN($F414,EOMONTH(DATE(cfg_FY,3,1),0))-MAX($E414,DATE(cfg_FY,3,1))+1))</f>
        <v>0</v>
      </c>
      <c r="AW414" s="57" t="n">
        <f aca="false">IF(OR(OR($B414="",$E414="",$F414=""),$K414&lt;&gt;"نعم",$M414="نعم"),0,MAX(0,MIN($F414,EOMONTH(DATE(cfg_FY,4,1),0))-MAX($E414,DATE(cfg_FY,4,1))+1))</f>
        <v>0</v>
      </c>
      <c r="AX414" s="57" t="n">
        <f aca="false">IF(OR(OR($B414="",$E414="",$F414=""),$K414&lt;&gt;"نعم",$M414="نعم"),0,MAX(0,MIN($F414,EOMONTH(DATE(cfg_FY,5,1),0))-MAX($E414,DATE(cfg_FY,5,1))+1))</f>
        <v>0</v>
      </c>
      <c r="AY414" s="57" t="n">
        <f aca="false">IF(OR(OR($B414="",$E414="",$F414=""),$K414&lt;&gt;"نعم",$M414="نعم"),0,MAX(0,MIN($F414,EOMONTH(DATE(cfg_FY,6,1),0))-MAX($E414,DATE(cfg_FY,6,1))+1))</f>
        <v>0</v>
      </c>
      <c r="AZ414" s="57" t="n">
        <f aca="false">IF(OR(OR($B414="",$E414="",$F414=""),$K414&lt;&gt;"نعم",$M414="نعم"),0,MAX(0,MIN($F414,EOMONTH(DATE(cfg_FY,7,1),0))-MAX($E414,DATE(cfg_FY,7,1))+1))</f>
        <v>0</v>
      </c>
      <c r="BA414" s="57" t="n">
        <f aca="false">IF(OR(OR($B414="",$E414="",$F414=""),$K414&lt;&gt;"نعم",$M414="نعم"),0,MAX(0,MIN($F414,EOMONTH(DATE(cfg_FY,8,1),0))-MAX($E414,DATE(cfg_FY,8,1))+1))</f>
        <v>0</v>
      </c>
      <c r="BB414" s="57" t="n">
        <f aca="false">IF(OR(OR($B414="",$E414="",$F414=""),$K414&lt;&gt;"نعم",$M414="نعم"),0,MAX(0,MIN($F414,EOMONTH(DATE(cfg_FY,9,1),0))-MAX($E414,DATE(cfg_FY,9,1))+1))</f>
        <v>0</v>
      </c>
      <c r="BC414" s="57" t="n">
        <f aca="false">IF(OR(OR($B414="",$E414="",$F414=""),$K414&lt;&gt;"نعم",$M414="نعم"),0,MAX(0,MIN($F414,EOMONTH(DATE(cfg_FY,10,1),0))-MAX($E414,DATE(cfg_FY,10,1))+1))</f>
        <v>0</v>
      </c>
      <c r="BD414" s="57" t="n">
        <f aca="false">IF(OR(OR($B414="",$E414="",$F414=""),$K414&lt;&gt;"نعم",$M414="نعم"),0,MAX(0,MIN($F414,EOMONTH(DATE(cfg_FY,11,1),0))-MAX($E414,DATE(cfg_FY,11,1))+1))</f>
        <v>0</v>
      </c>
      <c r="BE414" s="57" t="n">
        <f aca="false">IF(OR(OR($B414="",$E414="",$F414=""),$K414&lt;&gt;"نعم",$M414="نعم"),0,MAX(0,MIN($F414,EOMONTH(DATE(cfg_FY,12,1),0))-MAX($E414,DATE(cfg_FY,12,1))+1))</f>
        <v>0</v>
      </c>
    </row>
    <row r="415" customFormat="false" ht="15" hidden="false" customHeight="false" outlineLevel="0" collapsed="false">
      <c r="A415" s="100" t="str">
        <f aca="false">IF(B415="","",ROW()-5)</f>
        <v/>
      </c>
      <c r="B415" s="79"/>
      <c r="C415" s="102" t="str">
        <f aca="false">IF(B415="","",IFERROR(INDEX(الموظفون!$C$6:$C$105,MATCH(B415,الموظفون!$B$6:$B$105,0)),"✖ رقم غير موجود"))</f>
        <v/>
      </c>
      <c r="D415" s="79"/>
      <c r="E415" s="94"/>
      <c r="F415" s="94"/>
      <c r="G415" s="110" t="str">
        <f aca="false">IF(OR($B415="",$E415="",$F415=""),"",MAX(0,F415-E415+1))</f>
        <v/>
      </c>
      <c r="H415" s="111" t="str">
        <f aca="false">IF(D415="","",IFERROR(VLOOKUP(D415,cfg_LT,2,FALSE()),1))</f>
        <v/>
      </c>
      <c r="I415" s="82"/>
      <c r="J415" s="111" t="str">
        <f aca="false">IF(D415="","",IF(I415&lt;&gt;"",I415,H415))</f>
        <v/>
      </c>
      <c r="K415" s="102" t="str">
        <f aca="false">IF(D415="","",IFERROR(VLOOKUP($D415,cfg_LT,3,FALSE()),""))</f>
        <v/>
      </c>
      <c r="L415" s="102" t="str">
        <f aca="false">IF(D415="","",IFERROR(VLOOKUP($D415,cfg_LT,4,FALSE()),""))</f>
        <v/>
      </c>
      <c r="M415" s="102" t="str">
        <f aca="false">IF(D415="","",IFERROR(VLOOKUP($D415,cfg_LT,5,FALSE()),""))</f>
        <v/>
      </c>
      <c r="N415" s="101" t="n">
        <f aca="false">IF(OR(OR($B415="",$E415="",$F415=""),M415&lt;&gt;"نعم"),0,G415*J415*IFERROR(INDEX(الموظفون!$R$6:$R$105,MATCH(B415,الموظفون!$B$6:$B$105,0)),0)/cfg_DAYS_M)</f>
        <v>0</v>
      </c>
      <c r="O415" s="100" t="str">
        <f aca="false">IF(OR(OR($B415="",$E415="",$F415=""),M415&lt;&gt;"نعم"),"",IF(YEAR(E415)=cfg_FY,MONTH(E415),""))</f>
        <v/>
      </c>
      <c r="P415" s="102" t="str">
        <f aca="false">IF(B415="","",IF(OR(D415="",E415="",F415=""),"⚠ أكمل النوع والتواريخ",IF(F415&lt;E415,"✖ النهاية قبل البداية",IF(COUNTIFS($B$6:$B$505,B415,$E$6:$E$505,"&lt;="&amp;F415,$F$6:$F$505,"&gt;="&amp;E415)&gt;1,"⚠ تداخل مع سجل آخر",IF(E415&gt;cfg_VAL_DATE,"⏳ قادمة",IF(F415&lt;cfg_VAL_DATE,"✔ منتهية","✈ جارية في تاريخ التقرير"))))))</f>
        <v/>
      </c>
      <c r="Q415" s="79"/>
      <c r="R415" s="110" t="n">
        <f aca="false">IF(OR(OR($B415="",$E415="",$F415=""),L415&lt;&gt;"لا"),0,MAX(0,MIN(F415,cfg_Y_START-1)-E415+1))</f>
        <v>0</v>
      </c>
      <c r="S415" s="110" t="n">
        <f aca="false">IF(OR(OR($B415="",$E415="",$F415=""),L415&lt;&gt;"لا"),0,MAX(0,MIN(F415,cfg_VAL_DATE)-E415+1))</f>
        <v>0</v>
      </c>
      <c r="T415" s="110" t="n">
        <f aca="false">IF(OR(OR($B415="",$E415="",$F415=""),K415&lt;&gt;"نعم"),0,IF(M415="نعم",IF(AND(ISNUMBER(O415),N(O415)&lt;=cfg_VAL_M),G415,0),MAX(0,MIN(F415,cfg_VAL_DATE)-MAX(E415,cfg_Y_START)+1)))</f>
        <v>0</v>
      </c>
      <c r="V415" s="110" t="n">
        <f aca="false">IF(OR($B415="",$E415="",$F415=""),0,MAX(0,MIN($F415,EOMONTH(DATE(cfg_FY,1,1),0))-MAX($E415,DATE(cfg_FY,1,1))+1)*(1-IF($M415="نعم",0,N($J415))))</f>
        <v>0</v>
      </c>
      <c r="W415" s="110" t="n">
        <f aca="false">IF(OR($B415="",$E415="",$F415=""),0,MAX(0,MIN($F415,EOMONTH(DATE(cfg_FY,2,1),0))-MAX($E415,DATE(cfg_FY,2,1))+1)*(1-IF($M415="نعم",0,N($J415))))</f>
        <v>0</v>
      </c>
      <c r="X415" s="110" t="n">
        <f aca="false">IF(OR($B415="",$E415="",$F415=""),0,MAX(0,MIN($F415,EOMONTH(DATE(cfg_FY,3,1),0))-MAX($E415,DATE(cfg_FY,3,1))+1)*(1-IF($M415="نعم",0,N($J415))))</f>
        <v>0</v>
      </c>
      <c r="Y415" s="110" t="n">
        <f aca="false">IF(OR($B415="",$E415="",$F415=""),0,MAX(0,MIN($F415,EOMONTH(DATE(cfg_FY,4,1),0))-MAX($E415,DATE(cfg_FY,4,1))+1)*(1-IF($M415="نعم",0,N($J415))))</f>
        <v>0</v>
      </c>
      <c r="Z415" s="110" t="n">
        <f aca="false">IF(OR($B415="",$E415="",$F415=""),0,MAX(0,MIN($F415,EOMONTH(DATE(cfg_FY,5,1),0))-MAX($E415,DATE(cfg_FY,5,1))+1)*(1-IF($M415="نعم",0,N($J415))))</f>
        <v>0</v>
      </c>
      <c r="AA415" s="110" t="n">
        <f aca="false">IF(OR($B415="",$E415="",$F415=""),0,MAX(0,MIN($F415,EOMONTH(DATE(cfg_FY,6,1),0))-MAX($E415,DATE(cfg_FY,6,1))+1)*(1-IF($M415="نعم",0,N($J415))))</f>
        <v>0</v>
      </c>
      <c r="AB415" s="110" t="n">
        <f aca="false">IF(OR($B415="",$E415="",$F415=""),0,MAX(0,MIN($F415,EOMONTH(DATE(cfg_FY,7,1),0))-MAX($E415,DATE(cfg_FY,7,1))+1)*(1-IF($M415="نعم",0,N($J415))))</f>
        <v>0</v>
      </c>
      <c r="AC415" s="110" t="n">
        <f aca="false">IF(OR($B415="",$E415="",$F415=""),0,MAX(0,MIN($F415,EOMONTH(DATE(cfg_FY,8,1),0))-MAX($E415,DATE(cfg_FY,8,1))+1)*(1-IF($M415="نعم",0,N($J415))))</f>
        <v>0</v>
      </c>
      <c r="AD415" s="110" t="n">
        <f aca="false">IF(OR($B415="",$E415="",$F415=""),0,MAX(0,MIN($F415,EOMONTH(DATE(cfg_FY,9,1),0))-MAX($E415,DATE(cfg_FY,9,1))+1)*(1-IF($M415="نعم",0,N($J415))))</f>
        <v>0</v>
      </c>
      <c r="AE415" s="110" t="n">
        <f aca="false">IF(OR($B415="",$E415="",$F415=""),0,MAX(0,MIN($F415,EOMONTH(DATE(cfg_FY,10,1),0))-MAX($E415,DATE(cfg_FY,10,1))+1)*(1-IF($M415="نعم",0,N($J415))))</f>
        <v>0</v>
      </c>
      <c r="AF415" s="110" t="n">
        <f aca="false">IF(OR($B415="",$E415="",$F415=""),0,MAX(0,MIN($F415,EOMONTH(DATE(cfg_FY,11,1),0))-MAX($E415,DATE(cfg_FY,11,1))+1)*(1-IF($M415="نعم",0,N($J415))))</f>
        <v>0</v>
      </c>
      <c r="AG415" s="110" t="n">
        <f aca="false">IF(OR($B415="",$E415="",$F415=""),0,MAX(0,MIN($F415,EOMONTH(DATE(cfg_FY,12,1),0))-MAX($E415,DATE(cfg_FY,12,1))+1)*(1-IF($M415="نعم",0,N($J415))))</f>
        <v>0</v>
      </c>
      <c r="AH415" s="110" t="n">
        <f aca="false">IF(OR(OR($B415="",$E415="",$F415=""),$L415&lt;&gt;"لا"),0,MAX(0,MIN($F415,EOMONTH(DATE(cfg_FY,1,1),0))-$E415+1))</f>
        <v>0</v>
      </c>
      <c r="AI415" s="110" t="n">
        <f aca="false">IF(OR(OR($B415="",$E415="",$F415=""),$L415&lt;&gt;"لا"),0,MAX(0,MIN($F415,EOMONTH(DATE(cfg_FY,2,1),0))-$E415+1))</f>
        <v>0</v>
      </c>
      <c r="AJ415" s="110" t="n">
        <f aca="false">IF(OR(OR($B415="",$E415="",$F415=""),$L415&lt;&gt;"لا"),0,MAX(0,MIN($F415,EOMONTH(DATE(cfg_FY,3,1),0))-$E415+1))</f>
        <v>0</v>
      </c>
      <c r="AK415" s="110" t="n">
        <f aca="false">IF(OR(OR($B415="",$E415="",$F415=""),$L415&lt;&gt;"لا"),0,MAX(0,MIN($F415,EOMONTH(DATE(cfg_FY,4,1),0))-$E415+1))</f>
        <v>0</v>
      </c>
      <c r="AL415" s="110" t="n">
        <f aca="false">IF(OR(OR($B415="",$E415="",$F415=""),$L415&lt;&gt;"لا"),0,MAX(0,MIN($F415,EOMONTH(DATE(cfg_FY,5,1),0))-$E415+1))</f>
        <v>0</v>
      </c>
      <c r="AM415" s="110" t="n">
        <f aca="false">IF(OR(OR($B415="",$E415="",$F415=""),$L415&lt;&gt;"لا"),0,MAX(0,MIN($F415,EOMONTH(DATE(cfg_FY,6,1),0))-$E415+1))</f>
        <v>0</v>
      </c>
      <c r="AN415" s="110" t="n">
        <f aca="false">IF(OR(OR($B415="",$E415="",$F415=""),$L415&lt;&gt;"لا"),0,MAX(0,MIN($F415,EOMONTH(DATE(cfg_FY,7,1),0))-$E415+1))</f>
        <v>0</v>
      </c>
      <c r="AO415" s="110" t="n">
        <f aca="false">IF(OR(OR($B415="",$E415="",$F415=""),$L415&lt;&gt;"لا"),0,MAX(0,MIN($F415,EOMONTH(DATE(cfg_FY,8,1),0))-$E415+1))</f>
        <v>0</v>
      </c>
      <c r="AP415" s="110" t="n">
        <f aca="false">IF(OR(OR($B415="",$E415="",$F415=""),$L415&lt;&gt;"لا"),0,MAX(0,MIN($F415,EOMONTH(DATE(cfg_FY,9,1),0))-$E415+1))</f>
        <v>0</v>
      </c>
      <c r="AQ415" s="110" t="n">
        <f aca="false">IF(OR(OR($B415="",$E415="",$F415=""),$L415&lt;&gt;"لا"),0,MAX(0,MIN($F415,EOMONTH(DATE(cfg_FY,10,1),0))-$E415+1))</f>
        <v>0</v>
      </c>
      <c r="AR415" s="110" t="n">
        <f aca="false">IF(OR(OR($B415="",$E415="",$F415=""),$L415&lt;&gt;"لا"),0,MAX(0,MIN($F415,EOMONTH(DATE(cfg_FY,11,1),0))-$E415+1))</f>
        <v>0</v>
      </c>
      <c r="AS415" s="110" t="n">
        <f aca="false">IF(OR(OR($B415="",$E415="",$F415=""),$L415&lt;&gt;"لا"),0,MAX(0,MIN($F415,EOMONTH(DATE(cfg_FY,12,1),0))-$E415+1))</f>
        <v>0</v>
      </c>
      <c r="AT415" s="110" t="n">
        <f aca="false">IF(OR(OR($B415="",$E415="",$F415=""),$K415&lt;&gt;"نعم",$M415="نعم"),0,MAX(0,MIN($F415,EOMONTH(DATE(cfg_FY,1,1),0))-MAX($E415,DATE(cfg_FY,1,1))+1))</f>
        <v>0</v>
      </c>
      <c r="AU415" s="110" t="n">
        <f aca="false">IF(OR(OR($B415="",$E415="",$F415=""),$K415&lt;&gt;"نعم",$M415="نعم"),0,MAX(0,MIN($F415,EOMONTH(DATE(cfg_FY,2,1),0))-MAX($E415,DATE(cfg_FY,2,1))+1))</f>
        <v>0</v>
      </c>
      <c r="AV415" s="110" t="n">
        <f aca="false">IF(OR(OR($B415="",$E415="",$F415=""),$K415&lt;&gt;"نعم",$M415="نعم"),0,MAX(0,MIN($F415,EOMONTH(DATE(cfg_FY,3,1),0))-MAX($E415,DATE(cfg_FY,3,1))+1))</f>
        <v>0</v>
      </c>
      <c r="AW415" s="110" t="n">
        <f aca="false">IF(OR(OR($B415="",$E415="",$F415=""),$K415&lt;&gt;"نعم",$M415="نعم"),0,MAX(0,MIN($F415,EOMONTH(DATE(cfg_FY,4,1),0))-MAX($E415,DATE(cfg_FY,4,1))+1))</f>
        <v>0</v>
      </c>
      <c r="AX415" s="110" t="n">
        <f aca="false">IF(OR(OR($B415="",$E415="",$F415=""),$K415&lt;&gt;"نعم",$M415="نعم"),0,MAX(0,MIN($F415,EOMONTH(DATE(cfg_FY,5,1),0))-MAX($E415,DATE(cfg_FY,5,1))+1))</f>
        <v>0</v>
      </c>
      <c r="AY415" s="110" t="n">
        <f aca="false">IF(OR(OR($B415="",$E415="",$F415=""),$K415&lt;&gt;"نعم",$M415="نعم"),0,MAX(0,MIN($F415,EOMONTH(DATE(cfg_FY,6,1),0))-MAX($E415,DATE(cfg_FY,6,1))+1))</f>
        <v>0</v>
      </c>
      <c r="AZ415" s="110" t="n">
        <f aca="false">IF(OR(OR($B415="",$E415="",$F415=""),$K415&lt;&gt;"نعم",$M415="نعم"),0,MAX(0,MIN($F415,EOMONTH(DATE(cfg_FY,7,1),0))-MAX($E415,DATE(cfg_FY,7,1))+1))</f>
        <v>0</v>
      </c>
      <c r="BA415" s="110" t="n">
        <f aca="false">IF(OR(OR($B415="",$E415="",$F415=""),$K415&lt;&gt;"نعم",$M415="نعم"),0,MAX(0,MIN($F415,EOMONTH(DATE(cfg_FY,8,1),0))-MAX($E415,DATE(cfg_FY,8,1))+1))</f>
        <v>0</v>
      </c>
      <c r="BB415" s="110" t="n">
        <f aca="false">IF(OR(OR($B415="",$E415="",$F415=""),$K415&lt;&gt;"نعم",$M415="نعم"),0,MAX(0,MIN($F415,EOMONTH(DATE(cfg_FY,9,1),0))-MAX($E415,DATE(cfg_FY,9,1))+1))</f>
        <v>0</v>
      </c>
      <c r="BC415" s="110" t="n">
        <f aca="false">IF(OR(OR($B415="",$E415="",$F415=""),$K415&lt;&gt;"نعم",$M415="نعم"),0,MAX(0,MIN($F415,EOMONTH(DATE(cfg_FY,10,1),0))-MAX($E415,DATE(cfg_FY,10,1))+1))</f>
        <v>0</v>
      </c>
      <c r="BD415" s="110" t="n">
        <f aca="false">IF(OR(OR($B415="",$E415="",$F415=""),$K415&lt;&gt;"نعم",$M415="نعم"),0,MAX(0,MIN($F415,EOMONTH(DATE(cfg_FY,11,1),0))-MAX($E415,DATE(cfg_FY,11,1))+1))</f>
        <v>0</v>
      </c>
      <c r="BE415" s="110" t="n">
        <f aca="false">IF(OR(OR($B415="",$E415="",$F415=""),$K415&lt;&gt;"نعم",$M415="نعم"),0,MAX(0,MIN($F415,EOMONTH(DATE(cfg_FY,12,1),0))-MAX($E415,DATE(cfg_FY,12,1))+1))</f>
        <v>0</v>
      </c>
    </row>
    <row r="416" customFormat="false" ht="15" hidden="false" customHeight="false" outlineLevel="0" collapsed="false">
      <c r="A416" s="93" t="str">
        <f aca="false">IF(B416="","",ROW()-5)</f>
        <v/>
      </c>
      <c r="B416" s="79"/>
      <c r="C416" s="80" t="str">
        <f aca="false">IF(B416="","",IFERROR(INDEX(الموظفون!$C$6:$C$105,MATCH(B416,الموظفون!$B$6:$B$105,0)),"✖ رقم غير موجود"))</f>
        <v/>
      </c>
      <c r="D416" s="79"/>
      <c r="E416" s="94"/>
      <c r="F416" s="94"/>
      <c r="G416" s="57" t="str">
        <f aca="false">IF(OR($B416="",$E416="",$F416=""),"",MAX(0,F416-E416+1))</f>
        <v/>
      </c>
      <c r="H416" s="58" t="str">
        <f aca="false">IF(D416="","",IFERROR(VLOOKUP(D416,cfg_LT,2,FALSE()),1))</f>
        <v/>
      </c>
      <c r="I416" s="82"/>
      <c r="J416" s="58" t="str">
        <f aca="false">IF(D416="","",IF(I416&lt;&gt;"",I416,H416))</f>
        <v/>
      </c>
      <c r="K416" s="80" t="str">
        <f aca="false">IF(D416="","",IFERROR(VLOOKUP($D416,cfg_LT,3,FALSE()),""))</f>
        <v/>
      </c>
      <c r="L416" s="80" t="str">
        <f aca="false">IF(D416="","",IFERROR(VLOOKUP($D416,cfg_LT,4,FALSE()),""))</f>
        <v/>
      </c>
      <c r="M416" s="80" t="str">
        <f aca="false">IF(D416="","",IFERROR(VLOOKUP($D416,cfg_LT,5,FALSE()),""))</f>
        <v/>
      </c>
      <c r="N416" s="97" t="n">
        <f aca="false">IF(OR(OR($B416="",$E416="",$F416=""),M416&lt;&gt;"نعم"),0,G416*J416*IFERROR(INDEX(الموظفون!$R$6:$R$105,MATCH(B416,الموظفون!$B$6:$B$105,0)),0)/cfg_DAYS_M)</f>
        <v>0</v>
      </c>
      <c r="O416" s="93" t="str">
        <f aca="false">IF(OR(OR($B416="",$E416="",$F416=""),M416&lt;&gt;"نعم"),"",IF(YEAR(E416)=cfg_FY,MONTH(E416),""))</f>
        <v/>
      </c>
      <c r="P416" s="80" t="str">
        <f aca="false">IF(B416="","",IF(OR(D416="",E416="",F416=""),"⚠ أكمل النوع والتواريخ",IF(F416&lt;E416,"✖ النهاية قبل البداية",IF(COUNTIFS($B$6:$B$505,B416,$E$6:$E$505,"&lt;="&amp;F416,$F$6:$F$505,"&gt;="&amp;E416)&gt;1,"⚠ تداخل مع سجل آخر",IF(E416&gt;cfg_VAL_DATE,"⏳ قادمة",IF(F416&lt;cfg_VAL_DATE,"✔ منتهية","✈ جارية في تاريخ التقرير"))))))</f>
        <v/>
      </c>
      <c r="Q416" s="79"/>
      <c r="R416" s="57" t="n">
        <f aca="false">IF(OR(OR($B416="",$E416="",$F416=""),L416&lt;&gt;"لا"),0,MAX(0,MIN(F416,cfg_Y_START-1)-E416+1))</f>
        <v>0</v>
      </c>
      <c r="S416" s="57" t="n">
        <f aca="false">IF(OR(OR($B416="",$E416="",$F416=""),L416&lt;&gt;"لا"),0,MAX(0,MIN(F416,cfg_VAL_DATE)-E416+1))</f>
        <v>0</v>
      </c>
      <c r="T416" s="57" t="n">
        <f aca="false">IF(OR(OR($B416="",$E416="",$F416=""),K416&lt;&gt;"نعم"),0,IF(M416="نعم",IF(AND(ISNUMBER(O416),N(O416)&lt;=cfg_VAL_M),G416,0),MAX(0,MIN(F416,cfg_VAL_DATE)-MAX(E416,cfg_Y_START)+1)))</f>
        <v>0</v>
      </c>
      <c r="V416" s="57" t="n">
        <f aca="false">IF(OR($B416="",$E416="",$F416=""),0,MAX(0,MIN($F416,EOMONTH(DATE(cfg_FY,1,1),0))-MAX($E416,DATE(cfg_FY,1,1))+1)*(1-IF($M416="نعم",0,N($J416))))</f>
        <v>0</v>
      </c>
      <c r="W416" s="57" t="n">
        <f aca="false">IF(OR($B416="",$E416="",$F416=""),0,MAX(0,MIN($F416,EOMONTH(DATE(cfg_FY,2,1),0))-MAX($E416,DATE(cfg_FY,2,1))+1)*(1-IF($M416="نعم",0,N($J416))))</f>
        <v>0</v>
      </c>
      <c r="X416" s="57" t="n">
        <f aca="false">IF(OR($B416="",$E416="",$F416=""),0,MAX(0,MIN($F416,EOMONTH(DATE(cfg_FY,3,1),0))-MAX($E416,DATE(cfg_FY,3,1))+1)*(1-IF($M416="نعم",0,N($J416))))</f>
        <v>0</v>
      </c>
      <c r="Y416" s="57" t="n">
        <f aca="false">IF(OR($B416="",$E416="",$F416=""),0,MAX(0,MIN($F416,EOMONTH(DATE(cfg_FY,4,1),0))-MAX($E416,DATE(cfg_FY,4,1))+1)*(1-IF($M416="نعم",0,N($J416))))</f>
        <v>0</v>
      </c>
      <c r="Z416" s="57" t="n">
        <f aca="false">IF(OR($B416="",$E416="",$F416=""),0,MAX(0,MIN($F416,EOMONTH(DATE(cfg_FY,5,1),0))-MAX($E416,DATE(cfg_FY,5,1))+1)*(1-IF($M416="نعم",0,N($J416))))</f>
        <v>0</v>
      </c>
      <c r="AA416" s="57" t="n">
        <f aca="false">IF(OR($B416="",$E416="",$F416=""),0,MAX(0,MIN($F416,EOMONTH(DATE(cfg_FY,6,1),0))-MAX($E416,DATE(cfg_FY,6,1))+1)*(1-IF($M416="نعم",0,N($J416))))</f>
        <v>0</v>
      </c>
      <c r="AB416" s="57" t="n">
        <f aca="false">IF(OR($B416="",$E416="",$F416=""),0,MAX(0,MIN($F416,EOMONTH(DATE(cfg_FY,7,1),0))-MAX($E416,DATE(cfg_FY,7,1))+1)*(1-IF($M416="نعم",0,N($J416))))</f>
        <v>0</v>
      </c>
      <c r="AC416" s="57" t="n">
        <f aca="false">IF(OR($B416="",$E416="",$F416=""),0,MAX(0,MIN($F416,EOMONTH(DATE(cfg_FY,8,1),0))-MAX($E416,DATE(cfg_FY,8,1))+1)*(1-IF($M416="نعم",0,N($J416))))</f>
        <v>0</v>
      </c>
      <c r="AD416" s="57" t="n">
        <f aca="false">IF(OR($B416="",$E416="",$F416=""),0,MAX(0,MIN($F416,EOMONTH(DATE(cfg_FY,9,1),0))-MAX($E416,DATE(cfg_FY,9,1))+1)*(1-IF($M416="نعم",0,N($J416))))</f>
        <v>0</v>
      </c>
      <c r="AE416" s="57" t="n">
        <f aca="false">IF(OR($B416="",$E416="",$F416=""),0,MAX(0,MIN($F416,EOMONTH(DATE(cfg_FY,10,1),0))-MAX($E416,DATE(cfg_FY,10,1))+1)*(1-IF($M416="نعم",0,N($J416))))</f>
        <v>0</v>
      </c>
      <c r="AF416" s="57" t="n">
        <f aca="false">IF(OR($B416="",$E416="",$F416=""),0,MAX(0,MIN($F416,EOMONTH(DATE(cfg_FY,11,1),0))-MAX($E416,DATE(cfg_FY,11,1))+1)*(1-IF($M416="نعم",0,N($J416))))</f>
        <v>0</v>
      </c>
      <c r="AG416" s="57" t="n">
        <f aca="false">IF(OR($B416="",$E416="",$F416=""),0,MAX(0,MIN($F416,EOMONTH(DATE(cfg_FY,12,1),0))-MAX($E416,DATE(cfg_FY,12,1))+1)*(1-IF($M416="نعم",0,N($J416))))</f>
        <v>0</v>
      </c>
      <c r="AH416" s="57" t="n">
        <f aca="false">IF(OR(OR($B416="",$E416="",$F416=""),$L416&lt;&gt;"لا"),0,MAX(0,MIN($F416,EOMONTH(DATE(cfg_FY,1,1),0))-$E416+1))</f>
        <v>0</v>
      </c>
      <c r="AI416" s="57" t="n">
        <f aca="false">IF(OR(OR($B416="",$E416="",$F416=""),$L416&lt;&gt;"لا"),0,MAX(0,MIN($F416,EOMONTH(DATE(cfg_FY,2,1),0))-$E416+1))</f>
        <v>0</v>
      </c>
      <c r="AJ416" s="57" t="n">
        <f aca="false">IF(OR(OR($B416="",$E416="",$F416=""),$L416&lt;&gt;"لا"),0,MAX(0,MIN($F416,EOMONTH(DATE(cfg_FY,3,1),0))-$E416+1))</f>
        <v>0</v>
      </c>
      <c r="AK416" s="57" t="n">
        <f aca="false">IF(OR(OR($B416="",$E416="",$F416=""),$L416&lt;&gt;"لا"),0,MAX(0,MIN($F416,EOMONTH(DATE(cfg_FY,4,1),0))-$E416+1))</f>
        <v>0</v>
      </c>
      <c r="AL416" s="57" t="n">
        <f aca="false">IF(OR(OR($B416="",$E416="",$F416=""),$L416&lt;&gt;"لا"),0,MAX(0,MIN($F416,EOMONTH(DATE(cfg_FY,5,1),0))-$E416+1))</f>
        <v>0</v>
      </c>
      <c r="AM416" s="57" t="n">
        <f aca="false">IF(OR(OR($B416="",$E416="",$F416=""),$L416&lt;&gt;"لا"),0,MAX(0,MIN($F416,EOMONTH(DATE(cfg_FY,6,1),0))-$E416+1))</f>
        <v>0</v>
      </c>
      <c r="AN416" s="57" t="n">
        <f aca="false">IF(OR(OR($B416="",$E416="",$F416=""),$L416&lt;&gt;"لا"),0,MAX(0,MIN($F416,EOMONTH(DATE(cfg_FY,7,1),0))-$E416+1))</f>
        <v>0</v>
      </c>
      <c r="AO416" s="57" t="n">
        <f aca="false">IF(OR(OR($B416="",$E416="",$F416=""),$L416&lt;&gt;"لا"),0,MAX(0,MIN($F416,EOMONTH(DATE(cfg_FY,8,1),0))-$E416+1))</f>
        <v>0</v>
      </c>
      <c r="AP416" s="57" t="n">
        <f aca="false">IF(OR(OR($B416="",$E416="",$F416=""),$L416&lt;&gt;"لا"),0,MAX(0,MIN($F416,EOMONTH(DATE(cfg_FY,9,1),0))-$E416+1))</f>
        <v>0</v>
      </c>
      <c r="AQ416" s="57" t="n">
        <f aca="false">IF(OR(OR($B416="",$E416="",$F416=""),$L416&lt;&gt;"لا"),0,MAX(0,MIN($F416,EOMONTH(DATE(cfg_FY,10,1),0))-$E416+1))</f>
        <v>0</v>
      </c>
      <c r="AR416" s="57" t="n">
        <f aca="false">IF(OR(OR($B416="",$E416="",$F416=""),$L416&lt;&gt;"لا"),0,MAX(0,MIN($F416,EOMONTH(DATE(cfg_FY,11,1),0))-$E416+1))</f>
        <v>0</v>
      </c>
      <c r="AS416" s="57" t="n">
        <f aca="false">IF(OR(OR($B416="",$E416="",$F416=""),$L416&lt;&gt;"لا"),0,MAX(0,MIN($F416,EOMONTH(DATE(cfg_FY,12,1),0))-$E416+1))</f>
        <v>0</v>
      </c>
      <c r="AT416" s="57" t="n">
        <f aca="false">IF(OR(OR($B416="",$E416="",$F416=""),$K416&lt;&gt;"نعم",$M416="نعم"),0,MAX(0,MIN($F416,EOMONTH(DATE(cfg_FY,1,1),0))-MAX($E416,DATE(cfg_FY,1,1))+1))</f>
        <v>0</v>
      </c>
      <c r="AU416" s="57" t="n">
        <f aca="false">IF(OR(OR($B416="",$E416="",$F416=""),$K416&lt;&gt;"نعم",$M416="نعم"),0,MAX(0,MIN($F416,EOMONTH(DATE(cfg_FY,2,1),0))-MAX($E416,DATE(cfg_FY,2,1))+1))</f>
        <v>0</v>
      </c>
      <c r="AV416" s="57" t="n">
        <f aca="false">IF(OR(OR($B416="",$E416="",$F416=""),$K416&lt;&gt;"نعم",$M416="نعم"),0,MAX(0,MIN($F416,EOMONTH(DATE(cfg_FY,3,1),0))-MAX($E416,DATE(cfg_FY,3,1))+1))</f>
        <v>0</v>
      </c>
      <c r="AW416" s="57" t="n">
        <f aca="false">IF(OR(OR($B416="",$E416="",$F416=""),$K416&lt;&gt;"نعم",$M416="نعم"),0,MAX(0,MIN($F416,EOMONTH(DATE(cfg_FY,4,1),0))-MAX($E416,DATE(cfg_FY,4,1))+1))</f>
        <v>0</v>
      </c>
      <c r="AX416" s="57" t="n">
        <f aca="false">IF(OR(OR($B416="",$E416="",$F416=""),$K416&lt;&gt;"نعم",$M416="نعم"),0,MAX(0,MIN($F416,EOMONTH(DATE(cfg_FY,5,1),0))-MAX($E416,DATE(cfg_FY,5,1))+1))</f>
        <v>0</v>
      </c>
      <c r="AY416" s="57" t="n">
        <f aca="false">IF(OR(OR($B416="",$E416="",$F416=""),$K416&lt;&gt;"نعم",$M416="نعم"),0,MAX(0,MIN($F416,EOMONTH(DATE(cfg_FY,6,1),0))-MAX($E416,DATE(cfg_FY,6,1))+1))</f>
        <v>0</v>
      </c>
      <c r="AZ416" s="57" t="n">
        <f aca="false">IF(OR(OR($B416="",$E416="",$F416=""),$K416&lt;&gt;"نعم",$M416="نعم"),0,MAX(0,MIN($F416,EOMONTH(DATE(cfg_FY,7,1),0))-MAX($E416,DATE(cfg_FY,7,1))+1))</f>
        <v>0</v>
      </c>
      <c r="BA416" s="57" t="n">
        <f aca="false">IF(OR(OR($B416="",$E416="",$F416=""),$K416&lt;&gt;"نعم",$M416="نعم"),0,MAX(0,MIN($F416,EOMONTH(DATE(cfg_FY,8,1),0))-MAX($E416,DATE(cfg_FY,8,1))+1))</f>
        <v>0</v>
      </c>
      <c r="BB416" s="57" t="n">
        <f aca="false">IF(OR(OR($B416="",$E416="",$F416=""),$K416&lt;&gt;"نعم",$M416="نعم"),0,MAX(0,MIN($F416,EOMONTH(DATE(cfg_FY,9,1),0))-MAX($E416,DATE(cfg_FY,9,1))+1))</f>
        <v>0</v>
      </c>
      <c r="BC416" s="57" t="n">
        <f aca="false">IF(OR(OR($B416="",$E416="",$F416=""),$K416&lt;&gt;"نعم",$M416="نعم"),0,MAX(0,MIN($F416,EOMONTH(DATE(cfg_FY,10,1),0))-MAX($E416,DATE(cfg_FY,10,1))+1))</f>
        <v>0</v>
      </c>
      <c r="BD416" s="57" t="n">
        <f aca="false">IF(OR(OR($B416="",$E416="",$F416=""),$K416&lt;&gt;"نعم",$M416="نعم"),0,MAX(0,MIN($F416,EOMONTH(DATE(cfg_FY,11,1),0))-MAX($E416,DATE(cfg_FY,11,1))+1))</f>
        <v>0</v>
      </c>
      <c r="BE416" s="57" t="n">
        <f aca="false">IF(OR(OR($B416="",$E416="",$F416=""),$K416&lt;&gt;"نعم",$M416="نعم"),0,MAX(0,MIN($F416,EOMONTH(DATE(cfg_FY,12,1),0))-MAX($E416,DATE(cfg_FY,12,1))+1))</f>
        <v>0</v>
      </c>
    </row>
    <row r="417" customFormat="false" ht="15" hidden="false" customHeight="false" outlineLevel="0" collapsed="false">
      <c r="A417" s="100" t="str">
        <f aca="false">IF(B417="","",ROW()-5)</f>
        <v/>
      </c>
      <c r="B417" s="79"/>
      <c r="C417" s="102" t="str">
        <f aca="false">IF(B417="","",IFERROR(INDEX(الموظفون!$C$6:$C$105,MATCH(B417,الموظفون!$B$6:$B$105,0)),"✖ رقم غير موجود"))</f>
        <v/>
      </c>
      <c r="D417" s="79"/>
      <c r="E417" s="94"/>
      <c r="F417" s="94"/>
      <c r="G417" s="110" t="str">
        <f aca="false">IF(OR($B417="",$E417="",$F417=""),"",MAX(0,F417-E417+1))</f>
        <v/>
      </c>
      <c r="H417" s="111" t="str">
        <f aca="false">IF(D417="","",IFERROR(VLOOKUP(D417,cfg_LT,2,FALSE()),1))</f>
        <v/>
      </c>
      <c r="I417" s="82"/>
      <c r="J417" s="111" t="str">
        <f aca="false">IF(D417="","",IF(I417&lt;&gt;"",I417,H417))</f>
        <v/>
      </c>
      <c r="K417" s="102" t="str">
        <f aca="false">IF(D417="","",IFERROR(VLOOKUP($D417,cfg_LT,3,FALSE()),""))</f>
        <v/>
      </c>
      <c r="L417" s="102" t="str">
        <f aca="false">IF(D417="","",IFERROR(VLOOKUP($D417,cfg_LT,4,FALSE()),""))</f>
        <v/>
      </c>
      <c r="M417" s="102" t="str">
        <f aca="false">IF(D417="","",IFERROR(VLOOKUP($D417,cfg_LT,5,FALSE()),""))</f>
        <v/>
      </c>
      <c r="N417" s="101" t="n">
        <f aca="false">IF(OR(OR($B417="",$E417="",$F417=""),M417&lt;&gt;"نعم"),0,G417*J417*IFERROR(INDEX(الموظفون!$R$6:$R$105,MATCH(B417,الموظفون!$B$6:$B$105,0)),0)/cfg_DAYS_M)</f>
        <v>0</v>
      </c>
      <c r="O417" s="100" t="str">
        <f aca="false">IF(OR(OR($B417="",$E417="",$F417=""),M417&lt;&gt;"نعم"),"",IF(YEAR(E417)=cfg_FY,MONTH(E417),""))</f>
        <v/>
      </c>
      <c r="P417" s="102" t="str">
        <f aca="false">IF(B417="","",IF(OR(D417="",E417="",F417=""),"⚠ أكمل النوع والتواريخ",IF(F417&lt;E417,"✖ النهاية قبل البداية",IF(COUNTIFS($B$6:$B$505,B417,$E$6:$E$505,"&lt;="&amp;F417,$F$6:$F$505,"&gt;="&amp;E417)&gt;1,"⚠ تداخل مع سجل آخر",IF(E417&gt;cfg_VAL_DATE,"⏳ قادمة",IF(F417&lt;cfg_VAL_DATE,"✔ منتهية","✈ جارية في تاريخ التقرير"))))))</f>
        <v/>
      </c>
      <c r="Q417" s="79"/>
      <c r="R417" s="110" t="n">
        <f aca="false">IF(OR(OR($B417="",$E417="",$F417=""),L417&lt;&gt;"لا"),0,MAX(0,MIN(F417,cfg_Y_START-1)-E417+1))</f>
        <v>0</v>
      </c>
      <c r="S417" s="110" t="n">
        <f aca="false">IF(OR(OR($B417="",$E417="",$F417=""),L417&lt;&gt;"لا"),0,MAX(0,MIN(F417,cfg_VAL_DATE)-E417+1))</f>
        <v>0</v>
      </c>
      <c r="T417" s="110" t="n">
        <f aca="false">IF(OR(OR($B417="",$E417="",$F417=""),K417&lt;&gt;"نعم"),0,IF(M417="نعم",IF(AND(ISNUMBER(O417),N(O417)&lt;=cfg_VAL_M),G417,0),MAX(0,MIN(F417,cfg_VAL_DATE)-MAX(E417,cfg_Y_START)+1)))</f>
        <v>0</v>
      </c>
      <c r="V417" s="110" t="n">
        <f aca="false">IF(OR($B417="",$E417="",$F417=""),0,MAX(0,MIN($F417,EOMONTH(DATE(cfg_FY,1,1),0))-MAX($E417,DATE(cfg_FY,1,1))+1)*(1-IF($M417="نعم",0,N($J417))))</f>
        <v>0</v>
      </c>
      <c r="W417" s="110" t="n">
        <f aca="false">IF(OR($B417="",$E417="",$F417=""),0,MAX(0,MIN($F417,EOMONTH(DATE(cfg_FY,2,1),0))-MAX($E417,DATE(cfg_FY,2,1))+1)*(1-IF($M417="نعم",0,N($J417))))</f>
        <v>0</v>
      </c>
      <c r="X417" s="110" t="n">
        <f aca="false">IF(OR($B417="",$E417="",$F417=""),0,MAX(0,MIN($F417,EOMONTH(DATE(cfg_FY,3,1),0))-MAX($E417,DATE(cfg_FY,3,1))+1)*(1-IF($M417="نعم",0,N($J417))))</f>
        <v>0</v>
      </c>
      <c r="Y417" s="110" t="n">
        <f aca="false">IF(OR($B417="",$E417="",$F417=""),0,MAX(0,MIN($F417,EOMONTH(DATE(cfg_FY,4,1),0))-MAX($E417,DATE(cfg_FY,4,1))+1)*(1-IF($M417="نعم",0,N($J417))))</f>
        <v>0</v>
      </c>
      <c r="Z417" s="110" t="n">
        <f aca="false">IF(OR($B417="",$E417="",$F417=""),0,MAX(0,MIN($F417,EOMONTH(DATE(cfg_FY,5,1),0))-MAX($E417,DATE(cfg_FY,5,1))+1)*(1-IF($M417="نعم",0,N($J417))))</f>
        <v>0</v>
      </c>
      <c r="AA417" s="110" t="n">
        <f aca="false">IF(OR($B417="",$E417="",$F417=""),0,MAX(0,MIN($F417,EOMONTH(DATE(cfg_FY,6,1),0))-MAX($E417,DATE(cfg_FY,6,1))+1)*(1-IF($M417="نعم",0,N($J417))))</f>
        <v>0</v>
      </c>
      <c r="AB417" s="110" t="n">
        <f aca="false">IF(OR($B417="",$E417="",$F417=""),0,MAX(0,MIN($F417,EOMONTH(DATE(cfg_FY,7,1),0))-MAX($E417,DATE(cfg_FY,7,1))+1)*(1-IF($M417="نعم",0,N($J417))))</f>
        <v>0</v>
      </c>
      <c r="AC417" s="110" t="n">
        <f aca="false">IF(OR($B417="",$E417="",$F417=""),0,MAX(0,MIN($F417,EOMONTH(DATE(cfg_FY,8,1),0))-MAX($E417,DATE(cfg_FY,8,1))+1)*(1-IF($M417="نعم",0,N($J417))))</f>
        <v>0</v>
      </c>
      <c r="AD417" s="110" t="n">
        <f aca="false">IF(OR($B417="",$E417="",$F417=""),0,MAX(0,MIN($F417,EOMONTH(DATE(cfg_FY,9,1),0))-MAX($E417,DATE(cfg_FY,9,1))+1)*(1-IF($M417="نعم",0,N($J417))))</f>
        <v>0</v>
      </c>
      <c r="AE417" s="110" t="n">
        <f aca="false">IF(OR($B417="",$E417="",$F417=""),0,MAX(0,MIN($F417,EOMONTH(DATE(cfg_FY,10,1),0))-MAX($E417,DATE(cfg_FY,10,1))+1)*(1-IF($M417="نعم",0,N($J417))))</f>
        <v>0</v>
      </c>
      <c r="AF417" s="110" t="n">
        <f aca="false">IF(OR($B417="",$E417="",$F417=""),0,MAX(0,MIN($F417,EOMONTH(DATE(cfg_FY,11,1),0))-MAX($E417,DATE(cfg_FY,11,1))+1)*(1-IF($M417="نعم",0,N($J417))))</f>
        <v>0</v>
      </c>
      <c r="AG417" s="110" t="n">
        <f aca="false">IF(OR($B417="",$E417="",$F417=""),0,MAX(0,MIN($F417,EOMONTH(DATE(cfg_FY,12,1),0))-MAX($E417,DATE(cfg_FY,12,1))+1)*(1-IF($M417="نعم",0,N($J417))))</f>
        <v>0</v>
      </c>
      <c r="AH417" s="110" t="n">
        <f aca="false">IF(OR(OR($B417="",$E417="",$F417=""),$L417&lt;&gt;"لا"),0,MAX(0,MIN($F417,EOMONTH(DATE(cfg_FY,1,1),0))-$E417+1))</f>
        <v>0</v>
      </c>
      <c r="AI417" s="110" t="n">
        <f aca="false">IF(OR(OR($B417="",$E417="",$F417=""),$L417&lt;&gt;"لا"),0,MAX(0,MIN($F417,EOMONTH(DATE(cfg_FY,2,1),0))-$E417+1))</f>
        <v>0</v>
      </c>
      <c r="AJ417" s="110" t="n">
        <f aca="false">IF(OR(OR($B417="",$E417="",$F417=""),$L417&lt;&gt;"لا"),0,MAX(0,MIN($F417,EOMONTH(DATE(cfg_FY,3,1),0))-$E417+1))</f>
        <v>0</v>
      </c>
      <c r="AK417" s="110" t="n">
        <f aca="false">IF(OR(OR($B417="",$E417="",$F417=""),$L417&lt;&gt;"لا"),0,MAX(0,MIN($F417,EOMONTH(DATE(cfg_FY,4,1),0))-$E417+1))</f>
        <v>0</v>
      </c>
      <c r="AL417" s="110" t="n">
        <f aca="false">IF(OR(OR($B417="",$E417="",$F417=""),$L417&lt;&gt;"لا"),0,MAX(0,MIN($F417,EOMONTH(DATE(cfg_FY,5,1),0))-$E417+1))</f>
        <v>0</v>
      </c>
      <c r="AM417" s="110" t="n">
        <f aca="false">IF(OR(OR($B417="",$E417="",$F417=""),$L417&lt;&gt;"لا"),0,MAX(0,MIN($F417,EOMONTH(DATE(cfg_FY,6,1),0))-$E417+1))</f>
        <v>0</v>
      </c>
      <c r="AN417" s="110" t="n">
        <f aca="false">IF(OR(OR($B417="",$E417="",$F417=""),$L417&lt;&gt;"لا"),0,MAX(0,MIN($F417,EOMONTH(DATE(cfg_FY,7,1),0))-$E417+1))</f>
        <v>0</v>
      </c>
      <c r="AO417" s="110" t="n">
        <f aca="false">IF(OR(OR($B417="",$E417="",$F417=""),$L417&lt;&gt;"لا"),0,MAX(0,MIN($F417,EOMONTH(DATE(cfg_FY,8,1),0))-$E417+1))</f>
        <v>0</v>
      </c>
      <c r="AP417" s="110" t="n">
        <f aca="false">IF(OR(OR($B417="",$E417="",$F417=""),$L417&lt;&gt;"لا"),0,MAX(0,MIN($F417,EOMONTH(DATE(cfg_FY,9,1),0))-$E417+1))</f>
        <v>0</v>
      </c>
      <c r="AQ417" s="110" t="n">
        <f aca="false">IF(OR(OR($B417="",$E417="",$F417=""),$L417&lt;&gt;"لا"),0,MAX(0,MIN($F417,EOMONTH(DATE(cfg_FY,10,1),0))-$E417+1))</f>
        <v>0</v>
      </c>
      <c r="AR417" s="110" t="n">
        <f aca="false">IF(OR(OR($B417="",$E417="",$F417=""),$L417&lt;&gt;"لا"),0,MAX(0,MIN($F417,EOMONTH(DATE(cfg_FY,11,1),0))-$E417+1))</f>
        <v>0</v>
      </c>
      <c r="AS417" s="110" t="n">
        <f aca="false">IF(OR(OR($B417="",$E417="",$F417=""),$L417&lt;&gt;"لا"),0,MAX(0,MIN($F417,EOMONTH(DATE(cfg_FY,12,1),0))-$E417+1))</f>
        <v>0</v>
      </c>
      <c r="AT417" s="110" t="n">
        <f aca="false">IF(OR(OR($B417="",$E417="",$F417=""),$K417&lt;&gt;"نعم",$M417="نعم"),0,MAX(0,MIN($F417,EOMONTH(DATE(cfg_FY,1,1),0))-MAX($E417,DATE(cfg_FY,1,1))+1))</f>
        <v>0</v>
      </c>
      <c r="AU417" s="110" t="n">
        <f aca="false">IF(OR(OR($B417="",$E417="",$F417=""),$K417&lt;&gt;"نعم",$M417="نعم"),0,MAX(0,MIN($F417,EOMONTH(DATE(cfg_FY,2,1),0))-MAX($E417,DATE(cfg_FY,2,1))+1))</f>
        <v>0</v>
      </c>
      <c r="AV417" s="110" t="n">
        <f aca="false">IF(OR(OR($B417="",$E417="",$F417=""),$K417&lt;&gt;"نعم",$M417="نعم"),0,MAX(0,MIN($F417,EOMONTH(DATE(cfg_FY,3,1),0))-MAX($E417,DATE(cfg_FY,3,1))+1))</f>
        <v>0</v>
      </c>
      <c r="AW417" s="110" t="n">
        <f aca="false">IF(OR(OR($B417="",$E417="",$F417=""),$K417&lt;&gt;"نعم",$M417="نعم"),0,MAX(0,MIN($F417,EOMONTH(DATE(cfg_FY,4,1),0))-MAX($E417,DATE(cfg_FY,4,1))+1))</f>
        <v>0</v>
      </c>
      <c r="AX417" s="110" t="n">
        <f aca="false">IF(OR(OR($B417="",$E417="",$F417=""),$K417&lt;&gt;"نعم",$M417="نعم"),0,MAX(0,MIN($F417,EOMONTH(DATE(cfg_FY,5,1),0))-MAX($E417,DATE(cfg_FY,5,1))+1))</f>
        <v>0</v>
      </c>
      <c r="AY417" s="110" t="n">
        <f aca="false">IF(OR(OR($B417="",$E417="",$F417=""),$K417&lt;&gt;"نعم",$M417="نعم"),0,MAX(0,MIN($F417,EOMONTH(DATE(cfg_FY,6,1),0))-MAX($E417,DATE(cfg_FY,6,1))+1))</f>
        <v>0</v>
      </c>
      <c r="AZ417" s="110" t="n">
        <f aca="false">IF(OR(OR($B417="",$E417="",$F417=""),$K417&lt;&gt;"نعم",$M417="نعم"),0,MAX(0,MIN($F417,EOMONTH(DATE(cfg_FY,7,1),0))-MAX($E417,DATE(cfg_FY,7,1))+1))</f>
        <v>0</v>
      </c>
      <c r="BA417" s="110" t="n">
        <f aca="false">IF(OR(OR($B417="",$E417="",$F417=""),$K417&lt;&gt;"نعم",$M417="نعم"),0,MAX(0,MIN($F417,EOMONTH(DATE(cfg_FY,8,1),0))-MAX($E417,DATE(cfg_FY,8,1))+1))</f>
        <v>0</v>
      </c>
      <c r="BB417" s="110" t="n">
        <f aca="false">IF(OR(OR($B417="",$E417="",$F417=""),$K417&lt;&gt;"نعم",$M417="نعم"),0,MAX(0,MIN($F417,EOMONTH(DATE(cfg_FY,9,1),0))-MAX($E417,DATE(cfg_FY,9,1))+1))</f>
        <v>0</v>
      </c>
      <c r="BC417" s="110" t="n">
        <f aca="false">IF(OR(OR($B417="",$E417="",$F417=""),$K417&lt;&gt;"نعم",$M417="نعم"),0,MAX(0,MIN($F417,EOMONTH(DATE(cfg_FY,10,1),0))-MAX($E417,DATE(cfg_FY,10,1))+1))</f>
        <v>0</v>
      </c>
      <c r="BD417" s="110" t="n">
        <f aca="false">IF(OR(OR($B417="",$E417="",$F417=""),$K417&lt;&gt;"نعم",$M417="نعم"),0,MAX(0,MIN($F417,EOMONTH(DATE(cfg_FY,11,1),0))-MAX($E417,DATE(cfg_FY,11,1))+1))</f>
        <v>0</v>
      </c>
      <c r="BE417" s="110" t="n">
        <f aca="false">IF(OR(OR($B417="",$E417="",$F417=""),$K417&lt;&gt;"نعم",$M417="نعم"),0,MAX(0,MIN($F417,EOMONTH(DATE(cfg_FY,12,1),0))-MAX($E417,DATE(cfg_FY,12,1))+1))</f>
        <v>0</v>
      </c>
    </row>
    <row r="418" customFormat="false" ht="15" hidden="false" customHeight="false" outlineLevel="0" collapsed="false">
      <c r="A418" s="93" t="str">
        <f aca="false">IF(B418="","",ROW()-5)</f>
        <v/>
      </c>
      <c r="B418" s="79"/>
      <c r="C418" s="80" t="str">
        <f aca="false">IF(B418="","",IFERROR(INDEX(الموظفون!$C$6:$C$105,MATCH(B418,الموظفون!$B$6:$B$105,0)),"✖ رقم غير موجود"))</f>
        <v/>
      </c>
      <c r="D418" s="79"/>
      <c r="E418" s="94"/>
      <c r="F418" s="94"/>
      <c r="G418" s="57" t="str">
        <f aca="false">IF(OR($B418="",$E418="",$F418=""),"",MAX(0,F418-E418+1))</f>
        <v/>
      </c>
      <c r="H418" s="58" t="str">
        <f aca="false">IF(D418="","",IFERROR(VLOOKUP(D418,cfg_LT,2,FALSE()),1))</f>
        <v/>
      </c>
      <c r="I418" s="82"/>
      <c r="J418" s="58" t="str">
        <f aca="false">IF(D418="","",IF(I418&lt;&gt;"",I418,H418))</f>
        <v/>
      </c>
      <c r="K418" s="80" t="str">
        <f aca="false">IF(D418="","",IFERROR(VLOOKUP($D418,cfg_LT,3,FALSE()),""))</f>
        <v/>
      </c>
      <c r="L418" s="80" t="str">
        <f aca="false">IF(D418="","",IFERROR(VLOOKUP($D418,cfg_LT,4,FALSE()),""))</f>
        <v/>
      </c>
      <c r="M418" s="80" t="str">
        <f aca="false">IF(D418="","",IFERROR(VLOOKUP($D418,cfg_LT,5,FALSE()),""))</f>
        <v/>
      </c>
      <c r="N418" s="97" t="n">
        <f aca="false">IF(OR(OR($B418="",$E418="",$F418=""),M418&lt;&gt;"نعم"),0,G418*J418*IFERROR(INDEX(الموظفون!$R$6:$R$105,MATCH(B418,الموظفون!$B$6:$B$105,0)),0)/cfg_DAYS_M)</f>
        <v>0</v>
      </c>
      <c r="O418" s="93" t="str">
        <f aca="false">IF(OR(OR($B418="",$E418="",$F418=""),M418&lt;&gt;"نعم"),"",IF(YEAR(E418)=cfg_FY,MONTH(E418),""))</f>
        <v/>
      </c>
      <c r="P418" s="80" t="str">
        <f aca="false">IF(B418="","",IF(OR(D418="",E418="",F418=""),"⚠ أكمل النوع والتواريخ",IF(F418&lt;E418,"✖ النهاية قبل البداية",IF(COUNTIFS($B$6:$B$505,B418,$E$6:$E$505,"&lt;="&amp;F418,$F$6:$F$505,"&gt;="&amp;E418)&gt;1,"⚠ تداخل مع سجل آخر",IF(E418&gt;cfg_VAL_DATE,"⏳ قادمة",IF(F418&lt;cfg_VAL_DATE,"✔ منتهية","✈ جارية في تاريخ التقرير"))))))</f>
        <v/>
      </c>
      <c r="Q418" s="79"/>
      <c r="R418" s="57" t="n">
        <f aca="false">IF(OR(OR($B418="",$E418="",$F418=""),L418&lt;&gt;"لا"),0,MAX(0,MIN(F418,cfg_Y_START-1)-E418+1))</f>
        <v>0</v>
      </c>
      <c r="S418" s="57" t="n">
        <f aca="false">IF(OR(OR($B418="",$E418="",$F418=""),L418&lt;&gt;"لا"),0,MAX(0,MIN(F418,cfg_VAL_DATE)-E418+1))</f>
        <v>0</v>
      </c>
      <c r="T418" s="57" t="n">
        <f aca="false">IF(OR(OR($B418="",$E418="",$F418=""),K418&lt;&gt;"نعم"),0,IF(M418="نعم",IF(AND(ISNUMBER(O418),N(O418)&lt;=cfg_VAL_M),G418,0),MAX(0,MIN(F418,cfg_VAL_DATE)-MAX(E418,cfg_Y_START)+1)))</f>
        <v>0</v>
      </c>
      <c r="V418" s="57" t="n">
        <f aca="false">IF(OR($B418="",$E418="",$F418=""),0,MAX(0,MIN($F418,EOMONTH(DATE(cfg_FY,1,1),0))-MAX($E418,DATE(cfg_FY,1,1))+1)*(1-IF($M418="نعم",0,N($J418))))</f>
        <v>0</v>
      </c>
      <c r="W418" s="57" t="n">
        <f aca="false">IF(OR($B418="",$E418="",$F418=""),0,MAX(0,MIN($F418,EOMONTH(DATE(cfg_FY,2,1),0))-MAX($E418,DATE(cfg_FY,2,1))+1)*(1-IF($M418="نعم",0,N($J418))))</f>
        <v>0</v>
      </c>
      <c r="X418" s="57" t="n">
        <f aca="false">IF(OR($B418="",$E418="",$F418=""),0,MAX(0,MIN($F418,EOMONTH(DATE(cfg_FY,3,1),0))-MAX($E418,DATE(cfg_FY,3,1))+1)*(1-IF($M418="نعم",0,N($J418))))</f>
        <v>0</v>
      </c>
      <c r="Y418" s="57" t="n">
        <f aca="false">IF(OR($B418="",$E418="",$F418=""),0,MAX(0,MIN($F418,EOMONTH(DATE(cfg_FY,4,1),0))-MAX($E418,DATE(cfg_FY,4,1))+1)*(1-IF($M418="نعم",0,N($J418))))</f>
        <v>0</v>
      </c>
      <c r="Z418" s="57" t="n">
        <f aca="false">IF(OR($B418="",$E418="",$F418=""),0,MAX(0,MIN($F418,EOMONTH(DATE(cfg_FY,5,1),0))-MAX($E418,DATE(cfg_FY,5,1))+1)*(1-IF($M418="نعم",0,N($J418))))</f>
        <v>0</v>
      </c>
      <c r="AA418" s="57" t="n">
        <f aca="false">IF(OR($B418="",$E418="",$F418=""),0,MAX(0,MIN($F418,EOMONTH(DATE(cfg_FY,6,1),0))-MAX($E418,DATE(cfg_FY,6,1))+1)*(1-IF($M418="نعم",0,N($J418))))</f>
        <v>0</v>
      </c>
      <c r="AB418" s="57" t="n">
        <f aca="false">IF(OR($B418="",$E418="",$F418=""),0,MAX(0,MIN($F418,EOMONTH(DATE(cfg_FY,7,1),0))-MAX($E418,DATE(cfg_FY,7,1))+1)*(1-IF($M418="نعم",0,N($J418))))</f>
        <v>0</v>
      </c>
      <c r="AC418" s="57" t="n">
        <f aca="false">IF(OR($B418="",$E418="",$F418=""),0,MAX(0,MIN($F418,EOMONTH(DATE(cfg_FY,8,1),0))-MAX($E418,DATE(cfg_FY,8,1))+1)*(1-IF($M418="نعم",0,N($J418))))</f>
        <v>0</v>
      </c>
      <c r="AD418" s="57" t="n">
        <f aca="false">IF(OR($B418="",$E418="",$F418=""),0,MAX(0,MIN($F418,EOMONTH(DATE(cfg_FY,9,1),0))-MAX($E418,DATE(cfg_FY,9,1))+1)*(1-IF($M418="نعم",0,N($J418))))</f>
        <v>0</v>
      </c>
      <c r="AE418" s="57" t="n">
        <f aca="false">IF(OR($B418="",$E418="",$F418=""),0,MAX(0,MIN($F418,EOMONTH(DATE(cfg_FY,10,1),0))-MAX($E418,DATE(cfg_FY,10,1))+1)*(1-IF($M418="نعم",0,N($J418))))</f>
        <v>0</v>
      </c>
      <c r="AF418" s="57" t="n">
        <f aca="false">IF(OR($B418="",$E418="",$F418=""),0,MAX(0,MIN($F418,EOMONTH(DATE(cfg_FY,11,1),0))-MAX($E418,DATE(cfg_FY,11,1))+1)*(1-IF($M418="نعم",0,N($J418))))</f>
        <v>0</v>
      </c>
      <c r="AG418" s="57" t="n">
        <f aca="false">IF(OR($B418="",$E418="",$F418=""),0,MAX(0,MIN($F418,EOMONTH(DATE(cfg_FY,12,1),0))-MAX($E418,DATE(cfg_FY,12,1))+1)*(1-IF($M418="نعم",0,N($J418))))</f>
        <v>0</v>
      </c>
      <c r="AH418" s="57" t="n">
        <f aca="false">IF(OR(OR($B418="",$E418="",$F418=""),$L418&lt;&gt;"لا"),0,MAX(0,MIN($F418,EOMONTH(DATE(cfg_FY,1,1),0))-$E418+1))</f>
        <v>0</v>
      </c>
      <c r="AI418" s="57" t="n">
        <f aca="false">IF(OR(OR($B418="",$E418="",$F418=""),$L418&lt;&gt;"لا"),0,MAX(0,MIN($F418,EOMONTH(DATE(cfg_FY,2,1),0))-$E418+1))</f>
        <v>0</v>
      </c>
      <c r="AJ418" s="57" t="n">
        <f aca="false">IF(OR(OR($B418="",$E418="",$F418=""),$L418&lt;&gt;"لا"),0,MAX(0,MIN($F418,EOMONTH(DATE(cfg_FY,3,1),0))-$E418+1))</f>
        <v>0</v>
      </c>
      <c r="AK418" s="57" t="n">
        <f aca="false">IF(OR(OR($B418="",$E418="",$F418=""),$L418&lt;&gt;"لا"),0,MAX(0,MIN($F418,EOMONTH(DATE(cfg_FY,4,1),0))-$E418+1))</f>
        <v>0</v>
      </c>
      <c r="AL418" s="57" t="n">
        <f aca="false">IF(OR(OR($B418="",$E418="",$F418=""),$L418&lt;&gt;"لا"),0,MAX(0,MIN($F418,EOMONTH(DATE(cfg_FY,5,1),0))-$E418+1))</f>
        <v>0</v>
      </c>
      <c r="AM418" s="57" t="n">
        <f aca="false">IF(OR(OR($B418="",$E418="",$F418=""),$L418&lt;&gt;"لا"),0,MAX(0,MIN($F418,EOMONTH(DATE(cfg_FY,6,1),0))-$E418+1))</f>
        <v>0</v>
      </c>
      <c r="AN418" s="57" t="n">
        <f aca="false">IF(OR(OR($B418="",$E418="",$F418=""),$L418&lt;&gt;"لا"),0,MAX(0,MIN($F418,EOMONTH(DATE(cfg_FY,7,1),0))-$E418+1))</f>
        <v>0</v>
      </c>
      <c r="AO418" s="57" t="n">
        <f aca="false">IF(OR(OR($B418="",$E418="",$F418=""),$L418&lt;&gt;"لا"),0,MAX(0,MIN($F418,EOMONTH(DATE(cfg_FY,8,1),0))-$E418+1))</f>
        <v>0</v>
      </c>
      <c r="AP418" s="57" t="n">
        <f aca="false">IF(OR(OR($B418="",$E418="",$F418=""),$L418&lt;&gt;"لا"),0,MAX(0,MIN($F418,EOMONTH(DATE(cfg_FY,9,1),0))-$E418+1))</f>
        <v>0</v>
      </c>
      <c r="AQ418" s="57" t="n">
        <f aca="false">IF(OR(OR($B418="",$E418="",$F418=""),$L418&lt;&gt;"لا"),0,MAX(0,MIN($F418,EOMONTH(DATE(cfg_FY,10,1),0))-$E418+1))</f>
        <v>0</v>
      </c>
      <c r="AR418" s="57" t="n">
        <f aca="false">IF(OR(OR($B418="",$E418="",$F418=""),$L418&lt;&gt;"لا"),0,MAX(0,MIN($F418,EOMONTH(DATE(cfg_FY,11,1),0))-$E418+1))</f>
        <v>0</v>
      </c>
      <c r="AS418" s="57" t="n">
        <f aca="false">IF(OR(OR($B418="",$E418="",$F418=""),$L418&lt;&gt;"لا"),0,MAX(0,MIN($F418,EOMONTH(DATE(cfg_FY,12,1),0))-$E418+1))</f>
        <v>0</v>
      </c>
      <c r="AT418" s="57" t="n">
        <f aca="false">IF(OR(OR($B418="",$E418="",$F418=""),$K418&lt;&gt;"نعم",$M418="نعم"),0,MAX(0,MIN($F418,EOMONTH(DATE(cfg_FY,1,1),0))-MAX($E418,DATE(cfg_FY,1,1))+1))</f>
        <v>0</v>
      </c>
      <c r="AU418" s="57" t="n">
        <f aca="false">IF(OR(OR($B418="",$E418="",$F418=""),$K418&lt;&gt;"نعم",$M418="نعم"),0,MAX(0,MIN($F418,EOMONTH(DATE(cfg_FY,2,1),0))-MAX($E418,DATE(cfg_FY,2,1))+1))</f>
        <v>0</v>
      </c>
      <c r="AV418" s="57" t="n">
        <f aca="false">IF(OR(OR($B418="",$E418="",$F418=""),$K418&lt;&gt;"نعم",$M418="نعم"),0,MAX(0,MIN($F418,EOMONTH(DATE(cfg_FY,3,1),0))-MAX($E418,DATE(cfg_FY,3,1))+1))</f>
        <v>0</v>
      </c>
      <c r="AW418" s="57" t="n">
        <f aca="false">IF(OR(OR($B418="",$E418="",$F418=""),$K418&lt;&gt;"نعم",$M418="نعم"),0,MAX(0,MIN($F418,EOMONTH(DATE(cfg_FY,4,1),0))-MAX($E418,DATE(cfg_FY,4,1))+1))</f>
        <v>0</v>
      </c>
      <c r="AX418" s="57" t="n">
        <f aca="false">IF(OR(OR($B418="",$E418="",$F418=""),$K418&lt;&gt;"نعم",$M418="نعم"),0,MAX(0,MIN($F418,EOMONTH(DATE(cfg_FY,5,1),0))-MAX($E418,DATE(cfg_FY,5,1))+1))</f>
        <v>0</v>
      </c>
      <c r="AY418" s="57" t="n">
        <f aca="false">IF(OR(OR($B418="",$E418="",$F418=""),$K418&lt;&gt;"نعم",$M418="نعم"),0,MAX(0,MIN($F418,EOMONTH(DATE(cfg_FY,6,1),0))-MAX($E418,DATE(cfg_FY,6,1))+1))</f>
        <v>0</v>
      </c>
      <c r="AZ418" s="57" t="n">
        <f aca="false">IF(OR(OR($B418="",$E418="",$F418=""),$K418&lt;&gt;"نعم",$M418="نعم"),0,MAX(0,MIN($F418,EOMONTH(DATE(cfg_FY,7,1),0))-MAX($E418,DATE(cfg_FY,7,1))+1))</f>
        <v>0</v>
      </c>
      <c r="BA418" s="57" t="n">
        <f aca="false">IF(OR(OR($B418="",$E418="",$F418=""),$K418&lt;&gt;"نعم",$M418="نعم"),0,MAX(0,MIN($F418,EOMONTH(DATE(cfg_FY,8,1),0))-MAX($E418,DATE(cfg_FY,8,1))+1))</f>
        <v>0</v>
      </c>
      <c r="BB418" s="57" t="n">
        <f aca="false">IF(OR(OR($B418="",$E418="",$F418=""),$K418&lt;&gt;"نعم",$M418="نعم"),0,MAX(0,MIN($F418,EOMONTH(DATE(cfg_FY,9,1),0))-MAX($E418,DATE(cfg_FY,9,1))+1))</f>
        <v>0</v>
      </c>
      <c r="BC418" s="57" t="n">
        <f aca="false">IF(OR(OR($B418="",$E418="",$F418=""),$K418&lt;&gt;"نعم",$M418="نعم"),0,MAX(0,MIN($F418,EOMONTH(DATE(cfg_FY,10,1),0))-MAX($E418,DATE(cfg_FY,10,1))+1))</f>
        <v>0</v>
      </c>
      <c r="BD418" s="57" t="n">
        <f aca="false">IF(OR(OR($B418="",$E418="",$F418=""),$K418&lt;&gt;"نعم",$M418="نعم"),0,MAX(0,MIN($F418,EOMONTH(DATE(cfg_FY,11,1),0))-MAX($E418,DATE(cfg_FY,11,1))+1))</f>
        <v>0</v>
      </c>
      <c r="BE418" s="57" t="n">
        <f aca="false">IF(OR(OR($B418="",$E418="",$F418=""),$K418&lt;&gt;"نعم",$M418="نعم"),0,MAX(0,MIN($F418,EOMONTH(DATE(cfg_FY,12,1),0))-MAX($E418,DATE(cfg_FY,12,1))+1))</f>
        <v>0</v>
      </c>
    </row>
    <row r="419" customFormat="false" ht="15" hidden="false" customHeight="false" outlineLevel="0" collapsed="false">
      <c r="A419" s="100" t="str">
        <f aca="false">IF(B419="","",ROW()-5)</f>
        <v/>
      </c>
      <c r="B419" s="79"/>
      <c r="C419" s="102" t="str">
        <f aca="false">IF(B419="","",IFERROR(INDEX(الموظفون!$C$6:$C$105,MATCH(B419,الموظفون!$B$6:$B$105,0)),"✖ رقم غير موجود"))</f>
        <v/>
      </c>
      <c r="D419" s="79"/>
      <c r="E419" s="94"/>
      <c r="F419" s="94"/>
      <c r="G419" s="110" t="str">
        <f aca="false">IF(OR($B419="",$E419="",$F419=""),"",MAX(0,F419-E419+1))</f>
        <v/>
      </c>
      <c r="H419" s="111" t="str">
        <f aca="false">IF(D419="","",IFERROR(VLOOKUP(D419,cfg_LT,2,FALSE()),1))</f>
        <v/>
      </c>
      <c r="I419" s="82"/>
      <c r="J419" s="111" t="str">
        <f aca="false">IF(D419="","",IF(I419&lt;&gt;"",I419,H419))</f>
        <v/>
      </c>
      <c r="K419" s="102" t="str">
        <f aca="false">IF(D419="","",IFERROR(VLOOKUP($D419,cfg_LT,3,FALSE()),""))</f>
        <v/>
      </c>
      <c r="L419" s="102" t="str">
        <f aca="false">IF(D419="","",IFERROR(VLOOKUP($D419,cfg_LT,4,FALSE()),""))</f>
        <v/>
      </c>
      <c r="M419" s="102" t="str">
        <f aca="false">IF(D419="","",IFERROR(VLOOKUP($D419,cfg_LT,5,FALSE()),""))</f>
        <v/>
      </c>
      <c r="N419" s="101" t="n">
        <f aca="false">IF(OR(OR($B419="",$E419="",$F419=""),M419&lt;&gt;"نعم"),0,G419*J419*IFERROR(INDEX(الموظفون!$R$6:$R$105,MATCH(B419,الموظفون!$B$6:$B$105,0)),0)/cfg_DAYS_M)</f>
        <v>0</v>
      </c>
      <c r="O419" s="100" t="str">
        <f aca="false">IF(OR(OR($B419="",$E419="",$F419=""),M419&lt;&gt;"نعم"),"",IF(YEAR(E419)=cfg_FY,MONTH(E419),""))</f>
        <v/>
      </c>
      <c r="P419" s="102" t="str">
        <f aca="false">IF(B419="","",IF(OR(D419="",E419="",F419=""),"⚠ أكمل النوع والتواريخ",IF(F419&lt;E419,"✖ النهاية قبل البداية",IF(COUNTIFS($B$6:$B$505,B419,$E$6:$E$505,"&lt;="&amp;F419,$F$6:$F$505,"&gt;="&amp;E419)&gt;1,"⚠ تداخل مع سجل آخر",IF(E419&gt;cfg_VAL_DATE,"⏳ قادمة",IF(F419&lt;cfg_VAL_DATE,"✔ منتهية","✈ جارية في تاريخ التقرير"))))))</f>
        <v/>
      </c>
      <c r="Q419" s="79"/>
      <c r="R419" s="110" t="n">
        <f aca="false">IF(OR(OR($B419="",$E419="",$F419=""),L419&lt;&gt;"لا"),0,MAX(0,MIN(F419,cfg_Y_START-1)-E419+1))</f>
        <v>0</v>
      </c>
      <c r="S419" s="110" t="n">
        <f aca="false">IF(OR(OR($B419="",$E419="",$F419=""),L419&lt;&gt;"لا"),0,MAX(0,MIN(F419,cfg_VAL_DATE)-E419+1))</f>
        <v>0</v>
      </c>
      <c r="T419" s="110" t="n">
        <f aca="false">IF(OR(OR($B419="",$E419="",$F419=""),K419&lt;&gt;"نعم"),0,IF(M419="نعم",IF(AND(ISNUMBER(O419),N(O419)&lt;=cfg_VAL_M),G419,0),MAX(0,MIN(F419,cfg_VAL_DATE)-MAX(E419,cfg_Y_START)+1)))</f>
        <v>0</v>
      </c>
      <c r="V419" s="110" t="n">
        <f aca="false">IF(OR($B419="",$E419="",$F419=""),0,MAX(0,MIN($F419,EOMONTH(DATE(cfg_FY,1,1),0))-MAX($E419,DATE(cfg_FY,1,1))+1)*(1-IF($M419="نعم",0,N($J419))))</f>
        <v>0</v>
      </c>
      <c r="W419" s="110" t="n">
        <f aca="false">IF(OR($B419="",$E419="",$F419=""),0,MAX(0,MIN($F419,EOMONTH(DATE(cfg_FY,2,1),0))-MAX($E419,DATE(cfg_FY,2,1))+1)*(1-IF($M419="نعم",0,N($J419))))</f>
        <v>0</v>
      </c>
      <c r="X419" s="110" t="n">
        <f aca="false">IF(OR($B419="",$E419="",$F419=""),0,MAX(0,MIN($F419,EOMONTH(DATE(cfg_FY,3,1),0))-MAX($E419,DATE(cfg_FY,3,1))+1)*(1-IF($M419="نعم",0,N($J419))))</f>
        <v>0</v>
      </c>
      <c r="Y419" s="110" t="n">
        <f aca="false">IF(OR($B419="",$E419="",$F419=""),0,MAX(0,MIN($F419,EOMONTH(DATE(cfg_FY,4,1),0))-MAX($E419,DATE(cfg_FY,4,1))+1)*(1-IF($M419="نعم",0,N($J419))))</f>
        <v>0</v>
      </c>
      <c r="Z419" s="110" t="n">
        <f aca="false">IF(OR($B419="",$E419="",$F419=""),0,MAX(0,MIN($F419,EOMONTH(DATE(cfg_FY,5,1),0))-MAX($E419,DATE(cfg_FY,5,1))+1)*(1-IF($M419="نعم",0,N($J419))))</f>
        <v>0</v>
      </c>
      <c r="AA419" s="110" t="n">
        <f aca="false">IF(OR($B419="",$E419="",$F419=""),0,MAX(0,MIN($F419,EOMONTH(DATE(cfg_FY,6,1),0))-MAX($E419,DATE(cfg_FY,6,1))+1)*(1-IF($M419="نعم",0,N($J419))))</f>
        <v>0</v>
      </c>
      <c r="AB419" s="110" t="n">
        <f aca="false">IF(OR($B419="",$E419="",$F419=""),0,MAX(0,MIN($F419,EOMONTH(DATE(cfg_FY,7,1),0))-MAX($E419,DATE(cfg_FY,7,1))+1)*(1-IF($M419="نعم",0,N($J419))))</f>
        <v>0</v>
      </c>
      <c r="AC419" s="110" t="n">
        <f aca="false">IF(OR($B419="",$E419="",$F419=""),0,MAX(0,MIN($F419,EOMONTH(DATE(cfg_FY,8,1),0))-MAX($E419,DATE(cfg_FY,8,1))+1)*(1-IF($M419="نعم",0,N($J419))))</f>
        <v>0</v>
      </c>
      <c r="AD419" s="110" t="n">
        <f aca="false">IF(OR($B419="",$E419="",$F419=""),0,MAX(0,MIN($F419,EOMONTH(DATE(cfg_FY,9,1),0))-MAX($E419,DATE(cfg_FY,9,1))+1)*(1-IF($M419="نعم",0,N($J419))))</f>
        <v>0</v>
      </c>
      <c r="AE419" s="110" t="n">
        <f aca="false">IF(OR($B419="",$E419="",$F419=""),0,MAX(0,MIN($F419,EOMONTH(DATE(cfg_FY,10,1),0))-MAX($E419,DATE(cfg_FY,10,1))+1)*(1-IF($M419="نعم",0,N($J419))))</f>
        <v>0</v>
      </c>
      <c r="AF419" s="110" t="n">
        <f aca="false">IF(OR($B419="",$E419="",$F419=""),0,MAX(0,MIN($F419,EOMONTH(DATE(cfg_FY,11,1),0))-MAX($E419,DATE(cfg_FY,11,1))+1)*(1-IF($M419="نعم",0,N($J419))))</f>
        <v>0</v>
      </c>
      <c r="AG419" s="110" t="n">
        <f aca="false">IF(OR($B419="",$E419="",$F419=""),0,MAX(0,MIN($F419,EOMONTH(DATE(cfg_FY,12,1),0))-MAX($E419,DATE(cfg_FY,12,1))+1)*(1-IF($M419="نعم",0,N($J419))))</f>
        <v>0</v>
      </c>
      <c r="AH419" s="110" t="n">
        <f aca="false">IF(OR(OR($B419="",$E419="",$F419=""),$L419&lt;&gt;"لا"),0,MAX(0,MIN($F419,EOMONTH(DATE(cfg_FY,1,1),0))-$E419+1))</f>
        <v>0</v>
      </c>
      <c r="AI419" s="110" t="n">
        <f aca="false">IF(OR(OR($B419="",$E419="",$F419=""),$L419&lt;&gt;"لا"),0,MAX(0,MIN($F419,EOMONTH(DATE(cfg_FY,2,1),0))-$E419+1))</f>
        <v>0</v>
      </c>
      <c r="AJ419" s="110" t="n">
        <f aca="false">IF(OR(OR($B419="",$E419="",$F419=""),$L419&lt;&gt;"لا"),0,MAX(0,MIN($F419,EOMONTH(DATE(cfg_FY,3,1),0))-$E419+1))</f>
        <v>0</v>
      </c>
      <c r="AK419" s="110" t="n">
        <f aca="false">IF(OR(OR($B419="",$E419="",$F419=""),$L419&lt;&gt;"لا"),0,MAX(0,MIN($F419,EOMONTH(DATE(cfg_FY,4,1),0))-$E419+1))</f>
        <v>0</v>
      </c>
      <c r="AL419" s="110" t="n">
        <f aca="false">IF(OR(OR($B419="",$E419="",$F419=""),$L419&lt;&gt;"لا"),0,MAX(0,MIN($F419,EOMONTH(DATE(cfg_FY,5,1),0))-$E419+1))</f>
        <v>0</v>
      </c>
      <c r="AM419" s="110" t="n">
        <f aca="false">IF(OR(OR($B419="",$E419="",$F419=""),$L419&lt;&gt;"لا"),0,MAX(0,MIN($F419,EOMONTH(DATE(cfg_FY,6,1),0))-$E419+1))</f>
        <v>0</v>
      </c>
      <c r="AN419" s="110" t="n">
        <f aca="false">IF(OR(OR($B419="",$E419="",$F419=""),$L419&lt;&gt;"لا"),0,MAX(0,MIN($F419,EOMONTH(DATE(cfg_FY,7,1),0))-$E419+1))</f>
        <v>0</v>
      </c>
      <c r="AO419" s="110" t="n">
        <f aca="false">IF(OR(OR($B419="",$E419="",$F419=""),$L419&lt;&gt;"لا"),0,MAX(0,MIN($F419,EOMONTH(DATE(cfg_FY,8,1),0))-$E419+1))</f>
        <v>0</v>
      </c>
      <c r="AP419" s="110" t="n">
        <f aca="false">IF(OR(OR($B419="",$E419="",$F419=""),$L419&lt;&gt;"لا"),0,MAX(0,MIN($F419,EOMONTH(DATE(cfg_FY,9,1),0))-$E419+1))</f>
        <v>0</v>
      </c>
      <c r="AQ419" s="110" t="n">
        <f aca="false">IF(OR(OR($B419="",$E419="",$F419=""),$L419&lt;&gt;"لا"),0,MAX(0,MIN($F419,EOMONTH(DATE(cfg_FY,10,1),0))-$E419+1))</f>
        <v>0</v>
      </c>
      <c r="AR419" s="110" t="n">
        <f aca="false">IF(OR(OR($B419="",$E419="",$F419=""),$L419&lt;&gt;"لا"),0,MAX(0,MIN($F419,EOMONTH(DATE(cfg_FY,11,1),0))-$E419+1))</f>
        <v>0</v>
      </c>
      <c r="AS419" s="110" t="n">
        <f aca="false">IF(OR(OR($B419="",$E419="",$F419=""),$L419&lt;&gt;"لا"),0,MAX(0,MIN($F419,EOMONTH(DATE(cfg_FY,12,1),0))-$E419+1))</f>
        <v>0</v>
      </c>
      <c r="AT419" s="110" t="n">
        <f aca="false">IF(OR(OR($B419="",$E419="",$F419=""),$K419&lt;&gt;"نعم",$M419="نعم"),0,MAX(0,MIN($F419,EOMONTH(DATE(cfg_FY,1,1),0))-MAX($E419,DATE(cfg_FY,1,1))+1))</f>
        <v>0</v>
      </c>
      <c r="AU419" s="110" t="n">
        <f aca="false">IF(OR(OR($B419="",$E419="",$F419=""),$K419&lt;&gt;"نعم",$M419="نعم"),0,MAX(0,MIN($F419,EOMONTH(DATE(cfg_FY,2,1),0))-MAX($E419,DATE(cfg_FY,2,1))+1))</f>
        <v>0</v>
      </c>
      <c r="AV419" s="110" t="n">
        <f aca="false">IF(OR(OR($B419="",$E419="",$F419=""),$K419&lt;&gt;"نعم",$M419="نعم"),0,MAX(0,MIN($F419,EOMONTH(DATE(cfg_FY,3,1),0))-MAX($E419,DATE(cfg_FY,3,1))+1))</f>
        <v>0</v>
      </c>
      <c r="AW419" s="110" t="n">
        <f aca="false">IF(OR(OR($B419="",$E419="",$F419=""),$K419&lt;&gt;"نعم",$M419="نعم"),0,MAX(0,MIN($F419,EOMONTH(DATE(cfg_FY,4,1),0))-MAX($E419,DATE(cfg_FY,4,1))+1))</f>
        <v>0</v>
      </c>
      <c r="AX419" s="110" t="n">
        <f aca="false">IF(OR(OR($B419="",$E419="",$F419=""),$K419&lt;&gt;"نعم",$M419="نعم"),0,MAX(0,MIN($F419,EOMONTH(DATE(cfg_FY,5,1),0))-MAX($E419,DATE(cfg_FY,5,1))+1))</f>
        <v>0</v>
      </c>
      <c r="AY419" s="110" t="n">
        <f aca="false">IF(OR(OR($B419="",$E419="",$F419=""),$K419&lt;&gt;"نعم",$M419="نعم"),0,MAX(0,MIN($F419,EOMONTH(DATE(cfg_FY,6,1),0))-MAX($E419,DATE(cfg_FY,6,1))+1))</f>
        <v>0</v>
      </c>
      <c r="AZ419" s="110" t="n">
        <f aca="false">IF(OR(OR($B419="",$E419="",$F419=""),$K419&lt;&gt;"نعم",$M419="نعم"),0,MAX(0,MIN($F419,EOMONTH(DATE(cfg_FY,7,1),0))-MAX($E419,DATE(cfg_FY,7,1))+1))</f>
        <v>0</v>
      </c>
      <c r="BA419" s="110" t="n">
        <f aca="false">IF(OR(OR($B419="",$E419="",$F419=""),$K419&lt;&gt;"نعم",$M419="نعم"),0,MAX(0,MIN($F419,EOMONTH(DATE(cfg_FY,8,1),0))-MAX($E419,DATE(cfg_FY,8,1))+1))</f>
        <v>0</v>
      </c>
      <c r="BB419" s="110" t="n">
        <f aca="false">IF(OR(OR($B419="",$E419="",$F419=""),$K419&lt;&gt;"نعم",$M419="نعم"),0,MAX(0,MIN($F419,EOMONTH(DATE(cfg_FY,9,1),0))-MAX($E419,DATE(cfg_FY,9,1))+1))</f>
        <v>0</v>
      </c>
      <c r="BC419" s="110" t="n">
        <f aca="false">IF(OR(OR($B419="",$E419="",$F419=""),$K419&lt;&gt;"نعم",$M419="نعم"),0,MAX(0,MIN($F419,EOMONTH(DATE(cfg_FY,10,1),0))-MAX($E419,DATE(cfg_FY,10,1))+1))</f>
        <v>0</v>
      </c>
      <c r="BD419" s="110" t="n">
        <f aca="false">IF(OR(OR($B419="",$E419="",$F419=""),$K419&lt;&gt;"نعم",$M419="نعم"),0,MAX(0,MIN($F419,EOMONTH(DATE(cfg_FY,11,1),0))-MAX($E419,DATE(cfg_FY,11,1))+1))</f>
        <v>0</v>
      </c>
      <c r="BE419" s="110" t="n">
        <f aca="false">IF(OR(OR($B419="",$E419="",$F419=""),$K419&lt;&gt;"نعم",$M419="نعم"),0,MAX(0,MIN($F419,EOMONTH(DATE(cfg_FY,12,1),0))-MAX($E419,DATE(cfg_FY,12,1))+1))</f>
        <v>0</v>
      </c>
    </row>
    <row r="420" customFormat="false" ht="15" hidden="false" customHeight="false" outlineLevel="0" collapsed="false">
      <c r="A420" s="93" t="str">
        <f aca="false">IF(B420="","",ROW()-5)</f>
        <v/>
      </c>
      <c r="B420" s="79"/>
      <c r="C420" s="80" t="str">
        <f aca="false">IF(B420="","",IFERROR(INDEX(الموظفون!$C$6:$C$105,MATCH(B420,الموظفون!$B$6:$B$105,0)),"✖ رقم غير موجود"))</f>
        <v/>
      </c>
      <c r="D420" s="79"/>
      <c r="E420" s="94"/>
      <c r="F420" s="94"/>
      <c r="G420" s="57" t="str">
        <f aca="false">IF(OR($B420="",$E420="",$F420=""),"",MAX(0,F420-E420+1))</f>
        <v/>
      </c>
      <c r="H420" s="58" t="str">
        <f aca="false">IF(D420="","",IFERROR(VLOOKUP(D420,cfg_LT,2,FALSE()),1))</f>
        <v/>
      </c>
      <c r="I420" s="82"/>
      <c r="J420" s="58" t="str">
        <f aca="false">IF(D420="","",IF(I420&lt;&gt;"",I420,H420))</f>
        <v/>
      </c>
      <c r="K420" s="80" t="str">
        <f aca="false">IF(D420="","",IFERROR(VLOOKUP($D420,cfg_LT,3,FALSE()),""))</f>
        <v/>
      </c>
      <c r="L420" s="80" t="str">
        <f aca="false">IF(D420="","",IFERROR(VLOOKUP($D420,cfg_LT,4,FALSE()),""))</f>
        <v/>
      </c>
      <c r="M420" s="80" t="str">
        <f aca="false">IF(D420="","",IFERROR(VLOOKUP($D420,cfg_LT,5,FALSE()),""))</f>
        <v/>
      </c>
      <c r="N420" s="97" t="n">
        <f aca="false">IF(OR(OR($B420="",$E420="",$F420=""),M420&lt;&gt;"نعم"),0,G420*J420*IFERROR(INDEX(الموظفون!$R$6:$R$105,MATCH(B420,الموظفون!$B$6:$B$105,0)),0)/cfg_DAYS_M)</f>
        <v>0</v>
      </c>
      <c r="O420" s="93" t="str">
        <f aca="false">IF(OR(OR($B420="",$E420="",$F420=""),M420&lt;&gt;"نعم"),"",IF(YEAR(E420)=cfg_FY,MONTH(E420),""))</f>
        <v/>
      </c>
      <c r="P420" s="80" t="str">
        <f aca="false">IF(B420="","",IF(OR(D420="",E420="",F420=""),"⚠ أكمل النوع والتواريخ",IF(F420&lt;E420,"✖ النهاية قبل البداية",IF(COUNTIFS($B$6:$B$505,B420,$E$6:$E$505,"&lt;="&amp;F420,$F$6:$F$505,"&gt;="&amp;E420)&gt;1,"⚠ تداخل مع سجل آخر",IF(E420&gt;cfg_VAL_DATE,"⏳ قادمة",IF(F420&lt;cfg_VAL_DATE,"✔ منتهية","✈ جارية في تاريخ التقرير"))))))</f>
        <v/>
      </c>
      <c r="Q420" s="79"/>
      <c r="R420" s="57" t="n">
        <f aca="false">IF(OR(OR($B420="",$E420="",$F420=""),L420&lt;&gt;"لا"),0,MAX(0,MIN(F420,cfg_Y_START-1)-E420+1))</f>
        <v>0</v>
      </c>
      <c r="S420" s="57" t="n">
        <f aca="false">IF(OR(OR($B420="",$E420="",$F420=""),L420&lt;&gt;"لا"),0,MAX(0,MIN(F420,cfg_VAL_DATE)-E420+1))</f>
        <v>0</v>
      </c>
      <c r="T420" s="57" t="n">
        <f aca="false">IF(OR(OR($B420="",$E420="",$F420=""),K420&lt;&gt;"نعم"),0,IF(M420="نعم",IF(AND(ISNUMBER(O420),N(O420)&lt;=cfg_VAL_M),G420,0),MAX(0,MIN(F420,cfg_VAL_DATE)-MAX(E420,cfg_Y_START)+1)))</f>
        <v>0</v>
      </c>
      <c r="V420" s="57" t="n">
        <f aca="false">IF(OR($B420="",$E420="",$F420=""),0,MAX(0,MIN($F420,EOMONTH(DATE(cfg_FY,1,1),0))-MAX($E420,DATE(cfg_FY,1,1))+1)*(1-IF($M420="نعم",0,N($J420))))</f>
        <v>0</v>
      </c>
      <c r="W420" s="57" t="n">
        <f aca="false">IF(OR($B420="",$E420="",$F420=""),0,MAX(0,MIN($F420,EOMONTH(DATE(cfg_FY,2,1),0))-MAX($E420,DATE(cfg_FY,2,1))+1)*(1-IF($M420="نعم",0,N($J420))))</f>
        <v>0</v>
      </c>
      <c r="X420" s="57" t="n">
        <f aca="false">IF(OR($B420="",$E420="",$F420=""),0,MAX(0,MIN($F420,EOMONTH(DATE(cfg_FY,3,1),0))-MAX($E420,DATE(cfg_FY,3,1))+1)*(1-IF($M420="نعم",0,N($J420))))</f>
        <v>0</v>
      </c>
      <c r="Y420" s="57" t="n">
        <f aca="false">IF(OR($B420="",$E420="",$F420=""),0,MAX(0,MIN($F420,EOMONTH(DATE(cfg_FY,4,1),0))-MAX($E420,DATE(cfg_FY,4,1))+1)*(1-IF($M420="نعم",0,N($J420))))</f>
        <v>0</v>
      </c>
      <c r="Z420" s="57" t="n">
        <f aca="false">IF(OR($B420="",$E420="",$F420=""),0,MAX(0,MIN($F420,EOMONTH(DATE(cfg_FY,5,1),0))-MAX($E420,DATE(cfg_FY,5,1))+1)*(1-IF($M420="نعم",0,N($J420))))</f>
        <v>0</v>
      </c>
      <c r="AA420" s="57" t="n">
        <f aca="false">IF(OR($B420="",$E420="",$F420=""),0,MAX(0,MIN($F420,EOMONTH(DATE(cfg_FY,6,1),0))-MAX($E420,DATE(cfg_FY,6,1))+1)*(1-IF($M420="نعم",0,N($J420))))</f>
        <v>0</v>
      </c>
      <c r="AB420" s="57" t="n">
        <f aca="false">IF(OR($B420="",$E420="",$F420=""),0,MAX(0,MIN($F420,EOMONTH(DATE(cfg_FY,7,1),0))-MAX($E420,DATE(cfg_FY,7,1))+1)*(1-IF($M420="نعم",0,N($J420))))</f>
        <v>0</v>
      </c>
      <c r="AC420" s="57" t="n">
        <f aca="false">IF(OR($B420="",$E420="",$F420=""),0,MAX(0,MIN($F420,EOMONTH(DATE(cfg_FY,8,1),0))-MAX($E420,DATE(cfg_FY,8,1))+1)*(1-IF($M420="نعم",0,N($J420))))</f>
        <v>0</v>
      </c>
      <c r="AD420" s="57" t="n">
        <f aca="false">IF(OR($B420="",$E420="",$F420=""),0,MAX(0,MIN($F420,EOMONTH(DATE(cfg_FY,9,1),0))-MAX($E420,DATE(cfg_FY,9,1))+1)*(1-IF($M420="نعم",0,N($J420))))</f>
        <v>0</v>
      </c>
      <c r="AE420" s="57" t="n">
        <f aca="false">IF(OR($B420="",$E420="",$F420=""),0,MAX(0,MIN($F420,EOMONTH(DATE(cfg_FY,10,1),0))-MAX($E420,DATE(cfg_FY,10,1))+1)*(1-IF($M420="نعم",0,N($J420))))</f>
        <v>0</v>
      </c>
      <c r="AF420" s="57" t="n">
        <f aca="false">IF(OR($B420="",$E420="",$F420=""),0,MAX(0,MIN($F420,EOMONTH(DATE(cfg_FY,11,1),0))-MAX($E420,DATE(cfg_FY,11,1))+1)*(1-IF($M420="نعم",0,N($J420))))</f>
        <v>0</v>
      </c>
      <c r="AG420" s="57" t="n">
        <f aca="false">IF(OR($B420="",$E420="",$F420=""),0,MAX(0,MIN($F420,EOMONTH(DATE(cfg_FY,12,1),0))-MAX($E420,DATE(cfg_FY,12,1))+1)*(1-IF($M420="نعم",0,N($J420))))</f>
        <v>0</v>
      </c>
      <c r="AH420" s="57" t="n">
        <f aca="false">IF(OR(OR($B420="",$E420="",$F420=""),$L420&lt;&gt;"لا"),0,MAX(0,MIN($F420,EOMONTH(DATE(cfg_FY,1,1),0))-$E420+1))</f>
        <v>0</v>
      </c>
      <c r="AI420" s="57" t="n">
        <f aca="false">IF(OR(OR($B420="",$E420="",$F420=""),$L420&lt;&gt;"لا"),0,MAX(0,MIN($F420,EOMONTH(DATE(cfg_FY,2,1),0))-$E420+1))</f>
        <v>0</v>
      </c>
      <c r="AJ420" s="57" t="n">
        <f aca="false">IF(OR(OR($B420="",$E420="",$F420=""),$L420&lt;&gt;"لا"),0,MAX(0,MIN($F420,EOMONTH(DATE(cfg_FY,3,1),0))-$E420+1))</f>
        <v>0</v>
      </c>
      <c r="AK420" s="57" t="n">
        <f aca="false">IF(OR(OR($B420="",$E420="",$F420=""),$L420&lt;&gt;"لا"),0,MAX(0,MIN($F420,EOMONTH(DATE(cfg_FY,4,1),0))-$E420+1))</f>
        <v>0</v>
      </c>
      <c r="AL420" s="57" t="n">
        <f aca="false">IF(OR(OR($B420="",$E420="",$F420=""),$L420&lt;&gt;"لا"),0,MAX(0,MIN($F420,EOMONTH(DATE(cfg_FY,5,1),0))-$E420+1))</f>
        <v>0</v>
      </c>
      <c r="AM420" s="57" t="n">
        <f aca="false">IF(OR(OR($B420="",$E420="",$F420=""),$L420&lt;&gt;"لا"),0,MAX(0,MIN($F420,EOMONTH(DATE(cfg_FY,6,1),0))-$E420+1))</f>
        <v>0</v>
      </c>
      <c r="AN420" s="57" t="n">
        <f aca="false">IF(OR(OR($B420="",$E420="",$F420=""),$L420&lt;&gt;"لا"),0,MAX(0,MIN($F420,EOMONTH(DATE(cfg_FY,7,1),0))-$E420+1))</f>
        <v>0</v>
      </c>
      <c r="AO420" s="57" t="n">
        <f aca="false">IF(OR(OR($B420="",$E420="",$F420=""),$L420&lt;&gt;"لا"),0,MAX(0,MIN($F420,EOMONTH(DATE(cfg_FY,8,1),0))-$E420+1))</f>
        <v>0</v>
      </c>
      <c r="AP420" s="57" t="n">
        <f aca="false">IF(OR(OR($B420="",$E420="",$F420=""),$L420&lt;&gt;"لا"),0,MAX(0,MIN($F420,EOMONTH(DATE(cfg_FY,9,1),0))-$E420+1))</f>
        <v>0</v>
      </c>
      <c r="AQ420" s="57" t="n">
        <f aca="false">IF(OR(OR($B420="",$E420="",$F420=""),$L420&lt;&gt;"لا"),0,MAX(0,MIN($F420,EOMONTH(DATE(cfg_FY,10,1),0))-$E420+1))</f>
        <v>0</v>
      </c>
      <c r="AR420" s="57" t="n">
        <f aca="false">IF(OR(OR($B420="",$E420="",$F420=""),$L420&lt;&gt;"لا"),0,MAX(0,MIN($F420,EOMONTH(DATE(cfg_FY,11,1),0))-$E420+1))</f>
        <v>0</v>
      </c>
      <c r="AS420" s="57" t="n">
        <f aca="false">IF(OR(OR($B420="",$E420="",$F420=""),$L420&lt;&gt;"لا"),0,MAX(0,MIN($F420,EOMONTH(DATE(cfg_FY,12,1),0))-$E420+1))</f>
        <v>0</v>
      </c>
      <c r="AT420" s="57" t="n">
        <f aca="false">IF(OR(OR($B420="",$E420="",$F420=""),$K420&lt;&gt;"نعم",$M420="نعم"),0,MAX(0,MIN($F420,EOMONTH(DATE(cfg_FY,1,1),0))-MAX($E420,DATE(cfg_FY,1,1))+1))</f>
        <v>0</v>
      </c>
      <c r="AU420" s="57" t="n">
        <f aca="false">IF(OR(OR($B420="",$E420="",$F420=""),$K420&lt;&gt;"نعم",$M420="نعم"),0,MAX(0,MIN($F420,EOMONTH(DATE(cfg_FY,2,1),0))-MAX($E420,DATE(cfg_FY,2,1))+1))</f>
        <v>0</v>
      </c>
      <c r="AV420" s="57" t="n">
        <f aca="false">IF(OR(OR($B420="",$E420="",$F420=""),$K420&lt;&gt;"نعم",$M420="نعم"),0,MAX(0,MIN($F420,EOMONTH(DATE(cfg_FY,3,1),0))-MAX($E420,DATE(cfg_FY,3,1))+1))</f>
        <v>0</v>
      </c>
      <c r="AW420" s="57" t="n">
        <f aca="false">IF(OR(OR($B420="",$E420="",$F420=""),$K420&lt;&gt;"نعم",$M420="نعم"),0,MAX(0,MIN($F420,EOMONTH(DATE(cfg_FY,4,1),0))-MAX($E420,DATE(cfg_FY,4,1))+1))</f>
        <v>0</v>
      </c>
      <c r="AX420" s="57" t="n">
        <f aca="false">IF(OR(OR($B420="",$E420="",$F420=""),$K420&lt;&gt;"نعم",$M420="نعم"),0,MAX(0,MIN($F420,EOMONTH(DATE(cfg_FY,5,1),0))-MAX($E420,DATE(cfg_FY,5,1))+1))</f>
        <v>0</v>
      </c>
      <c r="AY420" s="57" t="n">
        <f aca="false">IF(OR(OR($B420="",$E420="",$F420=""),$K420&lt;&gt;"نعم",$M420="نعم"),0,MAX(0,MIN($F420,EOMONTH(DATE(cfg_FY,6,1),0))-MAX($E420,DATE(cfg_FY,6,1))+1))</f>
        <v>0</v>
      </c>
      <c r="AZ420" s="57" t="n">
        <f aca="false">IF(OR(OR($B420="",$E420="",$F420=""),$K420&lt;&gt;"نعم",$M420="نعم"),0,MAX(0,MIN($F420,EOMONTH(DATE(cfg_FY,7,1),0))-MAX($E420,DATE(cfg_FY,7,1))+1))</f>
        <v>0</v>
      </c>
      <c r="BA420" s="57" t="n">
        <f aca="false">IF(OR(OR($B420="",$E420="",$F420=""),$K420&lt;&gt;"نعم",$M420="نعم"),0,MAX(0,MIN($F420,EOMONTH(DATE(cfg_FY,8,1),0))-MAX($E420,DATE(cfg_FY,8,1))+1))</f>
        <v>0</v>
      </c>
      <c r="BB420" s="57" t="n">
        <f aca="false">IF(OR(OR($B420="",$E420="",$F420=""),$K420&lt;&gt;"نعم",$M420="نعم"),0,MAX(0,MIN($F420,EOMONTH(DATE(cfg_FY,9,1),0))-MAX($E420,DATE(cfg_FY,9,1))+1))</f>
        <v>0</v>
      </c>
      <c r="BC420" s="57" t="n">
        <f aca="false">IF(OR(OR($B420="",$E420="",$F420=""),$K420&lt;&gt;"نعم",$M420="نعم"),0,MAX(0,MIN($F420,EOMONTH(DATE(cfg_FY,10,1),0))-MAX($E420,DATE(cfg_FY,10,1))+1))</f>
        <v>0</v>
      </c>
      <c r="BD420" s="57" t="n">
        <f aca="false">IF(OR(OR($B420="",$E420="",$F420=""),$K420&lt;&gt;"نعم",$M420="نعم"),0,MAX(0,MIN($F420,EOMONTH(DATE(cfg_FY,11,1),0))-MAX($E420,DATE(cfg_FY,11,1))+1))</f>
        <v>0</v>
      </c>
      <c r="BE420" s="57" t="n">
        <f aca="false">IF(OR(OR($B420="",$E420="",$F420=""),$K420&lt;&gt;"نعم",$M420="نعم"),0,MAX(0,MIN($F420,EOMONTH(DATE(cfg_FY,12,1),0))-MAX($E420,DATE(cfg_FY,12,1))+1))</f>
        <v>0</v>
      </c>
    </row>
    <row r="421" customFormat="false" ht="15" hidden="false" customHeight="false" outlineLevel="0" collapsed="false">
      <c r="A421" s="100" t="str">
        <f aca="false">IF(B421="","",ROW()-5)</f>
        <v/>
      </c>
      <c r="B421" s="79"/>
      <c r="C421" s="102" t="str">
        <f aca="false">IF(B421="","",IFERROR(INDEX(الموظفون!$C$6:$C$105,MATCH(B421,الموظفون!$B$6:$B$105,0)),"✖ رقم غير موجود"))</f>
        <v/>
      </c>
      <c r="D421" s="79"/>
      <c r="E421" s="94"/>
      <c r="F421" s="94"/>
      <c r="G421" s="110" t="str">
        <f aca="false">IF(OR($B421="",$E421="",$F421=""),"",MAX(0,F421-E421+1))</f>
        <v/>
      </c>
      <c r="H421" s="111" t="str">
        <f aca="false">IF(D421="","",IFERROR(VLOOKUP(D421,cfg_LT,2,FALSE()),1))</f>
        <v/>
      </c>
      <c r="I421" s="82"/>
      <c r="J421" s="111" t="str">
        <f aca="false">IF(D421="","",IF(I421&lt;&gt;"",I421,H421))</f>
        <v/>
      </c>
      <c r="K421" s="102" t="str">
        <f aca="false">IF(D421="","",IFERROR(VLOOKUP($D421,cfg_LT,3,FALSE()),""))</f>
        <v/>
      </c>
      <c r="L421" s="102" t="str">
        <f aca="false">IF(D421="","",IFERROR(VLOOKUP($D421,cfg_LT,4,FALSE()),""))</f>
        <v/>
      </c>
      <c r="M421" s="102" t="str">
        <f aca="false">IF(D421="","",IFERROR(VLOOKUP($D421,cfg_LT,5,FALSE()),""))</f>
        <v/>
      </c>
      <c r="N421" s="101" t="n">
        <f aca="false">IF(OR(OR($B421="",$E421="",$F421=""),M421&lt;&gt;"نعم"),0,G421*J421*IFERROR(INDEX(الموظفون!$R$6:$R$105,MATCH(B421,الموظفون!$B$6:$B$105,0)),0)/cfg_DAYS_M)</f>
        <v>0</v>
      </c>
      <c r="O421" s="100" t="str">
        <f aca="false">IF(OR(OR($B421="",$E421="",$F421=""),M421&lt;&gt;"نعم"),"",IF(YEAR(E421)=cfg_FY,MONTH(E421),""))</f>
        <v/>
      </c>
      <c r="P421" s="102" t="str">
        <f aca="false">IF(B421="","",IF(OR(D421="",E421="",F421=""),"⚠ أكمل النوع والتواريخ",IF(F421&lt;E421,"✖ النهاية قبل البداية",IF(COUNTIFS($B$6:$B$505,B421,$E$6:$E$505,"&lt;="&amp;F421,$F$6:$F$505,"&gt;="&amp;E421)&gt;1,"⚠ تداخل مع سجل آخر",IF(E421&gt;cfg_VAL_DATE,"⏳ قادمة",IF(F421&lt;cfg_VAL_DATE,"✔ منتهية","✈ جارية في تاريخ التقرير"))))))</f>
        <v/>
      </c>
      <c r="Q421" s="79"/>
      <c r="R421" s="110" t="n">
        <f aca="false">IF(OR(OR($B421="",$E421="",$F421=""),L421&lt;&gt;"لا"),0,MAX(0,MIN(F421,cfg_Y_START-1)-E421+1))</f>
        <v>0</v>
      </c>
      <c r="S421" s="110" t="n">
        <f aca="false">IF(OR(OR($B421="",$E421="",$F421=""),L421&lt;&gt;"لا"),0,MAX(0,MIN(F421,cfg_VAL_DATE)-E421+1))</f>
        <v>0</v>
      </c>
      <c r="T421" s="110" t="n">
        <f aca="false">IF(OR(OR($B421="",$E421="",$F421=""),K421&lt;&gt;"نعم"),0,IF(M421="نعم",IF(AND(ISNUMBER(O421),N(O421)&lt;=cfg_VAL_M),G421,0),MAX(0,MIN(F421,cfg_VAL_DATE)-MAX(E421,cfg_Y_START)+1)))</f>
        <v>0</v>
      </c>
      <c r="V421" s="110" t="n">
        <f aca="false">IF(OR($B421="",$E421="",$F421=""),0,MAX(0,MIN($F421,EOMONTH(DATE(cfg_FY,1,1),0))-MAX($E421,DATE(cfg_FY,1,1))+1)*(1-IF($M421="نعم",0,N($J421))))</f>
        <v>0</v>
      </c>
      <c r="W421" s="110" t="n">
        <f aca="false">IF(OR($B421="",$E421="",$F421=""),0,MAX(0,MIN($F421,EOMONTH(DATE(cfg_FY,2,1),0))-MAX($E421,DATE(cfg_FY,2,1))+1)*(1-IF($M421="نعم",0,N($J421))))</f>
        <v>0</v>
      </c>
      <c r="X421" s="110" t="n">
        <f aca="false">IF(OR($B421="",$E421="",$F421=""),0,MAX(0,MIN($F421,EOMONTH(DATE(cfg_FY,3,1),0))-MAX($E421,DATE(cfg_FY,3,1))+1)*(1-IF($M421="نعم",0,N($J421))))</f>
        <v>0</v>
      </c>
      <c r="Y421" s="110" t="n">
        <f aca="false">IF(OR($B421="",$E421="",$F421=""),0,MAX(0,MIN($F421,EOMONTH(DATE(cfg_FY,4,1),0))-MAX($E421,DATE(cfg_FY,4,1))+1)*(1-IF($M421="نعم",0,N($J421))))</f>
        <v>0</v>
      </c>
      <c r="Z421" s="110" t="n">
        <f aca="false">IF(OR($B421="",$E421="",$F421=""),0,MAX(0,MIN($F421,EOMONTH(DATE(cfg_FY,5,1),0))-MAX($E421,DATE(cfg_FY,5,1))+1)*(1-IF($M421="نعم",0,N($J421))))</f>
        <v>0</v>
      </c>
      <c r="AA421" s="110" t="n">
        <f aca="false">IF(OR($B421="",$E421="",$F421=""),0,MAX(0,MIN($F421,EOMONTH(DATE(cfg_FY,6,1),0))-MAX($E421,DATE(cfg_FY,6,1))+1)*(1-IF($M421="نعم",0,N($J421))))</f>
        <v>0</v>
      </c>
      <c r="AB421" s="110" t="n">
        <f aca="false">IF(OR($B421="",$E421="",$F421=""),0,MAX(0,MIN($F421,EOMONTH(DATE(cfg_FY,7,1),0))-MAX($E421,DATE(cfg_FY,7,1))+1)*(1-IF($M421="نعم",0,N($J421))))</f>
        <v>0</v>
      </c>
      <c r="AC421" s="110" t="n">
        <f aca="false">IF(OR($B421="",$E421="",$F421=""),0,MAX(0,MIN($F421,EOMONTH(DATE(cfg_FY,8,1),0))-MAX($E421,DATE(cfg_FY,8,1))+1)*(1-IF($M421="نعم",0,N($J421))))</f>
        <v>0</v>
      </c>
      <c r="AD421" s="110" t="n">
        <f aca="false">IF(OR($B421="",$E421="",$F421=""),0,MAX(0,MIN($F421,EOMONTH(DATE(cfg_FY,9,1),0))-MAX($E421,DATE(cfg_FY,9,1))+1)*(1-IF($M421="نعم",0,N($J421))))</f>
        <v>0</v>
      </c>
      <c r="AE421" s="110" t="n">
        <f aca="false">IF(OR($B421="",$E421="",$F421=""),0,MAX(0,MIN($F421,EOMONTH(DATE(cfg_FY,10,1),0))-MAX($E421,DATE(cfg_FY,10,1))+1)*(1-IF($M421="نعم",0,N($J421))))</f>
        <v>0</v>
      </c>
      <c r="AF421" s="110" t="n">
        <f aca="false">IF(OR($B421="",$E421="",$F421=""),0,MAX(0,MIN($F421,EOMONTH(DATE(cfg_FY,11,1),0))-MAX($E421,DATE(cfg_FY,11,1))+1)*(1-IF($M421="نعم",0,N($J421))))</f>
        <v>0</v>
      </c>
      <c r="AG421" s="110" t="n">
        <f aca="false">IF(OR($B421="",$E421="",$F421=""),0,MAX(0,MIN($F421,EOMONTH(DATE(cfg_FY,12,1),0))-MAX($E421,DATE(cfg_FY,12,1))+1)*(1-IF($M421="نعم",0,N($J421))))</f>
        <v>0</v>
      </c>
      <c r="AH421" s="110" t="n">
        <f aca="false">IF(OR(OR($B421="",$E421="",$F421=""),$L421&lt;&gt;"لا"),0,MAX(0,MIN($F421,EOMONTH(DATE(cfg_FY,1,1),0))-$E421+1))</f>
        <v>0</v>
      </c>
      <c r="AI421" s="110" t="n">
        <f aca="false">IF(OR(OR($B421="",$E421="",$F421=""),$L421&lt;&gt;"لا"),0,MAX(0,MIN($F421,EOMONTH(DATE(cfg_FY,2,1),0))-$E421+1))</f>
        <v>0</v>
      </c>
      <c r="AJ421" s="110" t="n">
        <f aca="false">IF(OR(OR($B421="",$E421="",$F421=""),$L421&lt;&gt;"لا"),0,MAX(0,MIN($F421,EOMONTH(DATE(cfg_FY,3,1),0))-$E421+1))</f>
        <v>0</v>
      </c>
      <c r="AK421" s="110" t="n">
        <f aca="false">IF(OR(OR($B421="",$E421="",$F421=""),$L421&lt;&gt;"لا"),0,MAX(0,MIN($F421,EOMONTH(DATE(cfg_FY,4,1),0))-$E421+1))</f>
        <v>0</v>
      </c>
      <c r="AL421" s="110" t="n">
        <f aca="false">IF(OR(OR($B421="",$E421="",$F421=""),$L421&lt;&gt;"لا"),0,MAX(0,MIN($F421,EOMONTH(DATE(cfg_FY,5,1),0))-$E421+1))</f>
        <v>0</v>
      </c>
      <c r="AM421" s="110" t="n">
        <f aca="false">IF(OR(OR($B421="",$E421="",$F421=""),$L421&lt;&gt;"لا"),0,MAX(0,MIN($F421,EOMONTH(DATE(cfg_FY,6,1),0))-$E421+1))</f>
        <v>0</v>
      </c>
      <c r="AN421" s="110" t="n">
        <f aca="false">IF(OR(OR($B421="",$E421="",$F421=""),$L421&lt;&gt;"لا"),0,MAX(0,MIN($F421,EOMONTH(DATE(cfg_FY,7,1),0))-$E421+1))</f>
        <v>0</v>
      </c>
      <c r="AO421" s="110" t="n">
        <f aca="false">IF(OR(OR($B421="",$E421="",$F421=""),$L421&lt;&gt;"لا"),0,MAX(0,MIN($F421,EOMONTH(DATE(cfg_FY,8,1),0))-$E421+1))</f>
        <v>0</v>
      </c>
      <c r="AP421" s="110" t="n">
        <f aca="false">IF(OR(OR($B421="",$E421="",$F421=""),$L421&lt;&gt;"لا"),0,MAX(0,MIN($F421,EOMONTH(DATE(cfg_FY,9,1),0))-$E421+1))</f>
        <v>0</v>
      </c>
      <c r="AQ421" s="110" t="n">
        <f aca="false">IF(OR(OR($B421="",$E421="",$F421=""),$L421&lt;&gt;"لا"),0,MAX(0,MIN($F421,EOMONTH(DATE(cfg_FY,10,1),0))-$E421+1))</f>
        <v>0</v>
      </c>
      <c r="AR421" s="110" t="n">
        <f aca="false">IF(OR(OR($B421="",$E421="",$F421=""),$L421&lt;&gt;"لا"),0,MAX(0,MIN($F421,EOMONTH(DATE(cfg_FY,11,1),0))-$E421+1))</f>
        <v>0</v>
      </c>
      <c r="AS421" s="110" t="n">
        <f aca="false">IF(OR(OR($B421="",$E421="",$F421=""),$L421&lt;&gt;"لا"),0,MAX(0,MIN($F421,EOMONTH(DATE(cfg_FY,12,1),0))-$E421+1))</f>
        <v>0</v>
      </c>
      <c r="AT421" s="110" t="n">
        <f aca="false">IF(OR(OR($B421="",$E421="",$F421=""),$K421&lt;&gt;"نعم",$M421="نعم"),0,MAX(0,MIN($F421,EOMONTH(DATE(cfg_FY,1,1),0))-MAX($E421,DATE(cfg_FY,1,1))+1))</f>
        <v>0</v>
      </c>
      <c r="AU421" s="110" t="n">
        <f aca="false">IF(OR(OR($B421="",$E421="",$F421=""),$K421&lt;&gt;"نعم",$M421="نعم"),0,MAX(0,MIN($F421,EOMONTH(DATE(cfg_FY,2,1),0))-MAX($E421,DATE(cfg_FY,2,1))+1))</f>
        <v>0</v>
      </c>
      <c r="AV421" s="110" t="n">
        <f aca="false">IF(OR(OR($B421="",$E421="",$F421=""),$K421&lt;&gt;"نعم",$M421="نعم"),0,MAX(0,MIN($F421,EOMONTH(DATE(cfg_FY,3,1),0))-MAX($E421,DATE(cfg_FY,3,1))+1))</f>
        <v>0</v>
      </c>
      <c r="AW421" s="110" t="n">
        <f aca="false">IF(OR(OR($B421="",$E421="",$F421=""),$K421&lt;&gt;"نعم",$M421="نعم"),0,MAX(0,MIN($F421,EOMONTH(DATE(cfg_FY,4,1),0))-MAX($E421,DATE(cfg_FY,4,1))+1))</f>
        <v>0</v>
      </c>
      <c r="AX421" s="110" t="n">
        <f aca="false">IF(OR(OR($B421="",$E421="",$F421=""),$K421&lt;&gt;"نعم",$M421="نعم"),0,MAX(0,MIN($F421,EOMONTH(DATE(cfg_FY,5,1),0))-MAX($E421,DATE(cfg_FY,5,1))+1))</f>
        <v>0</v>
      </c>
      <c r="AY421" s="110" t="n">
        <f aca="false">IF(OR(OR($B421="",$E421="",$F421=""),$K421&lt;&gt;"نعم",$M421="نعم"),0,MAX(0,MIN($F421,EOMONTH(DATE(cfg_FY,6,1),0))-MAX($E421,DATE(cfg_FY,6,1))+1))</f>
        <v>0</v>
      </c>
      <c r="AZ421" s="110" t="n">
        <f aca="false">IF(OR(OR($B421="",$E421="",$F421=""),$K421&lt;&gt;"نعم",$M421="نعم"),0,MAX(0,MIN($F421,EOMONTH(DATE(cfg_FY,7,1),0))-MAX($E421,DATE(cfg_FY,7,1))+1))</f>
        <v>0</v>
      </c>
      <c r="BA421" s="110" t="n">
        <f aca="false">IF(OR(OR($B421="",$E421="",$F421=""),$K421&lt;&gt;"نعم",$M421="نعم"),0,MAX(0,MIN($F421,EOMONTH(DATE(cfg_FY,8,1),0))-MAX($E421,DATE(cfg_FY,8,1))+1))</f>
        <v>0</v>
      </c>
      <c r="BB421" s="110" t="n">
        <f aca="false">IF(OR(OR($B421="",$E421="",$F421=""),$K421&lt;&gt;"نعم",$M421="نعم"),0,MAX(0,MIN($F421,EOMONTH(DATE(cfg_FY,9,1),0))-MAX($E421,DATE(cfg_FY,9,1))+1))</f>
        <v>0</v>
      </c>
      <c r="BC421" s="110" t="n">
        <f aca="false">IF(OR(OR($B421="",$E421="",$F421=""),$K421&lt;&gt;"نعم",$M421="نعم"),0,MAX(0,MIN($F421,EOMONTH(DATE(cfg_FY,10,1),0))-MAX($E421,DATE(cfg_FY,10,1))+1))</f>
        <v>0</v>
      </c>
      <c r="BD421" s="110" t="n">
        <f aca="false">IF(OR(OR($B421="",$E421="",$F421=""),$K421&lt;&gt;"نعم",$M421="نعم"),0,MAX(0,MIN($F421,EOMONTH(DATE(cfg_FY,11,1),0))-MAX($E421,DATE(cfg_FY,11,1))+1))</f>
        <v>0</v>
      </c>
      <c r="BE421" s="110" t="n">
        <f aca="false">IF(OR(OR($B421="",$E421="",$F421=""),$K421&lt;&gt;"نعم",$M421="نعم"),0,MAX(0,MIN($F421,EOMONTH(DATE(cfg_FY,12,1),0))-MAX($E421,DATE(cfg_FY,12,1))+1))</f>
        <v>0</v>
      </c>
    </row>
    <row r="422" customFormat="false" ht="15" hidden="false" customHeight="false" outlineLevel="0" collapsed="false">
      <c r="A422" s="93" t="str">
        <f aca="false">IF(B422="","",ROW()-5)</f>
        <v/>
      </c>
      <c r="B422" s="79"/>
      <c r="C422" s="80" t="str">
        <f aca="false">IF(B422="","",IFERROR(INDEX(الموظفون!$C$6:$C$105,MATCH(B422,الموظفون!$B$6:$B$105,0)),"✖ رقم غير موجود"))</f>
        <v/>
      </c>
      <c r="D422" s="79"/>
      <c r="E422" s="94"/>
      <c r="F422" s="94"/>
      <c r="G422" s="57" t="str">
        <f aca="false">IF(OR($B422="",$E422="",$F422=""),"",MAX(0,F422-E422+1))</f>
        <v/>
      </c>
      <c r="H422" s="58" t="str">
        <f aca="false">IF(D422="","",IFERROR(VLOOKUP(D422,cfg_LT,2,FALSE()),1))</f>
        <v/>
      </c>
      <c r="I422" s="82"/>
      <c r="J422" s="58" t="str">
        <f aca="false">IF(D422="","",IF(I422&lt;&gt;"",I422,H422))</f>
        <v/>
      </c>
      <c r="K422" s="80" t="str">
        <f aca="false">IF(D422="","",IFERROR(VLOOKUP($D422,cfg_LT,3,FALSE()),""))</f>
        <v/>
      </c>
      <c r="L422" s="80" t="str">
        <f aca="false">IF(D422="","",IFERROR(VLOOKUP($D422,cfg_LT,4,FALSE()),""))</f>
        <v/>
      </c>
      <c r="M422" s="80" t="str">
        <f aca="false">IF(D422="","",IFERROR(VLOOKUP($D422,cfg_LT,5,FALSE()),""))</f>
        <v/>
      </c>
      <c r="N422" s="97" t="n">
        <f aca="false">IF(OR(OR($B422="",$E422="",$F422=""),M422&lt;&gt;"نعم"),0,G422*J422*IFERROR(INDEX(الموظفون!$R$6:$R$105,MATCH(B422,الموظفون!$B$6:$B$105,0)),0)/cfg_DAYS_M)</f>
        <v>0</v>
      </c>
      <c r="O422" s="93" t="str">
        <f aca="false">IF(OR(OR($B422="",$E422="",$F422=""),M422&lt;&gt;"نعم"),"",IF(YEAR(E422)=cfg_FY,MONTH(E422),""))</f>
        <v/>
      </c>
      <c r="P422" s="80" t="str">
        <f aca="false">IF(B422="","",IF(OR(D422="",E422="",F422=""),"⚠ أكمل النوع والتواريخ",IF(F422&lt;E422,"✖ النهاية قبل البداية",IF(COUNTIFS($B$6:$B$505,B422,$E$6:$E$505,"&lt;="&amp;F422,$F$6:$F$505,"&gt;="&amp;E422)&gt;1,"⚠ تداخل مع سجل آخر",IF(E422&gt;cfg_VAL_DATE,"⏳ قادمة",IF(F422&lt;cfg_VAL_DATE,"✔ منتهية","✈ جارية في تاريخ التقرير"))))))</f>
        <v/>
      </c>
      <c r="Q422" s="79"/>
      <c r="R422" s="57" t="n">
        <f aca="false">IF(OR(OR($B422="",$E422="",$F422=""),L422&lt;&gt;"لا"),0,MAX(0,MIN(F422,cfg_Y_START-1)-E422+1))</f>
        <v>0</v>
      </c>
      <c r="S422" s="57" t="n">
        <f aca="false">IF(OR(OR($B422="",$E422="",$F422=""),L422&lt;&gt;"لا"),0,MAX(0,MIN(F422,cfg_VAL_DATE)-E422+1))</f>
        <v>0</v>
      </c>
      <c r="T422" s="57" t="n">
        <f aca="false">IF(OR(OR($B422="",$E422="",$F422=""),K422&lt;&gt;"نعم"),0,IF(M422="نعم",IF(AND(ISNUMBER(O422),N(O422)&lt;=cfg_VAL_M),G422,0),MAX(0,MIN(F422,cfg_VAL_DATE)-MAX(E422,cfg_Y_START)+1)))</f>
        <v>0</v>
      </c>
      <c r="V422" s="57" t="n">
        <f aca="false">IF(OR($B422="",$E422="",$F422=""),0,MAX(0,MIN($F422,EOMONTH(DATE(cfg_FY,1,1),0))-MAX($E422,DATE(cfg_FY,1,1))+1)*(1-IF($M422="نعم",0,N($J422))))</f>
        <v>0</v>
      </c>
      <c r="W422" s="57" t="n">
        <f aca="false">IF(OR($B422="",$E422="",$F422=""),0,MAX(0,MIN($F422,EOMONTH(DATE(cfg_FY,2,1),0))-MAX($E422,DATE(cfg_FY,2,1))+1)*(1-IF($M422="نعم",0,N($J422))))</f>
        <v>0</v>
      </c>
      <c r="X422" s="57" t="n">
        <f aca="false">IF(OR($B422="",$E422="",$F422=""),0,MAX(0,MIN($F422,EOMONTH(DATE(cfg_FY,3,1),0))-MAX($E422,DATE(cfg_FY,3,1))+1)*(1-IF($M422="نعم",0,N($J422))))</f>
        <v>0</v>
      </c>
      <c r="Y422" s="57" t="n">
        <f aca="false">IF(OR($B422="",$E422="",$F422=""),0,MAX(0,MIN($F422,EOMONTH(DATE(cfg_FY,4,1),0))-MAX($E422,DATE(cfg_FY,4,1))+1)*(1-IF($M422="نعم",0,N($J422))))</f>
        <v>0</v>
      </c>
      <c r="Z422" s="57" t="n">
        <f aca="false">IF(OR($B422="",$E422="",$F422=""),0,MAX(0,MIN($F422,EOMONTH(DATE(cfg_FY,5,1),0))-MAX($E422,DATE(cfg_FY,5,1))+1)*(1-IF($M422="نعم",0,N($J422))))</f>
        <v>0</v>
      </c>
      <c r="AA422" s="57" t="n">
        <f aca="false">IF(OR($B422="",$E422="",$F422=""),0,MAX(0,MIN($F422,EOMONTH(DATE(cfg_FY,6,1),0))-MAX($E422,DATE(cfg_FY,6,1))+1)*(1-IF($M422="نعم",0,N($J422))))</f>
        <v>0</v>
      </c>
      <c r="AB422" s="57" t="n">
        <f aca="false">IF(OR($B422="",$E422="",$F422=""),0,MAX(0,MIN($F422,EOMONTH(DATE(cfg_FY,7,1),0))-MAX($E422,DATE(cfg_FY,7,1))+1)*(1-IF($M422="نعم",0,N($J422))))</f>
        <v>0</v>
      </c>
      <c r="AC422" s="57" t="n">
        <f aca="false">IF(OR($B422="",$E422="",$F422=""),0,MAX(0,MIN($F422,EOMONTH(DATE(cfg_FY,8,1),0))-MAX($E422,DATE(cfg_FY,8,1))+1)*(1-IF($M422="نعم",0,N($J422))))</f>
        <v>0</v>
      </c>
      <c r="AD422" s="57" t="n">
        <f aca="false">IF(OR($B422="",$E422="",$F422=""),0,MAX(0,MIN($F422,EOMONTH(DATE(cfg_FY,9,1),0))-MAX($E422,DATE(cfg_FY,9,1))+1)*(1-IF($M422="نعم",0,N($J422))))</f>
        <v>0</v>
      </c>
      <c r="AE422" s="57" t="n">
        <f aca="false">IF(OR($B422="",$E422="",$F422=""),0,MAX(0,MIN($F422,EOMONTH(DATE(cfg_FY,10,1),0))-MAX($E422,DATE(cfg_FY,10,1))+1)*(1-IF($M422="نعم",0,N($J422))))</f>
        <v>0</v>
      </c>
      <c r="AF422" s="57" t="n">
        <f aca="false">IF(OR($B422="",$E422="",$F422=""),0,MAX(0,MIN($F422,EOMONTH(DATE(cfg_FY,11,1),0))-MAX($E422,DATE(cfg_FY,11,1))+1)*(1-IF($M422="نعم",0,N($J422))))</f>
        <v>0</v>
      </c>
      <c r="AG422" s="57" t="n">
        <f aca="false">IF(OR($B422="",$E422="",$F422=""),0,MAX(0,MIN($F422,EOMONTH(DATE(cfg_FY,12,1),0))-MAX($E422,DATE(cfg_FY,12,1))+1)*(1-IF($M422="نعم",0,N($J422))))</f>
        <v>0</v>
      </c>
      <c r="AH422" s="57" t="n">
        <f aca="false">IF(OR(OR($B422="",$E422="",$F422=""),$L422&lt;&gt;"لا"),0,MAX(0,MIN($F422,EOMONTH(DATE(cfg_FY,1,1),0))-$E422+1))</f>
        <v>0</v>
      </c>
      <c r="AI422" s="57" t="n">
        <f aca="false">IF(OR(OR($B422="",$E422="",$F422=""),$L422&lt;&gt;"لا"),0,MAX(0,MIN($F422,EOMONTH(DATE(cfg_FY,2,1),0))-$E422+1))</f>
        <v>0</v>
      </c>
      <c r="AJ422" s="57" t="n">
        <f aca="false">IF(OR(OR($B422="",$E422="",$F422=""),$L422&lt;&gt;"لا"),0,MAX(0,MIN($F422,EOMONTH(DATE(cfg_FY,3,1),0))-$E422+1))</f>
        <v>0</v>
      </c>
      <c r="AK422" s="57" t="n">
        <f aca="false">IF(OR(OR($B422="",$E422="",$F422=""),$L422&lt;&gt;"لا"),0,MAX(0,MIN($F422,EOMONTH(DATE(cfg_FY,4,1),0))-$E422+1))</f>
        <v>0</v>
      </c>
      <c r="AL422" s="57" t="n">
        <f aca="false">IF(OR(OR($B422="",$E422="",$F422=""),$L422&lt;&gt;"لا"),0,MAX(0,MIN($F422,EOMONTH(DATE(cfg_FY,5,1),0))-$E422+1))</f>
        <v>0</v>
      </c>
      <c r="AM422" s="57" t="n">
        <f aca="false">IF(OR(OR($B422="",$E422="",$F422=""),$L422&lt;&gt;"لا"),0,MAX(0,MIN($F422,EOMONTH(DATE(cfg_FY,6,1),0))-$E422+1))</f>
        <v>0</v>
      </c>
      <c r="AN422" s="57" t="n">
        <f aca="false">IF(OR(OR($B422="",$E422="",$F422=""),$L422&lt;&gt;"لا"),0,MAX(0,MIN($F422,EOMONTH(DATE(cfg_FY,7,1),0))-$E422+1))</f>
        <v>0</v>
      </c>
      <c r="AO422" s="57" t="n">
        <f aca="false">IF(OR(OR($B422="",$E422="",$F422=""),$L422&lt;&gt;"لا"),0,MAX(0,MIN($F422,EOMONTH(DATE(cfg_FY,8,1),0))-$E422+1))</f>
        <v>0</v>
      </c>
      <c r="AP422" s="57" t="n">
        <f aca="false">IF(OR(OR($B422="",$E422="",$F422=""),$L422&lt;&gt;"لا"),0,MAX(0,MIN($F422,EOMONTH(DATE(cfg_FY,9,1),0))-$E422+1))</f>
        <v>0</v>
      </c>
      <c r="AQ422" s="57" t="n">
        <f aca="false">IF(OR(OR($B422="",$E422="",$F422=""),$L422&lt;&gt;"لا"),0,MAX(0,MIN($F422,EOMONTH(DATE(cfg_FY,10,1),0))-$E422+1))</f>
        <v>0</v>
      </c>
      <c r="AR422" s="57" t="n">
        <f aca="false">IF(OR(OR($B422="",$E422="",$F422=""),$L422&lt;&gt;"لا"),0,MAX(0,MIN($F422,EOMONTH(DATE(cfg_FY,11,1),0))-$E422+1))</f>
        <v>0</v>
      </c>
      <c r="AS422" s="57" t="n">
        <f aca="false">IF(OR(OR($B422="",$E422="",$F422=""),$L422&lt;&gt;"لا"),0,MAX(0,MIN($F422,EOMONTH(DATE(cfg_FY,12,1),0))-$E422+1))</f>
        <v>0</v>
      </c>
      <c r="AT422" s="57" t="n">
        <f aca="false">IF(OR(OR($B422="",$E422="",$F422=""),$K422&lt;&gt;"نعم",$M422="نعم"),0,MAX(0,MIN($F422,EOMONTH(DATE(cfg_FY,1,1),0))-MAX($E422,DATE(cfg_FY,1,1))+1))</f>
        <v>0</v>
      </c>
      <c r="AU422" s="57" t="n">
        <f aca="false">IF(OR(OR($B422="",$E422="",$F422=""),$K422&lt;&gt;"نعم",$M422="نعم"),0,MAX(0,MIN($F422,EOMONTH(DATE(cfg_FY,2,1),0))-MAX($E422,DATE(cfg_FY,2,1))+1))</f>
        <v>0</v>
      </c>
      <c r="AV422" s="57" t="n">
        <f aca="false">IF(OR(OR($B422="",$E422="",$F422=""),$K422&lt;&gt;"نعم",$M422="نعم"),0,MAX(0,MIN($F422,EOMONTH(DATE(cfg_FY,3,1),0))-MAX($E422,DATE(cfg_FY,3,1))+1))</f>
        <v>0</v>
      </c>
      <c r="AW422" s="57" t="n">
        <f aca="false">IF(OR(OR($B422="",$E422="",$F422=""),$K422&lt;&gt;"نعم",$M422="نعم"),0,MAX(0,MIN($F422,EOMONTH(DATE(cfg_FY,4,1),0))-MAX($E422,DATE(cfg_FY,4,1))+1))</f>
        <v>0</v>
      </c>
      <c r="AX422" s="57" t="n">
        <f aca="false">IF(OR(OR($B422="",$E422="",$F422=""),$K422&lt;&gt;"نعم",$M422="نعم"),0,MAX(0,MIN($F422,EOMONTH(DATE(cfg_FY,5,1),0))-MAX($E422,DATE(cfg_FY,5,1))+1))</f>
        <v>0</v>
      </c>
      <c r="AY422" s="57" t="n">
        <f aca="false">IF(OR(OR($B422="",$E422="",$F422=""),$K422&lt;&gt;"نعم",$M422="نعم"),0,MAX(0,MIN($F422,EOMONTH(DATE(cfg_FY,6,1),0))-MAX($E422,DATE(cfg_FY,6,1))+1))</f>
        <v>0</v>
      </c>
      <c r="AZ422" s="57" t="n">
        <f aca="false">IF(OR(OR($B422="",$E422="",$F422=""),$K422&lt;&gt;"نعم",$M422="نعم"),0,MAX(0,MIN($F422,EOMONTH(DATE(cfg_FY,7,1),0))-MAX($E422,DATE(cfg_FY,7,1))+1))</f>
        <v>0</v>
      </c>
      <c r="BA422" s="57" t="n">
        <f aca="false">IF(OR(OR($B422="",$E422="",$F422=""),$K422&lt;&gt;"نعم",$M422="نعم"),0,MAX(0,MIN($F422,EOMONTH(DATE(cfg_FY,8,1),0))-MAX($E422,DATE(cfg_FY,8,1))+1))</f>
        <v>0</v>
      </c>
      <c r="BB422" s="57" t="n">
        <f aca="false">IF(OR(OR($B422="",$E422="",$F422=""),$K422&lt;&gt;"نعم",$M422="نعم"),0,MAX(0,MIN($F422,EOMONTH(DATE(cfg_FY,9,1),0))-MAX($E422,DATE(cfg_FY,9,1))+1))</f>
        <v>0</v>
      </c>
      <c r="BC422" s="57" t="n">
        <f aca="false">IF(OR(OR($B422="",$E422="",$F422=""),$K422&lt;&gt;"نعم",$M422="نعم"),0,MAX(0,MIN($F422,EOMONTH(DATE(cfg_FY,10,1),0))-MAX($E422,DATE(cfg_FY,10,1))+1))</f>
        <v>0</v>
      </c>
      <c r="BD422" s="57" t="n">
        <f aca="false">IF(OR(OR($B422="",$E422="",$F422=""),$K422&lt;&gt;"نعم",$M422="نعم"),0,MAX(0,MIN($F422,EOMONTH(DATE(cfg_FY,11,1),0))-MAX($E422,DATE(cfg_FY,11,1))+1))</f>
        <v>0</v>
      </c>
      <c r="BE422" s="57" t="n">
        <f aca="false">IF(OR(OR($B422="",$E422="",$F422=""),$K422&lt;&gt;"نعم",$M422="نعم"),0,MAX(0,MIN($F422,EOMONTH(DATE(cfg_FY,12,1),0))-MAX($E422,DATE(cfg_FY,12,1))+1))</f>
        <v>0</v>
      </c>
    </row>
    <row r="423" customFormat="false" ht="15" hidden="false" customHeight="false" outlineLevel="0" collapsed="false">
      <c r="A423" s="100" t="str">
        <f aca="false">IF(B423="","",ROW()-5)</f>
        <v/>
      </c>
      <c r="B423" s="79"/>
      <c r="C423" s="102" t="str">
        <f aca="false">IF(B423="","",IFERROR(INDEX(الموظفون!$C$6:$C$105,MATCH(B423,الموظفون!$B$6:$B$105,0)),"✖ رقم غير موجود"))</f>
        <v/>
      </c>
      <c r="D423" s="79"/>
      <c r="E423" s="94"/>
      <c r="F423" s="94"/>
      <c r="G423" s="110" t="str">
        <f aca="false">IF(OR($B423="",$E423="",$F423=""),"",MAX(0,F423-E423+1))</f>
        <v/>
      </c>
      <c r="H423" s="111" t="str">
        <f aca="false">IF(D423="","",IFERROR(VLOOKUP(D423,cfg_LT,2,FALSE()),1))</f>
        <v/>
      </c>
      <c r="I423" s="82"/>
      <c r="J423" s="111" t="str">
        <f aca="false">IF(D423="","",IF(I423&lt;&gt;"",I423,H423))</f>
        <v/>
      </c>
      <c r="K423" s="102" t="str">
        <f aca="false">IF(D423="","",IFERROR(VLOOKUP($D423,cfg_LT,3,FALSE()),""))</f>
        <v/>
      </c>
      <c r="L423" s="102" t="str">
        <f aca="false">IF(D423="","",IFERROR(VLOOKUP($D423,cfg_LT,4,FALSE()),""))</f>
        <v/>
      </c>
      <c r="M423" s="102" t="str">
        <f aca="false">IF(D423="","",IFERROR(VLOOKUP($D423,cfg_LT,5,FALSE()),""))</f>
        <v/>
      </c>
      <c r="N423" s="101" t="n">
        <f aca="false">IF(OR(OR($B423="",$E423="",$F423=""),M423&lt;&gt;"نعم"),0,G423*J423*IFERROR(INDEX(الموظفون!$R$6:$R$105,MATCH(B423,الموظفون!$B$6:$B$105,0)),0)/cfg_DAYS_M)</f>
        <v>0</v>
      </c>
      <c r="O423" s="100" t="str">
        <f aca="false">IF(OR(OR($B423="",$E423="",$F423=""),M423&lt;&gt;"نعم"),"",IF(YEAR(E423)=cfg_FY,MONTH(E423),""))</f>
        <v/>
      </c>
      <c r="P423" s="102" t="str">
        <f aca="false">IF(B423="","",IF(OR(D423="",E423="",F423=""),"⚠ أكمل النوع والتواريخ",IF(F423&lt;E423,"✖ النهاية قبل البداية",IF(COUNTIFS($B$6:$B$505,B423,$E$6:$E$505,"&lt;="&amp;F423,$F$6:$F$505,"&gt;="&amp;E423)&gt;1,"⚠ تداخل مع سجل آخر",IF(E423&gt;cfg_VAL_DATE,"⏳ قادمة",IF(F423&lt;cfg_VAL_DATE,"✔ منتهية","✈ جارية في تاريخ التقرير"))))))</f>
        <v/>
      </c>
      <c r="Q423" s="79"/>
      <c r="R423" s="110" t="n">
        <f aca="false">IF(OR(OR($B423="",$E423="",$F423=""),L423&lt;&gt;"لا"),0,MAX(0,MIN(F423,cfg_Y_START-1)-E423+1))</f>
        <v>0</v>
      </c>
      <c r="S423" s="110" t="n">
        <f aca="false">IF(OR(OR($B423="",$E423="",$F423=""),L423&lt;&gt;"لا"),0,MAX(0,MIN(F423,cfg_VAL_DATE)-E423+1))</f>
        <v>0</v>
      </c>
      <c r="T423" s="110" t="n">
        <f aca="false">IF(OR(OR($B423="",$E423="",$F423=""),K423&lt;&gt;"نعم"),0,IF(M423="نعم",IF(AND(ISNUMBER(O423),N(O423)&lt;=cfg_VAL_M),G423,0),MAX(0,MIN(F423,cfg_VAL_DATE)-MAX(E423,cfg_Y_START)+1)))</f>
        <v>0</v>
      </c>
      <c r="V423" s="110" t="n">
        <f aca="false">IF(OR($B423="",$E423="",$F423=""),0,MAX(0,MIN($F423,EOMONTH(DATE(cfg_FY,1,1),0))-MAX($E423,DATE(cfg_FY,1,1))+1)*(1-IF($M423="نعم",0,N($J423))))</f>
        <v>0</v>
      </c>
      <c r="W423" s="110" t="n">
        <f aca="false">IF(OR($B423="",$E423="",$F423=""),0,MAX(0,MIN($F423,EOMONTH(DATE(cfg_FY,2,1),0))-MAX($E423,DATE(cfg_FY,2,1))+1)*(1-IF($M423="نعم",0,N($J423))))</f>
        <v>0</v>
      </c>
      <c r="X423" s="110" t="n">
        <f aca="false">IF(OR($B423="",$E423="",$F423=""),0,MAX(0,MIN($F423,EOMONTH(DATE(cfg_FY,3,1),0))-MAX($E423,DATE(cfg_FY,3,1))+1)*(1-IF($M423="نعم",0,N($J423))))</f>
        <v>0</v>
      </c>
      <c r="Y423" s="110" t="n">
        <f aca="false">IF(OR($B423="",$E423="",$F423=""),0,MAX(0,MIN($F423,EOMONTH(DATE(cfg_FY,4,1),0))-MAX($E423,DATE(cfg_FY,4,1))+1)*(1-IF($M423="نعم",0,N($J423))))</f>
        <v>0</v>
      </c>
      <c r="Z423" s="110" t="n">
        <f aca="false">IF(OR($B423="",$E423="",$F423=""),0,MAX(0,MIN($F423,EOMONTH(DATE(cfg_FY,5,1),0))-MAX($E423,DATE(cfg_FY,5,1))+1)*(1-IF($M423="نعم",0,N($J423))))</f>
        <v>0</v>
      </c>
      <c r="AA423" s="110" t="n">
        <f aca="false">IF(OR($B423="",$E423="",$F423=""),0,MAX(0,MIN($F423,EOMONTH(DATE(cfg_FY,6,1),0))-MAX($E423,DATE(cfg_FY,6,1))+1)*(1-IF($M423="نعم",0,N($J423))))</f>
        <v>0</v>
      </c>
      <c r="AB423" s="110" t="n">
        <f aca="false">IF(OR($B423="",$E423="",$F423=""),0,MAX(0,MIN($F423,EOMONTH(DATE(cfg_FY,7,1),0))-MAX($E423,DATE(cfg_FY,7,1))+1)*(1-IF($M423="نعم",0,N($J423))))</f>
        <v>0</v>
      </c>
      <c r="AC423" s="110" t="n">
        <f aca="false">IF(OR($B423="",$E423="",$F423=""),0,MAX(0,MIN($F423,EOMONTH(DATE(cfg_FY,8,1),0))-MAX($E423,DATE(cfg_FY,8,1))+1)*(1-IF($M423="نعم",0,N($J423))))</f>
        <v>0</v>
      </c>
      <c r="AD423" s="110" t="n">
        <f aca="false">IF(OR($B423="",$E423="",$F423=""),0,MAX(0,MIN($F423,EOMONTH(DATE(cfg_FY,9,1),0))-MAX($E423,DATE(cfg_FY,9,1))+1)*(1-IF($M423="نعم",0,N($J423))))</f>
        <v>0</v>
      </c>
      <c r="AE423" s="110" t="n">
        <f aca="false">IF(OR($B423="",$E423="",$F423=""),0,MAX(0,MIN($F423,EOMONTH(DATE(cfg_FY,10,1),0))-MAX($E423,DATE(cfg_FY,10,1))+1)*(1-IF($M423="نعم",0,N($J423))))</f>
        <v>0</v>
      </c>
      <c r="AF423" s="110" t="n">
        <f aca="false">IF(OR($B423="",$E423="",$F423=""),0,MAX(0,MIN($F423,EOMONTH(DATE(cfg_FY,11,1),0))-MAX($E423,DATE(cfg_FY,11,1))+1)*(1-IF($M423="نعم",0,N($J423))))</f>
        <v>0</v>
      </c>
      <c r="AG423" s="110" t="n">
        <f aca="false">IF(OR($B423="",$E423="",$F423=""),0,MAX(0,MIN($F423,EOMONTH(DATE(cfg_FY,12,1),0))-MAX($E423,DATE(cfg_FY,12,1))+1)*(1-IF($M423="نعم",0,N($J423))))</f>
        <v>0</v>
      </c>
      <c r="AH423" s="110" t="n">
        <f aca="false">IF(OR(OR($B423="",$E423="",$F423=""),$L423&lt;&gt;"لا"),0,MAX(0,MIN($F423,EOMONTH(DATE(cfg_FY,1,1),0))-$E423+1))</f>
        <v>0</v>
      </c>
      <c r="AI423" s="110" t="n">
        <f aca="false">IF(OR(OR($B423="",$E423="",$F423=""),$L423&lt;&gt;"لا"),0,MAX(0,MIN($F423,EOMONTH(DATE(cfg_FY,2,1),0))-$E423+1))</f>
        <v>0</v>
      </c>
      <c r="AJ423" s="110" t="n">
        <f aca="false">IF(OR(OR($B423="",$E423="",$F423=""),$L423&lt;&gt;"لا"),0,MAX(0,MIN($F423,EOMONTH(DATE(cfg_FY,3,1),0))-$E423+1))</f>
        <v>0</v>
      </c>
      <c r="AK423" s="110" t="n">
        <f aca="false">IF(OR(OR($B423="",$E423="",$F423=""),$L423&lt;&gt;"لا"),0,MAX(0,MIN($F423,EOMONTH(DATE(cfg_FY,4,1),0))-$E423+1))</f>
        <v>0</v>
      </c>
      <c r="AL423" s="110" t="n">
        <f aca="false">IF(OR(OR($B423="",$E423="",$F423=""),$L423&lt;&gt;"لا"),0,MAX(0,MIN($F423,EOMONTH(DATE(cfg_FY,5,1),0))-$E423+1))</f>
        <v>0</v>
      </c>
      <c r="AM423" s="110" t="n">
        <f aca="false">IF(OR(OR($B423="",$E423="",$F423=""),$L423&lt;&gt;"لا"),0,MAX(0,MIN($F423,EOMONTH(DATE(cfg_FY,6,1),0))-$E423+1))</f>
        <v>0</v>
      </c>
      <c r="AN423" s="110" t="n">
        <f aca="false">IF(OR(OR($B423="",$E423="",$F423=""),$L423&lt;&gt;"لا"),0,MAX(0,MIN($F423,EOMONTH(DATE(cfg_FY,7,1),0))-$E423+1))</f>
        <v>0</v>
      </c>
      <c r="AO423" s="110" t="n">
        <f aca="false">IF(OR(OR($B423="",$E423="",$F423=""),$L423&lt;&gt;"لا"),0,MAX(0,MIN($F423,EOMONTH(DATE(cfg_FY,8,1),0))-$E423+1))</f>
        <v>0</v>
      </c>
      <c r="AP423" s="110" t="n">
        <f aca="false">IF(OR(OR($B423="",$E423="",$F423=""),$L423&lt;&gt;"لا"),0,MAX(0,MIN($F423,EOMONTH(DATE(cfg_FY,9,1),0))-$E423+1))</f>
        <v>0</v>
      </c>
      <c r="AQ423" s="110" t="n">
        <f aca="false">IF(OR(OR($B423="",$E423="",$F423=""),$L423&lt;&gt;"لا"),0,MAX(0,MIN($F423,EOMONTH(DATE(cfg_FY,10,1),0))-$E423+1))</f>
        <v>0</v>
      </c>
      <c r="AR423" s="110" t="n">
        <f aca="false">IF(OR(OR($B423="",$E423="",$F423=""),$L423&lt;&gt;"لا"),0,MAX(0,MIN($F423,EOMONTH(DATE(cfg_FY,11,1),0))-$E423+1))</f>
        <v>0</v>
      </c>
      <c r="AS423" s="110" t="n">
        <f aca="false">IF(OR(OR($B423="",$E423="",$F423=""),$L423&lt;&gt;"لا"),0,MAX(0,MIN($F423,EOMONTH(DATE(cfg_FY,12,1),0))-$E423+1))</f>
        <v>0</v>
      </c>
      <c r="AT423" s="110" t="n">
        <f aca="false">IF(OR(OR($B423="",$E423="",$F423=""),$K423&lt;&gt;"نعم",$M423="نعم"),0,MAX(0,MIN($F423,EOMONTH(DATE(cfg_FY,1,1),0))-MAX($E423,DATE(cfg_FY,1,1))+1))</f>
        <v>0</v>
      </c>
      <c r="AU423" s="110" t="n">
        <f aca="false">IF(OR(OR($B423="",$E423="",$F423=""),$K423&lt;&gt;"نعم",$M423="نعم"),0,MAX(0,MIN($F423,EOMONTH(DATE(cfg_FY,2,1),0))-MAX($E423,DATE(cfg_FY,2,1))+1))</f>
        <v>0</v>
      </c>
      <c r="AV423" s="110" t="n">
        <f aca="false">IF(OR(OR($B423="",$E423="",$F423=""),$K423&lt;&gt;"نعم",$M423="نعم"),0,MAX(0,MIN($F423,EOMONTH(DATE(cfg_FY,3,1),0))-MAX($E423,DATE(cfg_FY,3,1))+1))</f>
        <v>0</v>
      </c>
      <c r="AW423" s="110" t="n">
        <f aca="false">IF(OR(OR($B423="",$E423="",$F423=""),$K423&lt;&gt;"نعم",$M423="نعم"),0,MAX(0,MIN($F423,EOMONTH(DATE(cfg_FY,4,1),0))-MAX($E423,DATE(cfg_FY,4,1))+1))</f>
        <v>0</v>
      </c>
      <c r="AX423" s="110" t="n">
        <f aca="false">IF(OR(OR($B423="",$E423="",$F423=""),$K423&lt;&gt;"نعم",$M423="نعم"),0,MAX(0,MIN($F423,EOMONTH(DATE(cfg_FY,5,1),0))-MAX($E423,DATE(cfg_FY,5,1))+1))</f>
        <v>0</v>
      </c>
      <c r="AY423" s="110" t="n">
        <f aca="false">IF(OR(OR($B423="",$E423="",$F423=""),$K423&lt;&gt;"نعم",$M423="نعم"),0,MAX(0,MIN($F423,EOMONTH(DATE(cfg_FY,6,1),0))-MAX($E423,DATE(cfg_FY,6,1))+1))</f>
        <v>0</v>
      </c>
      <c r="AZ423" s="110" t="n">
        <f aca="false">IF(OR(OR($B423="",$E423="",$F423=""),$K423&lt;&gt;"نعم",$M423="نعم"),0,MAX(0,MIN($F423,EOMONTH(DATE(cfg_FY,7,1),0))-MAX($E423,DATE(cfg_FY,7,1))+1))</f>
        <v>0</v>
      </c>
      <c r="BA423" s="110" t="n">
        <f aca="false">IF(OR(OR($B423="",$E423="",$F423=""),$K423&lt;&gt;"نعم",$M423="نعم"),0,MAX(0,MIN($F423,EOMONTH(DATE(cfg_FY,8,1),0))-MAX($E423,DATE(cfg_FY,8,1))+1))</f>
        <v>0</v>
      </c>
      <c r="BB423" s="110" t="n">
        <f aca="false">IF(OR(OR($B423="",$E423="",$F423=""),$K423&lt;&gt;"نعم",$M423="نعم"),0,MAX(0,MIN($F423,EOMONTH(DATE(cfg_FY,9,1),0))-MAX($E423,DATE(cfg_FY,9,1))+1))</f>
        <v>0</v>
      </c>
      <c r="BC423" s="110" t="n">
        <f aca="false">IF(OR(OR($B423="",$E423="",$F423=""),$K423&lt;&gt;"نعم",$M423="نعم"),0,MAX(0,MIN($F423,EOMONTH(DATE(cfg_FY,10,1),0))-MAX($E423,DATE(cfg_FY,10,1))+1))</f>
        <v>0</v>
      </c>
      <c r="BD423" s="110" t="n">
        <f aca="false">IF(OR(OR($B423="",$E423="",$F423=""),$K423&lt;&gt;"نعم",$M423="نعم"),0,MAX(0,MIN($F423,EOMONTH(DATE(cfg_FY,11,1),0))-MAX($E423,DATE(cfg_FY,11,1))+1))</f>
        <v>0</v>
      </c>
      <c r="BE423" s="110" t="n">
        <f aca="false">IF(OR(OR($B423="",$E423="",$F423=""),$K423&lt;&gt;"نعم",$M423="نعم"),0,MAX(0,MIN($F423,EOMONTH(DATE(cfg_FY,12,1),0))-MAX($E423,DATE(cfg_FY,12,1))+1))</f>
        <v>0</v>
      </c>
    </row>
    <row r="424" customFormat="false" ht="15" hidden="false" customHeight="false" outlineLevel="0" collapsed="false">
      <c r="A424" s="93" t="str">
        <f aca="false">IF(B424="","",ROW()-5)</f>
        <v/>
      </c>
      <c r="B424" s="79"/>
      <c r="C424" s="80" t="str">
        <f aca="false">IF(B424="","",IFERROR(INDEX(الموظفون!$C$6:$C$105,MATCH(B424,الموظفون!$B$6:$B$105,0)),"✖ رقم غير موجود"))</f>
        <v/>
      </c>
      <c r="D424" s="79"/>
      <c r="E424" s="94"/>
      <c r="F424" s="94"/>
      <c r="G424" s="57" t="str">
        <f aca="false">IF(OR($B424="",$E424="",$F424=""),"",MAX(0,F424-E424+1))</f>
        <v/>
      </c>
      <c r="H424" s="58" t="str">
        <f aca="false">IF(D424="","",IFERROR(VLOOKUP(D424,cfg_LT,2,FALSE()),1))</f>
        <v/>
      </c>
      <c r="I424" s="82"/>
      <c r="J424" s="58" t="str">
        <f aca="false">IF(D424="","",IF(I424&lt;&gt;"",I424,H424))</f>
        <v/>
      </c>
      <c r="K424" s="80" t="str">
        <f aca="false">IF(D424="","",IFERROR(VLOOKUP($D424,cfg_LT,3,FALSE()),""))</f>
        <v/>
      </c>
      <c r="L424" s="80" t="str">
        <f aca="false">IF(D424="","",IFERROR(VLOOKUP($D424,cfg_LT,4,FALSE()),""))</f>
        <v/>
      </c>
      <c r="M424" s="80" t="str">
        <f aca="false">IF(D424="","",IFERROR(VLOOKUP($D424,cfg_LT,5,FALSE()),""))</f>
        <v/>
      </c>
      <c r="N424" s="97" t="n">
        <f aca="false">IF(OR(OR($B424="",$E424="",$F424=""),M424&lt;&gt;"نعم"),0,G424*J424*IFERROR(INDEX(الموظفون!$R$6:$R$105,MATCH(B424,الموظفون!$B$6:$B$105,0)),0)/cfg_DAYS_M)</f>
        <v>0</v>
      </c>
      <c r="O424" s="93" t="str">
        <f aca="false">IF(OR(OR($B424="",$E424="",$F424=""),M424&lt;&gt;"نعم"),"",IF(YEAR(E424)=cfg_FY,MONTH(E424),""))</f>
        <v/>
      </c>
      <c r="P424" s="80" t="str">
        <f aca="false">IF(B424="","",IF(OR(D424="",E424="",F424=""),"⚠ أكمل النوع والتواريخ",IF(F424&lt;E424,"✖ النهاية قبل البداية",IF(COUNTIFS($B$6:$B$505,B424,$E$6:$E$505,"&lt;="&amp;F424,$F$6:$F$505,"&gt;="&amp;E424)&gt;1,"⚠ تداخل مع سجل آخر",IF(E424&gt;cfg_VAL_DATE,"⏳ قادمة",IF(F424&lt;cfg_VAL_DATE,"✔ منتهية","✈ جارية في تاريخ التقرير"))))))</f>
        <v/>
      </c>
      <c r="Q424" s="79"/>
      <c r="R424" s="57" t="n">
        <f aca="false">IF(OR(OR($B424="",$E424="",$F424=""),L424&lt;&gt;"لا"),0,MAX(0,MIN(F424,cfg_Y_START-1)-E424+1))</f>
        <v>0</v>
      </c>
      <c r="S424" s="57" t="n">
        <f aca="false">IF(OR(OR($B424="",$E424="",$F424=""),L424&lt;&gt;"لا"),0,MAX(0,MIN(F424,cfg_VAL_DATE)-E424+1))</f>
        <v>0</v>
      </c>
      <c r="T424" s="57" t="n">
        <f aca="false">IF(OR(OR($B424="",$E424="",$F424=""),K424&lt;&gt;"نعم"),0,IF(M424="نعم",IF(AND(ISNUMBER(O424),N(O424)&lt;=cfg_VAL_M),G424,0),MAX(0,MIN(F424,cfg_VAL_DATE)-MAX(E424,cfg_Y_START)+1)))</f>
        <v>0</v>
      </c>
      <c r="V424" s="57" t="n">
        <f aca="false">IF(OR($B424="",$E424="",$F424=""),0,MAX(0,MIN($F424,EOMONTH(DATE(cfg_FY,1,1),0))-MAX($E424,DATE(cfg_FY,1,1))+1)*(1-IF($M424="نعم",0,N($J424))))</f>
        <v>0</v>
      </c>
      <c r="W424" s="57" t="n">
        <f aca="false">IF(OR($B424="",$E424="",$F424=""),0,MAX(0,MIN($F424,EOMONTH(DATE(cfg_FY,2,1),0))-MAX($E424,DATE(cfg_FY,2,1))+1)*(1-IF($M424="نعم",0,N($J424))))</f>
        <v>0</v>
      </c>
      <c r="X424" s="57" t="n">
        <f aca="false">IF(OR($B424="",$E424="",$F424=""),0,MAX(0,MIN($F424,EOMONTH(DATE(cfg_FY,3,1),0))-MAX($E424,DATE(cfg_FY,3,1))+1)*(1-IF($M424="نعم",0,N($J424))))</f>
        <v>0</v>
      </c>
      <c r="Y424" s="57" t="n">
        <f aca="false">IF(OR($B424="",$E424="",$F424=""),0,MAX(0,MIN($F424,EOMONTH(DATE(cfg_FY,4,1),0))-MAX($E424,DATE(cfg_FY,4,1))+1)*(1-IF($M424="نعم",0,N($J424))))</f>
        <v>0</v>
      </c>
      <c r="Z424" s="57" t="n">
        <f aca="false">IF(OR($B424="",$E424="",$F424=""),0,MAX(0,MIN($F424,EOMONTH(DATE(cfg_FY,5,1),0))-MAX($E424,DATE(cfg_FY,5,1))+1)*(1-IF($M424="نعم",0,N($J424))))</f>
        <v>0</v>
      </c>
      <c r="AA424" s="57" t="n">
        <f aca="false">IF(OR($B424="",$E424="",$F424=""),0,MAX(0,MIN($F424,EOMONTH(DATE(cfg_FY,6,1),0))-MAX($E424,DATE(cfg_FY,6,1))+1)*(1-IF($M424="نعم",0,N($J424))))</f>
        <v>0</v>
      </c>
      <c r="AB424" s="57" t="n">
        <f aca="false">IF(OR($B424="",$E424="",$F424=""),0,MAX(0,MIN($F424,EOMONTH(DATE(cfg_FY,7,1),0))-MAX($E424,DATE(cfg_FY,7,1))+1)*(1-IF($M424="نعم",0,N($J424))))</f>
        <v>0</v>
      </c>
      <c r="AC424" s="57" t="n">
        <f aca="false">IF(OR($B424="",$E424="",$F424=""),0,MAX(0,MIN($F424,EOMONTH(DATE(cfg_FY,8,1),0))-MAX($E424,DATE(cfg_FY,8,1))+1)*(1-IF($M424="نعم",0,N($J424))))</f>
        <v>0</v>
      </c>
      <c r="AD424" s="57" t="n">
        <f aca="false">IF(OR($B424="",$E424="",$F424=""),0,MAX(0,MIN($F424,EOMONTH(DATE(cfg_FY,9,1),0))-MAX($E424,DATE(cfg_FY,9,1))+1)*(1-IF($M424="نعم",0,N($J424))))</f>
        <v>0</v>
      </c>
      <c r="AE424" s="57" t="n">
        <f aca="false">IF(OR($B424="",$E424="",$F424=""),0,MAX(0,MIN($F424,EOMONTH(DATE(cfg_FY,10,1),0))-MAX($E424,DATE(cfg_FY,10,1))+1)*(1-IF($M424="نعم",0,N($J424))))</f>
        <v>0</v>
      </c>
      <c r="AF424" s="57" t="n">
        <f aca="false">IF(OR($B424="",$E424="",$F424=""),0,MAX(0,MIN($F424,EOMONTH(DATE(cfg_FY,11,1),0))-MAX($E424,DATE(cfg_FY,11,1))+1)*(1-IF($M424="نعم",0,N($J424))))</f>
        <v>0</v>
      </c>
      <c r="AG424" s="57" t="n">
        <f aca="false">IF(OR($B424="",$E424="",$F424=""),0,MAX(0,MIN($F424,EOMONTH(DATE(cfg_FY,12,1),0))-MAX($E424,DATE(cfg_FY,12,1))+1)*(1-IF($M424="نعم",0,N($J424))))</f>
        <v>0</v>
      </c>
      <c r="AH424" s="57" t="n">
        <f aca="false">IF(OR(OR($B424="",$E424="",$F424=""),$L424&lt;&gt;"لا"),0,MAX(0,MIN($F424,EOMONTH(DATE(cfg_FY,1,1),0))-$E424+1))</f>
        <v>0</v>
      </c>
      <c r="AI424" s="57" t="n">
        <f aca="false">IF(OR(OR($B424="",$E424="",$F424=""),$L424&lt;&gt;"لا"),0,MAX(0,MIN($F424,EOMONTH(DATE(cfg_FY,2,1),0))-$E424+1))</f>
        <v>0</v>
      </c>
      <c r="AJ424" s="57" t="n">
        <f aca="false">IF(OR(OR($B424="",$E424="",$F424=""),$L424&lt;&gt;"لا"),0,MAX(0,MIN($F424,EOMONTH(DATE(cfg_FY,3,1),0))-$E424+1))</f>
        <v>0</v>
      </c>
      <c r="AK424" s="57" t="n">
        <f aca="false">IF(OR(OR($B424="",$E424="",$F424=""),$L424&lt;&gt;"لا"),0,MAX(0,MIN($F424,EOMONTH(DATE(cfg_FY,4,1),0))-$E424+1))</f>
        <v>0</v>
      </c>
      <c r="AL424" s="57" t="n">
        <f aca="false">IF(OR(OR($B424="",$E424="",$F424=""),$L424&lt;&gt;"لا"),0,MAX(0,MIN($F424,EOMONTH(DATE(cfg_FY,5,1),0))-$E424+1))</f>
        <v>0</v>
      </c>
      <c r="AM424" s="57" t="n">
        <f aca="false">IF(OR(OR($B424="",$E424="",$F424=""),$L424&lt;&gt;"لا"),0,MAX(0,MIN($F424,EOMONTH(DATE(cfg_FY,6,1),0))-$E424+1))</f>
        <v>0</v>
      </c>
      <c r="AN424" s="57" t="n">
        <f aca="false">IF(OR(OR($B424="",$E424="",$F424=""),$L424&lt;&gt;"لا"),0,MAX(0,MIN($F424,EOMONTH(DATE(cfg_FY,7,1),0))-$E424+1))</f>
        <v>0</v>
      </c>
      <c r="AO424" s="57" t="n">
        <f aca="false">IF(OR(OR($B424="",$E424="",$F424=""),$L424&lt;&gt;"لا"),0,MAX(0,MIN($F424,EOMONTH(DATE(cfg_FY,8,1),0))-$E424+1))</f>
        <v>0</v>
      </c>
      <c r="AP424" s="57" t="n">
        <f aca="false">IF(OR(OR($B424="",$E424="",$F424=""),$L424&lt;&gt;"لا"),0,MAX(0,MIN($F424,EOMONTH(DATE(cfg_FY,9,1),0))-$E424+1))</f>
        <v>0</v>
      </c>
      <c r="AQ424" s="57" t="n">
        <f aca="false">IF(OR(OR($B424="",$E424="",$F424=""),$L424&lt;&gt;"لا"),0,MAX(0,MIN($F424,EOMONTH(DATE(cfg_FY,10,1),0))-$E424+1))</f>
        <v>0</v>
      </c>
      <c r="AR424" s="57" t="n">
        <f aca="false">IF(OR(OR($B424="",$E424="",$F424=""),$L424&lt;&gt;"لا"),0,MAX(0,MIN($F424,EOMONTH(DATE(cfg_FY,11,1),0))-$E424+1))</f>
        <v>0</v>
      </c>
      <c r="AS424" s="57" t="n">
        <f aca="false">IF(OR(OR($B424="",$E424="",$F424=""),$L424&lt;&gt;"لا"),0,MAX(0,MIN($F424,EOMONTH(DATE(cfg_FY,12,1),0))-$E424+1))</f>
        <v>0</v>
      </c>
      <c r="AT424" s="57" t="n">
        <f aca="false">IF(OR(OR($B424="",$E424="",$F424=""),$K424&lt;&gt;"نعم",$M424="نعم"),0,MAX(0,MIN($F424,EOMONTH(DATE(cfg_FY,1,1),0))-MAX($E424,DATE(cfg_FY,1,1))+1))</f>
        <v>0</v>
      </c>
      <c r="AU424" s="57" t="n">
        <f aca="false">IF(OR(OR($B424="",$E424="",$F424=""),$K424&lt;&gt;"نعم",$M424="نعم"),0,MAX(0,MIN($F424,EOMONTH(DATE(cfg_FY,2,1),0))-MAX($E424,DATE(cfg_FY,2,1))+1))</f>
        <v>0</v>
      </c>
      <c r="AV424" s="57" t="n">
        <f aca="false">IF(OR(OR($B424="",$E424="",$F424=""),$K424&lt;&gt;"نعم",$M424="نعم"),0,MAX(0,MIN($F424,EOMONTH(DATE(cfg_FY,3,1),0))-MAX($E424,DATE(cfg_FY,3,1))+1))</f>
        <v>0</v>
      </c>
      <c r="AW424" s="57" t="n">
        <f aca="false">IF(OR(OR($B424="",$E424="",$F424=""),$K424&lt;&gt;"نعم",$M424="نعم"),0,MAX(0,MIN($F424,EOMONTH(DATE(cfg_FY,4,1),0))-MAX($E424,DATE(cfg_FY,4,1))+1))</f>
        <v>0</v>
      </c>
      <c r="AX424" s="57" t="n">
        <f aca="false">IF(OR(OR($B424="",$E424="",$F424=""),$K424&lt;&gt;"نعم",$M424="نعم"),0,MAX(0,MIN($F424,EOMONTH(DATE(cfg_FY,5,1),0))-MAX($E424,DATE(cfg_FY,5,1))+1))</f>
        <v>0</v>
      </c>
      <c r="AY424" s="57" t="n">
        <f aca="false">IF(OR(OR($B424="",$E424="",$F424=""),$K424&lt;&gt;"نعم",$M424="نعم"),0,MAX(0,MIN($F424,EOMONTH(DATE(cfg_FY,6,1),0))-MAX($E424,DATE(cfg_FY,6,1))+1))</f>
        <v>0</v>
      </c>
      <c r="AZ424" s="57" t="n">
        <f aca="false">IF(OR(OR($B424="",$E424="",$F424=""),$K424&lt;&gt;"نعم",$M424="نعم"),0,MAX(0,MIN($F424,EOMONTH(DATE(cfg_FY,7,1),0))-MAX($E424,DATE(cfg_FY,7,1))+1))</f>
        <v>0</v>
      </c>
      <c r="BA424" s="57" t="n">
        <f aca="false">IF(OR(OR($B424="",$E424="",$F424=""),$K424&lt;&gt;"نعم",$M424="نعم"),0,MAX(0,MIN($F424,EOMONTH(DATE(cfg_FY,8,1),0))-MAX($E424,DATE(cfg_FY,8,1))+1))</f>
        <v>0</v>
      </c>
      <c r="BB424" s="57" t="n">
        <f aca="false">IF(OR(OR($B424="",$E424="",$F424=""),$K424&lt;&gt;"نعم",$M424="نعم"),0,MAX(0,MIN($F424,EOMONTH(DATE(cfg_FY,9,1),0))-MAX($E424,DATE(cfg_FY,9,1))+1))</f>
        <v>0</v>
      </c>
      <c r="BC424" s="57" t="n">
        <f aca="false">IF(OR(OR($B424="",$E424="",$F424=""),$K424&lt;&gt;"نعم",$M424="نعم"),0,MAX(0,MIN($F424,EOMONTH(DATE(cfg_FY,10,1),0))-MAX($E424,DATE(cfg_FY,10,1))+1))</f>
        <v>0</v>
      </c>
      <c r="BD424" s="57" t="n">
        <f aca="false">IF(OR(OR($B424="",$E424="",$F424=""),$K424&lt;&gt;"نعم",$M424="نعم"),0,MAX(0,MIN($F424,EOMONTH(DATE(cfg_FY,11,1),0))-MAX($E424,DATE(cfg_FY,11,1))+1))</f>
        <v>0</v>
      </c>
      <c r="BE424" s="57" t="n">
        <f aca="false">IF(OR(OR($B424="",$E424="",$F424=""),$K424&lt;&gt;"نعم",$M424="نعم"),0,MAX(0,MIN($F424,EOMONTH(DATE(cfg_FY,12,1),0))-MAX($E424,DATE(cfg_FY,12,1))+1))</f>
        <v>0</v>
      </c>
    </row>
    <row r="425" customFormat="false" ht="15" hidden="false" customHeight="false" outlineLevel="0" collapsed="false">
      <c r="A425" s="100" t="str">
        <f aca="false">IF(B425="","",ROW()-5)</f>
        <v/>
      </c>
      <c r="B425" s="79"/>
      <c r="C425" s="102" t="str">
        <f aca="false">IF(B425="","",IFERROR(INDEX(الموظفون!$C$6:$C$105,MATCH(B425,الموظفون!$B$6:$B$105,0)),"✖ رقم غير موجود"))</f>
        <v/>
      </c>
      <c r="D425" s="79"/>
      <c r="E425" s="94"/>
      <c r="F425" s="94"/>
      <c r="G425" s="110" t="str">
        <f aca="false">IF(OR($B425="",$E425="",$F425=""),"",MAX(0,F425-E425+1))</f>
        <v/>
      </c>
      <c r="H425" s="111" t="str">
        <f aca="false">IF(D425="","",IFERROR(VLOOKUP(D425,cfg_LT,2,FALSE()),1))</f>
        <v/>
      </c>
      <c r="I425" s="82"/>
      <c r="J425" s="111" t="str">
        <f aca="false">IF(D425="","",IF(I425&lt;&gt;"",I425,H425))</f>
        <v/>
      </c>
      <c r="K425" s="102" t="str">
        <f aca="false">IF(D425="","",IFERROR(VLOOKUP($D425,cfg_LT,3,FALSE()),""))</f>
        <v/>
      </c>
      <c r="L425" s="102" t="str">
        <f aca="false">IF(D425="","",IFERROR(VLOOKUP($D425,cfg_LT,4,FALSE()),""))</f>
        <v/>
      </c>
      <c r="M425" s="102" t="str">
        <f aca="false">IF(D425="","",IFERROR(VLOOKUP($D425,cfg_LT,5,FALSE()),""))</f>
        <v/>
      </c>
      <c r="N425" s="101" t="n">
        <f aca="false">IF(OR(OR($B425="",$E425="",$F425=""),M425&lt;&gt;"نعم"),0,G425*J425*IFERROR(INDEX(الموظفون!$R$6:$R$105,MATCH(B425,الموظفون!$B$6:$B$105,0)),0)/cfg_DAYS_M)</f>
        <v>0</v>
      </c>
      <c r="O425" s="100" t="str">
        <f aca="false">IF(OR(OR($B425="",$E425="",$F425=""),M425&lt;&gt;"نعم"),"",IF(YEAR(E425)=cfg_FY,MONTH(E425),""))</f>
        <v/>
      </c>
      <c r="P425" s="102" t="str">
        <f aca="false">IF(B425="","",IF(OR(D425="",E425="",F425=""),"⚠ أكمل النوع والتواريخ",IF(F425&lt;E425,"✖ النهاية قبل البداية",IF(COUNTIFS($B$6:$B$505,B425,$E$6:$E$505,"&lt;="&amp;F425,$F$6:$F$505,"&gt;="&amp;E425)&gt;1,"⚠ تداخل مع سجل آخر",IF(E425&gt;cfg_VAL_DATE,"⏳ قادمة",IF(F425&lt;cfg_VAL_DATE,"✔ منتهية","✈ جارية في تاريخ التقرير"))))))</f>
        <v/>
      </c>
      <c r="Q425" s="79"/>
      <c r="R425" s="110" t="n">
        <f aca="false">IF(OR(OR($B425="",$E425="",$F425=""),L425&lt;&gt;"لا"),0,MAX(0,MIN(F425,cfg_Y_START-1)-E425+1))</f>
        <v>0</v>
      </c>
      <c r="S425" s="110" t="n">
        <f aca="false">IF(OR(OR($B425="",$E425="",$F425=""),L425&lt;&gt;"لا"),0,MAX(0,MIN(F425,cfg_VAL_DATE)-E425+1))</f>
        <v>0</v>
      </c>
      <c r="T425" s="110" t="n">
        <f aca="false">IF(OR(OR($B425="",$E425="",$F425=""),K425&lt;&gt;"نعم"),0,IF(M425="نعم",IF(AND(ISNUMBER(O425),N(O425)&lt;=cfg_VAL_M),G425,0),MAX(0,MIN(F425,cfg_VAL_DATE)-MAX(E425,cfg_Y_START)+1)))</f>
        <v>0</v>
      </c>
      <c r="V425" s="110" t="n">
        <f aca="false">IF(OR($B425="",$E425="",$F425=""),0,MAX(0,MIN($F425,EOMONTH(DATE(cfg_FY,1,1),0))-MAX($E425,DATE(cfg_FY,1,1))+1)*(1-IF($M425="نعم",0,N($J425))))</f>
        <v>0</v>
      </c>
      <c r="W425" s="110" t="n">
        <f aca="false">IF(OR($B425="",$E425="",$F425=""),0,MAX(0,MIN($F425,EOMONTH(DATE(cfg_FY,2,1),0))-MAX($E425,DATE(cfg_FY,2,1))+1)*(1-IF($M425="نعم",0,N($J425))))</f>
        <v>0</v>
      </c>
      <c r="X425" s="110" t="n">
        <f aca="false">IF(OR($B425="",$E425="",$F425=""),0,MAX(0,MIN($F425,EOMONTH(DATE(cfg_FY,3,1),0))-MAX($E425,DATE(cfg_FY,3,1))+1)*(1-IF($M425="نعم",0,N($J425))))</f>
        <v>0</v>
      </c>
      <c r="Y425" s="110" t="n">
        <f aca="false">IF(OR($B425="",$E425="",$F425=""),0,MAX(0,MIN($F425,EOMONTH(DATE(cfg_FY,4,1),0))-MAX($E425,DATE(cfg_FY,4,1))+1)*(1-IF($M425="نعم",0,N($J425))))</f>
        <v>0</v>
      </c>
      <c r="Z425" s="110" t="n">
        <f aca="false">IF(OR($B425="",$E425="",$F425=""),0,MAX(0,MIN($F425,EOMONTH(DATE(cfg_FY,5,1),0))-MAX($E425,DATE(cfg_FY,5,1))+1)*(1-IF($M425="نعم",0,N($J425))))</f>
        <v>0</v>
      </c>
      <c r="AA425" s="110" t="n">
        <f aca="false">IF(OR($B425="",$E425="",$F425=""),0,MAX(0,MIN($F425,EOMONTH(DATE(cfg_FY,6,1),0))-MAX($E425,DATE(cfg_FY,6,1))+1)*(1-IF($M425="نعم",0,N($J425))))</f>
        <v>0</v>
      </c>
      <c r="AB425" s="110" t="n">
        <f aca="false">IF(OR($B425="",$E425="",$F425=""),0,MAX(0,MIN($F425,EOMONTH(DATE(cfg_FY,7,1),0))-MAX($E425,DATE(cfg_FY,7,1))+1)*(1-IF($M425="نعم",0,N($J425))))</f>
        <v>0</v>
      </c>
      <c r="AC425" s="110" t="n">
        <f aca="false">IF(OR($B425="",$E425="",$F425=""),0,MAX(0,MIN($F425,EOMONTH(DATE(cfg_FY,8,1),0))-MAX($E425,DATE(cfg_FY,8,1))+1)*(1-IF($M425="نعم",0,N($J425))))</f>
        <v>0</v>
      </c>
      <c r="AD425" s="110" t="n">
        <f aca="false">IF(OR($B425="",$E425="",$F425=""),0,MAX(0,MIN($F425,EOMONTH(DATE(cfg_FY,9,1),0))-MAX($E425,DATE(cfg_FY,9,1))+1)*(1-IF($M425="نعم",0,N($J425))))</f>
        <v>0</v>
      </c>
      <c r="AE425" s="110" t="n">
        <f aca="false">IF(OR($B425="",$E425="",$F425=""),0,MAX(0,MIN($F425,EOMONTH(DATE(cfg_FY,10,1),0))-MAX($E425,DATE(cfg_FY,10,1))+1)*(1-IF($M425="نعم",0,N($J425))))</f>
        <v>0</v>
      </c>
      <c r="AF425" s="110" t="n">
        <f aca="false">IF(OR($B425="",$E425="",$F425=""),0,MAX(0,MIN($F425,EOMONTH(DATE(cfg_FY,11,1),0))-MAX($E425,DATE(cfg_FY,11,1))+1)*(1-IF($M425="نعم",0,N($J425))))</f>
        <v>0</v>
      </c>
      <c r="AG425" s="110" t="n">
        <f aca="false">IF(OR($B425="",$E425="",$F425=""),0,MAX(0,MIN($F425,EOMONTH(DATE(cfg_FY,12,1),0))-MAX($E425,DATE(cfg_FY,12,1))+1)*(1-IF($M425="نعم",0,N($J425))))</f>
        <v>0</v>
      </c>
      <c r="AH425" s="110" t="n">
        <f aca="false">IF(OR(OR($B425="",$E425="",$F425=""),$L425&lt;&gt;"لا"),0,MAX(0,MIN($F425,EOMONTH(DATE(cfg_FY,1,1),0))-$E425+1))</f>
        <v>0</v>
      </c>
      <c r="AI425" s="110" t="n">
        <f aca="false">IF(OR(OR($B425="",$E425="",$F425=""),$L425&lt;&gt;"لا"),0,MAX(0,MIN($F425,EOMONTH(DATE(cfg_FY,2,1),0))-$E425+1))</f>
        <v>0</v>
      </c>
      <c r="AJ425" s="110" t="n">
        <f aca="false">IF(OR(OR($B425="",$E425="",$F425=""),$L425&lt;&gt;"لا"),0,MAX(0,MIN($F425,EOMONTH(DATE(cfg_FY,3,1),0))-$E425+1))</f>
        <v>0</v>
      </c>
      <c r="AK425" s="110" t="n">
        <f aca="false">IF(OR(OR($B425="",$E425="",$F425=""),$L425&lt;&gt;"لا"),0,MAX(0,MIN($F425,EOMONTH(DATE(cfg_FY,4,1),0))-$E425+1))</f>
        <v>0</v>
      </c>
      <c r="AL425" s="110" t="n">
        <f aca="false">IF(OR(OR($B425="",$E425="",$F425=""),$L425&lt;&gt;"لا"),0,MAX(0,MIN($F425,EOMONTH(DATE(cfg_FY,5,1),0))-$E425+1))</f>
        <v>0</v>
      </c>
      <c r="AM425" s="110" t="n">
        <f aca="false">IF(OR(OR($B425="",$E425="",$F425=""),$L425&lt;&gt;"لا"),0,MAX(0,MIN($F425,EOMONTH(DATE(cfg_FY,6,1),0))-$E425+1))</f>
        <v>0</v>
      </c>
      <c r="AN425" s="110" t="n">
        <f aca="false">IF(OR(OR($B425="",$E425="",$F425=""),$L425&lt;&gt;"لا"),0,MAX(0,MIN($F425,EOMONTH(DATE(cfg_FY,7,1),0))-$E425+1))</f>
        <v>0</v>
      </c>
      <c r="AO425" s="110" t="n">
        <f aca="false">IF(OR(OR($B425="",$E425="",$F425=""),$L425&lt;&gt;"لا"),0,MAX(0,MIN($F425,EOMONTH(DATE(cfg_FY,8,1),0))-$E425+1))</f>
        <v>0</v>
      </c>
      <c r="AP425" s="110" t="n">
        <f aca="false">IF(OR(OR($B425="",$E425="",$F425=""),$L425&lt;&gt;"لا"),0,MAX(0,MIN($F425,EOMONTH(DATE(cfg_FY,9,1),0))-$E425+1))</f>
        <v>0</v>
      </c>
      <c r="AQ425" s="110" t="n">
        <f aca="false">IF(OR(OR($B425="",$E425="",$F425=""),$L425&lt;&gt;"لا"),0,MAX(0,MIN($F425,EOMONTH(DATE(cfg_FY,10,1),0))-$E425+1))</f>
        <v>0</v>
      </c>
      <c r="AR425" s="110" t="n">
        <f aca="false">IF(OR(OR($B425="",$E425="",$F425=""),$L425&lt;&gt;"لا"),0,MAX(0,MIN($F425,EOMONTH(DATE(cfg_FY,11,1),0))-$E425+1))</f>
        <v>0</v>
      </c>
      <c r="AS425" s="110" t="n">
        <f aca="false">IF(OR(OR($B425="",$E425="",$F425=""),$L425&lt;&gt;"لا"),0,MAX(0,MIN($F425,EOMONTH(DATE(cfg_FY,12,1),0))-$E425+1))</f>
        <v>0</v>
      </c>
      <c r="AT425" s="110" t="n">
        <f aca="false">IF(OR(OR($B425="",$E425="",$F425=""),$K425&lt;&gt;"نعم",$M425="نعم"),0,MAX(0,MIN($F425,EOMONTH(DATE(cfg_FY,1,1),0))-MAX($E425,DATE(cfg_FY,1,1))+1))</f>
        <v>0</v>
      </c>
      <c r="AU425" s="110" t="n">
        <f aca="false">IF(OR(OR($B425="",$E425="",$F425=""),$K425&lt;&gt;"نعم",$M425="نعم"),0,MAX(0,MIN($F425,EOMONTH(DATE(cfg_FY,2,1),0))-MAX($E425,DATE(cfg_FY,2,1))+1))</f>
        <v>0</v>
      </c>
      <c r="AV425" s="110" t="n">
        <f aca="false">IF(OR(OR($B425="",$E425="",$F425=""),$K425&lt;&gt;"نعم",$M425="نعم"),0,MAX(0,MIN($F425,EOMONTH(DATE(cfg_FY,3,1),0))-MAX($E425,DATE(cfg_FY,3,1))+1))</f>
        <v>0</v>
      </c>
      <c r="AW425" s="110" t="n">
        <f aca="false">IF(OR(OR($B425="",$E425="",$F425=""),$K425&lt;&gt;"نعم",$M425="نعم"),0,MAX(0,MIN($F425,EOMONTH(DATE(cfg_FY,4,1),0))-MAX($E425,DATE(cfg_FY,4,1))+1))</f>
        <v>0</v>
      </c>
      <c r="AX425" s="110" t="n">
        <f aca="false">IF(OR(OR($B425="",$E425="",$F425=""),$K425&lt;&gt;"نعم",$M425="نعم"),0,MAX(0,MIN($F425,EOMONTH(DATE(cfg_FY,5,1),0))-MAX($E425,DATE(cfg_FY,5,1))+1))</f>
        <v>0</v>
      </c>
      <c r="AY425" s="110" t="n">
        <f aca="false">IF(OR(OR($B425="",$E425="",$F425=""),$K425&lt;&gt;"نعم",$M425="نعم"),0,MAX(0,MIN($F425,EOMONTH(DATE(cfg_FY,6,1),0))-MAX($E425,DATE(cfg_FY,6,1))+1))</f>
        <v>0</v>
      </c>
      <c r="AZ425" s="110" t="n">
        <f aca="false">IF(OR(OR($B425="",$E425="",$F425=""),$K425&lt;&gt;"نعم",$M425="نعم"),0,MAX(0,MIN($F425,EOMONTH(DATE(cfg_FY,7,1),0))-MAX($E425,DATE(cfg_FY,7,1))+1))</f>
        <v>0</v>
      </c>
      <c r="BA425" s="110" t="n">
        <f aca="false">IF(OR(OR($B425="",$E425="",$F425=""),$K425&lt;&gt;"نعم",$M425="نعم"),0,MAX(0,MIN($F425,EOMONTH(DATE(cfg_FY,8,1),0))-MAX($E425,DATE(cfg_FY,8,1))+1))</f>
        <v>0</v>
      </c>
      <c r="BB425" s="110" t="n">
        <f aca="false">IF(OR(OR($B425="",$E425="",$F425=""),$K425&lt;&gt;"نعم",$M425="نعم"),0,MAX(0,MIN($F425,EOMONTH(DATE(cfg_FY,9,1),0))-MAX($E425,DATE(cfg_FY,9,1))+1))</f>
        <v>0</v>
      </c>
      <c r="BC425" s="110" t="n">
        <f aca="false">IF(OR(OR($B425="",$E425="",$F425=""),$K425&lt;&gt;"نعم",$M425="نعم"),0,MAX(0,MIN($F425,EOMONTH(DATE(cfg_FY,10,1),0))-MAX($E425,DATE(cfg_FY,10,1))+1))</f>
        <v>0</v>
      </c>
      <c r="BD425" s="110" t="n">
        <f aca="false">IF(OR(OR($B425="",$E425="",$F425=""),$K425&lt;&gt;"نعم",$M425="نعم"),0,MAX(0,MIN($F425,EOMONTH(DATE(cfg_FY,11,1),0))-MAX($E425,DATE(cfg_FY,11,1))+1))</f>
        <v>0</v>
      </c>
      <c r="BE425" s="110" t="n">
        <f aca="false">IF(OR(OR($B425="",$E425="",$F425=""),$K425&lt;&gt;"نعم",$M425="نعم"),0,MAX(0,MIN($F425,EOMONTH(DATE(cfg_FY,12,1),0))-MAX($E425,DATE(cfg_FY,12,1))+1))</f>
        <v>0</v>
      </c>
    </row>
    <row r="426" customFormat="false" ht="15" hidden="false" customHeight="false" outlineLevel="0" collapsed="false">
      <c r="A426" s="93" t="str">
        <f aca="false">IF(B426="","",ROW()-5)</f>
        <v/>
      </c>
      <c r="B426" s="79"/>
      <c r="C426" s="80" t="str">
        <f aca="false">IF(B426="","",IFERROR(INDEX(الموظفون!$C$6:$C$105,MATCH(B426,الموظفون!$B$6:$B$105,0)),"✖ رقم غير موجود"))</f>
        <v/>
      </c>
      <c r="D426" s="79"/>
      <c r="E426" s="94"/>
      <c r="F426" s="94"/>
      <c r="G426" s="57" t="str">
        <f aca="false">IF(OR($B426="",$E426="",$F426=""),"",MAX(0,F426-E426+1))</f>
        <v/>
      </c>
      <c r="H426" s="58" t="str">
        <f aca="false">IF(D426="","",IFERROR(VLOOKUP(D426,cfg_LT,2,FALSE()),1))</f>
        <v/>
      </c>
      <c r="I426" s="82"/>
      <c r="J426" s="58" t="str">
        <f aca="false">IF(D426="","",IF(I426&lt;&gt;"",I426,H426))</f>
        <v/>
      </c>
      <c r="K426" s="80" t="str">
        <f aca="false">IF(D426="","",IFERROR(VLOOKUP($D426,cfg_LT,3,FALSE()),""))</f>
        <v/>
      </c>
      <c r="L426" s="80" t="str">
        <f aca="false">IF(D426="","",IFERROR(VLOOKUP($D426,cfg_LT,4,FALSE()),""))</f>
        <v/>
      </c>
      <c r="M426" s="80" t="str">
        <f aca="false">IF(D426="","",IFERROR(VLOOKUP($D426,cfg_LT,5,FALSE()),""))</f>
        <v/>
      </c>
      <c r="N426" s="97" t="n">
        <f aca="false">IF(OR(OR($B426="",$E426="",$F426=""),M426&lt;&gt;"نعم"),0,G426*J426*IFERROR(INDEX(الموظفون!$R$6:$R$105,MATCH(B426,الموظفون!$B$6:$B$105,0)),0)/cfg_DAYS_M)</f>
        <v>0</v>
      </c>
      <c r="O426" s="93" t="str">
        <f aca="false">IF(OR(OR($B426="",$E426="",$F426=""),M426&lt;&gt;"نعم"),"",IF(YEAR(E426)=cfg_FY,MONTH(E426),""))</f>
        <v/>
      </c>
      <c r="P426" s="80" t="str">
        <f aca="false">IF(B426="","",IF(OR(D426="",E426="",F426=""),"⚠ أكمل النوع والتواريخ",IF(F426&lt;E426,"✖ النهاية قبل البداية",IF(COUNTIFS($B$6:$B$505,B426,$E$6:$E$505,"&lt;="&amp;F426,$F$6:$F$505,"&gt;="&amp;E426)&gt;1,"⚠ تداخل مع سجل آخر",IF(E426&gt;cfg_VAL_DATE,"⏳ قادمة",IF(F426&lt;cfg_VAL_DATE,"✔ منتهية","✈ جارية في تاريخ التقرير"))))))</f>
        <v/>
      </c>
      <c r="Q426" s="79"/>
      <c r="R426" s="57" t="n">
        <f aca="false">IF(OR(OR($B426="",$E426="",$F426=""),L426&lt;&gt;"لا"),0,MAX(0,MIN(F426,cfg_Y_START-1)-E426+1))</f>
        <v>0</v>
      </c>
      <c r="S426" s="57" t="n">
        <f aca="false">IF(OR(OR($B426="",$E426="",$F426=""),L426&lt;&gt;"لا"),0,MAX(0,MIN(F426,cfg_VAL_DATE)-E426+1))</f>
        <v>0</v>
      </c>
      <c r="T426" s="57" t="n">
        <f aca="false">IF(OR(OR($B426="",$E426="",$F426=""),K426&lt;&gt;"نعم"),0,IF(M426="نعم",IF(AND(ISNUMBER(O426),N(O426)&lt;=cfg_VAL_M),G426,0),MAX(0,MIN(F426,cfg_VAL_DATE)-MAX(E426,cfg_Y_START)+1)))</f>
        <v>0</v>
      </c>
      <c r="V426" s="57" t="n">
        <f aca="false">IF(OR($B426="",$E426="",$F426=""),0,MAX(0,MIN($F426,EOMONTH(DATE(cfg_FY,1,1),0))-MAX($E426,DATE(cfg_FY,1,1))+1)*(1-IF($M426="نعم",0,N($J426))))</f>
        <v>0</v>
      </c>
      <c r="W426" s="57" t="n">
        <f aca="false">IF(OR($B426="",$E426="",$F426=""),0,MAX(0,MIN($F426,EOMONTH(DATE(cfg_FY,2,1),0))-MAX($E426,DATE(cfg_FY,2,1))+1)*(1-IF($M426="نعم",0,N($J426))))</f>
        <v>0</v>
      </c>
      <c r="X426" s="57" t="n">
        <f aca="false">IF(OR($B426="",$E426="",$F426=""),0,MAX(0,MIN($F426,EOMONTH(DATE(cfg_FY,3,1),0))-MAX($E426,DATE(cfg_FY,3,1))+1)*(1-IF($M426="نعم",0,N($J426))))</f>
        <v>0</v>
      </c>
      <c r="Y426" s="57" t="n">
        <f aca="false">IF(OR($B426="",$E426="",$F426=""),0,MAX(0,MIN($F426,EOMONTH(DATE(cfg_FY,4,1),0))-MAX($E426,DATE(cfg_FY,4,1))+1)*(1-IF($M426="نعم",0,N($J426))))</f>
        <v>0</v>
      </c>
      <c r="Z426" s="57" t="n">
        <f aca="false">IF(OR($B426="",$E426="",$F426=""),0,MAX(0,MIN($F426,EOMONTH(DATE(cfg_FY,5,1),0))-MAX($E426,DATE(cfg_FY,5,1))+1)*(1-IF($M426="نعم",0,N($J426))))</f>
        <v>0</v>
      </c>
      <c r="AA426" s="57" t="n">
        <f aca="false">IF(OR($B426="",$E426="",$F426=""),0,MAX(0,MIN($F426,EOMONTH(DATE(cfg_FY,6,1),0))-MAX($E426,DATE(cfg_FY,6,1))+1)*(1-IF($M426="نعم",0,N($J426))))</f>
        <v>0</v>
      </c>
      <c r="AB426" s="57" t="n">
        <f aca="false">IF(OR($B426="",$E426="",$F426=""),0,MAX(0,MIN($F426,EOMONTH(DATE(cfg_FY,7,1),0))-MAX($E426,DATE(cfg_FY,7,1))+1)*(1-IF($M426="نعم",0,N($J426))))</f>
        <v>0</v>
      </c>
      <c r="AC426" s="57" t="n">
        <f aca="false">IF(OR($B426="",$E426="",$F426=""),0,MAX(0,MIN($F426,EOMONTH(DATE(cfg_FY,8,1),0))-MAX($E426,DATE(cfg_FY,8,1))+1)*(1-IF($M426="نعم",0,N($J426))))</f>
        <v>0</v>
      </c>
      <c r="AD426" s="57" t="n">
        <f aca="false">IF(OR($B426="",$E426="",$F426=""),0,MAX(0,MIN($F426,EOMONTH(DATE(cfg_FY,9,1),0))-MAX($E426,DATE(cfg_FY,9,1))+1)*(1-IF($M426="نعم",0,N($J426))))</f>
        <v>0</v>
      </c>
      <c r="AE426" s="57" t="n">
        <f aca="false">IF(OR($B426="",$E426="",$F426=""),0,MAX(0,MIN($F426,EOMONTH(DATE(cfg_FY,10,1),0))-MAX($E426,DATE(cfg_FY,10,1))+1)*(1-IF($M426="نعم",0,N($J426))))</f>
        <v>0</v>
      </c>
      <c r="AF426" s="57" t="n">
        <f aca="false">IF(OR($B426="",$E426="",$F426=""),0,MAX(0,MIN($F426,EOMONTH(DATE(cfg_FY,11,1),0))-MAX($E426,DATE(cfg_FY,11,1))+1)*(1-IF($M426="نعم",0,N($J426))))</f>
        <v>0</v>
      </c>
      <c r="AG426" s="57" t="n">
        <f aca="false">IF(OR($B426="",$E426="",$F426=""),0,MAX(0,MIN($F426,EOMONTH(DATE(cfg_FY,12,1),0))-MAX($E426,DATE(cfg_FY,12,1))+1)*(1-IF($M426="نعم",0,N($J426))))</f>
        <v>0</v>
      </c>
      <c r="AH426" s="57" t="n">
        <f aca="false">IF(OR(OR($B426="",$E426="",$F426=""),$L426&lt;&gt;"لا"),0,MAX(0,MIN($F426,EOMONTH(DATE(cfg_FY,1,1),0))-$E426+1))</f>
        <v>0</v>
      </c>
      <c r="AI426" s="57" t="n">
        <f aca="false">IF(OR(OR($B426="",$E426="",$F426=""),$L426&lt;&gt;"لا"),0,MAX(0,MIN($F426,EOMONTH(DATE(cfg_FY,2,1),0))-$E426+1))</f>
        <v>0</v>
      </c>
      <c r="AJ426" s="57" t="n">
        <f aca="false">IF(OR(OR($B426="",$E426="",$F426=""),$L426&lt;&gt;"لا"),0,MAX(0,MIN($F426,EOMONTH(DATE(cfg_FY,3,1),0))-$E426+1))</f>
        <v>0</v>
      </c>
      <c r="AK426" s="57" t="n">
        <f aca="false">IF(OR(OR($B426="",$E426="",$F426=""),$L426&lt;&gt;"لا"),0,MAX(0,MIN($F426,EOMONTH(DATE(cfg_FY,4,1),0))-$E426+1))</f>
        <v>0</v>
      </c>
      <c r="AL426" s="57" t="n">
        <f aca="false">IF(OR(OR($B426="",$E426="",$F426=""),$L426&lt;&gt;"لا"),0,MAX(0,MIN($F426,EOMONTH(DATE(cfg_FY,5,1),0))-$E426+1))</f>
        <v>0</v>
      </c>
      <c r="AM426" s="57" t="n">
        <f aca="false">IF(OR(OR($B426="",$E426="",$F426=""),$L426&lt;&gt;"لا"),0,MAX(0,MIN($F426,EOMONTH(DATE(cfg_FY,6,1),0))-$E426+1))</f>
        <v>0</v>
      </c>
      <c r="AN426" s="57" t="n">
        <f aca="false">IF(OR(OR($B426="",$E426="",$F426=""),$L426&lt;&gt;"لا"),0,MAX(0,MIN($F426,EOMONTH(DATE(cfg_FY,7,1),0))-$E426+1))</f>
        <v>0</v>
      </c>
      <c r="AO426" s="57" t="n">
        <f aca="false">IF(OR(OR($B426="",$E426="",$F426=""),$L426&lt;&gt;"لا"),0,MAX(0,MIN($F426,EOMONTH(DATE(cfg_FY,8,1),0))-$E426+1))</f>
        <v>0</v>
      </c>
      <c r="AP426" s="57" t="n">
        <f aca="false">IF(OR(OR($B426="",$E426="",$F426=""),$L426&lt;&gt;"لا"),0,MAX(0,MIN($F426,EOMONTH(DATE(cfg_FY,9,1),0))-$E426+1))</f>
        <v>0</v>
      </c>
      <c r="AQ426" s="57" t="n">
        <f aca="false">IF(OR(OR($B426="",$E426="",$F426=""),$L426&lt;&gt;"لا"),0,MAX(0,MIN($F426,EOMONTH(DATE(cfg_FY,10,1),0))-$E426+1))</f>
        <v>0</v>
      </c>
      <c r="AR426" s="57" t="n">
        <f aca="false">IF(OR(OR($B426="",$E426="",$F426=""),$L426&lt;&gt;"لا"),0,MAX(0,MIN($F426,EOMONTH(DATE(cfg_FY,11,1),0))-$E426+1))</f>
        <v>0</v>
      </c>
      <c r="AS426" s="57" t="n">
        <f aca="false">IF(OR(OR($B426="",$E426="",$F426=""),$L426&lt;&gt;"لا"),0,MAX(0,MIN($F426,EOMONTH(DATE(cfg_FY,12,1),0))-$E426+1))</f>
        <v>0</v>
      </c>
      <c r="AT426" s="57" t="n">
        <f aca="false">IF(OR(OR($B426="",$E426="",$F426=""),$K426&lt;&gt;"نعم",$M426="نعم"),0,MAX(0,MIN($F426,EOMONTH(DATE(cfg_FY,1,1),0))-MAX($E426,DATE(cfg_FY,1,1))+1))</f>
        <v>0</v>
      </c>
      <c r="AU426" s="57" t="n">
        <f aca="false">IF(OR(OR($B426="",$E426="",$F426=""),$K426&lt;&gt;"نعم",$M426="نعم"),0,MAX(0,MIN($F426,EOMONTH(DATE(cfg_FY,2,1),0))-MAX($E426,DATE(cfg_FY,2,1))+1))</f>
        <v>0</v>
      </c>
      <c r="AV426" s="57" t="n">
        <f aca="false">IF(OR(OR($B426="",$E426="",$F426=""),$K426&lt;&gt;"نعم",$M426="نعم"),0,MAX(0,MIN($F426,EOMONTH(DATE(cfg_FY,3,1),0))-MAX($E426,DATE(cfg_FY,3,1))+1))</f>
        <v>0</v>
      </c>
      <c r="AW426" s="57" t="n">
        <f aca="false">IF(OR(OR($B426="",$E426="",$F426=""),$K426&lt;&gt;"نعم",$M426="نعم"),0,MAX(0,MIN($F426,EOMONTH(DATE(cfg_FY,4,1),0))-MAX($E426,DATE(cfg_FY,4,1))+1))</f>
        <v>0</v>
      </c>
      <c r="AX426" s="57" t="n">
        <f aca="false">IF(OR(OR($B426="",$E426="",$F426=""),$K426&lt;&gt;"نعم",$M426="نعم"),0,MAX(0,MIN($F426,EOMONTH(DATE(cfg_FY,5,1),0))-MAX($E426,DATE(cfg_FY,5,1))+1))</f>
        <v>0</v>
      </c>
      <c r="AY426" s="57" t="n">
        <f aca="false">IF(OR(OR($B426="",$E426="",$F426=""),$K426&lt;&gt;"نعم",$M426="نعم"),0,MAX(0,MIN($F426,EOMONTH(DATE(cfg_FY,6,1),0))-MAX($E426,DATE(cfg_FY,6,1))+1))</f>
        <v>0</v>
      </c>
      <c r="AZ426" s="57" t="n">
        <f aca="false">IF(OR(OR($B426="",$E426="",$F426=""),$K426&lt;&gt;"نعم",$M426="نعم"),0,MAX(0,MIN($F426,EOMONTH(DATE(cfg_FY,7,1),0))-MAX($E426,DATE(cfg_FY,7,1))+1))</f>
        <v>0</v>
      </c>
      <c r="BA426" s="57" t="n">
        <f aca="false">IF(OR(OR($B426="",$E426="",$F426=""),$K426&lt;&gt;"نعم",$M426="نعم"),0,MAX(0,MIN($F426,EOMONTH(DATE(cfg_FY,8,1),0))-MAX($E426,DATE(cfg_FY,8,1))+1))</f>
        <v>0</v>
      </c>
      <c r="BB426" s="57" t="n">
        <f aca="false">IF(OR(OR($B426="",$E426="",$F426=""),$K426&lt;&gt;"نعم",$M426="نعم"),0,MAX(0,MIN($F426,EOMONTH(DATE(cfg_FY,9,1),0))-MAX($E426,DATE(cfg_FY,9,1))+1))</f>
        <v>0</v>
      </c>
      <c r="BC426" s="57" t="n">
        <f aca="false">IF(OR(OR($B426="",$E426="",$F426=""),$K426&lt;&gt;"نعم",$M426="نعم"),0,MAX(0,MIN($F426,EOMONTH(DATE(cfg_FY,10,1),0))-MAX($E426,DATE(cfg_FY,10,1))+1))</f>
        <v>0</v>
      </c>
      <c r="BD426" s="57" t="n">
        <f aca="false">IF(OR(OR($B426="",$E426="",$F426=""),$K426&lt;&gt;"نعم",$M426="نعم"),0,MAX(0,MIN($F426,EOMONTH(DATE(cfg_FY,11,1),0))-MAX($E426,DATE(cfg_FY,11,1))+1))</f>
        <v>0</v>
      </c>
      <c r="BE426" s="57" t="n">
        <f aca="false">IF(OR(OR($B426="",$E426="",$F426=""),$K426&lt;&gt;"نعم",$M426="نعم"),0,MAX(0,MIN($F426,EOMONTH(DATE(cfg_FY,12,1),0))-MAX($E426,DATE(cfg_FY,12,1))+1))</f>
        <v>0</v>
      </c>
    </row>
    <row r="427" customFormat="false" ht="15" hidden="false" customHeight="false" outlineLevel="0" collapsed="false">
      <c r="A427" s="100" t="str">
        <f aca="false">IF(B427="","",ROW()-5)</f>
        <v/>
      </c>
      <c r="B427" s="79"/>
      <c r="C427" s="102" t="str">
        <f aca="false">IF(B427="","",IFERROR(INDEX(الموظفون!$C$6:$C$105,MATCH(B427,الموظفون!$B$6:$B$105,0)),"✖ رقم غير موجود"))</f>
        <v/>
      </c>
      <c r="D427" s="79"/>
      <c r="E427" s="94"/>
      <c r="F427" s="94"/>
      <c r="G427" s="110" t="str">
        <f aca="false">IF(OR($B427="",$E427="",$F427=""),"",MAX(0,F427-E427+1))</f>
        <v/>
      </c>
      <c r="H427" s="111" t="str">
        <f aca="false">IF(D427="","",IFERROR(VLOOKUP(D427,cfg_LT,2,FALSE()),1))</f>
        <v/>
      </c>
      <c r="I427" s="82"/>
      <c r="J427" s="111" t="str">
        <f aca="false">IF(D427="","",IF(I427&lt;&gt;"",I427,H427))</f>
        <v/>
      </c>
      <c r="K427" s="102" t="str">
        <f aca="false">IF(D427="","",IFERROR(VLOOKUP($D427,cfg_LT,3,FALSE()),""))</f>
        <v/>
      </c>
      <c r="L427" s="102" t="str">
        <f aca="false">IF(D427="","",IFERROR(VLOOKUP($D427,cfg_LT,4,FALSE()),""))</f>
        <v/>
      </c>
      <c r="M427" s="102" t="str">
        <f aca="false">IF(D427="","",IFERROR(VLOOKUP($D427,cfg_LT,5,FALSE()),""))</f>
        <v/>
      </c>
      <c r="N427" s="101" t="n">
        <f aca="false">IF(OR(OR($B427="",$E427="",$F427=""),M427&lt;&gt;"نعم"),0,G427*J427*IFERROR(INDEX(الموظفون!$R$6:$R$105,MATCH(B427,الموظفون!$B$6:$B$105,0)),0)/cfg_DAYS_M)</f>
        <v>0</v>
      </c>
      <c r="O427" s="100" t="str">
        <f aca="false">IF(OR(OR($B427="",$E427="",$F427=""),M427&lt;&gt;"نعم"),"",IF(YEAR(E427)=cfg_FY,MONTH(E427),""))</f>
        <v/>
      </c>
      <c r="P427" s="102" t="str">
        <f aca="false">IF(B427="","",IF(OR(D427="",E427="",F427=""),"⚠ أكمل النوع والتواريخ",IF(F427&lt;E427,"✖ النهاية قبل البداية",IF(COUNTIFS($B$6:$B$505,B427,$E$6:$E$505,"&lt;="&amp;F427,$F$6:$F$505,"&gt;="&amp;E427)&gt;1,"⚠ تداخل مع سجل آخر",IF(E427&gt;cfg_VAL_DATE,"⏳ قادمة",IF(F427&lt;cfg_VAL_DATE,"✔ منتهية","✈ جارية في تاريخ التقرير"))))))</f>
        <v/>
      </c>
      <c r="Q427" s="79"/>
      <c r="R427" s="110" t="n">
        <f aca="false">IF(OR(OR($B427="",$E427="",$F427=""),L427&lt;&gt;"لا"),0,MAX(0,MIN(F427,cfg_Y_START-1)-E427+1))</f>
        <v>0</v>
      </c>
      <c r="S427" s="110" t="n">
        <f aca="false">IF(OR(OR($B427="",$E427="",$F427=""),L427&lt;&gt;"لا"),0,MAX(0,MIN(F427,cfg_VAL_DATE)-E427+1))</f>
        <v>0</v>
      </c>
      <c r="T427" s="110" t="n">
        <f aca="false">IF(OR(OR($B427="",$E427="",$F427=""),K427&lt;&gt;"نعم"),0,IF(M427="نعم",IF(AND(ISNUMBER(O427),N(O427)&lt;=cfg_VAL_M),G427,0),MAX(0,MIN(F427,cfg_VAL_DATE)-MAX(E427,cfg_Y_START)+1)))</f>
        <v>0</v>
      </c>
      <c r="V427" s="110" t="n">
        <f aca="false">IF(OR($B427="",$E427="",$F427=""),0,MAX(0,MIN($F427,EOMONTH(DATE(cfg_FY,1,1),0))-MAX($E427,DATE(cfg_FY,1,1))+1)*(1-IF($M427="نعم",0,N($J427))))</f>
        <v>0</v>
      </c>
      <c r="W427" s="110" t="n">
        <f aca="false">IF(OR($B427="",$E427="",$F427=""),0,MAX(0,MIN($F427,EOMONTH(DATE(cfg_FY,2,1),0))-MAX($E427,DATE(cfg_FY,2,1))+1)*(1-IF($M427="نعم",0,N($J427))))</f>
        <v>0</v>
      </c>
      <c r="X427" s="110" t="n">
        <f aca="false">IF(OR($B427="",$E427="",$F427=""),0,MAX(0,MIN($F427,EOMONTH(DATE(cfg_FY,3,1),0))-MAX($E427,DATE(cfg_FY,3,1))+1)*(1-IF($M427="نعم",0,N($J427))))</f>
        <v>0</v>
      </c>
      <c r="Y427" s="110" t="n">
        <f aca="false">IF(OR($B427="",$E427="",$F427=""),0,MAX(0,MIN($F427,EOMONTH(DATE(cfg_FY,4,1),0))-MAX($E427,DATE(cfg_FY,4,1))+1)*(1-IF($M427="نعم",0,N($J427))))</f>
        <v>0</v>
      </c>
      <c r="Z427" s="110" t="n">
        <f aca="false">IF(OR($B427="",$E427="",$F427=""),0,MAX(0,MIN($F427,EOMONTH(DATE(cfg_FY,5,1),0))-MAX($E427,DATE(cfg_FY,5,1))+1)*(1-IF($M427="نعم",0,N($J427))))</f>
        <v>0</v>
      </c>
      <c r="AA427" s="110" t="n">
        <f aca="false">IF(OR($B427="",$E427="",$F427=""),0,MAX(0,MIN($F427,EOMONTH(DATE(cfg_FY,6,1),0))-MAX($E427,DATE(cfg_FY,6,1))+1)*(1-IF($M427="نعم",0,N($J427))))</f>
        <v>0</v>
      </c>
      <c r="AB427" s="110" t="n">
        <f aca="false">IF(OR($B427="",$E427="",$F427=""),0,MAX(0,MIN($F427,EOMONTH(DATE(cfg_FY,7,1),0))-MAX($E427,DATE(cfg_FY,7,1))+1)*(1-IF($M427="نعم",0,N($J427))))</f>
        <v>0</v>
      </c>
      <c r="AC427" s="110" t="n">
        <f aca="false">IF(OR($B427="",$E427="",$F427=""),0,MAX(0,MIN($F427,EOMONTH(DATE(cfg_FY,8,1),0))-MAX($E427,DATE(cfg_FY,8,1))+1)*(1-IF($M427="نعم",0,N($J427))))</f>
        <v>0</v>
      </c>
      <c r="AD427" s="110" t="n">
        <f aca="false">IF(OR($B427="",$E427="",$F427=""),0,MAX(0,MIN($F427,EOMONTH(DATE(cfg_FY,9,1),0))-MAX($E427,DATE(cfg_FY,9,1))+1)*(1-IF($M427="نعم",0,N($J427))))</f>
        <v>0</v>
      </c>
      <c r="AE427" s="110" t="n">
        <f aca="false">IF(OR($B427="",$E427="",$F427=""),0,MAX(0,MIN($F427,EOMONTH(DATE(cfg_FY,10,1),0))-MAX($E427,DATE(cfg_FY,10,1))+1)*(1-IF($M427="نعم",0,N($J427))))</f>
        <v>0</v>
      </c>
      <c r="AF427" s="110" t="n">
        <f aca="false">IF(OR($B427="",$E427="",$F427=""),0,MAX(0,MIN($F427,EOMONTH(DATE(cfg_FY,11,1),0))-MAX($E427,DATE(cfg_FY,11,1))+1)*(1-IF($M427="نعم",0,N($J427))))</f>
        <v>0</v>
      </c>
      <c r="AG427" s="110" t="n">
        <f aca="false">IF(OR($B427="",$E427="",$F427=""),0,MAX(0,MIN($F427,EOMONTH(DATE(cfg_FY,12,1),0))-MAX($E427,DATE(cfg_FY,12,1))+1)*(1-IF($M427="نعم",0,N($J427))))</f>
        <v>0</v>
      </c>
      <c r="AH427" s="110" t="n">
        <f aca="false">IF(OR(OR($B427="",$E427="",$F427=""),$L427&lt;&gt;"لا"),0,MAX(0,MIN($F427,EOMONTH(DATE(cfg_FY,1,1),0))-$E427+1))</f>
        <v>0</v>
      </c>
      <c r="AI427" s="110" t="n">
        <f aca="false">IF(OR(OR($B427="",$E427="",$F427=""),$L427&lt;&gt;"لا"),0,MAX(0,MIN($F427,EOMONTH(DATE(cfg_FY,2,1),0))-$E427+1))</f>
        <v>0</v>
      </c>
      <c r="AJ427" s="110" t="n">
        <f aca="false">IF(OR(OR($B427="",$E427="",$F427=""),$L427&lt;&gt;"لا"),0,MAX(0,MIN($F427,EOMONTH(DATE(cfg_FY,3,1),0))-$E427+1))</f>
        <v>0</v>
      </c>
      <c r="AK427" s="110" t="n">
        <f aca="false">IF(OR(OR($B427="",$E427="",$F427=""),$L427&lt;&gt;"لا"),0,MAX(0,MIN($F427,EOMONTH(DATE(cfg_FY,4,1),0))-$E427+1))</f>
        <v>0</v>
      </c>
      <c r="AL427" s="110" t="n">
        <f aca="false">IF(OR(OR($B427="",$E427="",$F427=""),$L427&lt;&gt;"لا"),0,MAX(0,MIN($F427,EOMONTH(DATE(cfg_FY,5,1),0))-$E427+1))</f>
        <v>0</v>
      </c>
      <c r="AM427" s="110" t="n">
        <f aca="false">IF(OR(OR($B427="",$E427="",$F427=""),$L427&lt;&gt;"لا"),0,MAX(0,MIN($F427,EOMONTH(DATE(cfg_FY,6,1),0))-$E427+1))</f>
        <v>0</v>
      </c>
      <c r="AN427" s="110" t="n">
        <f aca="false">IF(OR(OR($B427="",$E427="",$F427=""),$L427&lt;&gt;"لا"),0,MAX(0,MIN($F427,EOMONTH(DATE(cfg_FY,7,1),0))-$E427+1))</f>
        <v>0</v>
      </c>
      <c r="AO427" s="110" t="n">
        <f aca="false">IF(OR(OR($B427="",$E427="",$F427=""),$L427&lt;&gt;"لا"),0,MAX(0,MIN($F427,EOMONTH(DATE(cfg_FY,8,1),0))-$E427+1))</f>
        <v>0</v>
      </c>
      <c r="AP427" s="110" t="n">
        <f aca="false">IF(OR(OR($B427="",$E427="",$F427=""),$L427&lt;&gt;"لا"),0,MAX(0,MIN($F427,EOMONTH(DATE(cfg_FY,9,1),0))-$E427+1))</f>
        <v>0</v>
      </c>
      <c r="AQ427" s="110" t="n">
        <f aca="false">IF(OR(OR($B427="",$E427="",$F427=""),$L427&lt;&gt;"لا"),0,MAX(0,MIN($F427,EOMONTH(DATE(cfg_FY,10,1),0))-$E427+1))</f>
        <v>0</v>
      </c>
      <c r="AR427" s="110" t="n">
        <f aca="false">IF(OR(OR($B427="",$E427="",$F427=""),$L427&lt;&gt;"لا"),0,MAX(0,MIN($F427,EOMONTH(DATE(cfg_FY,11,1),0))-$E427+1))</f>
        <v>0</v>
      </c>
      <c r="AS427" s="110" t="n">
        <f aca="false">IF(OR(OR($B427="",$E427="",$F427=""),$L427&lt;&gt;"لا"),0,MAX(0,MIN($F427,EOMONTH(DATE(cfg_FY,12,1),0))-$E427+1))</f>
        <v>0</v>
      </c>
      <c r="AT427" s="110" t="n">
        <f aca="false">IF(OR(OR($B427="",$E427="",$F427=""),$K427&lt;&gt;"نعم",$M427="نعم"),0,MAX(0,MIN($F427,EOMONTH(DATE(cfg_FY,1,1),0))-MAX($E427,DATE(cfg_FY,1,1))+1))</f>
        <v>0</v>
      </c>
      <c r="AU427" s="110" t="n">
        <f aca="false">IF(OR(OR($B427="",$E427="",$F427=""),$K427&lt;&gt;"نعم",$M427="نعم"),0,MAX(0,MIN($F427,EOMONTH(DATE(cfg_FY,2,1),0))-MAX($E427,DATE(cfg_FY,2,1))+1))</f>
        <v>0</v>
      </c>
      <c r="AV427" s="110" t="n">
        <f aca="false">IF(OR(OR($B427="",$E427="",$F427=""),$K427&lt;&gt;"نعم",$M427="نعم"),0,MAX(0,MIN($F427,EOMONTH(DATE(cfg_FY,3,1),0))-MAX($E427,DATE(cfg_FY,3,1))+1))</f>
        <v>0</v>
      </c>
      <c r="AW427" s="110" t="n">
        <f aca="false">IF(OR(OR($B427="",$E427="",$F427=""),$K427&lt;&gt;"نعم",$M427="نعم"),0,MAX(0,MIN($F427,EOMONTH(DATE(cfg_FY,4,1),0))-MAX($E427,DATE(cfg_FY,4,1))+1))</f>
        <v>0</v>
      </c>
      <c r="AX427" s="110" t="n">
        <f aca="false">IF(OR(OR($B427="",$E427="",$F427=""),$K427&lt;&gt;"نعم",$M427="نعم"),0,MAX(0,MIN($F427,EOMONTH(DATE(cfg_FY,5,1),0))-MAX($E427,DATE(cfg_FY,5,1))+1))</f>
        <v>0</v>
      </c>
      <c r="AY427" s="110" t="n">
        <f aca="false">IF(OR(OR($B427="",$E427="",$F427=""),$K427&lt;&gt;"نعم",$M427="نعم"),0,MAX(0,MIN($F427,EOMONTH(DATE(cfg_FY,6,1),0))-MAX($E427,DATE(cfg_FY,6,1))+1))</f>
        <v>0</v>
      </c>
      <c r="AZ427" s="110" t="n">
        <f aca="false">IF(OR(OR($B427="",$E427="",$F427=""),$K427&lt;&gt;"نعم",$M427="نعم"),0,MAX(0,MIN($F427,EOMONTH(DATE(cfg_FY,7,1),0))-MAX($E427,DATE(cfg_FY,7,1))+1))</f>
        <v>0</v>
      </c>
      <c r="BA427" s="110" t="n">
        <f aca="false">IF(OR(OR($B427="",$E427="",$F427=""),$K427&lt;&gt;"نعم",$M427="نعم"),0,MAX(0,MIN($F427,EOMONTH(DATE(cfg_FY,8,1),0))-MAX($E427,DATE(cfg_FY,8,1))+1))</f>
        <v>0</v>
      </c>
      <c r="BB427" s="110" t="n">
        <f aca="false">IF(OR(OR($B427="",$E427="",$F427=""),$K427&lt;&gt;"نعم",$M427="نعم"),0,MAX(0,MIN($F427,EOMONTH(DATE(cfg_FY,9,1),0))-MAX($E427,DATE(cfg_FY,9,1))+1))</f>
        <v>0</v>
      </c>
      <c r="BC427" s="110" t="n">
        <f aca="false">IF(OR(OR($B427="",$E427="",$F427=""),$K427&lt;&gt;"نعم",$M427="نعم"),0,MAX(0,MIN($F427,EOMONTH(DATE(cfg_FY,10,1),0))-MAX($E427,DATE(cfg_FY,10,1))+1))</f>
        <v>0</v>
      </c>
      <c r="BD427" s="110" t="n">
        <f aca="false">IF(OR(OR($B427="",$E427="",$F427=""),$K427&lt;&gt;"نعم",$M427="نعم"),0,MAX(0,MIN($F427,EOMONTH(DATE(cfg_FY,11,1),0))-MAX($E427,DATE(cfg_FY,11,1))+1))</f>
        <v>0</v>
      </c>
      <c r="BE427" s="110" t="n">
        <f aca="false">IF(OR(OR($B427="",$E427="",$F427=""),$K427&lt;&gt;"نعم",$M427="نعم"),0,MAX(0,MIN($F427,EOMONTH(DATE(cfg_FY,12,1),0))-MAX($E427,DATE(cfg_FY,12,1))+1))</f>
        <v>0</v>
      </c>
    </row>
    <row r="428" customFormat="false" ht="15" hidden="false" customHeight="false" outlineLevel="0" collapsed="false">
      <c r="A428" s="93" t="str">
        <f aca="false">IF(B428="","",ROW()-5)</f>
        <v/>
      </c>
      <c r="B428" s="79"/>
      <c r="C428" s="80" t="str">
        <f aca="false">IF(B428="","",IFERROR(INDEX(الموظفون!$C$6:$C$105,MATCH(B428,الموظفون!$B$6:$B$105,0)),"✖ رقم غير موجود"))</f>
        <v/>
      </c>
      <c r="D428" s="79"/>
      <c r="E428" s="94"/>
      <c r="F428" s="94"/>
      <c r="G428" s="57" t="str">
        <f aca="false">IF(OR($B428="",$E428="",$F428=""),"",MAX(0,F428-E428+1))</f>
        <v/>
      </c>
      <c r="H428" s="58" t="str">
        <f aca="false">IF(D428="","",IFERROR(VLOOKUP(D428,cfg_LT,2,FALSE()),1))</f>
        <v/>
      </c>
      <c r="I428" s="82"/>
      <c r="J428" s="58" t="str">
        <f aca="false">IF(D428="","",IF(I428&lt;&gt;"",I428,H428))</f>
        <v/>
      </c>
      <c r="K428" s="80" t="str">
        <f aca="false">IF(D428="","",IFERROR(VLOOKUP($D428,cfg_LT,3,FALSE()),""))</f>
        <v/>
      </c>
      <c r="L428" s="80" t="str">
        <f aca="false">IF(D428="","",IFERROR(VLOOKUP($D428,cfg_LT,4,FALSE()),""))</f>
        <v/>
      </c>
      <c r="M428" s="80" t="str">
        <f aca="false">IF(D428="","",IFERROR(VLOOKUP($D428,cfg_LT,5,FALSE()),""))</f>
        <v/>
      </c>
      <c r="N428" s="97" t="n">
        <f aca="false">IF(OR(OR($B428="",$E428="",$F428=""),M428&lt;&gt;"نعم"),0,G428*J428*IFERROR(INDEX(الموظفون!$R$6:$R$105,MATCH(B428,الموظفون!$B$6:$B$105,0)),0)/cfg_DAYS_M)</f>
        <v>0</v>
      </c>
      <c r="O428" s="93" t="str">
        <f aca="false">IF(OR(OR($B428="",$E428="",$F428=""),M428&lt;&gt;"نعم"),"",IF(YEAR(E428)=cfg_FY,MONTH(E428),""))</f>
        <v/>
      </c>
      <c r="P428" s="80" t="str">
        <f aca="false">IF(B428="","",IF(OR(D428="",E428="",F428=""),"⚠ أكمل النوع والتواريخ",IF(F428&lt;E428,"✖ النهاية قبل البداية",IF(COUNTIFS($B$6:$B$505,B428,$E$6:$E$505,"&lt;="&amp;F428,$F$6:$F$505,"&gt;="&amp;E428)&gt;1,"⚠ تداخل مع سجل آخر",IF(E428&gt;cfg_VAL_DATE,"⏳ قادمة",IF(F428&lt;cfg_VAL_DATE,"✔ منتهية","✈ جارية في تاريخ التقرير"))))))</f>
        <v/>
      </c>
      <c r="Q428" s="79"/>
      <c r="R428" s="57" t="n">
        <f aca="false">IF(OR(OR($B428="",$E428="",$F428=""),L428&lt;&gt;"لا"),0,MAX(0,MIN(F428,cfg_Y_START-1)-E428+1))</f>
        <v>0</v>
      </c>
      <c r="S428" s="57" t="n">
        <f aca="false">IF(OR(OR($B428="",$E428="",$F428=""),L428&lt;&gt;"لا"),0,MAX(0,MIN(F428,cfg_VAL_DATE)-E428+1))</f>
        <v>0</v>
      </c>
      <c r="T428" s="57" t="n">
        <f aca="false">IF(OR(OR($B428="",$E428="",$F428=""),K428&lt;&gt;"نعم"),0,IF(M428="نعم",IF(AND(ISNUMBER(O428),N(O428)&lt;=cfg_VAL_M),G428,0),MAX(0,MIN(F428,cfg_VAL_DATE)-MAX(E428,cfg_Y_START)+1)))</f>
        <v>0</v>
      </c>
      <c r="V428" s="57" t="n">
        <f aca="false">IF(OR($B428="",$E428="",$F428=""),0,MAX(0,MIN($F428,EOMONTH(DATE(cfg_FY,1,1),0))-MAX($E428,DATE(cfg_FY,1,1))+1)*(1-IF($M428="نعم",0,N($J428))))</f>
        <v>0</v>
      </c>
      <c r="W428" s="57" t="n">
        <f aca="false">IF(OR($B428="",$E428="",$F428=""),0,MAX(0,MIN($F428,EOMONTH(DATE(cfg_FY,2,1),0))-MAX($E428,DATE(cfg_FY,2,1))+1)*(1-IF($M428="نعم",0,N($J428))))</f>
        <v>0</v>
      </c>
      <c r="X428" s="57" t="n">
        <f aca="false">IF(OR($B428="",$E428="",$F428=""),0,MAX(0,MIN($F428,EOMONTH(DATE(cfg_FY,3,1),0))-MAX($E428,DATE(cfg_FY,3,1))+1)*(1-IF($M428="نعم",0,N($J428))))</f>
        <v>0</v>
      </c>
      <c r="Y428" s="57" t="n">
        <f aca="false">IF(OR($B428="",$E428="",$F428=""),0,MAX(0,MIN($F428,EOMONTH(DATE(cfg_FY,4,1),0))-MAX($E428,DATE(cfg_FY,4,1))+1)*(1-IF($M428="نعم",0,N($J428))))</f>
        <v>0</v>
      </c>
      <c r="Z428" s="57" t="n">
        <f aca="false">IF(OR($B428="",$E428="",$F428=""),0,MAX(0,MIN($F428,EOMONTH(DATE(cfg_FY,5,1),0))-MAX($E428,DATE(cfg_FY,5,1))+1)*(1-IF($M428="نعم",0,N($J428))))</f>
        <v>0</v>
      </c>
      <c r="AA428" s="57" t="n">
        <f aca="false">IF(OR($B428="",$E428="",$F428=""),0,MAX(0,MIN($F428,EOMONTH(DATE(cfg_FY,6,1),0))-MAX($E428,DATE(cfg_FY,6,1))+1)*(1-IF($M428="نعم",0,N($J428))))</f>
        <v>0</v>
      </c>
      <c r="AB428" s="57" t="n">
        <f aca="false">IF(OR($B428="",$E428="",$F428=""),0,MAX(0,MIN($F428,EOMONTH(DATE(cfg_FY,7,1),0))-MAX($E428,DATE(cfg_FY,7,1))+1)*(1-IF($M428="نعم",0,N($J428))))</f>
        <v>0</v>
      </c>
      <c r="AC428" s="57" t="n">
        <f aca="false">IF(OR($B428="",$E428="",$F428=""),0,MAX(0,MIN($F428,EOMONTH(DATE(cfg_FY,8,1),0))-MAX($E428,DATE(cfg_FY,8,1))+1)*(1-IF($M428="نعم",0,N($J428))))</f>
        <v>0</v>
      </c>
      <c r="AD428" s="57" t="n">
        <f aca="false">IF(OR($B428="",$E428="",$F428=""),0,MAX(0,MIN($F428,EOMONTH(DATE(cfg_FY,9,1),0))-MAX($E428,DATE(cfg_FY,9,1))+1)*(1-IF($M428="نعم",0,N($J428))))</f>
        <v>0</v>
      </c>
      <c r="AE428" s="57" t="n">
        <f aca="false">IF(OR($B428="",$E428="",$F428=""),0,MAX(0,MIN($F428,EOMONTH(DATE(cfg_FY,10,1),0))-MAX($E428,DATE(cfg_FY,10,1))+1)*(1-IF($M428="نعم",0,N($J428))))</f>
        <v>0</v>
      </c>
      <c r="AF428" s="57" t="n">
        <f aca="false">IF(OR($B428="",$E428="",$F428=""),0,MAX(0,MIN($F428,EOMONTH(DATE(cfg_FY,11,1),0))-MAX($E428,DATE(cfg_FY,11,1))+1)*(1-IF($M428="نعم",0,N($J428))))</f>
        <v>0</v>
      </c>
      <c r="AG428" s="57" t="n">
        <f aca="false">IF(OR($B428="",$E428="",$F428=""),0,MAX(0,MIN($F428,EOMONTH(DATE(cfg_FY,12,1),0))-MAX($E428,DATE(cfg_FY,12,1))+1)*(1-IF($M428="نعم",0,N($J428))))</f>
        <v>0</v>
      </c>
      <c r="AH428" s="57" t="n">
        <f aca="false">IF(OR(OR($B428="",$E428="",$F428=""),$L428&lt;&gt;"لا"),0,MAX(0,MIN($F428,EOMONTH(DATE(cfg_FY,1,1),0))-$E428+1))</f>
        <v>0</v>
      </c>
      <c r="AI428" s="57" t="n">
        <f aca="false">IF(OR(OR($B428="",$E428="",$F428=""),$L428&lt;&gt;"لا"),0,MAX(0,MIN($F428,EOMONTH(DATE(cfg_FY,2,1),0))-$E428+1))</f>
        <v>0</v>
      </c>
      <c r="AJ428" s="57" t="n">
        <f aca="false">IF(OR(OR($B428="",$E428="",$F428=""),$L428&lt;&gt;"لا"),0,MAX(0,MIN($F428,EOMONTH(DATE(cfg_FY,3,1),0))-$E428+1))</f>
        <v>0</v>
      </c>
      <c r="AK428" s="57" t="n">
        <f aca="false">IF(OR(OR($B428="",$E428="",$F428=""),$L428&lt;&gt;"لا"),0,MAX(0,MIN($F428,EOMONTH(DATE(cfg_FY,4,1),0))-$E428+1))</f>
        <v>0</v>
      </c>
      <c r="AL428" s="57" t="n">
        <f aca="false">IF(OR(OR($B428="",$E428="",$F428=""),$L428&lt;&gt;"لا"),0,MAX(0,MIN($F428,EOMONTH(DATE(cfg_FY,5,1),0))-$E428+1))</f>
        <v>0</v>
      </c>
      <c r="AM428" s="57" t="n">
        <f aca="false">IF(OR(OR($B428="",$E428="",$F428=""),$L428&lt;&gt;"لا"),0,MAX(0,MIN($F428,EOMONTH(DATE(cfg_FY,6,1),0))-$E428+1))</f>
        <v>0</v>
      </c>
      <c r="AN428" s="57" t="n">
        <f aca="false">IF(OR(OR($B428="",$E428="",$F428=""),$L428&lt;&gt;"لا"),0,MAX(0,MIN($F428,EOMONTH(DATE(cfg_FY,7,1),0))-$E428+1))</f>
        <v>0</v>
      </c>
      <c r="AO428" s="57" t="n">
        <f aca="false">IF(OR(OR($B428="",$E428="",$F428=""),$L428&lt;&gt;"لا"),0,MAX(0,MIN($F428,EOMONTH(DATE(cfg_FY,8,1),0))-$E428+1))</f>
        <v>0</v>
      </c>
      <c r="AP428" s="57" t="n">
        <f aca="false">IF(OR(OR($B428="",$E428="",$F428=""),$L428&lt;&gt;"لا"),0,MAX(0,MIN($F428,EOMONTH(DATE(cfg_FY,9,1),0))-$E428+1))</f>
        <v>0</v>
      </c>
      <c r="AQ428" s="57" t="n">
        <f aca="false">IF(OR(OR($B428="",$E428="",$F428=""),$L428&lt;&gt;"لا"),0,MAX(0,MIN($F428,EOMONTH(DATE(cfg_FY,10,1),0))-$E428+1))</f>
        <v>0</v>
      </c>
      <c r="AR428" s="57" t="n">
        <f aca="false">IF(OR(OR($B428="",$E428="",$F428=""),$L428&lt;&gt;"لا"),0,MAX(0,MIN($F428,EOMONTH(DATE(cfg_FY,11,1),0))-$E428+1))</f>
        <v>0</v>
      </c>
      <c r="AS428" s="57" t="n">
        <f aca="false">IF(OR(OR($B428="",$E428="",$F428=""),$L428&lt;&gt;"لا"),0,MAX(0,MIN($F428,EOMONTH(DATE(cfg_FY,12,1),0))-$E428+1))</f>
        <v>0</v>
      </c>
      <c r="AT428" s="57" t="n">
        <f aca="false">IF(OR(OR($B428="",$E428="",$F428=""),$K428&lt;&gt;"نعم",$M428="نعم"),0,MAX(0,MIN($F428,EOMONTH(DATE(cfg_FY,1,1),0))-MAX($E428,DATE(cfg_FY,1,1))+1))</f>
        <v>0</v>
      </c>
      <c r="AU428" s="57" t="n">
        <f aca="false">IF(OR(OR($B428="",$E428="",$F428=""),$K428&lt;&gt;"نعم",$M428="نعم"),0,MAX(0,MIN($F428,EOMONTH(DATE(cfg_FY,2,1),0))-MAX($E428,DATE(cfg_FY,2,1))+1))</f>
        <v>0</v>
      </c>
      <c r="AV428" s="57" t="n">
        <f aca="false">IF(OR(OR($B428="",$E428="",$F428=""),$K428&lt;&gt;"نعم",$M428="نعم"),0,MAX(0,MIN($F428,EOMONTH(DATE(cfg_FY,3,1),0))-MAX($E428,DATE(cfg_FY,3,1))+1))</f>
        <v>0</v>
      </c>
      <c r="AW428" s="57" t="n">
        <f aca="false">IF(OR(OR($B428="",$E428="",$F428=""),$K428&lt;&gt;"نعم",$M428="نعم"),0,MAX(0,MIN($F428,EOMONTH(DATE(cfg_FY,4,1),0))-MAX($E428,DATE(cfg_FY,4,1))+1))</f>
        <v>0</v>
      </c>
      <c r="AX428" s="57" t="n">
        <f aca="false">IF(OR(OR($B428="",$E428="",$F428=""),$K428&lt;&gt;"نعم",$M428="نعم"),0,MAX(0,MIN($F428,EOMONTH(DATE(cfg_FY,5,1),0))-MAX($E428,DATE(cfg_FY,5,1))+1))</f>
        <v>0</v>
      </c>
      <c r="AY428" s="57" t="n">
        <f aca="false">IF(OR(OR($B428="",$E428="",$F428=""),$K428&lt;&gt;"نعم",$M428="نعم"),0,MAX(0,MIN($F428,EOMONTH(DATE(cfg_FY,6,1),0))-MAX($E428,DATE(cfg_FY,6,1))+1))</f>
        <v>0</v>
      </c>
      <c r="AZ428" s="57" t="n">
        <f aca="false">IF(OR(OR($B428="",$E428="",$F428=""),$K428&lt;&gt;"نعم",$M428="نعم"),0,MAX(0,MIN($F428,EOMONTH(DATE(cfg_FY,7,1),0))-MAX($E428,DATE(cfg_FY,7,1))+1))</f>
        <v>0</v>
      </c>
      <c r="BA428" s="57" t="n">
        <f aca="false">IF(OR(OR($B428="",$E428="",$F428=""),$K428&lt;&gt;"نعم",$M428="نعم"),0,MAX(0,MIN($F428,EOMONTH(DATE(cfg_FY,8,1),0))-MAX($E428,DATE(cfg_FY,8,1))+1))</f>
        <v>0</v>
      </c>
      <c r="BB428" s="57" t="n">
        <f aca="false">IF(OR(OR($B428="",$E428="",$F428=""),$K428&lt;&gt;"نعم",$M428="نعم"),0,MAX(0,MIN($F428,EOMONTH(DATE(cfg_FY,9,1),0))-MAX($E428,DATE(cfg_FY,9,1))+1))</f>
        <v>0</v>
      </c>
      <c r="BC428" s="57" t="n">
        <f aca="false">IF(OR(OR($B428="",$E428="",$F428=""),$K428&lt;&gt;"نعم",$M428="نعم"),0,MAX(0,MIN($F428,EOMONTH(DATE(cfg_FY,10,1),0))-MAX($E428,DATE(cfg_FY,10,1))+1))</f>
        <v>0</v>
      </c>
      <c r="BD428" s="57" t="n">
        <f aca="false">IF(OR(OR($B428="",$E428="",$F428=""),$K428&lt;&gt;"نعم",$M428="نعم"),0,MAX(0,MIN($F428,EOMONTH(DATE(cfg_FY,11,1),0))-MAX($E428,DATE(cfg_FY,11,1))+1))</f>
        <v>0</v>
      </c>
      <c r="BE428" s="57" t="n">
        <f aca="false">IF(OR(OR($B428="",$E428="",$F428=""),$K428&lt;&gt;"نعم",$M428="نعم"),0,MAX(0,MIN($F428,EOMONTH(DATE(cfg_FY,12,1),0))-MAX($E428,DATE(cfg_FY,12,1))+1))</f>
        <v>0</v>
      </c>
    </row>
    <row r="429" customFormat="false" ht="15" hidden="false" customHeight="false" outlineLevel="0" collapsed="false">
      <c r="A429" s="100" t="str">
        <f aca="false">IF(B429="","",ROW()-5)</f>
        <v/>
      </c>
      <c r="B429" s="79"/>
      <c r="C429" s="102" t="str">
        <f aca="false">IF(B429="","",IFERROR(INDEX(الموظفون!$C$6:$C$105,MATCH(B429,الموظفون!$B$6:$B$105,0)),"✖ رقم غير موجود"))</f>
        <v/>
      </c>
      <c r="D429" s="79"/>
      <c r="E429" s="94"/>
      <c r="F429" s="94"/>
      <c r="G429" s="110" t="str">
        <f aca="false">IF(OR($B429="",$E429="",$F429=""),"",MAX(0,F429-E429+1))</f>
        <v/>
      </c>
      <c r="H429" s="111" t="str">
        <f aca="false">IF(D429="","",IFERROR(VLOOKUP(D429,cfg_LT,2,FALSE()),1))</f>
        <v/>
      </c>
      <c r="I429" s="82"/>
      <c r="J429" s="111" t="str">
        <f aca="false">IF(D429="","",IF(I429&lt;&gt;"",I429,H429))</f>
        <v/>
      </c>
      <c r="K429" s="102" t="str">
        <f aca="false">IF(D429="","",IFERROR(VLOOKUP($D429,cfg_LT,3,FALSE()),""))</f>
        <v/>
      </c>
      <c r="L429" s="102" t="str">
        <f aca="false">IF(D429="","",IFERROR(VLOOKUP($D429,cfg_LT,4,FALSE()),""))</f>
        <v/>
      </c>
      <c r="M429" s="102" t="str">
        <f aca="false">IF(D429="","",IFERROR(VLOOKUP($D429,cfg_LT,5,FALSE()),""))</f>
        <v/>
      </c>
      <c r="N429" s="101" t="n">
        <f aca="false">IF(OR(OR($B429="",$E429="",$F429=""),M429&lt;&gt;"نعم"),0,G429*J429*IFERROR(INDEX(الموظفون!$R$6:$R$105,MATCH(B429,الموظفون!$B$6:$B$105,0)),0)/cfg_DAYS_M)</f>
        <v>0</v>
      </c>
      <c r="O429" s="100" t="str">
        <f aca="false">IF(OR(OR($B429="",$E429="",$F429=""),M429&lt;&gt;"نعم"),"",IF(YEAR(E429)=cfg_FY,MONTH(E429),""))</f>
        <v/>
      </c>
      <c r="P429" s="102" t="str">
        <f aca="false">IF(B429="","",IF(OR(D429="",E429="",F429=""),"⚠ أكمل النوع والتواريخ",IF(F429&lt;E429,"✖ النهاية قبل البداية",IF(COUNTIFS($B$6:$B$505,B429,$E$6:$E$505,"&lt;="&amp;F429,$F$6:$F$505,"&gt;="&amp;E429)&gt;1,"⚠ تداخل مع سجل آخر",IF(E429&gt;cfg_VAL_DATE,"⏳ قادمة",IF(F429&lt;cfg_VAL_DATE,"✔ منتهية","✈ جارية في تاريخ التقرير"))))))</f>
        <v/>
      </c>
      <c r="Q429" s="79"/>
      <c r="R429" s="110" t="n">
        <f aca="false">IF(OR(OR($B429="",$E429="",$F429=""),L429&lt;&gt;"لا"),0,MAX(0,MIN(F429,cfg_Y_START-1)-E429+1))</f>
        <v>0</v>
      </c>
      <c r="S429" s="110" t="n">
        <f aca="false">IF(OR(OR($B429="",$E429="",$F429=""),L429&lt;&gt;"لا"),0,MAX(0,MIN(F429,cfg_VAL_DATE)-E429+1))</f>
        <v>0</v>
      </c>
      <c r="T429" s="110" t="n">
        <f aca="false">IF(OR(OR($B429="",$E429="",$F429=""),K429&lt;&gt;"نعم"),0,IF(M429="نعم",IF(AND(ISNUMBER(O429),N(O429)&lt;=cfg_VAL_M),G429,0),MAX(0,MIN(F429,cfg_VAL_DATE)-MAX(E429,cfg_Y_START)+1)))</f>
        <v>0</v>
      </c>
      <c r="V429" s="110" t="n">
        <f aca="false">IF(OR($B429="",$E429="",$F429=""),0,MAX(0,MIN($F429,EOMONTH(DATE(cfg_FY,1,1),0))-MAX($E429,DATE(cfg_FY,1,1))+1)*(1-IF($M429="نعم",0,N($J429))))</f>
        <v>0</v>
      </c>
      <c r="W429" s="110" t="n">
        <f aca="false">IF(OR($B429="",$E429="",$F429=""),0,MAX(0,MIN($F429,EOMONTH(DATE(cfg_FY,2,1),0))-MAX($E429,DATE(cfg_FY,2,1))+1)*(1-IF($M429="نعم",0,N($J429))))</f>
        <v>0</v>
      </c>
      <c r="X429" s="110" t="n">
        <f aca="false">IF(OR($B429="",$E429="",$F429=""),0,MAX(0,MIN($F429,EOMONTH(DATE(cfg_FY,3,1),0))-MAX($E429,DATE(cfg_FY,3,1))+1)*(1-IF($M429="نعم",0,N($J429))))</f>
        <v>0</v>
      </c>
      <c r="Y429" s="110" t="n">
        <f aca="false">IF(OR($B429="",$E429="",$F429=""),0,MAX(0,MIN($F429,EOMONTH(DATE(cfg_FY,4,1),0))-MAX($E429,DATE(cfg_FY,4,1))+1)*(1-IF($M429="نعم",0,N($J429))))</f>
        <v>0</v>
      </c>
      <c r="Z429" s="110" t="n">
        <f aca="false">IF(OR($B429="",$E429="",$F429=""),0,MAX(0,MIN($F429,EOMONTH(DATE(cfg_FY,5,1),0))-MAX($E429,DATE(cfg_FY,5,1))+1)*(1-IF($M429="نعم",0,N($J429))))</f>
        <v>0</v>
      </c>
      <c r="AA429" s="110" t="n">
        <f aca="false">IF(OR($B429="",$E429="",$F429=""),0,MAX(0,MIN($F429,EOMONTH(DATE(cfg_FY,6,1),0))-MAX($E429,DATE(cfg_FY,6,1))+1)*(1-IF($M429="نعم",0,N($J429))))</f>
        <v>0</v>
      </c>
      <c r="AB429" s="110" t="n">
        <f aca="false">IF(OR($B429="",$E429="",$F429=""),0,MAX(0,MIN($F429,EOMONTH(DATE(cfg_FY,7,1),0))-MAX($E429,DATE(cfg_FY,7,1))+1)*(1-IF($M429="نعم",0,N($J429))))</f>
        <v>0</v>
      </c>
      <c r="AC429" s="110" t="n">
        <f aca="false">IF(OR($B429="",$E429="",$F429=""),0,MAX(0,MIN($F429,EOMONTH(DATE(cfg_FY,8,1),0))-MAX($E429,DATE(cfg_FY,8,1))+1)*(1-IF($M429="نعم",0,N($J429))))</f>
        <v>0</v>
      </c>
      <c r="AD429" s="110" t="n">
        <f aca="false">IF(OR($B429="",$E429="",$F429=""),0,MAX(0,MIN($F429,EOMONTH(DATE(cfg_FY,9,1),0))-MAX($E429,DATE(cfg_FY,9,1))+1)*(1-IF($M429="نعم",0,N($J429))))</f>
        <v>0</v>
      </c>
      <c r="AE429" s="110" t="n">
        <f aca="false">IF(OR($B429="",$E429="",$F429=""),0,MAX(0,MIN($F429,EOMONTH(DATE(cfg_FY,10,1),0))-MAX($E429,DATE(cfg_FY,10,1))+1)*(1-IF($M429="نعم",0,N($J429))))</f>
        <v>0</v>
      </c>
      <c r="AF429" s="110" t="n">
        <f aca="false">IF(OR($B429="",$E429="",$F429=""),0,MAX(0,MIN($F429,EOMONTH(DATE(cfg_FY,11,1),0))-MAX($E429,DATE(cfg_FY,11,1))+1)*(1-IF($M429="نعم",0,N($J429))))</f>
        <v>0</v>
      </c>
      <c r="AG429" s="110" t="n">
        <f aca="false">IF(OR($B429="",$E429="",$F429=""),0,MAX(0,MIN($F429,EOMONTH(DATE(cfg_FY,12,1),0))-MAX($E429,DATE(cfg_FY,12,1))+1)*(1-IF($M429="نعم",0,N($J429))))</f>
        <v>0</v>
      </c>
      <c r="AH429" s="110" t="n">
        <f aca="false">IF(OR(OR($B429="",$E429="",$F429=""),$L429&lt;&gt;"لا"),0,MAX(0,MIN($F429,EOMONTH(DATE(cfg_FY,1,1),0))-$E429+1))</f>
        <v>0</v>
      </c>
      <c r="AI429" s="110" t="n">
        <f aca="false">IF(OR(OR($B429="",$E429="",$F429=""),$L429&lt;&gt;"لا"),0,MAX(0,MIN($F429,EOMONTH(DATE(cfg_FY,2,1),0))-$E429+1))</f>
        <v>0</v>
      </c>
      <c r="AJ429" s="110" t="n">
        <f aca="false">IF(OR(OR($B429="",$E429="",$F429=""),$L429&lt;&gt;"لا"),0,MAX(0,MIN($F429,EOMONTH(DATE(cfg_FY,3,1),0))-$E429+1))</f>
        <v>0</v>
      </c>
      <c r="AK429" s="110" t="n">
        <f aca="false">IF(OR(OR($B429="",$E429="",$F429=""),$L429&lt;&gt;"لا"),0,MAX(0,MIN($F429,EOMONTH(DATE(cfg_FY,4,1),0))-$E429+1))</f>
        <v>0</v>
      </c>
      <c r="AL429" s="110" t="n">
        <f aca="false">IF(OR(OR($B429="",$E429="",$F429=""),$L429&lt;&gt;"لا"),0,MAX(0,MIN($F429,EOMONTH(DATE(cfg_FY,5,1),0))-$E429+1))</f>
        <v>0</v>
      </c>
      <c r="AM429" s="110" t="n">
        <f aca="false">IF(OR(OR($B429="",$E429="",$F429=""),$L429&lt;&gt;"لا"),0,MAX(0,MIN($F429,EOMONTH(DATE(cfg_FY,6,1),0))-$E429+1))</f>
        <v>0</v>
      </c>
      <c r="AN429" s="110" t="n">
        <f aca="false">IF(OR(OR($B429="",$E429="",$F429=""),$L429&lt;&gt;"لا"),0,MAX(0,MIN($F429,EOMONTH(DATE(cfg_FY,7,1),0))-$E429+1))</f>
        <v>0</v>
      </c>
      <c r="AO429" s="110" t="n">
        <f aca="false">IF(OR(OR($B429="",$E429="",$F429=""),$L429&lt;&gt;"لا"),0,MAX(0,MIN($F429,EOMONTH(DATE(cfg_FY,8,1),0))-$E429+1))</f>
        <v>0</v>
      </c>
      <c r="AP429" s="110" t="n">
        <f aca="false">IF(OR(OR($B429="",$E429="",$F429=""),$L429&lt;&gt;"لا"),0,MAX(0,MIN($F429,EOMONTH(DATE(cfg_FY,9,1),0))-$E429+1))</f>
        <v>0</v>
      </c>
      <c r="AQ429" s="110" t="n">
        <f aca="false">IF(OR(OR($B429="",$E429="",$F429=""),$L429&lt;&gt;"لا"),0,MAX(0,MIN($F429,EOMONTH(DATE(cfg_FY,10,1),0))-$E429+1))</f>
        <v>0</v>
      </c>
      <c r="AR429" s="110" t="n">
        <f aca="false">IF(OR(OR($B429="",$E429="",$F429=""),$L429&lt;&gt;"لا"),0,MAX(0,MIN($F429,EOMONTH(DATE(cfg_FY,11,1),0))-$E429+1))</f>
        <v>0</v>
      </c>
      <c r="AS429" s="110" t="n">
        <f aca="false">IF(OR(OR($B429="",$E429="",$F429=""),$L429&lt;&gt;"لا"),0,MAX(0,MIN($F429,EOMONTH(DATE(cfg_FY,12,1),0))-$E429+1))</f>
        <v>0</v>
      </c>
      <c r="AT429" s="110" t="n">
        <f aca="false">IF(OR(OR($B429="",$E429="",$F429=""),$K429&lt;&gt;"نعم",$M429="نعم"),0,MAX(0,MIN($F429,EOMONTH(DATE(cfg_FY,1,1),0))-MAX($E429,DATE(cfg_FY,1,1))+1))</f>
        <v>0</v>
      </c>
      <c r="AU429" s="110" t="n">
        <f aca="false">IF(OR(OR($B429="",$E429="",$F429=""),$K429&lt;&gt;"نعم",$M429="نعم"),0,MAX(0,MIN($F429,EOMONTH(DATE(cfg_FY,2,1),0))-MAX($E429,DATE(cfg_FY,2,1))+1))</f>
        <v>0</v>
      </c>
      <c r="AV429" s="110" t="n">
        <f aca="false">IF(OR(OR($B429="",$E429="",$F429=""),$K429&lt;&gt;"نعم",$M429="نعم"),0,MAX(0,MIN($F429,EOMONTH(DATE(cfg_FY,3,1),0))-MAX($E429,DATE(cfg_FY,3,1))+1))</f>
        <v>0</v>
      </c>
      <c r="AW429" s="110" t="n">
        <f aca="false">IF(OR(OR($B429="",$E429="",$F429=""),$K429&lt;&gt;"نعم",$M429="نعم"),0,MAX(0,MIN($F429,EOMONTH(DATE(cfg_FY,4,1),0))-MAX($E429,DATE(cfg_FY,4,1))+1))</f>
        <v>0</v>
      </c>
      <c r="AX429" s="110" t="n">
        <f aca="false">IF(OR(OR($B429="",$E429="",$F429=""),$K429&lt;&gt;"نعم",$M429="نعم"),0,MAX(0,MIN($F429,EOMONTH(DATE(cfg_FY,5,1),0))-MAX($E429,DATE(cfg_FY,5,1))+1))</f>
        <v>0</v>
      </c>
      <c r="AY429" s="110" t="n">
        <f aca="false">IF(OR(OR($B429="",$E429="",$F429=""),$K429&lt;&gt;"نعم",$M429="نعم"),0,MAX(0,MIN($F429,EOMONTH(DATE(cfg_FY,6,1),0))-MAX($E429,DATE(cfg_FY,6,1))+1))</f>
        <v>0</v>
      </c>
      <c r="AZ429" s="110" t="n">
        <f aca="false">IF(OR(OR($B429="",$E429="",$F429=""),$K429&lt;&gt;"نعم",$M429="نعم"),0,MAX(0,MIN($F429,EOMONTH(DATE(cfg_FY,7,1),0))-MAX($E429,DATE(cfg_FY,7,1))+1))</f>
        <v>0</v>
      </c>
      <c r="BA429" s="110" t="n">
        <f aca="false">IF(OR(OR($B429="",$E429="",$F429=""),$K429&lt;&gt;"نعم",$M429="نعم"),0,MAX(0,MIN($F429,EOMONTH(DATE(cfg_FY,8,1),0))-MAX($E429,DATE(cfg_FY,8,1))+1))</f>
        <v>0</v>
      </c>
      <c r="BB429" s="110" t="n">
        <f aca="false">IF(OR(OR($B429="",$E429="",$F429=""),$K429&lt;&gt;"نعم",$M429="نعم"),0,MAX(0,MIN($F429,EOMONTH(DATE(cfg_FY,9,1),0))-MAX($E429,DATE(cfg_FY,9,1))+1))</f>
        <v>0</v>
      </c>
      <c r="BC429" s="110" t="n">
        <f aca="false">IF(OR(OR($B429="",$E429="",$F429=""),$K429&lt;&gt;"نعم",$M429="نعم"),0,MAX(0,MIN($F429,EOMONTH(DATE(cfg_FY,10,1),0))-MAX($E429,DATE(cfg_FY,10,1))+1))</f>
        <v>0</v>
      </c>
      <c r="BD429" s="110" t="n">
        <f aca="false">IF(OR(OR($B429="",$E429="",$F429=""),$K429&lt;&gt;"نعم",$M429="نعم"),0,MAX(0,MIN($F429,EOMONTH(DATE(cfg_FY,11,1),0))-MAX($E429,DATE(cfg_FY,11,1))+1))</f>
        <v>0</v>
      </c>
      <c r="BE429" s="110" t="n">
        <f aca="false">IF(OR(OR($B429="",$E429="",$F429=""),$K429&lt;&gt;"نعم",$M429="نعم"),0,MAX(0,MIN($F429,EOMONTH(DATE(cfg_FY,12,1),0))-MAX($E429,DATE(cfg_FY,12,1))+1))</f>
        <v>0</v>
      </c>
    </row>
    <row r="430" customFormat="false" ht="15" hidden="false" customHeight="false" outlineLevel="0" collapsed="false">
      <c r="A430" s="93" t="str">
        <f aca="false">IF(B430="","",ROW()-5)</f>
        <v/>
      </c>
      <c r="B430" s="79"/>
      <c r="C430" s="80" t="str">
        <f aca="false">IF(B430="","",IFERROR(INDEX(الموظفون!$C$6:$C$105,MATCH(B430,الموظفون!$B$6:$B$105,0)),"✖ رقم غير موجود"))</f>
        <v/>
      </c>
      <c r="D430" s="79"/>
      <c r="E430" s="94"/>
      <c r="F430" s="94"/>
      <c r="G430" s="57" t="str">
        <f aca="false">IF(OR($B430="",$E430="",$F430=""),"",MAX(0,F430-E430+1))</f>
        <v/>
      </c>
      <c r="H430" s="58" t="str">
        <f aca="false">IF(D430="","",IFERROR(VLOOKUP(D430,cfg_LT,2,FALSE()),1))</f>
        <v/>
      </c>
      <c r="I430" s="82"/>
      <c r="J430" s="58" t="str">
        <f aca="false">IF(D430="","",IF(I430&lt;&gt;"",I430,H430))</f>
        <v/>
      </c>
      <c r="K430" s="80" t="str">
        <f aca="false">IF(D430="","",IFERROR(VLOOKUP($D430,cfg_LT,3,FALSE()),""))</f>
        <v/>
      </c>
      <c r="L430" s="80" t="str">
        <f aca="false">IF(D430="","",IFERROR(VLOOKUP($D430,cfg_LT,4,FALSE()),""))</f>
        <v/>
      </c>
      <c r="M430" s="80" t="str">
        <f aca="false">IF(D430="","",IFERROR(VLOOKUP($D430,cfg_LT,5,FALSE()),""))</f>
        <v/>
      </c>
      <c r="N430" s="97" t="n">
        <f aca="false">IF(OR(OR($B430="",$E430="",$F430=""),M430&lt;&gt;"نعم"),0,G430*J430*IFERROR(INDEX(الموظفون!$R$6:$R$105,MATCH(B430,الموظفون!$B$6:$B$105,0)),0)/cfg_DAYS_M)</f>
        <v>0</v>
      </c>
      <c r="O430" s="93" t="str">
        <f aca="false">IF(OR(OR($B430="",$E430="",$F430=""),M430&lt;&gt;"نعم"),"",IF(YEAR(E430)=cfg_FY,MONTH(E430),""))</f>
        <v/>
      </c>
      <c r="P430" s="80" t="str">
        <f aca="false">IF(B430="","",IF(OR(D430="",E430="",F430=""),"⚠ أكمل النوع والتواريخ",IF(F430&lt;E430,"✖ النهاية قبل البداية",IF(COUNTIFS($B$6:$B$505,B430,$E$6:$E$505,"&lt;="&amp;F430,$F$6:$F$505,"&gt;="&amp;E430)&gt;1,"⚠ تداخل مع سجل آخر",IF(E430&gt;cfg_VAL_DATE,"⏳ قادمة",IF(F430&lt;cfg_VAL_DATE,"✔ منتهية","✈ جارية في تاريخ التقرير"))))))</f>
        <v/>
      </c>
      <c r="Q430" s="79"/>
      <c r="R430" s="57" t="n">
        <f aca="false">IF(OR(OR($B430="",$E430="",$F430=""),L430&lt;&gt;"لا"),0,MAX(0,MIN(F430,cfg_Y_START-1)-E430+1))</f>
        <v>0</v>
      </c>
      <c r="S430" s="57" t="n">
        <f aca="false">IF(OR(OR($B430="",$E430="",$F430=""),L430&lt;&gt;"لا"),0,MAX(0,MIN(F430,cfg_VAL_DATE)-E430+1))</f>
        <v>0</v>
      </c>
      <c r="T430" s="57" t="n">
        <f aca="false">IF(OR(OR($B430="",$E430="",$F430=""),K430&lt;&gt;"نعم"),0,IF(M430="نعم",IF(AND(ISNUMBER(O430),N(O430)&lt;=cfg_VAL_M),G430,0),MAX(0,MIN(F430,cfg_VAL_DATE)-MAX(E430,cfg_Y_START)+1)))</f>
        <v>0</v>
      </c>
      <c r="V430" s="57" t="n">
        <f aca="false">IF(OR($B430="",$E430="",$F430=""),0,MAX(0,MIN($F430,EOMONTH(DATE(cfg_FY,1,1),0))-MAX($E430,DATE(cfg_FY,1,1))+1)*(1-IF($M430="نعم",0,N($J430))))</f>
        <v>0</v>
      </c>
      <c r="W430" s="57" t="n">
        <f aca="false">IF(OR($B430="",$E430="",$F430=""),0,MAX(0,MIN($F430,EOMONTH(DATE(cfg_FY,2,1),0))-MAX($E430,DATE(cfg_FY,2,1))+1)*(1-IF($M430="نعم",0,N($J430))))</f>
        <v>0</v>
      </c>
      <c r="X430" s="57" t="n">
        <f aca="false">IF(OR($B430="",$E430="",$F430=""),0,MAX(0,MIN($F430,EOMONTH(DATE(cfg_FY,3,1),0))-MAX($E430,DATE(cfg_FY,3,1))+1)*(1-IF($M430="نعم",0,N($J430))))</f>
        <v>0</v>
      </c>
      <c r="Y430" s="57" t="n">
        <f aca="false">IF(OR($B430="",$E430="",$F430=""),0,MAX(0,MIN($F430,EOMONTH(DATE(cfg_FY,4,1),0))-MAX($E430,DATE(cfg_FY,4,1))+1)*(1-IF($M430="نعم",0,N($J430))))</f>
        <v>0</v>
      </c>
      <c r="Z430" s="57" t="n">
        <f aca="false">IF(OR($B430="",$E430="",$F430=""),0,MAX(0,MIN($F430,EOMONTH(DATE(cfg_FY,5,1),0))-MAX($E430,DATE(cfg_FY,5,1))+1)*(1-IF($M430="نعم",0,N($J430))))</f>
        <v>0</v>
      </c>
      <c r="AA430" s="57" t="n">
        <f aca="false">IF(OR($B430="",$E430="",$F430=""),0,MAX(0,MIN($F430,EOMONTH(DATE(cfg_FY,6,1),0))-MAX($E430,DATE(cfg_FY,6,1))+1)*(1-IF($M430="نعم",0,N($J430))))</f>
        <v>0</v>
      </c>
      <c r="AB430" s="57" t="n">
        <f aca="false">IF(OR($B430="",$E430="",$F430=""),0,MAX(0,MIN($F430,EOMONTH(DATE(cfg_FY,7,1),0))-MAX($E430,DATE(cfg_FY,7,1))+1)*(1-IF($M430="نعم",0,N($J430))))</f>
        <v>0</v>
      </c>
      <c r="AC430" s="57" t="n">
        <f aca="false">IF(OR($B430="",$E430="",$F430=""),0,MAX(0,MIN($F430,EOMONTH(DATE(cfg_FY,8,1),0))-MAX($E430,DATE(cfg_FY,8,1))+1)*(1-IF($M430="نعم",0,N($J430))))</f>
        <v>0</v>
      </c>
      <c r="AD430" s="57" t="n">
        <f aca="false">IF(OR($B430="",$E430="",$F430=""),0,MAX(0,MIN($F430,EOMONTH(DATE(cfg_FY,9,1),0))-MAX($E430,DATE(cfg_FY,9,1))+1)*(1-IF($M430="نعم",0,N($J430))))</f>
        <v>0</v>
      </c>
      <c r="AE430" s="57" t="n">
        <f aca="false">IF(OR($B430="",$E430="",$F430=""),0,MAX(0,MIN($F430,EOMONTH(DATE(cfg_FY,10,1),0))-MAX($E430,DATE(cfg_FY,10,1))+1)*(1-IF($M430="نعم",0,N($J430))))</f>
        <v>0</v>
      </c>
      <c r="AF430" s="57" t="n">
        <f aca="false">IF(OR($B430="",$E430="",$F430=""),0,MAX(0,MIN($F430,EOMONTH(DATE(cfg_FY,11,1),0))-MAX($E430,DATE(cfg_FY,11,1))+1)*(1-IF($M430="نعم",0,N($J430))))</f>
        <v>0</v>
      </c>
      <c r="AG430" s="57" t="n">
        <f aca="false">IF(OR($B430="",$E430="",$F430=""),0,MAX(0,MIN($F430,EOMONTH(DATE(cfg_FY,12,1),0))-MAX($E430,DATE(cfg_FY,12,1))+1)*(1-IF($M430="نعم",0,N($J430))))</f>
        <v>0</v>
      </c>
      <c r="AH430" s="57" t="n">
        <f aca="false">IF(OR(OR($B430="",$E430="",$F430=""),$L430&lt;&gt;"لا"),0,MAX(0,MIN($F430,EOMONTH(DATE(cfg_FY,1,1),0))-$E430+1))</f>
        <v>0</v>
      </c>
      <c r="AI430" s="57" t="n">
        <f aca="false">IF(OR(OR($B430="",$E430="",$F430=""),$L430&lt;&gt;"لا"),0,MAX(0,MIN($F430,EOMONTH(DATE(cfg_FY,2,1),0))-$E430+1))</f>
        <v>0</v>
      </c>
      <c r="AJ430" s="57" t="n">
        <f aca="false">IF(OR(OR($B430="",$E430="",$F430=""),$L430&lt;&gt;"لا"),0,MAX(0,MIN($F430,EOMONTH(DATE(cfg_FY,3,1),0))-$E430+1))</f>
        <v>0</v>
      </c>
      <c r="AK430" s="57" t="n">
        <f aca="false">IF(OR(OR($B430="",$E430="",$F430=""),$L430&lt;&gt;"لا"),0,MAX(0,MIN($F430,EOMONTH(DATE(cfg_FY,4,1),0))-$E430+1))</f>
        <v>0</v>
      </c>
      <c r="AL430" s="57" t="n">
        <f aca="false">IF(OR(OR($B430="",$E430="",$F430=""),$L430&lt;&gt;"لا"),0,MAX(0,MIN($F430,EOMONTH(DATE(cfg_FY,5,1),0))-$E430+1))</f>
        <v>0</v>
      </c>
      <c r="AM430" s="57" t="n">
        <f aca="false">IF(OR(OR($B430="",$E430="",$F430=""),$L430&lt;&gt;"لا"),0,MAX(0,MIN($F430,EOMONTH(DATE(cfg_FY,6,1),0))-$E430+1))</f>
        <v>0</v>
      </c>
      <c r="AN430" s="57" t="n">
        <f aca="false">IF(OR(OR($B430="",$E430="",$F430=""),$L430&lt;&gt;"لا"),0,MAX(0,MIN($F430,EOMONTH(DATE(cfg_FY,7,1),0))-$E430+1))</f>
        <v>0</v>
      </c>
      <c r="AO430" s="57" t="n">
        <f aca="false">IF(OR(OR($B430="",$E430="",$F430=""),$L430&lt;&gt;"لا"),0,MAX(0,MIN($F430,EOMONTH(DATE(cfg_FY,8,1),0))-$E430+1))</f>
        <v>0</v>
      </c>
      <c r="AP430" s="57" t="n">
        <f aca="false">IF(OR(OR($B430="",$E430="",$F430=""),$L430&lt;&gt;"لا"),0,MAX(0,MIN($F430,EOMONTH(DATE(cfg_FY,9,1),0))-$E430+1))</f>
        <v>0</v>
      </c>
      <c r="AQ430" s="57" t="n">
        <f aca="false">IF(OR(OR($B430="",$E430="",$F430=""),$L430&lt;&gt;"لا"),0,MAX(0,MIN($F430,EOMONTH(DATE(cfg_FY,10,1),0))-$E430+1))</f>
        <v>0</v>
      </c>
      <c r="AR430" s="57" t="n">
        <f aca="false">IF(OR(OR($B430="",$E430="",$F430=""),$L430&lt;&gt;"لا"),0,MAX(0,MIN($F430,EOMONTH(DATE(cfg_FY,11,1),0))-$E430+1))</f>
        <v>0</v>
      </c>
      <c r="AS430" s="57" t="n">
        <f aca="false">IF(OR(OR($B430="",$E430="",$F430=""),$L430&lt;&gt;"لا"),0,MAX(0,MIN($F430,EOMONTH(DATE(cfg_FY,12,1),0))-$E430+1))</f>
        <v>0</v>
      </c>
      <c r="AT430" s="57" t="n">
        <f aca="false">IF(OR(OR($B430="",$E430="",$F430=""),$K430&lt;&gt;"نعم",$M430="نعم"),0,MAX(0,MIN($F430,EOMONTH(DATE(cfg_FY,1,1),0))-MAX($E430,DATE(cfg_FY,1,1))+1))</f>
        <v>0</v>
      </c>
      <c r="AU430" s="57" t="n">
        <f aca="false">IF(OR(OR($B430="",$E430="",$F430=""),$K430&lt;&gt;"نعم",$M430="نعم"),0,MAX(0,MIN($F430,EOMONTH(DATE(cfg_FY,2,1),0))-MAX($E430,DATE(cfg_FY,2,1))+1))</f>
        <v>0</v>
      </c>
      <c r="AV430" s="57" t="n">
        <f aca="false">IF(OR(OR($B430="",$E430="",$F430=""),$K430&lt;&gt;"نعم",$M430="نعم"),0,MAX(0,MIN($F430,EOMONTH(DATE(cfg_FY,3,1),0))-MAX($E430,DATE(cfg_FY,3,1))+1))</f>
        <v>0</v>
      </c>
      <c r="AW430" s="57" t="n">
        <f aca="false">IF(OR(OR($B430="",$E430="",$F430=""),$K430&lt;&gt;"نعم",$M430="نعم"),0,MAX(0,MIN($F430,EOMONTH(DATE(cfg_FY,4,1),0))-MAX($E430,DATE(cfg_FY,4,1))+1))</f>
        <v>0</v>
      </c>
      <c r="AX430" s="57" t="n">
        <f aca="false">IF(OR(OR($B430="",$E430="",$F430=""),$K430&lt;&gt;"نعم",$M430="نعم"),0,MAX(0,MIN($F430,EOMONTH(DATE(cfg_FY,5,1),0))-MAX($E430,DATE(cfg_FY,5,1))+1))</f>
        <v>0</v>
      </c>
      <c r="AY430" s="57" t="n">
        <f aca="false">IF(OR(OR($B430="",$E430="",$F430=""),$K430&lt;&gt;"نعم",$M430="نعم"),0,MAX(0,MIN($F430,EOMONTH(DATE(cfg_FY,6,1),0))-MAX($E430,DATE(cfg_FY,6,1))+1))</f>
        <v>0</v>
      </c>
      <c r="AZ430" s="57" t="n">
        <f aca="false">IF(OR(OR($B430="",$E430="",$F430=""),$K430&lt;&gt;"نعم",$M430="نعم"),0,MAX(0,MIN($F430,EOMONTH(DATE(cfg_FY,7,1),0))-MAX($E430,DATE(cfg_FY,7,1))+1))</f>
        <v>0</v>
      </c>
      <c r="BA430" s="57" t="n">
        <f aca="false">IF(OR(OR($B430="",$E430="",$F430=""),$K430&lt;&gt;"نعم",$M430="نعم"),0,MAX(0,MIN($F430,EOMONTH(DATE(cfg_FY,8,1),0))-MAX($E430,DATE(cfg_FY,8,1))+1))</f>
        <v>0</v>
      </c>
      <c r="BB430" s="57" t="n">
        <f aca="false">IF(OR(OR($B430="",$E430="",$F430=""),$K430&lt;&gt;"نعم",$M430="نعم"),0,MAX(0,MIN($F430,EOMONTH(DATE(cfg_FY,9,1),0))-MAX($E430,DATE(cfg_FY,9,1))+1))</f>
        <v>0</v>
      </c>
      <c r="BC430" s="57" t="n">
        <f aca="false">IF(OR(OR($B430="",$E430="",$F430=""),$K430&lt;&gt;"نعم",$M430="نعم"),0,MAX(0,MIN($F430,EOMONTH(DATE(cfg_FY,10,1),0))-MAX($E430,DATE(cfg_FY,10,1))+1))</f>
        <v>0</v>
      </c>
      <c r="BD430" s="57" t="n">
        <f aca="false">IF(OR(OR($B430="",$E430="",$F430=""),$K430&lt;&gt;"نعم",$M430="نعم"),0,MAX(0,MIN($F430,EOMONTH(DATE(cfg_FY,11,1),0))-MAX($E430,DATE(cfg_FY,11,1))+1))</f>
        <v>0</v>
      </c>
      <c r="BE430" s="57" t="n">
        <f aca="false">IF(OR(OR($B430="",$E430="",$F430=""),$K430&lt;&gt;"نعم",$M430="نعم"),0,MAX(0,MIN($F430,EOMONTH(DATE(cfg_FY,12,1),0))-MAX($E430,DATE(cfg_FY,12,1))+1))</f>
        <v>0</v>
      </c>
    </row>
    <row r="431" customFormat="false" ht="15" hidden="false" customHeight="false" outlineLevel="0" collapsed="false">
      <c r="A431" s="100" t="str">
        <f aca="false">IF(B431="","",ROW()-5)</f>
        <v/>
      </c>
      <c r="B431" s="79"/>
      <c r="C431" s="102" t="str">
        <f aca="false">IF(B431="","",IFERROR(INDEX(الموظفون!$C$6:$C$105,MATCH(B431,الموظفون!$B$6:$B$105,0)),"✖ رقم غير موجود"))</f>
        <v/>
      </c>
      <c r="D431" s="79"/>
      <c r="E431" s="94"/>
      <c r="F431" s="94"/>
      <c r="G431" s="110" t="str">
        <f aca="false">IF(OR($B431="",$E431="",$F431=""),"",MAX(0,F431-E431+1))</f>
        <v/>
      </c>
      <c r="H431" s="111" t="str">
        <f aca="false">IF(D431="","",IFERROR(VLOOKUP(D431,cfg_LT,2,FALSE()),1))</f>
        <v/>
      </c>
      <c r="I431" s="82"/>
      <c r="J431" s="111" t="str">
        <f aca="false">IF(D431="","",IF(I431&lt;&gt;"",I431,H431))</f>
        <v/>
      </c>
      <c r="K431" s="102" t="str">
        <f aca="false">IF(D431="","",IFERROR(VLOOKUP($D431,cfg_LT,3,FALSE()),""))</f>
        <v/>
      </c>
      <c r="L431" s="102" t="str">
        <f aca="false">IF(D431="","",IFERROR(VLOOKUP($D431,cfg_LT,4,FALSE()),""))</f>
        <v/>
      </c>
      <c r="M431" s="102" t="str">
        <f aca="false">IF(D431="","",IFERROR(VLOOKUP($D431,cfg_LT,5,FALSE()),""))</f>
        <v/>
      </c>
      <c r="N431" s="101" t="n">
        <f aca="false">IF(OR(OR($B431="",$E431="",$F431=""),M431&lt;&gt;"نعم"),0,G431*J431*IFERROR(INDEX(الموظفون!$R$6:$R$105,MATCH(B431,الموظفون!$B$6:$B$105,0)),0)/cfg_DAYS_M)</f>
        <v>0</v>
      </c>
      <c r="O431" s="100" t="str">
        <f aca="false">IF(OR(OR($B431="",$E431="",$F431=""),M431&lt;&gt;"نعم"),"",IF(YEAR(E431)=cfg_FY,MONTH(E431),""))</f>
        <v/>
      </c>
      <c r="P431" s="102" t="str">
        <f aca="false">IF(B431="","",IF(OR(D431="",E431="",F431=""),"⚠ أكمل النوع والتواريخ",IF(F431&lt;E431,"✖ النهاية قبل البداية",IF(COUNTIFS($B$6:$B$505,B431,$E$6:$E$505,"&lt;="&amp;F431,$F$6:$F$505,"&gt;="&amp;E431)&gt;1,"⚠ تداخل مع سجل آخر",IF(E431&gt;cfg_VAL_DATE,"⏳ قادمة",IF(F431&lt;cfg_VAL_DATE,"✔ منتهية","✈ جارية في تاريخ التقرير"))))))</f>
        <v/>
      </c>
      <c r="Q431" s="79"/>
      <c r="R431" s="110" t="n">
        <f aca="false">IF(OR(OR($B431="",$E431="",$F431=""),L431&lt;&gt;"لا"),0,MAX(0,MIN(F431,cfg_Y_START-1)-E431+1))</f>
        <v>0</v>
      </c>
      <c r="S431" s="110" t="n">
        <f aca="false">IF(OR(OR($B431="",$E431="",$F431=""),L431&lt;&gt;"لا"),0,MAX(0,MIN(F431,cfg_VAL_DATE)-E431+1))</f>
        <v>0</v>
      </c>
      <c r="T431" s="110" t="n">
        <f aca="false">IF(OR(OR($B431="",$E431="",$F431=""),K431&lt;&gt;"نعم"),0,IF(M431="نعم",IF(AND(ISNUMBER(O431),N(O431)&lt;=cfg_VAL_M),G431,0),MAX(0,MIN(F431,cfg_VAL_DATE)-MAX(E431,cfg_Y_START)+1)))</f>
        <v>0</v>
      </c>
      <c r="V431" s="110" t="n">
        <f aca="false">IF(OR($B431="",$E431="",$F431=""),0,MAX(0,MIN($F431,EOMONTH(DATE(cfg_FY,1,1),0))-MAX($E431,DATE(cfg_FY,1,1))+1)*(1-IF($M431="نعم",0,N($J431))))</f>
        <v>0</v>
      </c>
      <c r="W431" s="110" t="n">
        <f aca="false">IF(OR($B431="",$E431="",$F431=""),0,MAX(0,MIN($F431,EOMONTH(DATE(cfg_FY,2,1),0))-MAX($E431,DATE(cfg_FY,2,1))+1)*(1-IF($M431="نعم",0,N($J431))))</f>
        <v>0</v>
      </c>
      <c r="X431" s="110" t="n">
        <f aca="false">IF(OR($B431="",$E431="",$F431=""),0,MAX(0,MIN($F431,EOMONTH(DATE(cfg_FY,3,1),0))-MAX($E431,DATE(cfg_FY,3,1))+1)*(1-IF($M431="نعم",0,N($J431))))</f>
        <v>0</v>
      </c>
      <c r="Y431" s="110" t="n">
        <f aca="false">IF(OR($B431="",$E431="",$F431=""),0,MAX(0,MIN($F431,EOMONTH(DATE(cfg_FY,4,1),0))-MAX($E431,DATE(cfg_FY,4,1))+1)*(1-IF($M431="نعم",0,N($J431))))</f>
        <v>0</v>
      </c>
      <c r="Z431" s="110" t="n">
        <f aca="false">IF(OR($B431="",$E431="",$F431=""),0,MAX(0,MIN($F431,EOMONTH(DATE(cfg_FY,5,1),0))-MAX($E431,DATE(cfg_FY,5,1))+1)*(1-IF($M431="نعم",0,N($J431))))</f>
        <v>0</v>
      </c>
      <c r="AA431" s="110" t="n">
        <f aca="false">IF(OR($B431="",$E431="",$F431=""),0,MAX(0,MIN($F431,EOMONTH(DATE(cfg_FY,6,1),0))-MAX($E431,DATE(cfg_FY,6,1))+1)*(1-IF($M431="نعم",0,N($J431))))</f>
        <v>0</v>
      </c>
      <c r="AB431" s="110" t="n">
        <f aca="false">IF(OR($B431="",$E431="",$F431=""),0,MAX(0,MIN($F431,EOMONTH(DATE(cfg_FY,7,1),0))-MAX($E431,DATE(cfg_FY,7,1))+1)*(1-IF($M431="نعم",0,N($J431))))</f>
        <v>0</v>
      </c>
      <c r="AC431" s="110" t="n">
        <f aca="false">IF(OR($B431="",$E431="",$F431=""),0,MAX(0,MIN($F431,EOMONTH(DATE(cfg_FY,8,1),0))-MAX($E431,DATE(cfg_FY,8,1))+1)*(1-IF($M431="نعم",0,N($J431))))</f>
        <v>0</v>
      </c>
      <c r="AD431" s="110" t="n">
        <f aca="false">IF(OR($B431="",$E431="",$F431=""),0,MAX(0,MIN($F431,EOMONTH(DATE(cfg_FY,9,1),0))-MAX($E431,DATE(cfg_FY,9,1))+1)*(1-IF($M431="نعم",0,N($J431))))</f>
        <v>0</v>
      </c>
      <c r="AE431" s="110" t="n">
        <f aca="false">IF(OR($B431="",$E431="",$F431=""),0,MAX(0,MIN($F431,EOMONTH(DATE(cfg_FY,10,1),0))-MAX($E431,DATE(cfg_FY,10,1))+1)*(1-IF($M431="نعم",0,N($J431))))</f>
        <v>0</v>
      </c>
      <c r="AF431" s="110" t="n">
        <f aca="false">IF(OR($B431="",$E431="",$F431=""),0,MAX(0,MIN($F431,EOMONTH(DATE(cfg_FY,11,1),0))-MAX($E431,DATE(cfg_FY,11,1))+1)*(1-IF($M431="نعم",0,N($J431))))</f>
        <v>0</v>
      </c>
      <c r="AG431" s="110" t="n">
        <f aca="false">IF(OR($B431="",$E431="",$F431=""),0,MAX(0,MIN($F431,EOMONTH(DATE(cfg_FY,12,1),0))-MAX($E431,DATE(cfg_FY,12,1))+1)*(1-IF($M431="نعم",0,N($J431))))</f>
        <v>0</v>
      </c>
      <c r="AH431" s="110" t="n">
        <f aca="false">IF(OR(OR($B431="",$E431="",$F431=""),$L431&lt;&gt;"لا"),0,MAX(0,MIN($F431,EOMONTH(DATE(cfg_FY,1,1),0))-$E431+1))</f>
        <v>0</v>
      </c>
      <c r="AI431" s="110" t="n">
        <f aca="false">IF(OR(OR($B431="",$E431="",$F431=""),$L431&lt;&gt;"لا"),0,MAX(0,MIN($F431,EOMONTH(DATE(cfg_FY,2,1),0))-$E431+1))</f>
        <v>0</v>
      </c>
      <c r="AJ431" s="110" t="n">
        <f aca="false">IF(OR(OR($B431="",$E431="",$F431=""),$L431&lt;&gt;"لا"),0,MAX(0,MIN($F431,EOMONTH(DATE(cfg_FY,3,1),0))-$E431+1))</f>
        <v>0</v>
      </c>
      <c r="AK431" s="110" t="n">
        <f aca="false">IF(OR(OR($B431="",$E431="",$F431=""),$L431&lt;&gt;"لا"),0,MAX(0,MIN($F431,EOMONTH(DATE(cfg_FY,4,1),0))-$E431+1))</f>
        <v>0</v>
      </c>
      <c r="AL431" s="110" t="n">
        <f aca="false">IF(OR(OR($B431="",$E431="",$F431=""),$L431&lt;&gt;"لا"),0,MAX(0,MIN($F431,EOMONTH(DATE(cfg_FY,5,1),0))-$E431+1))</f>
        <v>0</v>
      </c>
      <c r="AM431" s="110" t="n">
        <f aca="false">IF(OR(OR($B431="",$E431="",$F431=""),$L431&lt;&gt;"لا"),0,MAX(0,MIN($F431,EOMONTH(DATE(cfg_FY,6,1),0))-$E431+1))</f>
        <v>0</v>
      </c>
      <c r="AN431" s="110" t="n">
        <f aca="false">IF(OR(OR($B431="",$E431="",$F431=""),$L431&lt;&gt;"لا"),0,MAX(0,MIN($F431,EOMONTH(DATE(cfg_FY,7,1),0))-$E431+1))</f>
        <v>0</v>
      </c>
      <c r="AO431" s="110" t="n">
        <f aca="false">IF(OR(OR($B431="",$E431="",$F431=""),$L431&lt;&gt;"لا"),0,MAX(0,MIN($F431,EOMONTH(DATE(cfg_FY,8,1),0))-$E431+1))</f>
        <v>0</v>
      </c>
      <c r="AP431" s="110" t="n">
        <f aca="false">IF(OR(OR($B431="",$E431="",$F431=""),$L431&lt;&gt;"لا"),0,MAX(0,MIN($F431,EOMONTH(DATE(cfg_FY,9,1),0))-$E431+1))</f>
        <v>0</v>
      </c>
      <c r="AQ431" s="110" t="n">
        <f aca="false">IF(OR(OR($B431="",$E431="",$F431=""),$L431&lt;&gt;"لا"),0,MAX(0,MIN($F431,EOMONTH(DATE(cfg_FY,10,1),0))-$E431+1))</f>
        <v>0</v>
      </c>
      <c r="AR431" s="110" t="n">
        <f aca="false">IF(OR(OR($B431="",$E431="",$F431=""),$L431&lt;&gt;"لا"),0,MAX(0,MIN($F431,EOMONTH(DATE(cfg_FY,11,1),0))-$E431+1))</f>
        <v>0</v>
      </c>
      <c r="AS431" s="110" t="n">
        <f aca="false">IF(OR(OR($B431="",$E431="",$F431=""),$L431&lt;&gt;"لا"),0,MAX(0,MIN($F431,EOMONTH(DATE(cfg_FY,12,1),0))-$E431+1))</f>
        <v>0</v>
      </c>
      <c r="AT431" s="110" t="n">
        <f aca="false">IF(OR(OR($B431="",$E431="",$F431=""),$K431&lt;&gt;"نعم",$M431="نعم"),0,MAX(0,MIN($F431,EOMONTH(DATE(cfg_FY,1,1),0))-MAX($E431,DATE(cfg_FY,1,1))+1))</f>
        <v>0</v>
      </c>
      <c r="AU431" s="110" t="n">
        <f aca="false">IF(OR(OR($B431="",$E431="",$F431=""),$K431&lt;&gt;"نعم",$M431="نعم"),0,MAX(0,MIN($F431,EOMONTH(DATE(cfg_FY,2,1),0))-MAX($E431,DATE(cfg_FY,2,1))+1))</f>
        <v>0</v>
      </c>
      <c r="AV431" s="110" t="n">
        <f aca="false">IF(OR(OR($B431="",$E431="",$F431=""),$K431&lt;&gt;"نعم",$M431="نعم"),0,MAX(0,MIN($F431,EOMONTH(DATE(cfg_FY,3,1),0))-MAX($E431,DATE(cfg_FY,3,1))+1))</f>
        <v>0</v>
      </c>
      <c r="AW431" s="110" t="n">
        <f aca="false">IF(OR(OR($B431="",$E431="",$F431=""),$K431&lt;&gt;"نعم",$M431="نعم"),0,MAX(0,MIN($F431,EOMONTH(DATE(cfg_FY,4,1),0))-MAX($E431,DATE(cfg_FY,4,1))+1))</f>
        <v>0</v>
      </c>
      <c r="AX431" s="110" t="n">
        <f aca="false">IF(OR(OR($B431="",$E431="",$F431=""),$K431&lt;&gt;"نعم",$M431="نعم"),0,MAX(0,MIN($F431,EOMONTH(DATE(cfg_FY,5,1),0))-MAX($E431,DATE(cfg_FY,5,1))+1))</f>
        <v>0</v>
      </c>
      <c r="AY431" s="110" t="n">
        <f aca="false">IF(OR(OR($B431="",$E431="",$F431=""),$K431&lt;&gt;"نعم",$M431="نعم"),0,MAX(0,MIN($F431,EOMONTH(DATE(cfg_FY,6,1),0))-MAX($E431,DATE(cfg_FY,6,1))+1))</f>
        <v>0</v>
      </c>
      <c r="AZ431" s="110" t="n">
        <f aca="false">IF(OR(OR($B431="",$E431="",$F431=""),$K431&lt;&gt;"نعم",$M431="نعم"),0,MAX(0,MIN($F431,EOMONTH(DATE(cfg_FY,7,1),0))-MAX($E431,DATE(cfg_FY,7,1))+1))</f>
        <v>0</v>
      </c>
      <c r="BA431" s="110" t="n">
        <f aca="false">IF(OR(OR($B431="",$E431="",$F431=""),$K431&lt;&gt;"نعم",$M431="نعم"),0,MAX(0,MIN($F431,EOMONTH(DATE(cfg_FY,8,1),0))-MAX($E431,DATE(cfg_FY,8,1))+1))</f>
        <v>0</v>
      </c>
      <c r="BB431" s="110" t="n">
        <f aca="false">IF(OR(OR($B431="",$E431="",$F431=""),$K431&lt;&gt;"نعم",$M431="نعم"),0,MAX(0,MIN($F431,EOMONTH(DATE(cfg_FY,9,1),0))-MAX($E431,DATE(cfg_FY,9,1))+1))</f>
        <v>0</v>
      </c>
      <c r="BC431" s="110" t="n">
        <f aca="false">IF(OR(OR($B431="",$E431="",$F431=""),$K431&lt;&gt;"نعم",$M431="نعم"),0,MAX(0,MIN($F431,EOMONTH(DATE(cfg_FY,10,1),0))-MAX($E431,DATE(cfg_FY,10,1))+1))</f>
        <v>0</v>
      </c>
      <c r="BD431" s="110" t="n">
        <f aca="false">IF(OR(OR($B431="",$E431="",$F431=""),$K431&lt;&gt;"نعم",$M431="نعم"),0,MAX(0,MIN($F431,EOMONTH(DATE(cfg_FY,11,1),0))-MAX($E431,DATE(cfg_FY,11,1))+1))</f>
        <v>0</v>
      </c>
      <c r="BE431" s="110" t="n">
        <f aca="false">IF(OR(OR($B431="",$E431="",$F431=""),$K431&lt;&gt;"نعم",$M431="نعم"),0,MAX(0,MIN($F431,EOMONTH(DATE(cfg_FY,12,1),0))-MAX($E431,DATE(cfg_FY,12,1))+1))</f>
        <v>0</v>
      </c>
    </row>
    <row r="432" customFormat="false" ht="15" hidden="false" customHeight="false" outlineLevel="0" collapsed="false">
      <c r="A432" s="93" t="str">
        <f aca="false">IF(B432="","",ROW()-5)</f>
        <v/>
      </c>
      <c r="B432" s="79"/>
      <c r="C432" s="80" t="str">
        <f aca="false">IF(B432="","",IFERROR(INDEX(الموظفون!$C$6:$C$105,MATCH(B432,الموظفون!$B$6:$B$105,0)),"✖ رقم غير موجود"))</f>
        <v/>
      </c>
      <c r="D432" s="79"/>
      <c r="E432" s="94"/>
      <c r="F432" s="94"/>
      <c r="G432" s="57" t="str">
        <f aca="false">IF(OR($B432="",$E432="",$F432=""),"",MAX(0,F432-E432+1))</f>
        <v/>
      </c>
      <c r="H432" s="58" t="str">
        <f aca="false">IF(D432="","",IFERROR(VLOOKUP(D432,cfg_LT,2,FALSE()),1))</f>
        <v/>
      </c>
      <c r="I432" s="82"/>
      <c r="J432" s="58" t="str">
        <f aca="false">IF(D432="","",IF(I432&lt;&gt;"",I432,H432))</f>
        <v/>
      </c>
      <c r="K432" s="80" t="str">
        <f aca="false">IF(D432="","",IFERROR(VLOOKUP($D432,cfg_LT,3,FALSE()),""))</f>
        <v/>
      </c>
      <c r="L432" s="80" t="str">
        <f aca="false">IF(D432="","",IFERROR(VLOOKUP($D432,cfg_LT,4,FALSE()),""))</f>
        <v/>
      </c>
      <c r="M432" s="80" t="str">
        <f aca="false">IF(D432="","",IFERROR(VLOOKUP($D432,cfg_LT,5,FALSE()),""))</f>
        <v/>
      </c>
      <c r="N432" s="97" t="n">
        <f aca="false">IF(OR(OR($B432="",$E432="",$F432=""),M432&lt;&gt;"نعم"),0,G432*J432*IFERROR(INDEX(الموظفون!$R$6:$R$105,MATCH(B432,الموظفون!$B$6:$B$105,0)),0)/cfg_DAYS_M)</f>
        <v>0</v>
      </c>
      <c r="O432" s="93" t="str">
        <f aca="false">IF(OR(OR($B432="",$E432="",$F432=""),M432&lt;&gt;"نعم"),"",IF(YEAR(E432)=cfg_FY,MONTH(E432),""))</f>
        <v/>
      </c>
      <c r="P432" s="80" t="str">
        <f aca="false">IF(B432="","",IF(OR(D432="",E432="",F432=""),"⚠ أكمل النوع والتواريخ",IF(F432&lt;E432,"✖ النهاية قبل البداية",IF(COUNTIFS($B$6:$B$505,B432,$E$6:$E$505,"&lt;="&amp;F432,$F$6:$F$505,"&gt;="&amp;E432)&gt;1,"⚠ تداخل مع سجل آخر",IF(E432&gt;cfg_VAL_DATE,"⏳ قادمة",IF(F432&lt;cfg_VAL_DATE,"✔ منتهية","✈ جارية في تاريخ التقرير"))))))</f>
        <v/>
      </c>
      <c r="Q432" s="79"/>
      <c r="R432" s="57" t="n">
        <f aca="false">IF(OR(OR($B432="",$E432="",$F432=""),L432&lt;&gt;"لا"),0,MAX(0,MIN(F432,cfg_Y_START-1)-E432+1))</f>
        <v>0</v>
      </c>
      <c r="S432" s="57" t="n">
        <f aca="false">IF(OR(OR($B432="",$E432="",$F432=""),L432&lt;&gt;"لا"),0,MAX(0,MIN(F432,cfg_VAL_DATE)-E432+1))</f>
        <v>0</v>
      </c>
      <c r="T432" s="57" t="n">
        <f aca="false">IF(OR(OR($B432="",$E432="",$F432=""),K432&lt;&gt;"نعم"),0,IF(M432="نعم",IF(AND(ISNUMBER(O432),N(O432)&lt;=cfg_VAL_M),G432,0),MAX(0,MIN(F432,cfg_VAL_DATE)-MAX(E432,cfg_Y_START)+1)))</f>
        <v>0</v>
      </c>
      <c r="V432" s="57" t="n">
        <f aca="false">IF(OR($B432="",$E432="",$F432=""),0,MAX(0,MIN($F432,EOMONTH(DATE(cfg_FY,1,1),0))-MAX($E432,DATE(cfg_FY,1,1))+1)*(1-IF($M432="نعم",0,N($J432))))</f>
        <v>0</v>
      </c>
      <c r="W432" s="57" t="n">
        <f aca="false">IF(OR($B432="",$E432="",$F432=""),0,MAX(0,MIN($F432,EOMONTH(DATE(cfg_FY,2,1),0))-MAX($E432,DATE(cfg_FY,2,1))+1)*(1-IF($M432="نعم",0,N($J432))))</f>
        <v>0</v>
      </c>
      <c r="X432" s="57" t="n">
        <f aca="false">IF(OR($B432="",$E432="",$F432=""),0,MAX(0,MIN($F432,EOMONTH(DATE(cfg_FY,3,1),0))-MAX($E432,DATE(cfg_FY,3,1))+1)*(1-IF($M432="نعم",0,N($J432))))</f>
        <v>0</v>
      </c>
      <c r="Y432" s="57" t="n">
        <f aca="false">IF(OR($B432="",$E432="",$F432=""),0,MAX(0,MIN($F432,EOMONTH(DATE(cfg_FY,4,1),0))-MAX($E432,DATE(cfg_FY,4,1))+1)*(1-IF($M432="نعم",0,N($J432))))</f>
        <v>0</v>
      </c>
      <c r="Z432" s="57" t="n">
        <f aca="false">IF(OR($B432="",$E432="",$F432=""),0,MAX(0,MIN($F432,EOMONTH(DATE(cfg_FY,5,1),0))-MAX($E432,DATE(cfg_FY,5,1))+1)*(1-IF($M432="نعم",0,N($J432))))</f>
        <v>0</v>
      </c>
      <c r="AA432" s="57" t="n">
        <f aca="false">IF(OR($B432="",$E432="",$F432=""),0,MAX(0,MIN($F432,EOMONTH(DATE(cfg_FY,6,1),0))-MAX($E432,DATE(cfg_FY,6,1))+1)*(1-IF($M432="نعم",0,N($J432))))</f>
        <v>0</v>
      </c>
      <c r="AB432" s="57" t="n">
        <f aca="false">IF(OR($B432="",$E432="",$F432=""),0,MAX(0,MIN($F432,EOMONTH(DATE(cfg_FY,7,1),0))-MAX($E432,DATE(cfg_FY,7,1))+1)*(1-IF($M432="نعم",0,N($J432))))</f>
        <v>0</v>
      </c>
      <c r="AC432" s="57" t="n">
        <f aca="false">IF(OR($B432="",$E432="",$F432=""),0,MAX(0,MIN($F432,EOMONTH(DATE(cfg_FY,8,1),0))-MAX($E432,DATE(cfg_FY,8,1))+1)*(1-IF($M432="نعم",0,N($J432))))</f>
        <v>0</v>
      </c>
      <c r="AD432" s="57" t="n">
        <f aca="false">IF(OR($B432="",$E432="",$F432=""),0,MAX(0,MIN($F432,EOMONTH(DATE(cfg_FY,9,1),0))-MAX($E432,DATE(cfg_FY,9,1))+1)*(1-IF($M432="نعم",0,N($J432))))</f>
        <v>0</v>
      </c>
      <c r="AE432" s="57" t="n">
        <f aca="false">IF(OR($B432="",$E432="",$F432=""),0,MAX(0,MIN($F432,EOMONTH(DATE(cfg_FY,10,1),0))-MAX($E432,DATE(cfg_FY,10,1))+1)*(1-IF($M432="نعم",0,N($J432))))</f>
        <v>0</v>
      </c>
      <c r="AF432" s="57" t="n">
        <f aca="false">IF(OR($B432="",$E432="",$F432=""),0,MAX(0,MIN($F432,EOMONTH(DATE(cfg_FY,11,1),0))-MAX($E432,DATE(cfg_FY,11,1))+1)*(1-IF($M432="نعم",0,N($J432))))</f>
        <v>0</v>
      </c>
      <c r="AG432" s="57" t="n">
        <f aca="false">IF(OR($B432="",$E432="",$F432=""),0,MAX(0,MIN($F432,EOMONTH(DATE(cfg_FY,12,1),0))-MAX($E432,DATE(cfg_FY,12,1))+1)*(1-IF($M432="نعم",0,N($J432))))</f>
        <v>0</v>
      </c>
      <c r="AH432" s="57" t="n">
        <f aca="false">IF(OR(OR($B432="",$E432="",$F432=""),$L432&lt;&gt;"لا"),0,MAX(0,MIN($F432,EOMONTH(DATE(cfg_FY,1,1),0))-$E432+1))</f>
        <v>0</v>
      </c>
      <c r="AI432" s="57" t="n">
        <f aca="false">IF(OR(OR($B432="",$E432="",$F432=""),$L432&lt;&gt;"لا"),0,MAX(0,MIN($F432,EOMONTH(DATE(cfg_FY,2,1),0))-$E432+1))</f>
        <v>0</v>
      </c>
      <c r="AJ432" s="57" t="n">
        <f aca="false">IF(OR(OR($B432="",$E432="",$F432=""),$L432&lt;&gt;"لا"),0,MAX(0,MIN($F432,EOMONTH(DATE(cfg_FY,3,1),0))-$E432+1))</f>
        <v>0</v>
      </c>
      <c r="AK432" s="57" t="n">
        <f aca="false">IF(OR(OR($B432="",$E432="",$F432=""),$L432&lt;&gt;"لا"),0,MAX(0,MIN($F432,EOMONTH(DATE(cfg_FY,4,1),0))-$E432+1))</f>
        <v>0</v>
      </c>
      <c r="AL432" s="57" t="n">
        <f aca="false">IF(OR(OR($B432="",$E432="",$F432=""),$L432&lt;&gt;"لا"),0,MAX(0,MIN($F432,EOMONTH(DATE(cfg_FY,5,1),0))-$E432+1))</f>
        <v>0</v>
      </c>
      <c r="AM432" s="57" t="n">
        <f aca="false">IF(OR(OR($B432="",$E432="",$F432=""),$L432&lt;&gt;"لا"),0,MAX(0,MIN($F432,EOMONTH(DATE(cfg_FY,6,1),0))-$E432+1))</f>
        <v>0</v>
      </c>
      <c r="AN432" s="57" t="n">
        <f aca="false">IF(OR(OR($B432="",$E432="",$F432=""),$L432&lt;&gt;"لا"),0,MAX(0,MIN($F432,EOMONTH(DATE(cfg_FY,7,1),0))-$E432+1))</f>
        <v>0</v>
      </c>
      <c r="AO432" s="57" t="n">
        <f aca="false">IF(OR(OR($B432="",$E432="",$F432=""),$L432&lt;&gt;"لا"),0,MAX(0,MIN($F432,EOMONTH(DATE(cfg_FY,8,1),0))-$E432+1))</f>
        <v>0</v>
      </c>
      <c r="AP432" s="57" t="n">
        <f aca="false">IF(OR(OR($B432="",$E432="",$F432=""),$L432&lt;&gt;"لا"),0,MAX(0,MIN($F432,EOMONTH(DATE(cfg_FY,9,1),0))-$E432+1))</f>
        <v>0</v>
      </c>
      <c r="AQ432" s="57" t="n">
        <f aca="false">IF(OR(OR($B432="",$E432="",$F432=""),$L432&lt;&gt;"لا"),0,MAX(0,MIN($F432,EOMONTH(DATE(cfg_FY,10,1),0))-$E432+1))</f>
        <v>0</v>
      </c>
      <c r="AR432" s="57" t="n">
        <f aca="false">IF(OR(OR($B432="",$E432="",$F432=""),$L432&lt;&gt;"لا"),0,MAX(0,MIN($F432,EOMONTH(DATE(cfg_FY,11,1),0))-$E432+1))</f>
        <v>0</v>
      </c>
      <c r="AS432" s="57" t="n">
        <f aca="false">IF(OR(OR($B432="",$E432="",$F432=""),$L432&lt;&gt;"لا"),0,MAX(0,MIN($F432,EOMONTH(DATE(cfg_FY,12,1),0))-$E432+1))</f>
        <v>0</v>
      </c>
      <c r="AT432" s="57" t="n">
        <f aca="false">IF(OR(OR($B432="",$E432="",$F432=""),$K432&lt;&gt;"نعم",$M432="نعم"),0,MAX(0,MIN($F432,EOMONTH(DATE(cfg_FY,1,1),0))-MAX($E432,DATE(cfg_FY,1,1))+1))</f>
        <v>0</v>
      </c>
      <c r="AU432" s="57" t="n">
        <f aca="false">IF(OR(OR($B432="",$E432="",$F432=""),$K432&lt;&gt;"نعم",$M432="نعم"),0,MAX(0,MIN($F432,EOMONTH(DATE(cfg_FY,2,1),0))-MAX($E432,DATE(cfg_FY,2,1))+1))</f>
        <v>0</v>
      </c>
      <c r="AV432" s="57" t="n">
        <f aca="false">IF(OR(OR($B432="",$E432="",$F432=""),$K432&lt;&gt;"نعم",$M432="نعم"),0,MAX(0,MIN($F432,EOMONTH(DATE(cfg_FY,3,1),0))-MAX($E432,DATE(cfg_FY,3,1))+1))</f>
        <v>0</v>
      </c>
      <c r="AW432" s="57" t="n">
        <f aca="false">IF(OR(OR($B432="",$E432="",$F432=""),$K432&lt;&gt;"نعم",$M432="نعم"),0,MAX(0,MIN($F432,EOMONTH(DATE(cfg_FY,4,1),0))-MAX($E432,DATE(cfg_FY,4,1))+1))</f>
        <v>0</v>
      </c>
      <c r="AX432" s="57" t="n">
        <f aca="false">IF(OR(OR($B432="",$E432="",$F432=""),$K432&lt;&gt;"نعم",$M432="نعم"),0,MAX(0,MIN($F432,EOMONTH(DATE(cfg_FY,5,1),0))-MAX($E432,DATE(cfg_FY,5,1))+1))</f>
        <v>0</v>
      </c>
      <c r="AY432" s="57" t="n">
        <f aca="false">IF(OR(OR($B432="",$E432="",$F432=""),$K432&lt;&gt;"نعم",$M432="نعم"),0,MAX(0,MIN($F432,EOMONTH(DATE(cfg_FY,6,1),0))-MAX($E432,DATE(cfg_FY,6,1))+1))</f>
        <v>0</v>
      </c>
      <c r="AZ432" s="57" t="n">
        <f aca="false">IF(OR(OR($B432="",$E432="",$F432=""),$K432&lt;&gt;"نعم",$M432="نعم"),0,MAX(0,MIN($F432,EOMONTH(DATE(cfg_FY,7,1),0))-MAX($E432,DATE(cfg_FY,7,1))+1))</f>
        <v>0</v>
      </c>
      <c r="BA432" s="57" t="n">
        <f aca="false">IF(OR(OR($B432="",$E432="",$F432=""),$K432&lt;&gt;"نعم",$M432="نعم"),0,MAX(0,MIN($F432,EOMONTH(DATE(cfg_FY,8,1),0))-MAX($E432,DATE(cfg_FY,8,1))+1))</f>
        <v>0</v>
      </c>
      <c r="BB432" s="57" t="n">
        <f aca="false">IF(OR(OR($B432="",$E432="",$F432=""),$K432&lt;&gt;"نعم",$M432="نعم"),0,MAX(0,MIN($F432,EOMONTH(DATE(cfg_FY,9,1),0))-MAX($E432,DATE(cfg_FY,9,1))+1))</f>
        <v>0</v>
      </c>
      <c r="BC432" s="57" t="n">
        <f aca="false">IF(OR(OR($B432="",$E432="",$F432=""),$K432&lt;&gt;"نعم",$M432="نعم"),0,MAX(0,MIN($F432,EOMONTH(DATE(cfg_FY,10,1),0))-MAX($E432,DATE(cfg_FY,10,1))+1))</f>
        <v>0</v>
      </c>
      <c r="BD432" s="57" t="n">
        <f aca="false">IF(OR(OR($B432="",$E432="",$F432=""),$K432&lt;&gt;"نعم",$M432="نعم"),0,MAX(0,MIN($F432,EOMONTH(DATE(cfg_FY,11,1),0))-MAX($E432,DATE(cfg_FY,11,1))+1))</f>
        <v>0</v>
      </c>
      <c r="BE432" s="57" t="n">
        <f aca="false">IF(OR(OR($B432="",$E432="",$F432=""),$K432&lt;&gt;"نعم",$M432="نعم"),0,MAX(0,MIN($F432,EOMONTH(DATE(cfg_FY,12,1),0))-MAX($E432,DATE(cfg_FY,12,1))+1))</f>
        <v>0</v>
      </c>
    </row>
    <row r="433" customFormat="false" ht="15" hidden="false" customHeight="false" outlineLevel="0" collapsed="false">
      <c r="A433" s="100" t="str">
        <f aca="false">IF(B433="","",ROW()-5)</f>
        <v/>
      </c>
      <c r="B433" s="79"/>
      <c r="C433" s="102" t="str">
        <f aca="false">IF(B433="","",IFERROR(INDEX(الموظفون!$C$6:$C$105,MATCH(B433,الموظفون!$B$6:$B$105,0)),"✖ رقم غير موجود"))</f>
        <v/>
      </c>
      <c r="D433" s="79"/>
      <c r="E433" s="94"/>
      <c r="F433" s="94"/>
      <c r="G433" s="110" t="str">
        <f aca="false">IF(OR($B433="",$E433="",$F433=""),"",MAX(0,F433-E433+1))</f>
        <v/>
      </c>
      <c r="H433" s="111" t="str">
        <f aca="false">IF(D433="","",IFERROR(VLOOKUP(D433,cfg_LT,2,FALSE()),1))</f>
        <v/>
      </c>
      <c r="I433" s="82"/>
      <c r="J433" s="111" t="str">
        <f aca="false">IF(D433="","",IF(I433&lt;&gt;"",I433,H433))</f>
        <v/>
      </c>
      <c r="K433" s="102" t="str">
        <f aca="false">IF(D433="","",IFERROR(VLOOKUP($D433,cfg_LT,3,FALSE()),""))</f>
        <v/>
      </c>
      <c r="L433" s="102" t="str">
        <f aca="false">IF(D433="","",IFERROR(VLOOKUP($D433,cfg_LT,4,FALSE()),""))</f>
        <v/>
      </c>
      <c r="M433" s="102" t="str">
        <f aca="false">IF(D433="","",IFERROR(VLOOKUP($D433,cfg_LT,5,FALSE()),""))</f>
        <v/>
      </c>
      <c r="N433" s="101" t="n">
        <f aca="false">IF(OR(OR($B433="",$E433="",$F433=""),M433&lt;&gt;"نعم"),0,G433*J433*IFERROR(INDEX(الموظفون!$R$6:$R$105,MATCH(B433,الموظفون!$B$6:$B$105,0)),0)/cfg_DAYS_M)</f>
        <v>0</v>
      </c>
      <c r="O433" s="100" t="str">
        <f aca="false">IF(OR(OR($B433="",$E433="",$F433=""),M433&lt;&gt;"نعم"),"",IF(YEAR(E433)=cfg_FY,MONTH(E433),""))</f>
        <v/>
      </c>
      <c r="P433" s="102" t="str">
        <f aca="false">IF(B433="","",IF(OR(D433="",E433="",F433=""),"⚠ أكمل النوع والتواريخ",IF(F433&lt;E433,"✖ النهاية قبل البداية",IF(COUNTIFS($B$6:$B$505,B433,$E$6:$E$505,"&lt;="&amp;F433,$F$6:$F$505,"&gt;="&amp;E433)&gt;1,"⚠ تداخل مع سجل آخر",IF(E433&gt;cfg_VAL_DATE,"⏳ قادمة",IF(F433&lt;cfg_VAL_DATE,"✔ منتهية","✈ جارية في تاريخ التقرير"))))))</f>
        <v/>
      </c>
      <c r="Q433" s="79"/>
      <c r="R433" s="110" t="n">
        <f aca="false">IF(OR(OR($B433="",$E433="",$F433=""),L433&lt;&gt;"لا"),0,MAX(0,MIN(F433,cfg_Y_START-1)-E433+1))</f>
        <v>0</v>
      </c>
      <c r="S433" s="110" t="n">
        <f aca="false">IF(OR(OR($B433="",$E433="",$F433=""),L433&lt;&gt;"لا"),0,MAX(0,MIN(F433,cfg_VAL_DATE)-E433+1))</f>
        <v>0</v>
      </c>
      <c r="T433" s="110" t="n">
        <f aca="false">IF(OR(OR($B433="",$E433="",$F433=""),K433&lt;&gt;"نعم"),0,IF(M433="نعم",IF(AND(ISNUMBER(O433),N(O433)&lt;=cfg_VAL_M),G433,0),MAX(0,MIN(F433,cfg_VAL_DATE)-MAX(E433,cfg_Y_START)+1)))</f>
        <v>0</v>
      </c>
      <c r="V433" s="110" t="n">
        <f aca="false">IF(OR($B433="",$E433="",$F433=""),0,MAX(0,MIN($F433,EOMONTH(DATE(cfg_FY,1,1),0))-MAX($E433,DATE(cfg_FY,1,1))+1)*(1-IF($M433="نعم",0,N($J433))))</f>
        <v>0</v>
      </c>
      <c r="W433" s="110" t="n">
        <f aca="false">IF(OR($B433="",$E433="",$F433=""),0,MAX(0,MIN($F433,EOMONTH(DATE(cfg_FY,2,1),0))-MAX($E433,DATE(cfg_FY,2,1))+1)*(1-IF($M433="نعم",0,N($J433))))</f>
        <v>0</v>
      </c>
      <c r="X433" s="110" t="n">
        <f aca="false">IF(OR($B433="",$E433="",$F433=""),0,MAX(0,MIN($F433,EOMONTH(DATE(cfg_FY,3,1),0))-MAX($E433,DATE(cfg_FY,3,1))+1)*(1-IF($M433="نعم",0,N($J433))))</f>
        <v>0</v>
      </c>
      <c r="Y433" s="110" t="n">
        <f aca="false">IF(OR($B433="",$E433="",$F433=""),0,MAX(0,MIN($F433,EOMONTH(DATE(cfg_FY,4,1),0))-MAX($E433,DATE(cfg_FY,4,1))+1)*(1-IF($M433="نعم",0,N($J433))))</f>
        <v>0</v>
      </c>
      <c r="Z433" s="110" t="n">
        <f aca="false">IF(OR($B433="",$E433="",$F433=""),0,MAX(0,MIN($F433,EOMONTH(DATE(cfg_FY,5,1),0))-MAX($E433,DATE(cfg_FY,5,1))+1)*(1-IF($M433="نعم",0,N($J433))))</f>
        <v>0</v>
      </c>
      <c r="AA433" s="110" t="n">
        <f aca="false">IF(OR($B433="",$E433="",$F433=""),0,MAX(0,MIN($F433,EOMONTH(DATE(cfg_FY,6,1),0))-MAX($E433,DATE(cfg_FY,6,1))+1)*(1-IF($M433="نعم",0,N($J433))))</f>
        <v>0</v>
      </c>
      <c r="AB433" s="110" t="n">
        <f aca="false">IF(OR($B433="",$E433="",$F433=""),0,MAX(0,MIN($F433,EOMONTH(DATE(cfg_FY,7,1),0))-MAX($E433,DATE(cfg_FY,7,1))+1)*(1-IF($M433="نعم",0,N($J433))))</f>
        <v>0</v>
      </c>
      <c r="AC433" s="110" t="n">
        <f aca="false">IF(OR($B433="",$E433="",$F433=""),0,MAX(0,MIN($F433,EOMONTH(DATE(cfg_FY,8,1),0))-MAX($E433,DATE(cfg_FY,8,1))+1)*(1-IF($M433="نعم",0,N($J433))))</f>
        <v>0</v>
      </c>
      <c r="AD433" s="110" t="n">
        <f aca="false">IF(OR($B433="",$E433="",$F433=""),0,MAX(0,MIN($F433,EOMONTH(DATE(cfg_FY,9,1),0))-MAX($E433,DATE(cfg_FY,9,1))+1)*(1-IF($M433="نعم",0,N($J433))))</f>
        <v>0</v>
      </c>
      <c r="AE433" s="110" t="n">
        <f aca="false">IF(OR($B433="",$E433="",$F433=""),0,MAX(0,MIN($F433,EOMONTH(DATE(cfg_FY,10,1),0))-MAX($E433,DATE(cfg_FY,10,1))+1)*(1-IF($M433="نعم",0,N($J433))))</f>
        <v>0</v>
      </c>
      <c r="AF433" s="110" t="n">
        <f aca="false">IF(OR($B433="",$E433="",$F433=""),0,MAX(0,MIN($F433,EOMONTH(DATE(cfg_FY,11,1),0))-MAX($E433,DATE(cfg_FY,11,1))+1)*(1-IF($M433="نعم",0,N($J433))))</f>
        <v>0</v>
      </c>
      <c r="AG433" s="110" t="n">
        <f aca="false">IF(OR($B433="",$E433="",$F433=""),0,MAX(0,MIN($F433,EOMONTH(DATE(cfg_FY,12,1),0))-MAX($E433,DATE(cfg_FY,12,1))+1)*(1-IF($M433="نعم",0,N($J433))))</f>
        <v>0</v>
      </c>
      <c r="AH433" s="110" t="n">
        <f aca="false">IF(OR(OR($B433="",$E433="",$F433=""),$L433&lt;&gt;"لا"),0,MAX(0,MIN($F433,EOMONTH(DATE(cfg_FY,1,1),0))-$E433+1))</f>
        <v>0</v>
      </c>
      <c r="AI433" s="110" t="n">
        <f aca="false">IF(OR(OR($B433="",$E433="",$F433=""),$L433&lt;&gt;"لا"),0,MAX(0,MIN($F433,EOMONTH(DATE(cfg_FY,2,1),0))-$E433+1))</f>
        <v>0</v>
      </c>
      <c r="AJ433" s="110" t="n">
        <f aca="false">IF(OR(OR($B433="",$E433="",$F433=""),$L433&lt;&gt;"لا"),0,MAX(0,MIN($F433,EOMONTH(DATE(cfg_FY,3,1),0))-$E433+1))</f>
        <v>0</v>
      </c>
      <c r="AK433" s="110" t="n">
        <f aca="false">IF(OR(OR($B433="",$E433="",$F433=""),$L433&lt;&gt;"لا"),0,MAX(0,MIN($F433,EOMONTH(DATE(cfg_FY,4,1),0))-$E433+1))</f>
        <v>0</v>
      </c>
      <c r="AL433" s="110" t="n">
        <f aca="false">IF(OR(OR($B433="",$E433="",$F433=""),$L433&lt;&gt;"لا"),0,MAX(0,MIN($F433,EOMONTH(DATE(cfg_FY,5,1),0))-$E433+1))</f>
        <v>0</v>
      </c>
      <c r="AM433" s="110" t="n">
        <f aca="false">IF(OR(OR($B433="",$E433="",$F433=""),$L433&lt;&gt;"لا"),0,MAX(0,MIN($F433,EOMONTH(DATE(cfg_FY,6,1),0))-$E433+1))</f>
        <v>0</v>
      </c>
      <c r="AN433" s="110" t="n">
        <f aca="false">IF(OR(OR($B433="",$E433="",$F433=""),$L433&lt;&gt;"لا"),0,MAX(0,MIN($F433,EOMONTH(DATE(cfg_FY,7,1),0))-$E433+1))</f>
        <v>0</v>
      </c>
      <c r="AO433" s="110" t="n">
        <f aca="false">IF(OR(OR($B433="",$E433="",$F433=""),$L433&lt;&gt;"لا"),0,MAX(0,MIN($F433,EOMONTH(DATE(cfg_FY,8,1),0))-$E433+1))</f>
        <v>0</v>
      </c>
      <c r="AP433" s="110" t="n">
        <f aca="false">IF(OR(OR($B433="",$E433="",$F433=""),$L433&lt;&gt;"لا"),0,MAX(0,MIN($F433,EOMONTH(DATE(cfg_FY,9,1),0))-$E433+1))</f>
        <v>0</v>
      </c>
      <c r="AQ433" s="110" t="n">
        <f aca="false">IF(OR(OR($B433="",$E433="",$F433=""),$L433&lt;&gt;"لا"),0,MAX(0,MIN($F433,EOMONTH(DATE(cfg_FY,10,1),0))-$E433+1))</f>
        <v>0</v>
      </c>
      <c r="AR433" s="110" t="n">
        <f aca="false">IF(OR(OR($B433="",$E433="",$F433=""),$L433&lt;&gt;"لا"),0,MAX(0,MIN($F433,EOMONTH(DATE(cfg_FY,11,1),0))-$E433+1))</f>
        <v>0</v>
      </c>
      <c r="AS433" s="110" t="n">
        <f aca="false">IF(OR(OR($B433="",$E433="",$F433=""),$L433&lt;&gt;"لا"),0,MAX(0,MIN($F433,EOMONTH(DATE(cfg_FY,12,1),0))-$E433+1))</f>
        <v>0</v>
      </c>
      <c r="AT433" s="110" t="n">
        <f aca="false">IF(OR(OR($B433="",$E433="",$F433=""),$K433&lt;&gt;"نعم",$M433="نعم"),0,MAX(0,MIN($F433,EOMONTH(DATE(cfg_FY,1,1),0))-MAX($E433,DATE(cfg_FY,1,1))+1))</f>
        <v>0</v>
      </c>
      <c r="AU433" s="110" t="n">
        <f aca="false">IF(OR(OR($B433="",$E433="",$F433=""),$K433&lt;&gt;"نعم",$M433="نعم"),0,MAX(0,MIN($F433,EOMONTH(DATE(cfg_FY,2,1),0))-MAX($E433,DATE(cfg_FY,2,1))+1))</f>
        <v>0</v>
      </c>
      <c r="AV433" s="110" t="n">
        <f aca="false">IF(OR(OR($B433="",$E433="",$F433=""),$K433&lt;&gt;"نعم",$M433="نعم"),0,MAX(0,MIN($F433,EOMONTH(DATE(cfg_FY,3,1),0))-MAX($E433,DATE(cfg_FY,3,1))+1))</f>
        <v>0</v>
      </c>
      <c r="AW433" s="110" t="n">
        <f aca="false">IF(OR(OR($B433="",$E433="",$F433=""),$K433&lt;&gt;"نعم",$M433="نعم"),0,MAX(0,MIN($F433,EOMONTH(DATE(cfg_FY,4,1),0))-MAX($E433,DATE(cfg_FY,4,1))+1))</f>
        <v>0</v>
      </c>
      <c r="AX433" s="110" t="n">
        <f aca="false">IF(OR(OR($B433="",$E433="",$F433=""),$K433&lt;&gt;"نعم",$M433="نعم"),0,MAX(0,MIN($F433,EOMONTH(DATE(cfg_FY,5,1),0))-MAX($E433,DATE(cfg_FY,5,1))+1))</f>
        <v>0</v>
      </c>
      <c r="AY433" s="110" t="n">
        <f aca="false">IF(OR(OR($B433="",$E433="",$F433=""),$K433&lt;&gt;"نعم",$M433="نعم"),0,MAX(0,MIN($F433,EOMONTH(DATE(cfg_FY,6,1),0))-MAX($E433,DATE(cfg_FY,6,1))+1))</f>
        <v>0</v>
      </c>
      <c r="AZ433" s="110" t="n">
        <f aca="false">IF(OR(OR($B433="",$E433="",$F433=""),$K433&lt;&gt;"نعم",$M433="نعم"),0,MAX(0,MIN($F433,EOMONTH(DATE(cfg_FY,7,1),0))-MAX($E433,DATE(cfg_FY,7,1))+1))</f>
        <v>0</v>
      </c>
      <c r="BA433" s="110" t="n">
        <f aca="false">IF(OR(OR($B433="",$E433="",$F433=""),$K433&lt;&gt;"نعم",$M433="نعم"),0,MAX(0,MIN($F433,EOMONTH(DATE(cfg_FY,8,1),0))-MAX($E433,DATE(cfg_FY,8,1))+1))</f>
        <v>0</v>
      </c>
      <c r="BB433" s="110" t="n">
        <f aca="false">IF(OR(OR($B433="",$E433="",$F433=""),$K433&lt;&gt;"نعم",$M433="نعم"),0,MAX(0,MIN($F433,EOMONTH(DATE(cfg_FY,9,1),0))-MAX($E433,DATE(cfg_FY,9,1))+1))</f>
        <v>0</v>
      </c>
      <c r="BC433" s="110" t="n">
        <f aca="false">IF(OR(OR($B433="",$E433="",$F433=""),$K433&lt;&gt;"نعم",$M433="نعم"),0,MAX(0,MIN($F433,EOMONTH(DATE(cfg_FY,10,1),0))-MAX($E433,DATE(cfg_FY,10,1))+1))</f>
        <v>0</v>
      </c>
      <c r="BD433" s="110" t="n">
        <f aca="false">IF(OR(OR($B433="",$E433="",$F433=""),$K433&lt;&gt;"نعم",$M433="نعم"),0,MAX(0,MIN($F433,EOMONTH(DATE(cfg_FY,11,1),0))-MAX($E433,DATE(cfg_FY,11,1))+1))</f>
        <v>0</v>
      </c>
      <c r="BE433" s="110" t="n">
        <f aca="false">IF(OR(OR($B433="",$E433="",$F433=""),$K433&lt;&gt;"نعم",$M433="نعم"),0,MAX(0,MIN($F433,EOMONTH(DATE(cfg_FY,12,1),0))-MAX($E433,DATE(cfg_FY,12,1))+1))</f>
        <v>0</v>
      </c>
    </row>
    <row r="434" customFormat="false" ht="15" hidden="false" customHeight="false" outlineLevel="0" collapsed="false">
      <c r="A434" s="93" t="str">
        <f aca="false">IF(B434="","",ROW()-5)</f>
        <v/>
      </c>
      <c r="B434" s="79"/>
      <c r="C434" s="80" t="str">
        <f aca="false">IF(B434="","",IFERROR(INDEX(الموظفون!$C$6:$C$105,MATCH(B434,الموظفون!$B$6:$B$105,0)),"✖ رقم غير موجود"))</f>
        <v/>
      </c>
      <c r="D434" s="79"/>
      <c r="E434" s="94"/>
      <c r="F434" s="94"/>
      <c r="G434" s="57" t="str">
        <f aca="false">IF(OR($B434="",$E434="",$F434=""),"",MAX(0,F434-E434+1))</f>
        <v/>
      </c>
      <c r="H434" s="58" t="str">
        <f aca="false">IF(D434="","",IFERROR(VLOOKUP(D434,cfg_LT,2,FALSE()),1))</f>
        <v/>
      </c>
      <c r="I434" s="82"/>
      <c r="J434" s="58" t="str">
        <f aca="false">IF(D434="","",IF(I434&lt;&gt;"",I434,H434))</f>
        <v/>
      </c>
      <c r="K434" s="80" t="str">
        <f aca="false">IF(D434="","",IFERROR(VLOOKUP($D434,cfg_LT,3,FALSE()),""))</f>
        <v/>
      </c>
      <c r="L434" s="80" t="str">
        <f aca="false">IF(D434="","",IFERROR(VLOOKUP($D434,cfg_LT,4,FALSE()),""))</f>
        <v/>
      </c>
      <c r="M434" s="80" t="str">
        <f aca="false">IF(D434="","",IFERROR(VLOOKUP($D434,cfg_LT,5,FALSE()),""))</f>
        <v/>
      </c>
      <c r="N434" s="97" t="n">
        <f aca="false">IF(OR(OR($B434="",$E434="",$F434=""),M434&lt;&gt;"نعم"),0,G434*J434*IFERROR(INDEX(الموظفون!$R$6:$R$105,MATCH(B434,الموظفون!$B$6:$B$105,0)),0)/cfg_DAYS_M)</f>
        <v>0</v>
      </c>
      <c r="O434" s="93" t="str">
        <f aca="false">IF(OR(OR($B434="",$E434="",$F434=""),M434&lt;&gt;"نعم"),"",IF(YEAR(E434)=cfg_FY,MONTH(E434),""))</f>
        <v/>
      </c>
      <c r="P434" s="80" t="str">
        <f aca="false">IF(B434="","",IF(OR(D434="",E434="",F434=""),"⚠ أكمل النوع والتواريخ",IF(F434&lt;E434,"✖ النهاية قبل البداية",IF(COUNTIFS($B$6:$B$505,B434,$E$6:$E$505,"&lt;="&amp;F434,$F$6:$F$505,"&gt;="&amp;E434)&gt;1,"⚠ تداخل مع سجل آخر",IF(E434&gt;cfg_VAL_DATE,"⏳ قادمة",IF(F434&lt;cfg_VAL_DATE,"✔ منتهية","✈ جارية في تاريخ التقرير"))))))</f>
        <v/>
      </c>
      <c r="Q434" s="79"/>
      <c r="R434" s="57" t="n">
        <f aca="false">IF(OR(OR($B434="",$E434="",$F434=""),L434&lt;&gt;"لا"),0,MAX(0,MIN(F434,cfg_Y_START-1)-E434+1))</f>
        <v>0</v>
      </c>
      <c r="S434" s="57" t="n">
        <f aca="false">IF(OR(OR($B434="",$E434="",$F434=""),L434&lt;&gt;"لا"),0,MAX(0,MIN(F434,cfg_VAL_DATE)-E434+1))</f>
        <v>0</v>
      </c>
      <c r="T434" s="57" t="n">
        <f aca="false">IF(OR(OR($B434="",$E434="",$F434=""),K434&lt;&gt;"نعم"),0,IF(M434="نعم",IF(AND(ISNUMBER(O434),N(O434)&lt;=cfg_VAL_M),G434,0),MAX(0,MIN(F434,cfg_VAL_DATE)-MAX(E434,cfg_Y_START)+1)))</f>
        <v>0</v>
      </c>
      <c r="V434" s="57" t="n">
        <f aca="false">IF(OR($B434="",$E434="",$F434=""),0,MAX(0,MIN($F434,EOMONTH(DATE(cfg_FY,1,1),0))-MAX($E434,DATE(cfg_FY,1,1))+1)*(1-IF($M434="نعم",0,N($J434))))</f>
        <v>0</v>
      </c>
      <c r="W434" s="57" t="n">
        <f aca="false">IF(OR($B434="",$E434="",$F434=""),0,MAX(0,MIN($F434,EOMONTH(DATE(cfg_FY,2,1),0))-MAX($E434,DATE(cfg_FY,2,1))+1)*(1-IF($M434="نعم",0,N($J434))))</f>
        <v>0</v>
      </c>
      <c r="X434" s="57" t="n">
        <f aca="false">IF(OR($B434="",$E434="",$F434=""),0,MAX(0,MIN($F434,EOMONTH(DATE(cfg_FY,3,1),0))-MAX($E434,DATE(cfg_FY,3,1))+1)*(1-IF($M434="نعم",0,N($J434))))</f>
        <v>0</v>
      </c>
      <c r="Y434" s="57" t="n">
        <f aca="false">IF(OR($B434="",$E434="",$F434=""),0,MAX(0,MIN($F434,EOMONTH(DATE(cfg_FY,4,1),0))-MAX($E434,DATE(cfg_FY,4,1))+1)*(1-IF($M434="نعم",0,N($J434))))</f>
        <v>0</v>
      </c>
      <c r="Z434" s="57" t="n">
        <f aca="false">IF(OR($B434="",$E434="",$F434=""),0,MAX(0,MIN($F434,EOMONTH(DATE(cfg_FY,5,1),0))-MAX($E434,DATE(cfg_FY,5,1))+1)*(1-IF($M434="نعم",0,N($J434))))</f>
        <v>0</v>
      </c>
      <c r="AA434" s="57" t="n">
        <f aca="false">IF(OR($B434="",$E434="",$F434=""),0,MAX(0,MIN($F434,EOMONTH(DATE(cfg_FY,6,1),0))-MAX($E434,DATE(cfg_FY,6,1))+1)*(1-IF($M434="نعم",0,N($J434))))</f>
        <v>0</v>
      </c>
      <c r="AB434" s="57" t="n">
        <f aca="false">IF(OR($B434="",$E434="",$F434=""),0,MAX(0,MIN($F434,EOMONTH(DATE(cfg_FY,7,1),0))-MAX($E434,DATE(cfg_FY,7,1))+1)*(1-IF($M434="نعم",0,N($J434))))</f>
        <v>0</v>
      </c>
      <c r="AC434" s="57" t="n">
        <f aca="false">IF(OR($B434="",$E434="",$F434=""),0,MAX(0,MIN($F434,EOMONTH(DATE(cfg_FY,8,1),0))-MAX($E434,DATE(cfg_FY,8,1))+1)*(1-IF($M434="نعم",0,N($J434))))</f>
        <v>0</v>
      </c>
      <c r="AD434" s="57" t="n">
        <f aca="false">IF(OR($B434="",$E434="",$F434=""),0,MAX(0,MIN($F434,EOMONTH(DATE(cfg_FY,9,1),0))-MAX($E434,DATE(cfg_FY,9,1))+1)*(1-IF($M434="نعم",0,N($J434))))</f>
        <v>0</v>
      </c>
      <c r="AE434" s="57" t="n">
        <f aca="false">IF(OR($B434="",$E434="",$F434=""),0,MAX(0,MIN($F434,EOMONTH(DATE(cfg_FY,10,1),0))-MAX($E434,DATE(cfg_FY,10,1))+1)*(1-IF($M434="نعم",0,N($J434))))</f>
        <v>0</v>
      </c>
      <c r="AF434" s="57" t="n">
        <f aca="false">IF(OR($B434="",$E434="",$F434=""),0,MAX(0,MIN($F434,EOMONTH(DATE(cfg_FY,11,1),0))-MAX($E434,DATE(cfg_FY,11,1))+1)*(1-IF($M434="نعم",0,N($J434))))</f>
        <v>0</v>
      </c>
      <c r="AG434" s="57" t="n">
        <f aca="false">IF(OR($B434="",$E434="",$F434=""),0,MAX(0,MIN($F434,EOMONTH(DATE(cfg_FY,12,1),0))-MAX($E434,DATE(cfg_FY,12,1))+1)*(1-IF($M434="نعم",0,N($J434))))</f>
        <v>0</v>
      </c>
      <c r="AH434" s="57" t="n">
        <f aca="false">IF(OR(OR($B434="",$E434="",$F434=""),$L434&lt;&gt;"لا"),0,MAX(0,MIN($F434,EOMONTH(DATE(cfg_FY,1,1),0))-$E434+1))</f>
        <v>0</v>
      </c>
      <c r="AI434" s="57" t="n">
        <f aca="false">IF(OR(OR($B434="",$E434="",$F434=""),$L434&lt;&gt;"لا"),0,MAX(0,MIN($F434,EOMONTH(DATE(cfg_FY,2,1),0))-$E434+1))</f>
        <v>0</v>
      </c>
      <c r="AJ434" s="57" t="n">
        <f aca="false">IF(OR(OR($B434="",$E434="",$F434=""),$L434&lt;&gt;"لا"),0,MAX(0,MIN($F434,EOMONTH(DATE(cfg_FY,3,1),0))-$E434+1))</f>
        <v>0</v>
      </c>
      <c r="AK434" s="57" t="n">
        <f aca="false">IF(OR(OR($B434="",$E434="",$F434=""),$L434&lt;&gt;"لا"),0,MAX(0,MIN($F434,EOMONTH(DATE(cfg_FY,4,1),0))-$E434+1))</f>
        <v>0</v>
      </c>
      <c r="AL434" s="57" t="n">
        <f aca="false">IF(OR(OR($B434="",$E434="",$F434=""),$L434&lt;&gt;"لا"),0,MAX(0,MIN($F434,EOMONTH(DATE(cfg_FY,5,1),0))-$E434+1))</f>
        <v>0</v>
      </c>
      <c r="AM434" s="57" t="n">
        <f aca="false">IF(OR(OR($B434="",$E434="",$F434=""),$L434&lt;&gt;"لا"),0,MAX(0,MIN($F434,EOMONTH(DATE(cfg_FY,6,1),0))-$E434+1))</f>
        <v>0</v>
      </c>
      <c r="AN434" s="57" t="n">
        <f aca="false">IF(OR(OR($B434="",$E434="",$F434=""),$L434&lt;&gt;"لا"),0,MAX(0,MIN($F434,EOMONTH(DATE(cfg_FY,7,1),0))-$E434+1))</f>
        <v>0</v>
      </c>
      <c r="AO434" s="57" t="n">
        <f aca="false">IF(OR(OR($B434="",$E434="",$F434=""),$L434&lt;&gt;"لا"),0,MAX(0,MIN($F434,EOMONTH(DATE(cfg_FY,8,1),0))-$E434+1))</f>
        <v>0</v>
      </c>
      <c r="AP434" s="57" t="n">
        <f aca="false">IF(OR(OR($B434="",$E434="",$F434=""),$L434&lt;&gt;"لا"),0,MAX(0,MIN($F434,EOMONTH(DATE(cfg_FY,9,1),0))-$E434+1))</f>
        <v>0</v>
      </c>
      <c r="AQ434" s="57" t="n">
        <f aca="false">IF(OR(OR($B434="",$E434="",$F434=""),$L434&lt;&gt;"لا"),0,MAX(0,MIN($F434,EOMONTH(DATE(cfg_FY,10,1),0))-$E434+1))</f>
        <v>0</v>
      </c>
      <c r="AR434" s="57" t="n">
        <f aca="false">IF(OR(OR($B434="",$E434="",$F434=""),$L434&lt;&gt;"لا"),0,MAX(0,MIN($F434,EOMONTH(DATE(cfg_FY,11,1),0))-$E434+1))</f>
        <v>0</v>
      </c>
      <c r="AS434" s="57" t="n">
        <f aca="false">IF(OR(OR($B434="",$E434="",$F434=""),$L434&lt;&gt;"لا"),0,MAX(0,MIN($F434,EOMONTH(DATE(cfg_FY,12,1),0))-$E434+1))</f>
        <v>0</v>
      </c>
      <c r="AT434" s="57" t="n">
        <f aca="false">IF(OR(OR($B434="",$E434="",$F434=""),$K434&lt;&gt;"نعم",$M434="نعم"),0,MAX(0,MIN($F434,EOMONTH(DATE(cfg_FY,1,1),0))-MAX($E434,DATE(cfg_FY,1,1))+1))</f>
        <v>0</v>
      </c>
      <c r="AU434" s="57" t="n">
        <f aca="false">IF(OR(OR($B434="",$E434="",$F434=""),$K434&lt;&gt;"نعم",$M434="نعم"),0,MAX(0,MIN($F434,EOMONTH(DATE(cfg_FY,2,1),0))-MAX($E434,DATE(cfg_FY,2,1))+1))</f>
        <v>0</v>
      </c>
      <c r="AV434" s="57" t="n">
        <f aca="false">IF(OR(OR($B434="",$E434="",$F434=""),$K434&lt;&gt;"نعم",$M434="نعم"),0,MAX(0,MIN($F434,EOMONTH(DATE(cfg_FY,3,1),0))-MAX($E434,DATE(cfg_FY,3,1))+1))</f>
        <v>0</v>
      </c>
      <c r="AW434" s="57" t="n">
        <f aca="false">IF(OR(OR($B434="",$E434="",$F434=""),$K434&lt;&gt;"نعم",$M434="نعم"),0,MAX(0,MIN($F434,EOMONTH(DATE(cfg_FY,4,1),0))-MAX($E434,DATE(cfg_FY,4,1))+1))</f>
        <v>0</v>
      </c>
      <c r="AX434" s="57" t="n">
        <f aca="false">IF(OR(OR($B434="",$E434="",$F434=""),$K434&lt;&gt;"نعم",$M434="نعم"),0,MAX(0,MIN($F434,EOMONTH(DATE(cfg_FY,5,1),0))-MAX($E434,DATE(cfg_FY,5,1))+1))</f>
        <v>0</v>
      </c>
      <c r="AY434" s="57" t="n">
        <f aca="false">IF(OR(OR($B434="",$E434="",$F434=""),$K434&lt;&gt;"نعم",$M434="نعم"),0,MAX(0,MIN($F434,EOMONTH(DATE(cfg_FY,6,1),0))-MAX($E434,DATE(cfg_FY,6,1))+1))</f>
        <v>0</v>
      </c>
      <c r="AZ434" s="57" t="n">
        <f aca="false">IF(OR(OR($B434="",$E434="",$F434=""),$K434&lt;&gt;"نعم",$M434="نعم"),0,MAX(0,MIN($F434,EOMONTH(DATE(cfg_FY,7,1),0))-MAX($E434,DATE(cfg_FY,7,1))+1))</f>
        <v>0</v>
      </c>
      <c r="BA434" s="57" t="n">
        <f aca="false">IF(OR(OR($B434="",$E434="",$F434=""),$K434&lt;&gt;"نعم",$M434="نعم"),0,MAX(0,MIN($F434,EOMONTH(DATE(cfg_FY,8,1),0))-MAX($E434,DATE(cfg_FY,8,1))+1))</f>
        <v>0</v>
      </c>
      <c r="BB434" s="57" t="n">
        <f aca="false">IF(OR(OR($B434="",$E434="",$F434=""),$K434&lt;&gt;"نعم",$M434="نعم"),0,MAX(0,MIN($F434,EOMONTH(DATE(cfg_FY,9,1),0))-MAX($E434,DATE(cfg_FY,9,1))+1))</f>
        <v>0</v>
      </c>
      <c r="BC434" s="57" t="n">
        <f aca="false">IF(OR(OR($B434="",$E434="",$F434=""),$K434&lt;&gt;"نعم",$M434="نعم"),0,MAX(0,MIN($F434,EOMONTH(DATE(cfg_FY,10,1),0))-MAX($E434,DATE(cfg_FY,10,1))+1))</f>
        <v>0</v>
      </c>
      <c r="BD434" s="57" t="n">
        <f aca="false">IF(OR(OR($B434="",$E434="",$F434=""),$K434&lt;&gt;"نعم",$M434="نعم"),0,MAX(0,MIN($F434,EOMONTH(DATE(cfg_FY,11,1),0))-MAX($E434,DATE(cfg_FY,11,1))+1))</f>
        <v>0</v>
      </c>
      <c r="BE434" s="57" t="n">
        <f aca="false">IF(OR(OR($B434="",$E434="",$F434=""),$K434&lt;&gt;"نعم",$M434="نعم"),0,MAX(0,MIN($F434,EOMONTH(DATE(cfg_FY,12,1),0))-MAX($E434,DATE(cfg_FY,12,1))+1))</f>
        <v>0</v>
      </c>
    </row>
    <row r="435" customFormat="false" ht="15" hidden="false" customHeight="false" outlineLevel="0" collapsed="false">
      <c r="A435" s="100" t="str">
        <f aca="false">IF(B435="","",ROW()-5)</f>
        <v/>
      </c>
      <c r="B435" s="79"/>
      <c r="C435" s="102" t="str">
        <f aca="false">IF(B435="","",IFERROR(INDEX(الموظفون!$C$6:$C$105,MATCH(B435,الموظفون!$B$6:$B$105,0)),"✖ رقم غير موجود"))</f>
        <v/>
      </c>
      <c r="D435" s="79"/>
      <c r="E435" s="94"/>
      <c r="F435" s="94"/>
      <c r="G435" s="110" t="str">
        <f aca="false">IF(OR($B435="",$E435="",$F435=""),"",MAX(0,F435-E435+1))</f>
        <v/>
      </c>
      <c r="H435" s="111" t="str">
        <f aca="false">IF(D435="","",IFERROR(VLOOKUP(D435,cfg_LT,2,FALSE()),1))</f>
        <v/>
      </c>
      <c r="I435" s="82"/>
      <c r="J435" s="111" t="str">
        <f aca="false">IF(D435="","",IF(I435&lt;&gt;"",I435,H435))</f>
        <v/>
      </c>
      <c r="K435" s="102" t="str">
        <f aca="false">IF(D435="","",IFERROR(VLOOKUP($D435,cfg_LT,3,FALSE()),""))</f>
        <v/>
      </c>
      <c r="L435" s="102" t="str">
        <f aca="false">IF(D435="","",IFERROR(VLOOKUP($D435,cfg_LT,4,FALSE()),""))</f>
        <v/>
      </c>
      <c r="M435" s="102" t="str">
        <f aca="false">IF(D435="","",IFERROR(VLOOKUP($D435,cfg_LT,5,FALSE()),""))</f>
        <v/>
      </c>
      <c r="N435" s="101" t="n">
        <f aca="false">IF(OR(OR($B435="",$E435="",$F435=""),M435&lt;&gt;"نعم"),0,G435*J435*IFERROR(INDEX(الموظفون!$R$6:$R$105,MATCH(B435,الموظفون!$B$6:$B$105,0)),0)/cfg_DAYS_M)</f>
        <v>0</v>
      </c>
      <c r="O435" s="100" t="str">
        <f aca="false">IF(OR(OR($B435="",$E435="",$F435=""),M435&lt;&gt;"نعم"),"",IF(YEAR(E435)=cfg_FY,MONTH(E435),""))</f>
        <v/>
      </c>
      <c r="P435" s="102" t="str">
        <f aca="false">IF(B435="","",IF(OR(D435="",E435="",F435=""),"⚠ أكمل النوع والتواريخ",IF(F435&lt;E435,"✖ النهاية قبل البداية",IF(COUNTIFS($B$6:$B$505,B435,$E$6:$E$505,"&lt;="&amp;F435,$F$6:$F$505,"&gt;="&amp;E435)&gt;1,"⚠ تداخل مع سجل آخر",IF(E435&gt;cfg_VAL_DATE,"⏳ قادمة",IF(F435&lt;cfg_VAL_DATE,"✔ منتهية","✈ جارية في تاريخ التقرير"))))))</f>
        <v/>
      </c>
      <c r="Q435" s="79"/>
      <c r="R435" s="110" t="n">
        <f aca="false">IF(OR(OR($B435="",$E435="",$F435=""),L435&lt;&gt;"لا"),0,MAX(0,MIN(F435,cfg_Y_START-1)-E435+1))</f>
        <v>0</v>
      </c>
      <c r="S435" s="110" t="n">
        <f aca="false">IF(OR(OR($B435="",$E435="",$F435=""),L435&lt;&gt;"لا"),0,MAX(0,MIN(F435,cfg_VAL_DATE)-E435+1))</f>
        <v>0</v>
      </c>
      <c r="T435" s="110" t="n">
        <f aca="false">IF(OR(OR($B435="",$E435="",$F435=""),K435&lt;&gt;"نعم"),0,IF(M435="نعم",IF(AND(ISNUMBER(O435),N(O435)&lt;=cfg_VAL_M),G435,0),MAX(0,MIN(F435,cfg_VAL_DATE)-MAX(E435,cfg_Y_START)+1)))</f>
        <v>0</v>
      </c>
      <c r="V435" s="110" t="n">
        <f aca="false">IF(OR($B435="",$E435="",$F435=""),0,MAX(0,MIN($F435,EOMONTH(DATE(cfg_FY,1,1),0))-MAX($E435,DATE(cfg_FY,1,1))+1)*(1-IF($M435="نعم",0,N($J435))))</f>
        <v>0</v>
      </c>
      <c r="W435" s="110" t="n">
        <f aca="false">IF(OR($B435="",$E435="",$F435=""),0,MAX(0,MIN($F435,EOMONTH(DATE(cfg_FY,2,1),0))-MAX($E435,DATE(cfg_FY,2,1))+1)*(1-IF($M435="نعم",0,N($J435))))</f>
        <v>0</v>
      </c>
      <c r="X435" s="110" t="n">
        <f aca="false">IF(OR($B435="",$E435="",$F435=""),0,MAX(0,MIN($F435,EOMONTH(DATE(cfg_FY,3,1),0))-MAX($E435,DATE(cfg_FY,3,1))+1)*(1-IF($M435="نعم",0,N($J435))))</f>
        <v>0</v>
      </c>
      <c r="Y435" s="110" t="n">
        <f aca="false">IF(OR($B435="",$E435="",$F435=""),0,MAX(0,MIN($F435,EOMONTH(DATE(cfg_FY,4,1),0))-MAX($E435,DATE(cfg_FY,4,1))+1)*(1-IF($M435="نعم",0,N($J435))))</f>
        <v>0</v>
      </c>
      <c r="Z435" s="110" t="n">
        <f aca="false">IF(OR($B435="",$E435="",$F435=""),0,MAX(0,MIN($F435,EOMONTH(DATE(cfg_FY,5,1),0))-MAX($E435,DATE(cfg_FY,5,1))+1)*(1-IF($M435="نعم",0,N($J435))))</f>
        <v>0</v>
      </c>
      <c r="AA435" s="110" t="n">
        <f aca="false">IF(OR($B435="",$E435="",$F435=""),0,MAX(0,MIN($F435,EOMONTH(DATE(cfg_FY,6,1),0))-MAX($E435,DATE(cfg_FY,6,1))+1)*(1-IF($M435="نعم",0,N($J435))))</f>
        <v>0</v>
      </c>
      <c r="AB435" s="110" t="n">
        <f aca="false">IF(OR($B435="",$E435="",$F435=""),0,MAX(0,MIN($F435,EOMONTH(DATE(cfg_FY,7,1),0))-MAX($E435,DATE(cfg_FY,7,1))+1)*(1-IF($M435="نعم",0,N($J435))))</f>
        <v>0</v>
      </c>
      <c r="AC435" s="110" t="n">
        <f aca="false">IF(OR($B435="",$E435="",$F435=""),0,MAX(0,MIN($F435,EOMONTH(DATE(cfg_FY,8,1),0))-MAX($E435,DATE(cfg_FY,8,1))+1)*(1-IF($M435="نعم",0,N($J435))))</f>
        <v>0</v>
      </c>
      <c r="AD435" s="110" t="n">
        <f aca="false">IF(OR($B435="",$E435="",$F435=""),0,MAX(0,MIN($F435,EOMONTH(DATE(cfg_FY,9,1),0))-MAX($E435,DATE(cfg_FY,9,1))+1)*(1-IF($M435="نعم",0,N($J435))))</f>
        <v>0</v>
      </c>
      <c r="AE435" s="110" t="n">
        <f aca="false">IF(OR($B435="",$E435="",$F435=""),0,MAX(0,MIN($F435,EOMONTH(DATE(cfg_FY,10,1),0))-MAX($E435,DATE(cfg_FY,10,1))+1)*(1-IF($M435="نعم",0,N($J435))))</f>
        <v>0</v>
      </c>
      <c r="AF435" s="110" t="n">
        <f aca="false">IF(OR($B435="",$E435="",$F435=""),0,MAX(0,MIN($F435,EOMONTH(DATE(cfg_FY,11,1),0))-MAX($E435,DATE(cfg_FY,11,1))+1)*(1-IF($M435="نعم",0,N($J435))))</f>
        <v>0</v>
      </c>
      <c r="AG435" s="110" t="n">
        <f aca="false">IF(OR($B435="",$E435="",$F435=""),0,MAX(0,MIN($F435,EOMONTH(DATE(cfg_FY,12,1),0))-MAX($E435,DATE(cfg_FY,12,1))+1)*(1-IF($M435="نعم",0,N($J435))))</f>
        <v>0</v>
      </c>
      <c r="AH435" s="110" t="n">
        <f aca="false">IF(OR(OR($B435="",$E435="",$F435=""),$L435&lt;&gt;"لا"),0,MAX(0,MIN($F435,EOMONTH(DATE(cfg_FY,1,1),0))-$E435+1))</f>
        <v>0</v>
      </c>
      <c r="AI435" s="110" t="n">
        <f aca="false">IF(OR(OR($B435="",$E435="",$F435=""),$L435&lt;&gt;"لا"),0,MAX(0,MIN($F435,EOMONTH(DATE(cfg_FY,2,1),0))-$E435+1))</f>
        <v>0</v>
      </c>
      <c r="AJ435" s="110" t="n">
        <f aca="false">IF(OR(OR($B435="",$E435="",$F435=""),$L435&lt;&gt;"لا"),0,MAX(0,MIN($F435,EOMONTH(DATE(cfg_FY,3,1),0))-$E435+1))</f>
        <v>0</v>
      </c>
      <c r="AK435" s="110" t="n">
        <f aca="false">IF(OR(OR($B435="",$E435="",$F435=""),$L435&lt;&gt;"لا"),0,MAX(0,MIN($F435,EOMONTH(DATE(cfg_FY,4,1),0))-$E435+1))</f>
        <v>0</v>
      </c>
      <c r="AL435" s="110" t="n">
        <f aca="false">IF(OR(OR($B435="",$E435="",$F435=""),$L435&lt;&gt;"لا"),0,MAX(0,MIN($F435,EOMONTH(DATE(cfg_FY,5,1),0))-$E435+1))</f>
        <v>0</v>
      </c>
      <c r="AM435" s="110" t="n">
        <f aca="false">IF(OR(OR($B435="",$E435="",$F435=""),$L435&lt;&gt;"لا"),0,MAX(0,MIN($F435,EOMONTH(DATE(cfg_FY,6,1),0))-$E435+1))</f>
        <v>0</v>
      </c>
      <c r="AN435" s="110" t="n">
        <f aca="false">IF(OR(OR($B435="",$E435="",$F435=""),$L435&lt;&gt;"لا"),0,MAX(0,MIN($F435,EOMONTH(DATE(cfg_FY,7,1),0))-$E435+1))</f>
        <v>0</v>
      </c>
      <c r="AO435" s="110" t="n">
        <f aca="false">IF(OR(OR($B435="",$E435="",$F435=""),$L435&lt;&gt;"لا"),0,MAX(0,MIN($F435,EOMONTH(DATE(cfg_FY,8,1),0))-$E435+1))</f>
        <v>0</v>
      </c>
      <c r="AP435" s="110" t="n">
        <f aca="false">IF(OR(OR($B435="",$E435="",$F435=""),$L435&lt;&gt;"لا"),0,MAX(0,MIN($F435,EOMONTH(DATE(cfg_FY,9,1),0))-$E435+1))</f>
        <v>0</v>
      </c>
      <c r="AQ435" s="110" t="n">
        <f aca="false">IF(OR(OR($B435="",$E435="",$F435=""),$L435&lt;&gt;"لا"),0,MAX(0,MIN($F435,EOMONTH(DATE(cfg_FY,10,1),0))-$E435+1))</f>
        <v>0</v>
      </c>
      <c r="AR435" s="110" t="n">
        <f aca="false">IF(OR(OR($B435="",$E435="",$F435=""),$L435&lt;&gt;"لا"),0,MAX(0,MIN($F435,EOMONTH(DATE(cfg_FY,11,1),0))-$E435+1))</f>
        <v>0</v>
      </c>
      <c r="AS435" s="110" t="n">
        <f aca="false">IF(OR(OR($B435="",$E435="",$F435=""),$L435&lt;&gt;"لا"),0,MAX(0,MIN($F435,EOMONTH(DATE(cfg_FY,12,1),0))-$E435+1))</f>
        <v>0</v>
      </c>
      <c r="AT435" s="110" t="n">
        <f aca="false">IF(OR(OR($B435="",$E435="",$F435=""),$K435&lt;&gt;"نعم",$M435="نعم"),0,MAX(0,MIN($F435,EOMONTH(DATE(cfg_FY,1,1),0))-MAX($E435,DATE(cfg_FY,1,1))+1))</f>
        <v>0</v>
      </c>
      <c r="AU435" s="110" t="n">
        <f aca="false">IF(OR(OR($B435="",$E435="",$F435=""),$K435&lt;&gt;"نعم",$M435="نعم"),0,MAX(0,MIN($F435,EOMONTH(DATE(cfg_FY,2,1),0))-MAX($E435,DATE(cfg_FY,2,1))+1))</f>
        <v>0</v>
      </c>
      <c r="AV435" s="110" t="n">
        <f aca="false">IF(OR(OR($B435="",$E435="",$F435=""),$K435&lt;&gt;"نعم",$M435="نعم"),0,MAX(0,MIN($F435,EOMONTH(DATE(cfg_FY,3,1),0))-MAX($E435,DATE(cfg_FY,3,1))+1))</f>
        <v>0</v>
      </c>
      <c r="AW435" s="110" t="n">
        <f aca="false">IF(OR(OR($B435="",$E435="",$F435=""),$K435&lt;&gt;"نعم",$M435="نعم"),0,MAX(0,MIN($F435,EOMONTH(DATE(cfg_FY,4,1),0))-MAX($E435,DATE(cfg_FY,4,1))+1))</f>
        <v>0</v>
      </c>
      <c r="AX435" s="110" t="n">
        <f aca="false">IF(OR(OR($B435="",$E435="",$F435=""),$K435&lt;&gt;"نعم",$M435="نعم"),0,MAX(0,MIN($F435,EOMONTH(DATE(cfg_FY,5,1),0))-MAX($E435,DATE(cfg_FY,5,1))+1))</f>
        <v>0</v>
      </c>
      <c r="AY435" s="110" t="n">
        <f aca="false">IF(OR(OR($B435="",$E435="",$F435=""),$K435&lt;&gt;"نعم",$M435="نعم"),0,MAX(0,MIN($F435,EOMONTH(DATE(cfg_FY,6,1),0))-MAX($E435,DATE(cfg_FY,6,1))+1))</f>
        <v>0</v>
      </c>
      <c r="AZ435" s="110" t="n">
        <f aca="false">IF(OR(OR($B435="",$E435="",$F435=""),$K435&lt;&gt;"نعم",$M435="نعم"),0,MAX(0,MIN($F435,EOMONTH(DATE(cfg_FY,7,1),0))-MAX($E435,DATE(cfg_FY,7,1))+1))</f>
        <v>0</v>
      </c>
      <c r="BA435" s="110" t="n">
        <f aca="false">IF(OR(OR($B435="",$E435="",$F435=""),$K435&lt;&gt;"نعم",$M435="نعم"),0,MAX(0,MIN($F435,EOMONTH(DATE(cfg_FY,8,1),0))-MAX($E435,DATE(cfg_FY,8,1))+1))</f>
        <v>0</v>
      </c>
      <c r="BB435" s="110" t="n">
        <f aca="false">IF(OR(OR($B435="",$E435="",$F435=""),$K435&lt;&gt;"نعم",$M435="نعم"),0,MAX(0,MIN($F435,EOMONTH(DATE(cfg_FY,9,1),0))-MAX($E435,DATE(cfg_FY,9,1))+1))</f>
        <v>0</v>
      </c>
      <c r="BC435" s="110" t="n">
        <f aca="false">IF(OR(OR($B435="",$E435="",$F435=""),$K435&lt;&gt;"نعم",$M435="نعم"),0,MAX(0,MIN($F435,EOMONTH(DATE(cfg_FY,10,1),0))-MAX($E435,DATE(cfg_FY,10,1))+1))</f>
        <v>0</v>
      </c>
      <c r="BD435" s="110" t="n">
        <f aca="false">IF(OR(OR($B435="",$E435="",$F435=""),$K435&lt;&gt;"نعم",$M435="نعم"),0,MAX(0,MIN($F435,EOMONTH(DATE(cfg_FY,11,1),0))-MAX($E435,DATE(cfg_FY,11,1))+1))</f>
        <v>0</v>
      </c>
      <c r="BE435" s="110" t="n">
        <f aca="false">IF(OR(OR($B435="",$E435="",$F435=""),$K435&lt;&gt;"نعم",$M435="نعم"),0,MAX(0,MIN($F435,EOMONTH(DATE(cfg_FY,12,1),0))-MAX($E435,DATE(cfg_FY,12,1))+1))</f>
        <v>0</v>
      </c>
    </row>
    <row r="436" customFormat="false" ht="15" hidden="false" customHeight="false" outlineLevel="0" collapsed="false">
      <c r="A436" s="93" t="str">
        <f aca="false">IF(B436="","",ROW()-5)</f>
        <v/>
      </c>
      <c r="B436" s="79"/>
      <c r="C436" s="80" t="str">
        <f aca="false">IF(B436="","",IFERROR(INDEX(الموظفون!$C$6:$C$105,MATCH(B436,الموظفون!$B$6:$B$105,0)),"✖ رقم غير موجود"))</f>
        <v/>
      </c>
      <c r="D436" s="79"/>
      <c r="E436" s="94"/>
      <c r="F436" s="94"/>
      <c r="G436" s="57" t="str">
        <f aca="false">IF(OR($B436="",$E436="",$F436=""),"",MAX(0,F436-E436+1))</f>
        <v/>
      </c>
      <c r="H436" s="58" t="str">
        <f aca="false">IF(D436="","",IFERROR(VLOOKUP(D436,cfg_LT,2,FALSE()),1))</f>
        <v/>
      </c>
      <c r="I436" s="82"/>
      <c r="J436" s="58" t="str">
        <f aca="false">IF(D436="","",IF(I436&lt;&gt;"",I436,H436))</f>
        <v/>
      </c>
      <c r="K436" s="80" t="str">
        <f aca="false">IF(D436="","",IFERROR(VLOOKUP($D436,cfg_LT,3,FALSE()),""))</f>
        <v/>
      </c>
      <c r="L436" s="80" t="str">
        <f aca="false">IF(D436="","",IFERROR(VLOOKUP($D436,cfg_LT,4,FALSE()),""))</f>
        <v/>
      </c>
      <c r="M436" s="80" t="str">
        <f aca="false">IF(D436="","",IFERROR(VLOOKUP($D436,cfg_LT,5,FALSE()),""))</f>
        <v/>
      </c>
      <c r="N436" s="97" t="n">
        <f aca="false">IF(OR(OR($B436="",$E436="",$F436=""),M436&lt;&gt;"نعم"),0,G436*J436*IFERROR(INDEX(الموظفون!$R$6:$R$105,MATCH(B436,الموظفون!$B$6:$B$105,0)),0)/cfg_DAYS_M)</f>
        <v>0</v>
      </c>
      <c r="O436" s="93" t="str">
        <f aca="false">IF(OR(OR($B436="",$E436="",$F436=""),M436&lt;&gt;"نعم"),"",IF(YEAR(E436)=cfg_FY,MONTH(E436),""))</f>
        <v/>
      </c>
      <c r="P436" s="80" t="str">
        <f aca="false">IF(B436="","",IF(OR(D436="",E436="",F436=""),"⚠ أكمل النوع والتواريخ",IF(F436&lt;E436,"✖ النهاية قبل البداية",IF(COUNTIFS($B$6:$B$505,B436,$E$6:$E$505,"&lt;="&amp;F436,$F$6:$F$505,"&gt;="&amp;E436)&gt;1,"⚠ تداخل مع سجل آخر",IF(E436&gt;cfg_VAL_DATE,"⏳ قادمة",IF(F436&lt;cfg_VAL_DATE,"✔ منتهية","✈ جارية في تاريخ التقرير"))))))</f>
        <v/>
      </c>
      <c r="Q436" s="79"/>
      <c r="R436" s="57" t="n">
        <f aca="false">IF(OR(OR($B436="",$E436="",$F436=""),L436&lt;&gt;"لا"),0,MAX(0,MIN(F436,cfg_Y_START-1)-E436+1))</f>
        <v>0</v>
      </c>
      <c r="S436" s="57" t="n">
        <f aca="false">IF(OR(OR($B436="",$E436="",$F436=""),L436&lt;&gt;"لا"),0,MAX(0,MIN(F436,cfg_VAL_DATE)-E436+1))</f>
        <v>0</v>
      </c>
      <c r="T436" s="57" t="n">
        <f aca="false">IF(OR(OR($B436="",$E436="",$F436=""),K436&lt;&gt;"نعم"),0,IF(M436="نعم",IF(AND(ISNUMBER(O436),N(O436)&lt;=cfg_VAL_M),G436,0),MAX(0,MIN(F436,cfg_VAL_DATE)-MAX(E436,cfg_Y_START)+1)))</f>
        <v>0</v>
      </c>
      <c r="V436" s="57" t="n">
        <f aca="false">IF(OR($B436="",$E436="",$F436=""),0,MAX(0,MIN($F436,EOMONTH(DATE(cfg_FY,1,1),0))-MAX($E436,DATE(cfg_FY,1,1))+1)*(1-IF($M436="نعم",0,N($J436))))</f>
        <v>0</v>
      </c>
      <c r="W436" s="57" t="n">
        <f aca="false">IF(OR($B436="",$E436="",$F436=""),0,MAX(0,MIN($F436,EOMONTH(DATE(cfg_FY,2,1),0))-MAX($E436,DATE(cfg_FY,2,1))+1)*(1-IF($M436="نعم",0,N($J436))))</f>
        <v>0</v>
      </c>
      <c r="X436" s="57" t="n">
        <f aca="false">IF(OR($B436="",$E436="",$F436=""),0,MAX(0,MIN($F436,EOMONTH(DATE(cfg_FY,3,1),0))-MAX($E436,DATE(cfg_FY,3,1))+1)*(1-IF($M436="نعم",0,N($J436))))</f>
        <v>0</v>
      </c>
      <c r="Y436" s="57" t="n">
        <f aca="false">IF(OR($B436="",$E436="",$F436=""),0,MAX(0,MIN($F436,EOMONTH(DATE(cfg_FY,4,1),0))-MAX($E436,DATE(cfg_FY,4,1))+1)*(1-IF($M436="نعم",0,N($J436))))</f>
        <v>0</v>
      </c>
      <c r="Z436" s="57" t="n">
        <f aca="false">IF(OR($B436="",$E436="",$F436=""),0,MAX(0,MIN($F436,EOMONTH(DATE(cfg_FY,5,1),0))-MAX($E436,DATE(cfg_FY,5,1))+1)*(1-IF($M436="نعم",0,N($J436))))</f>
        <v>0</v>
      </c>
      <c r="AA436" s="57" t="n">
        <f aca="false">IF(OR($B436="",$E436="",$F436=""),0,MAX(0,MIN($F436,EOMONTH(DATE(cfg_FY,6,1),0))-MAX($E436,DATE(cfg_FY,6,1))+1)*(1-IF($M436="نعم",0,N($J436))))</f>
        <v>0</v>
      </c>
      <c r="AB436" s="57" t="n">
        <f aca="false">IF(OR($B436="",$E436="",$F436=""),0,MAX(0,MIN($F436,EOMONTH(DATE(cfg_FY,7,1),0))-MAX($E436,DATE(cfg_FY,7,1))+1)*(1-IF($M436="نعم",0,N($J436))))</f>
        <v>0</v>
      </c>
      <c r="AC436" s="57" t="n">
        <f aca="false">IF(OR($B436="",$E436="",$F436=""),0,MAX(0,MIN($F436,EOMONTH(DATE(cfg_FY,8,1),0))-MAX($E436,DATE(cfg_FY,8,1))+1)*(1-IF($M436="نعم",0,N($J436))))</f>
        <v>0</v>
      </c>
      <c r="AD436" s="57" t="n">
        <f aca="false">IF(OR($B436="",$E436="",$F436=""),0,MAX(0,MIN($F436,EOMONTH(DATE(cfg_FY,9,1),0))-MAX($E436,DATE(cfg_FY,9,1))+1)*(1-IF($M436="نعم",0,N($J436))))</f>
        <v>0</v>
      </c>
      <c r="AE436" s="57" t="n">
        <f aca="false">IF(OR($B436="",$E436="",$F436=""),0,MAX(0,MIN($F436,EOMONTH(DATE(cfg_FY,10,1),0))-MAX($E436,DATE(cfg_FY,10,1))+1)*(1-IF($M436="نعم",0,N($J436))))</f>
        <v>0</v>
      </c>
      <c r="AF436" s="57" t="n">
        <f aca="false">IF(OR($B436="",$E436="",$F436=""),0,MAX(0,MIN($F436,EOMONTH(DATE(cfg_FY,11,1),0))-MAX($E436,DATE(cfg_FY,11,1))+1)*(1-IF($M436="نعم",0,N($J436))))</f>
        <v>0</v>
      </c>
      <c r="AG436" s="57" t="n">
        <f aca="false">IF(OR($B436="",$E436="",$F436=""),0,MAX(0,MIN($F436,EOMONTH(DATE(cfg_FY,12,1),0))-MAX($E436,DATE(cfg_FY,12,1))+1)*(1-IF($M436="نعم",0,N($J436))))</f>
        <v>0</v>
      </c>
      <c r="AH436" s="57" t="n">
        <f aca="false">IF(OR(OR($B436="",$E436="",$F436=""),$L436&lt;&gt;"لا"),0,MAX(0,MIN($F436,EOMONTH(DATE(cfg_FY,1,1),0))-$E436+1))</f>
        <v>0</v>
      </c>
      <c r="AI436" s="57" t="n">
        <f aca="false">IF(OR(OR($B436="",$E436="",$F436=""),$L436&lt;&gt;"لا"),0,MAX(0,MIN($F436,EOMONTH(DATE(cfg_FY,2,1),0))-$E436+1))</f>
        <v>0</v>
      </c>
      <c r="AJ436" s="57" t="n">
        <f aca="false">IF(OR(OR($B436="",$E436="",$F436=""),$L436&lt;&gt;"لا"),0,MAX(0,MIN($F436,EOMONTH(DATE(cfg_FY,3,1),0))-$E436+1))</f>
        <v>0</v>
      </c>
      <c r="AK436" s="57" t="n">
        <f aca="false">IF(OR(OR($B436="",$E436="",$F436=""),$L436&lt;&gt;"لا"),0,MAX(0,MIN($F436,EOMONTH(DATE(cfg_FY,4,1),0))-$E436+1))</f>
        <v>0</v>
      </c>
      <c r="AL436" s="57" t="n">
        <f aca="false">IF(OR(OR($B436="",$E436="",$F436=""),$L436&lt;&gt;"لا"),0,MAX(0,MIN($F436,EOMONTH(DATE(cfg_FY,5,1),0))-$E436+1))</f>
        <v>0</v>
      </c>
      <c r="AM436" s="57" t="n">
        <f aca="false">IF(OR(OR($B436="",$E436="",$F436=""),$L436&lt;&gt;"لا"),0,MAX(0,MIN($F436,EOMONTH(DATE(cfg_FY,6,1),0))-$E436+1))</f>
        <v>0</v>
      </c>
      <c r="AN436" s="57" t="n">
        <f aca="false">IF(OR(OR($B436="",$E436="",$F436=""),$L436&lt;&gt;"لا"),0,MAX(0,MIN($F436,EOMONTH(DATE(cfg_FY,7,1),0))-$E436+1))</f>
        <v>0</v>
      </c>
      <c r="AO436" s="57" t="n">
        <f aca="false">IF(OR(OR($B436="",$E436="",$F436=""),$L436&lt;&gt;"لا"),0,MAX(0,MIN($F436,EOMONTH(DATE(cfg_FY,8,1),0))-$E436+1))</f>
        <v>0</v>
      </c>
      <c r="AP436" s="57" t="n">
        <f aca="false">IF(OR(OR($B436="",$E436="",$F436=""),$L436&lt;&gt;"لا"),0,MAX(0,MIN($F436,EOMONTH(DATE(cfg_FY,9,1),0))-$E436+1))</f>
        <v>0</v>
      </c>
      <c r="AQ436" s="57" t="n">
        <f aca="false">IF(OR(OR($B436="",$E436="",$F436=""),$L436&lt;&gt;"لا"),0,MAX(0,MIN($F436,EOMONTH(DATE(cfg_FY,10,1),0))-$E436+1))</f>
        <v>0</v>
      </c>
      <c r="AR436" s="57" t="n">
        <f aca="false">IF(OR(OR($B436="",$E436="",$F436=""),$L436&lt;&gt;"لا"),0,MAX(0,MIN($F436,EOMONTH(DATE(cfg_FY,11,1),0))-$E436+1))</f>
        <v>0</v>
      </c>
      <c r="AS436" s="57" t="n">
        <f aca="false">IF(OR(OR($B436="",$E436="",$F436=""),$L436&lt;&gt;"لا"),0,MAX(0,MIN($F436,EOMONTH(DATE(cfg_FY,12,1),0))-$E436+1))</f>
        <v>0</v>
      </c>
      <c r="AT436" s="57" t="n">
        <f aca="false">IF(OR(OR($B436="",$E436="",$F436=""),$K436&lt;&gt;"نعم",$M436="نعم"),0,MAX(0,MIN($F436,EOMONTH(DATE(cfg_FY,1,1),0))-MAX($E436,DATE(cfg_FY,1,1))+1))</f>
        <v>0</v>
      </c>
      <c r="AU436" s="57" t="n">
        <f aca="false">IF(OR(OR($B436="",$E436="",$F436=""),$K436&lt;&gt;"نعم",$M436="نعم"),0,MAX(0,MIN($F436,EOMONTH(DATE(cfg_FY,2,1),0))-MAX($E436,DATE(cfg_FY,2,1))+1))</f>
        <v>0</v>
      </c>
      <c r="AV436" s="57" t="n">
        <f aca="false">IF(OR(OR($B436="",$E436="",$F436=""),$K436&lt;&gt;"نعم",$M436="نعم"),0,MAX(0,MIN($F436,EOMONTH(DATE(cfg_FY,3,1),0))-MAX($E436,DATE(cfg_FY,3,1))+1))</f>
        <v>0</v>
      </c>
      <c r="AW436" s="57" t="n">
        <f aca="false">IF(OR(OR($B436="",$E436="",$F436=""),$K436&lt;&gt;"نعم",$M436="نعم"),0,MAX(0,MIN($F436,EOMONTH(DATE(cfg_FY,4,1),0))-MAX($E436,DATE(cfg_FY,4,1))+1))</f>
        <v>0</v>
      </c>
      <c r="AX436" s="57" t="n">
        <f aca="false">IF(OR(OR($B436="",$E436="",$F436=""),$K436&lt;&gt;"نعم",$M436="نعم"),0,MAX(0,MIN($F436,EOMONTH(DATE(cfg_FY,5,1),0))-MAX($E436,DATE(cfg_FY,5,1))+1))</f>
        <v>0</v>
      </c>
      <c r="AY436" s="57" t="n">
        <f aca="false">IF(OR(OR($B436="",$E436="",$F436=""),$K436&lt;&gt;"نعم",$M436="نعم"),0,MAX(0,MIN($F436,EOMONTH(DATE(cfg_FY,6,1),0))-MAX($E436,DATE(cfg_FY,6,1))+1))</f>
        <v>0</v>
      </c>
      <c r="AZ436" s="57" t="n">
        <f aca="false">IF(OR(OR($B436="",$E436="",$F436=""),$K436&lt;&gt;"نعم",$M436="نعم"),0,MAX(0,MIN($F436,EOMONTH(DATE(cfg_FY,7,1),0))-MAX($E436,DATE(cfg_FY,7,1))+1))</f>
        <v>0</v>
      </c>
      <c r="BA436" s="57" t="n">
        <f aca="false">IF(OR(OR($B436="",$E436="",$F436=""),$K436&lt;&gt;"نعم",$M436="نعم"),0,MAX(0,MIN($F436,EOMONTH(DATE(cfg_FY,8,1),0))-MAX($E436,DATE(cfg_FY,8,1))+1))</f>
        <v>0</v>
      </c>
      <c r="BB436" s="57" t="n">
        <f aca="false">IF(OR(OR($B436="",$E436="",$F436=""),$K436&lt;&gt;"نعم",$M436="نعم"),0,MAX(0,MIN($F436,EOMONTH(DATE(cfg_FY,9,1),0))-MAX($E436,DATE(cfg_FY,9,1))+1))</f>
        <v>0</v>
      </c>
      <c r="BC436" s="57" t="n">
        <f aca="false">IF(OR(OR($B436="",$E436="",$F436=""),$K436&lt;&gt;"نعم",$M436="نعم"),0,MAX(0,MIN($F436,EOMONTH(DATE(cfg_FY,10,1),0))-MAX($E436,DATE(cfg_FY,10,1))+1))</f>
        <v>0</v>
      </c>
      <c r="BD436" s="57" t="n">
        <f aca="false">IF(OR(OR($B436="",$E436="",$F436=""),$K436&lt;&gt;"نعم",$M436="نعم"),0,MAX(0,MIN($F436,EOMONTH(DATE(cfg_FY,11,1),0))-MAX($E436,DATE(cfg_FY,11,1))+1))</f>
        <v>0</v>
      </c>
      <c r="BE436" s="57" t="n">
        <f aca="false">IF(OR(OR($B436="",$E436="",$F436=""),$K436&lt;&gt;"نعم",$M436="نعم"),0,MAX(0,MIN($F436,EOMONTH(DATE(cfg_FY,12,1),0))-MAX($E436,DATE(cfg_FY,12,1))+1))</f>
        <v>0</v>
      </c>
    </row>
    <row r="437" customFormat="false" ht="15" hidden="false" customHeight="false" outlineLevel="0" collapsed="false">
      <c r="A437" s="100" t="str">
        <f aca="false">IF(B437="","",ROW()-5)</f>
        <v/>
      </c>
      <c r="B437" s="79"/>
      <c r="C437" s="102" t="str">
        <f aca="false">IF(B437="","",IFERROR(INDEX(الموظفون!$C$6:$C$105,MATCH(B437,الموظفون!$B$6:$B$105,0)),"✖ رقم غير موجود"))</f>
        <v/>
      </c>
      <c r="D437" s="79"/>
      <c r="E437" s="94"/>
      <c r="F437" s="94"/>
      <c r="G437" s="110" t="str">
        <f aca="false">IF(OR($B437="",$E437="",$F437=""),"",MAX(0,F437-E437+1))</f>
        <v/>
      </c>
      <c r="H437" s="111" t="str">
        <f aca="false">IF(D437="","",IFERROR(VLOOKUP(D437,cfg_LT,2,FALSE()),1))</f>
        <v/>
      </c>
      <c r="I437" s="82"/>
      <c r="J437" s="111" t="str">
        <f aca="false">IF(D437="","",IF(I437&lt;&gt;"",I437,H437))</f>
        <v/>
      </c>
      <c r="K437" s="102" t="str">
        <f aca="false">IF(D437="","",IFERROR(VLOOKUP($D437,cfg_LT,3,FALSE()),""))</f>
        <v/>
      </c>
      <c r="L437" s="102" t="str">
        <f aca="false">IF(D437="","",IFERROR(VLOOKUP($D437,cfg_LT,4,FALSE()),""))</f>
        <v/>
      </c>
      <c r="M437" s="102" t="str">
        <f aca="false">IF(D437="","",IFERROR(VLOOKUP($D437,cfg_LT,5,FALSE()),""))</f>
        <v/>
      </c>
      <c r="N437" s="101" t="n">
        <f aca="false">IF(OR(OR($B437="",$E437="",$F437=""),M437&lt;&gt;"نعم"),0,G437*J437*IFERROR(INDEX(الموظفون!$R$6:$R$105,MATCH(B437,الموظفون!$B$6:$B$105,0)),0)/cfg_DAYS_M)</f>
        <v>0</v>
      </c>
      <c r="O437" s="100" t="str">
        <f aca="false">IF(OR(OR($B437="",$E437="",$F437=""),M437&lt;&gt;"نعم"),"",IF(YEAR(E437)=cfg_FY,MONTH(E437),""))</f>
        <v/>
      </c>
      <c r="P437" s="102" t="str">
        <f aca="false">IF(B437="","",IF(OR(D437="",E437="",F437=""),"⚠ أكمل النوع والتواريخ",IF(F437&lt;E437,"✖ النهاية قبل البداية",IF(COUNTIFS($B$6:$B$505,B437,$E$6:$E$505,"&lt;="&amp;F437,$F$6:$F$505,"&gt;="&amp;E437)&gt;1,"⚠ تداخل مع سجل آخر",IF(E437&gt;cfg_VAL_DATE,"⏳ قادمة",IF(F437&lt;cfg_VAL_DATE,"✔ منتهية","✈ جارية في تاريخ التقرير"))))))</f>
        <v/>
      </c>
      <c r="Q437" s="79"/>
      <c r="R437" s="110" t="n">
        <f aca="false">IF(OR(OR($B437="",$E437="",$F437=""),L437&lt;&gt;"لا"),0,MAX(0,MIN(F437,cfg_Y_START-1)-E437+1))</f>
        <v>0</v>
      </c>
      <c r="S437" s="110" t="n">
        <f aca="false">IF(OR(OR($B437="",$E437="",$F437=""),L437&lt;&gt;"لا"),0,MAX(0,MIN(F437,cfg_VAL_DATE)-E437+1))</f>
        <v>0</v>
      </c>
      <c r="T437" s="110" t="n">
        <f aca="false">IF(OR(OR($B437="",$E437="",$F437=""),K437&lt;&gt;"نعم"),0,IF(M437="نعم",IF(AND(ISNUMBER(O437),N(O437)&lt;=cfg_VAL_M),G437,0),MAX(0,MIN(F437,cfg_VAL_DATE)-MAX(E437,cfg_Y_START)+1)))</f>
        <v>0</v>
      </c>
      <c r="V437" s="110" t="n">
        <f aca="false">IF(OR($B437="",$E437="",$F437=""),0,MAX(0,MIN($F437,EOMONTH(DATE(cfg_FY,1,1),0))-MAX($E437,DATE(cfg_FY,1,1))+1)*(1-IF($M437="نعم",0,N($J437))))</f>
        <v>0</v>
      </c>
      <c r="W437" s="110" t="n">
        <f aca="false">IF(OR($B437="",$E437="",$F437=""),0,MAX(0,MIN($F437,EOMONTH(DATE(cfg_FY,2,1),0))-MAX($E437,DATE(cfg_FY,2,1))+1)*(1-IF($M437="نعم",0,N($J437))))</f>
        <v>0</v>
      </c>
      <c r="X437" s="110" t="n">
        <f aca="false">IF(OR($B437="",$E437="",$F437=""),0,MAX(0,MIN($F437,EOMONTH(DATE(cfg_FY,3,1),0))-MAX($E437,DATE(cfg_FY,3,1))+1)*(1-IF($M437="نعم",0,N($J437))))</f>
        <v>0</v>
      </c>
      <c r="Y437" s="110" t="n">
        <f aca="false">IF(OR($B437="",$E437="",$F437=""),0,MAX(0,MIN($F437,EOMONTH(DATE(cfg_FY,4,1),0))-MAX($E437,DATE(cfg_FY,4,1))+1)*(1-IF($M437="نعم",0,N($J437))))</f>
        <v>0</v>
      </c>
      <c r="Z437" s="110" t="n">
        <f aca="false">IF(OR($B437="",$E437="",$F437=""),0,MAX(0,MIN($F437,EOMONTH(DATE(cfg_FY,5,1),0))-MAX($E437,DATE(cfg_FY,5,1))+1)*(1-IF($M437="نعم",0,N($J437))))</f>
        <v>0</v>
      </c>
      <c r="AA437" s="110" t="n">
        <f aca="false">IF(OR($B437="",$E437="",$F437=""),0,MAX(0,MIN($F437,EOMONTH(DATE(cfg_FY,6,1),0))-MAX($E437,DATE(cfg_FY,6,1))+1)*(1-IF($M437="نعم",0,N($J437))))</f>
        <v>0</v>
      </c>
      <c r="AB437" s="110" t="n">
        <f aca="false">IF(OR($B437="",$E437="",$F437=""),0,MAX(0,MIN($F437,EOMONTH(DATE(cfg_FY,7,1),0))-MAX($E437,DATE(cfg_FY,7,1))+1)*(1-IF($M437="نعم",0,N($J437))))</f>
        <v>0</v>
      </c>
      <c r="AC437" s="110" t="n">
        <f aca="false">IF(OR($B437="",$E437="",$F437=""),0,MAX(0,MIN($F437,EOMONTH(DATE(cfg_FY,8,1),0))-MAX($E437,DATE(cfg_FY,8,1))+1)*(1-IF($M437="نعم",0,N($J437))))</f>
        <v>0</v>
      </c>
      <c r="AD437" s="110" t="n">
        <f aca="false">IF(OR($B437="",$E437="",$F437=""),0,MAX(0,MIN($F437,EOMONTH(DATE(cfg_FY,9,1),0))-MAX($E437,DATE(cfg_FY,9,1))+1)*(1-IF($M437="نعم",0,N($J437))))</f>
        <v>0</v>
      </c>
      <c r="AE437" s="110" t="n">
        <f aca="false">IF(OR($B437="",$E437="",$F437=""),0,MAX(0,MIN($F437,EOMONTH(DATE(cfg_FY,10,1),0))-MAX($E437,DATE(cfg_FY,10,1))+1)*(1-IF($M437="نعم",0,N($J437))))</f>
        <v>0</v>
      </c>
      <c r="AF437" s="110" t="n">
        <f aca="false">IF(OR($B437="",$E437="",$F437=""),0,MAX(0,MIN($F437,EOMONTH(DATE(cfg_FY,11,1),0))-MAX($E437,DATE(cfg_FY,11,1))+1)*(1-IF($M437="نعم",0,N($J437))))</f>
        <v>0</v>
      </c>
      <c r="AG437" s="110" t="n">
        <f aca="false">IF(OR($B437="",$E437="",$F437=""),0,MAX(0,MIN($F437,EOMONTH(DATE(cfg_FY,12,1),0))-MAX($E437,DATE(cfg_FY,12,1))+1)*(1-IF($M437="نعم",0,N($J437))))</f>
        <v>0</v>
      </c>
      <c r="AH437" s="110" t="n">
        <f aca="false">IF(OR(OR($B437="",$E437="",$F437=""),$L437&lt;&gt;"لا"),0,MAX(0,MIN($F437,EOMONTH(DATE(cfg_FY,1,1),0))-$E437+1))</f>
        <v>0</v>
      </c>
      <c r="AI437" s="110" t="n">
        <f aca="false">IF(OR(OR($B437="",$E437="",$F437=""),$L437&lt;&gt;"لا"),0,MAX(0,MIN($F437,EOMONTH(DATE(cfg_FY,2,1),0))-$E437+1))</f>
        <v>0</v>
      </c>
      <c r="AJ437" s="110" t="n">
        <f aca="false">IF(OR(OR($B437="",$E437="",$F437=""),$L437&lt;&gt;"لا"),0,MAX(0,MIN($F437,EOMONTH(DATE(cfg_FY,3,1),0))-$E437+1))</f>
        <v>0</v>
      </c>
      <c r="AK437" s="110" t="n">
        <f aca="false">IF(OR(OR($B437="",$E437="",$F437=""),$L437&lt;&gt;"لا"),0,MAX(0,MIN($F437,EOMONTH(DATE(cfg_FY,4,1),0))-$E437+1))</f>
        <v>0</v>
      </c>
      <c r="AL437" s="110" t="n">
        <f aca="false">IF(OR(OR($B437="",$E437="",$F437=""),$L437&lt;&gt;"لا"),0,MAX(0,MIN($F437,EOMONTH(DATE(cfg_FY,5,1),0))-$E437+1))</f>
        <v>0</v>
      </c>
      <c r="AM437" s="110" t="n">
        <f aca="false">IF(OR(OR($B437="",$E437="",$F437=""),$L437&lt;&gt;"لا"),0,MAX(0,MIN($F437,EOMONTH(DATE(cfg_FY,6,1),0))-$E437+1))</f>
        <v>0</v>
      </c>
      <c r="AN437" s="110" t="n">
        <f aca="false">IF(OR(OR($B437="",$E437="",$F437=""),$L437&lt;&gt;"لا"),0,MAX(0,MIN($F437,EOMONTH(DATE(cfg_FY,7,1),0))-$E437+1))</f>
        <v>0</v>
      </c>
      <c r="AO437" s="110" t="n">
        <f aca="false">IF(OR(OR($B437="",$E437="",$F437=""),$L437&lt;&gt;"لا"),0,MAX(0,MIN($F437,EOMONTH(DATE(cfg_FY,8,1),0))-$E437+1))</f>
        <v>0</v>
      </c>
      <c r="AP437" s="110" t="n">
        <f aca="false">IF(OR(OR($B437="",$E437="",$F437=""),$L437&lt;&gt;"لا"),0,MAX(0,MIN($F437,EOMONTH(DATE(cfg_FY,9,1),0))-$E437+1))</f>
        <v>0</v>
      </c>
      <c r="AQ437" s="110" t="n">
        <f aca="false">IF(OR(OR($B437="",$E437="",$F437=""),$L437&lt;&gt;"لا"),0,MAX(0,MIN($F437,EOMONTH(DATE(cfg_FY,10,1),0))-$E437+1))</f>
        <v>0</v>
      </c>
      <c r="AR437" s="110" t="n">
        <f aca="false">IF(OR(OR($B437="",$E437="",$F437=""),$L437&lt;&gt;"لا"),0,MAX(0,MIN($F437,EOMONTH(DATE(cfg_FY,11,1),0))-$E437+1))</f>
        <v>0</v>
      </c>
      <c r="AS437" s="110" t="n">
        <f aca="false">IF(OR(OR($B437="",$E437="",$F437=""),$L437&lt;&gt;"لا"),0,MAX(0,MIN($F437,EOMONTH(DATE(cfg_FY,12,1),0))-$E437+1))</f>
        <v>0</v>
      </c>
      <c r="AT437" s="110" t="n">
        <f aca="false">IF(OR(OR($B437="",$E437="",$F437=""),$K437&lt;&gt;"نعم",$M437="نعم"),0,MAX(0,MIN($F437,EOMONTH(DATE(cfg_FY,1,1),0))-MAX($E437,DATE(cfg_FY,1,1))+1))</f>
        <v>0</v>
      </c>
      <c r="AU437" s="110" t="n">
        <f aca="false">IF(OR(OR($B437="",$E437="",$F437=""),$K437&lt;&gt;"نعم",$M437="نعم"),0,MAX(0,MIN($F437,EOMONTH(DATE(cfg_FY,2,1),0))-MAX($E437,DATE(cfg_FY,2,1))+1))</f>
        <v>0</v>
      </c>
      <c r="AV437" s="110" t="n">
        <f aca="false">IF(OR(OR($B437="",$E437="",$F437=""),$K437&lt;&gt;"نعم",$M437="نعم"),0,MAX(0,MIN($F437,EOMONTH(DATE(cfg_FY,3,1),0))-MAX($E437,DATE(cfg_FY,3,1))+1))</f>
        <v>0</v>
      </c>
      <c r="AW437" s="110" t="n">
        <f aca="false">IF(OR(OR($B437="",$E437="",$F437=""),$K437&lt;&gt;"نعم",$M437="نعم"),0,MAX(0,MIN($F437,EOMONTH(DATE(cfg_FY,4,1),0))-MAX($E437,DATE(cfg_FY,4,1))+1))</f>
        <v>0</v>
      </c>
      <c r="AX437" s="110" t="n">
        <f aca="false">IF(OR(OR($B437="",$E437="",$F437=""),$K437&lt;&gt;"نعم",$M437="نعم"),0,MAX(0,MIN($F437,EOMONTH(DATE(cfg_FY,5,1),0))-MAX($E437,DATE(cfg_FY,5,1))+1))</f>
        <v>0</v>
      </c>
      <c r="AY437" s="110" t="n">
        <f aca="false">IF(OR(OR($B437="",$E437="",$F437=""),$K437&lt;&gt;"نعم",$M437="نعم"),0,MAX(0,MIN($F437,EOMONTH(DATE(cfg_FY,6,1),0))-MAX($E437,DATE(cfg_FY,6,1))+1))</f>
        <v>0</v>
      </c>
      <c r="AZ437" s="110" t="n">
        <f aca="false">IF(OR(OR($B437="",$E437="",$F437=""),$K437&lt;&gt;"نعم",$M437="نعم"),0,MAX(0,MIN($F437,EOMONTH(DATE(cfg_FY,7,1),0))-MAX($E437,DATE(cfg_FY,7,1))+1))</f>
        <v>0</v>
      </c>
      <c r="BA437" s="110" t="n">
        <f aca="false">IF(OR(OR($B437="",$E437="",$F437=""),$K437&lt;&gt;"نعم",$M437="نعم"),0,MAX(0,MIN($F437,EOMONTH(DATE(cfg_FY,8,1),0))-MAX($E437,DATE(cfg_FY,8,1))+1))</f>
        <v>0</v>
      </c>
      <c r="BB437" s="110" t="n">
        <f aca="false">IF(OR(OR($B437="",$E437="",$F437=""),$K437&lt;&gt;"نعم",$M437="نعم"),0,MAX(0,MIN($F437,EOMONTH(DATE(cfg_FY,9,1),0))-MAX($E437,DATE(cfg_FY,9,1))+1))</f>
        <v>0</v>
      </c>
      <c r="BC437" s="110" t="n">
        <f aca="false">IF(OR(OR($B437="",$E437="",$F437=""),$K437&lt;&gt;"نعم",$M437="نعم"),0,MAX(0,MIN($F437,EOMONTH(DATE(cfg_FY,10,1),0))-MAX($E437,DATE(cfg_FY,10,1))+1))</f>
        <v>0</v>
      </c>
      <c r="BD437" s="110" t="n">
        <f aca="false">IF(OR(OR($B437="",$E437="",$F437=""),$K437&lt;&gt;"نعم",$M437="نعم"),0,MAX(0,MIN($F437,EOMONTH(DATE(cfg_FY,11,1),0))-MAX($E437,DATE(cfg_FY,11,1))+1))</f>
        <v>0</v>
      </c>
      <c r="BE437" s="110" t="n">
        <f aca="false">IF(OR(OR($B437="",$E437="",$F437=""),$K437&lt;&gt;"نعم",$M437="نعم"),0,MAX(0,MIN($F437,EOMONTH(DATE(cfg_FY,12,1),0))-MAX($E437,DATE(cfg_FY,12,1))+1))</f>
        <v>0</v>
      </c>
    </row>
    <row r="438" customFormat="false" ht="15" hidden="false" customHeight="false" outlineLevel="0" collapsed="false">
      <c r="A438" s="93" t="str">
        <f aca="false">IF(B438="","",ROW()-5)</f>
        <v/>
      </c>
      <c r="B438" s="79"/>
      <c r="C438" s="80" t="str">
        <f aca="false">IF(B438="","",IFERROR(INDEX(الموظفون!$C$6:$C$105,MATCH(B438,الموظفون!$B$6:$B$105,0)),"✖ رقم غير موجود"))</f>
        <v/>
      </c>
      <c r="D438" s="79"/>
      <c r="E438" s="94"/>
      <c r="F438" s="94"/>
      <c r="G438" s="57" t="str">
        <f aca="false">IF(OR($B438="",$E438="",$F438=""),"",MAX(0,F438-E438+1))</f>
        <v/>
      </c>
      <c r="H438" s="58" t="str">
        <f aca="false">IF(D438="","",IFERROR(VLOOKUP(D438,cfg_LT,2,FALSE()),1))</f>
        <v/>
      </c>
      <c r="I438" s="82"/>
      <c r="J438" s="58" t="str">
        <f aca="false">IF(D438="","",IF(I438&lt;&gt;"",I438,H438))</f>
        <v/>
      </c>
      <c r="K438" s="80" t="str">
        <f aca="false">IF(D438="","",IFERROR(VLOOKUP($D438,cfg_LT,3,FALSE()),""))</f>
        <v/>
      </c>
      <c r="L438" s="80" t="str">
        <f aca="false">IF(D438="","",IFERROR(VLOOKUP($D438,cfg_LT,4,FALSE()),""))</f>
        <v/>
      </c>
      <c r="M438" s="80" t="str">
        <f aca="false">IF(D438="","",IFERROR(VLOOKUP($D438,cfg_LT,5,FALSE()),""))</f>
        <v/>
      </c>
      <c r="N438" s="97" t="n">
        <f aca="false">IF(OR(OR($B438="",$E438="",$F438=""),M438&lt;&gt;"نعم"),0,G438*J438*IFERROR(INDEX(الموظفون!$R$6:$R$105,MATCH(B438,الموظفون!$B$6:$B$105,0)),0)/cfg_DAYS_M)</f>
        <v>0</v>
      </c>
      <c r="O438" s="93" t="str">
        <f aca="false">IF(OR(OR($B438="",$E438="",$F438=""),M438&lt;&gt;"نعم"),"",IF(YEAR(E438)=cfg_FY,MONTH(E438),""))</f>
        <v/>
      </c>
      <c r="P438" s="80" t="str">
        <f aca="false">IF(B438="","",IF(OR(D438="",E438="",F438=""),"⚠ أكمل النوع والتواريخ",IF(F438&lt;E438,"✖ النهاية قبل البداية",IF(COUNTIFS($B$6:$B$505,B438,$E$6:$E$505,"&lt;="&amp;F438,$F$6:$F$505,"&gt;="&amp;E438)&gt;1,"⚠ تداخل مع سجل آخر",IF(E438&gt;cfg_VAL_DATE,"⏳ قادمة",IF(F438&lt;cfg_VAL_DATE,"✔ منتهية","✈ جارية في تاريخ التقرير"))))))</f>
        <v/>
      </c>
      <c r="Q438" s="79"/>
      <c r="R438" s="57" t="n">
        <f aca="false">IF(OR(OR($B438="",$E438="",$F438=""),L438&lt;&gt;"لا"),0,MAX(0,MIN(F438,cfg_Y_START-1)-E438+1))</f>
        <v>0</v>
      </c>
      <c r="S438" s="57" t="n">
        <f aca="false">IF(OR(OR($B438="",$E438="",$F438=""),L438&lt;&gt;"لا"),0,MAX(0,MIN(F438,cfg_VAL_DATE)-E438+1))</f>
        <v>0</v>
      </c>
      <c r="T438" s="57" t="n">
        <f aca="false">IF(OR(OR($B438="",$E438="",$F438=""),K438&lt;&gt;"نعم"),0,IF(M438="نعم",IF(AND(ISNUMBER(O438),N(O438)&lt;=cfg_VAL_M),G438,0),MAX(0,MIN(F438,cfg_VAL_DATE)-MAX(E438,cfg_Y_START)+1)))</f>
        <v>0</v>
      </c>
      <c r="V438" s="57" t="n">
        <f aca="false">IF(OR($B438="",$E438="",$F438=""),0,MAX(0,MIN($F438,EOMONTH(DATE(cfg_FY,1,1),0))-MAX($E438,DATE(cfg_FY,1,1))+1)*(1-IF($M438="نعم",0,N($J438))))</f>
        <v>0</v>
      </c>
      <c r="W438" s="57" t="n">
        <f aca="false">IF(OR($B438="",$E438="",$F438=""),0,MAX(0,MIN($F438,EOMONTH(DATE(cfg_FY,2,1),0))-MAX($E438,DATE(cfg_FY,2,1))+1)*(1-IF($M438="نعم",0,N($J438))))</f>
        <v>0</v>
      </c>
      <c r="X438" s="57" t="n">
        <f aca="false">IF(OR($B438="",$E438="",$F438=""),0,MAX(0,MIN($F438,EOMONTH(DATE(cfg_FY,3,1),0))-MAX($E438,DATE(cfg_FY,3,1))+1)*(1-IF($M438="نعم",0,N($J438))))</f>
        <v>0</v>
      </c>
      <c r="Y438" s="57" t="n">
        <f aca="false">IF(OR($B438="",$E438="",$F438=""),0,MAX(0,MIN($F438,EOMONTH(DATE(cfg_FY,4,1),0))-MAX($E438,DATE(cfg_FY,4,1))+1)*(1-IF($M438="نعم",0,N($J438))))</f>
        <v>0</v>
      </c>
      <c r="Z438" s="57" t="n">
        <f aca="false">IF(OR($B438="",$E438="",$F438=""),0,MAX(0,MIN($F438,EOMONTH(DATE(cfg_FY,5,1),0))-MAX($E438,DATE(cfg_FY,5,1))+1)*(1-IF($M438="نعم",0,N($J438))))</f>
        <v>0</v>
      </c>
      <c r="AA438" s="57" t="n">
        <f aca="false">IF(OR($B438="",$E438="",$F438=""),0,MAX(0,MIN($F438,EOMONTH(DATE(cfg_FY,6,1),0))-MAX($E438,DATE(cfg_FY,6,1))+1)*(1-IF($M438="نعم",0,N($J438))))</f>
        <v>0</v>
      </c>
      <c r="AB438" s="57" t="n">
        <f aca="false">IF(OR($B438="",$E438="",$F438=""),0,MAX(0,MIN($F438,EOMONTH(DATE(cfg_FY,7,1),0))-MAX($E438,DATE(cfg_FY,7,1))+1)*(1-IF($M438="نعم",0,N($J438))))</f>
        <v>0</v>
      </c>
      <c r="AC438" s="57" t="n">
        <f aca="false">IF(OR($B438="",$E438="",$F438=""),0,MAX(0,MIN($F438,EOMONTH(DATE(cfg_FY,8,1),0))-MAX($E438,DATE(cfg_FY,8,1))+1)*(1-IF($M438="نعم",0,N($J438))))</f>
        <v>0</v>
      </c>
      <c r="AD438" s="57" t="n">
        <f aca="false">IF(OR($B438="",$E438="",$F438=""),0,MAX(0,MIN($F438,EOMONTH(DATE(cfg_FY,9,1),0))-MAX($E438,DATE(cfg_FY,9,1))+1)*(1-IF($M438="نعم",0,N($J438))))</f>
        <v>0</v>
      </c>
      <c r="AE438" s="57" t="n">
        <f aca="false">IF(OR($B438="",$E438="",$F438=""),0,MAX(0,MIN($F438,EOMONTH(DATE(cfg_FY,10,1),0))-MAX($E438,DATE(cfg_FY,10,1))+1)*(1-IF($M438="نعم",0,N($J438))))</f>
        <v>0</v>
      </c>
      <c r="AF438" s="57" t="n">
        <f aca="false">IF(OR($B438="",$E438="",$F438=""),0,MAX(0,MIN($F438,EOMONTH(DATE(cfg_FY,11,1),0))-MAX($E438,DATE(cfg_FY,11,1))+1)*(1-IF($M438="نعم",0,N($J438))))</f>
        <v>0</v>
      </c>
      <c r="AG438" s="57" t="n">
        <f aca="false">IF(OR($B438="",$E438="",$F438=""),0,MAX(0,MIN($F438,EOMONTH(DATE(cfg_FY,12,1),0))-MAX($E438,DATE(cfg_FY,12,1))+1)*(1-IF($M438="نعم",0,N($J438))))</f>
        <v>0</v>
      </c>
      <c r="AH438" s="57" t="n">
        <f aca="false">IF(OR(OR($B438="",$E438="",$F438=""),$L438&lt;&gt;"لا"),0,MAX(0,MIN($F438,EOMONTH(DATE(cfg_FY,1,1),0))-$E438+1))</f>
        <v>0</v>
      </c>
      <c r="AI438" s="57" t="n">
        <f aca="false">IF(OR(OR($B438="",$E438="",$F438=""),$L438&lt;&gt;"لا"),0,MAX(0,MIN($F438,EOMONTH(DATE(cfg_FY,2,1),0))-$E438+1))</f>
        <v>0</v>
      </c>
      <c r="AJ438" s="57" t="n">
        <f aca="false">IF(OR(OR($B438="",$E438="",$F438=""),$L438&lt;&gt;"لا"),0,MAX(0,MIN($F438,EOMONTH(DATE(cfg_FY,3,1),0))-$E438+1))</f>
        <v>0</v>
      </c>
      <c r="AK438" s="57" t="n">
        <f aca="false">IF(OR(OR($B438="",$E438="",$F438=""),$L438&lt;&gt;"لا"),0,MAX(0,MIN($F438,EOMONTH(DATE(cfg_FY,4,1),0))-$E438+1))</f>
        <v>0</v>
      </c>
      <c r="AL438" s="57" t="n">
        <f aca="false">IF(OR(OR($B438="",$E438="",$F438=""),$L438&lt;&gt;"لا"),0,MAX(0,MIN($F438,EOMONTH(DATE(cfg_FY,5,1),0))-$E438+1))</f>
        <v>0</v>
      </c>
      <c r="AM438" s="57" t="n">
        <f aca="false">IF(OR(OR($B438="",$E438="",$F438=""),$L438&lt;&gt;"لا"),0,MAX(0,MIN($F438,EOMONTH(DATE(cfg_FY,6,1),0))-$E438+1))</f>
        <v>0</v>
      </c>
      <c r="AN438" s="57" t="n">
        <f aca="false">IF(OR(OR($B438="",$E438="",$F438=""),$L438&lt;&gt;"لا"),0,MAX(0,MIN($F438,EOMONTH(DATE(cfg_FY,7,1),0))-$E438+1))</f>
        <v>0</v>
      </c>
      <c r="AO438" s="57" t="n">
        <f aca="false">IF(OR(OR($B438="",$E438="",$F438=""),$L438&lt;&gt;"لا"),0,MAX(0,MIN($F438,EOMONTH(DATE(cfg_FY,8,1),0))-$E438+1))</f>
        <v>0</v>
      </c>
      <c r="AP438" s="57" t="n">
        <f aca="false">IF(OR(OR($B438="",$E438="",$F438=""),$L438&lt;&gt;"لا"),0,MAX(0,MIN($F438,EOMONTH(DATE(cfg_FY,9,1),0))-$E438+1))</f>
        <v>0</v>
      </c>
      <c r="AQ438" s="57" t="n">
        <f aca="false">IF(OR(OR($B438="",$E438="",$F438=""),$L438&lt;&gt;"لا"),0,MAX(0,MIN($F438,EOMONTH(DATE(cfg_FY,10,1),0))-$E438+1))</f>
        <v>0</v>
      </c>
      <c r="AR438" s="57" t="n">
        <f aca="false">IF(OR(OR($B438="",$E438="",$F438=""),$L438&lt;&gt;"لا"),0,MAX(0,MIN($F438,EOMONTH(DATE(cfg_FY,11,1),0))-$E438+1))</f>
        <v>0</v>
      </c>
      <c r="AS438" s="57" t="n">
        <f aca="false">IF(OR(OR($B438="",$E438="",$F438=""),$L438&lt;&gt;"لا"),0,MAX(0,MIN($F438,EOMONTH(DATE(cfg_FY,12,1),0))-$E438+1))</f>
        <v>0</v>
      </c>
      <c r="AT438" s="57" t="n">
        <f aca="false">IF(OR(OR($B438="",$E438="",$F438=""),$K438&lt;&gt;"نعم",$M438="نعم"),0,MAX(0,MIN($F438,EOMONTH(DATE(cfg_FY,1,1),0))-MAX($E438,DATE(cfg_FY,1,1))+1))</f>
        <v>0</v>
      </c>
      <c r="AU438" s="57" t="n">
        <f aca="false">IF(OR(OR($B438="",$E438="",$F438=""),$K438&lt;&gt;"نعم",$M438="نعم"),0,MAX(0,MIN($F438,EOMONTH(DATE(cfg_FY,2,1),0))-MAX($E438,DATE(cfg_FY,2,1))+1))</f>
        <v>0</v>
      </c>
      <c r="AV438" s="57" t="n">
        <f aca="false">IF(OR(OR($B438="",$E438="",$F438=""),$K438&lt;&gt;"نعم",$M438="نعم"),0,MAX(0,MIN($F438,EOMONTH(DATE(cfg_FY,3,1),0))-MAX($E438,DATE(cfg_FY,3,1))+1))</f>
        <v>0</v>
      </c>
      <c r="AW438" s="57" t="n">
        <f aca="false">IF(OR(OR($B438="",$E438="",$F438=""),$K438&lt;&gt;"نعم",$M438="نعم"),0,MAX(0,MIN($F438,EOMONTH(DATE(cfg_FY,4,1),0))-MAX($E438,DATE(cfg_FY,4,1))+1))</f>
        <v>0</v>
      </c>
      <c r="AX438" s="57" t="n">
        <f aca="false">IF(OR(OR($B438="",$E438="",$F438=""),$K438&lt;&gt;"نعم",$M438="نعم"),0,MAX(0,MIN($F438,EOMONTH(DATE(cfg_FY,5,1),0))-MAX($E438,DATE(cfg_FY,5,1))+1))</f>
        <v>0</v>
      </c>
      <c r="AY438" s="57" t="n">
        <f aca="false">IF(OR(OR($B438="",$E438="",$F438=""),$K438&lt;&gt;"نعم",$M438="نعم"),0,MAX(0,MIN($F438,EOMONTH(DATE(cfg_FY,6,1),0))-MAX($E438,DATE(cfg_FY,6,1))+1))</f>
        <v>0</v>
      </c>
      <c r="AZ438" s="57" t="n">
        <f aca="false">IF(OR(OR($B438="",$E438="",$F438=""),$K438&lt;&gt;"نعم",$M438="نعم"),0,MAX(0,MIN($F438,EOMONTH(DATE(cfg_FY,7,1),0))-MAX($E438,DATE(cfg_FY,7,1))+1))</f>
        <v>0</v>
      </c>
      <c r="BA438" s="57" t="n">
        <f aca="false">IF(OR(OR($B438="",$E438="",$F438=""),$K438&lt;&gt;"نعم",$M438="نعم"),0,MAX(0,MIN($F438,EOMONTH(DATE(cfg_FY,8,1),0))-MAX($E438,DATE(cfg_FY,8,1))+1))</f>
        <v>0</v>
      </c>
      <c r="BB438" s="57" t="n">
        <f aca="false">IF(OR(OR($B438="",$E438="",$F438=""),$K438&lt;&gt;"نعم",$M438="نعم"),0,MAX(0,MIN($F438,EOMONTH(DATE(cfg_FY,9,1),0))-MAX($E438,DATE(cfg_FY,9,1))+1))</f>
        <v>0</v>
      </c>
      <c r="BC438" s="57" t="n">
        <f aca="false">IF(OR(OR($B438="",$E438="",$F438=""),$K438&lt;&gt;"نعم",$M438="نعم"),0,MAX(0,MIN($F438,EOMONTH(DATE(cfg_FY,10,1),0))-MAX($E438,DATE(cfg_FY,10,1))+1))</f>
        <v>0</v>
      </c>
      <c r="BD438" s="57" t="n">
        <f aca="false">IF(OR(OR($B438="",$E438="",$F438=""),$K438&lt;&gt;"نعم",$M438="نعم"),0,MAX(0,MIN($F438,EOMONTH(DATE(cfg_FY,11,1),0))-MAX($E438,DATE(cfg_FY,11,1))+1))</f>
        <v>0</v>
      </c>
      <c r="BE438" s="57" t="n">
        <f aca="false">IF(OR(OR($B438="",$E438="",$F438=""),$K438&lt;&gt;"نعم",$M438="نعم"),0,MAX(0,MIN($F438,EOMONTH(DATE(cfg_FY,12,1),0))-MAX($E438,DATE(cfg_FY,12,1))+1))</f>
        <v>0</v>
      </c>
    </row>
    <row r="439" customFormat="false" ht="15" hidden="false" customHeight="false" outlineLevel="0" collapsed="false">
      <c r="A439" s="100" t="str">
        <f aca="false">IF(B439="","",ROW()-5)</f>
        <v/>
      </c>
      <c r="B439" s="79"/>
      <c r="C439" s="102" t="str">
        <f aca="false">IF(B439="","",IFERROR(INDEX(الموظفون!$C$6:$C$105,MATCH(B439,الموظفون!$B$6:$B$105,0)),"✖ رقم غير موجود"))</f>
        <v/>
      </c>
      <c r="D439" s="79"/>
      <c r="E439" s="94"/>
      <c r="F439" s="94"/>
      <c r="G439" s="110" t="str">
        <f aca="false">IF(OR($B439="",$E439="",$F439=""),"",MAX(0,F439-E439+1))</f>
        <v/>
      </c>
      <c r="H439" s="111" t="str">
        <f aca="false">IF(D439="","",IFERROR(VLOOKUP(D439,cfg_LT,2,FALSE()),1))</f>
        <v/>
      </c>
      <c r="I439" s="82"/>
      <c r="J439" s="111" t="str">
        <f aca="false">IF(D439="","",IF(I439&lt;&gt;"",I439,H439))</f>
        <v/>
      </c>
      <c r="K439" s="102" t="str">
        <f aca="false">IF(D439="","",IFERROR(VLOOKUP($D439,cfg_LT,3,FALSE()),""))</f>
        <v/>
      </c>
      <c r="L439" s="102" t="str">
        <f aca="false">IF(D439="","",IFERROR(VLOOKUP($D439,cfg_LT,4,FALSE()),""))</f>
        <v/>
      </c>
      <c r="M439" s="102" t="str">
        <f aca="false">IF(D439="","",IFERROR(VLOOKUP($D439,cfg_LT,5,FALSE()),""))</f>
        <v/>
      </c>
      <c r="N439" s="101" t="n">
        <f aca="false">IF(OR(OR($B439="",$E439="",$F439=""),M439&lt;&gt;"نعم"),0,G439*J439*IFERROR(INDEX(الموظفون!$R$6:$R$105,MATCH(B439,الموظفون!$B$6:$B$105,0)),0)/cfg_DAYS_M)</f>
        <v>0</v>
      </c>
      <c r="O439" s="100" t="str">
        <f aca="false">IF(OR(OR($B439="",$E439="",$F439=""),M439&lt;&gt;"نعم"),"",IF(YEAR(E439)=cfg_FY,MONTH(E439),""))</f>
        <v/>
      </c>
      <c r="P439" s="102" t="str">
        <f aca="false">IF(B439="","",IF(OR(D439="",E439="",F439=""),"⚠ أكمل النوع والتواريخ",IF(F439&lt;E439,"✖ النهاية قبل البداية",IF(COUNTIFS($B$6:$B$505,B439,$E$6:$E$505,"&lt;="&amp;F439,$F$6:$F$505,"&gt;="&amp;E439)&gt;1,"⚠ تداخل مع سجل آخر",IF(E439&gt;cfg_VAL_DATE,"⏳ قادمة",IF(F439&lt;cfg_VAL_DATE,"✔ منتهية","✈ جارية في تاريخ التقرير"))))))</f>
        <v/>
      </c>
      <c r="Q439" s="79"/>
      <c r="R439" s="110" t="n">
        <f aca="false">IF(OR(OR($B439="",$E439="",$F439=""),L439&lt;&gt;"لا"),0,MAX(0,MIN(F439,cfg_Y_START-1)-E439+1))</f>
        <v>0</v>
      </c>
      <c r="S439" s="110" t="n">
        <f aca="false">IF(OR(OR($B439="",$E439="",$F439=""),L439&lt;&gt;"لا"),0,MAX(0,MIN(F439,cfg_VAL_DATE)-E439+1))</f>
        <v>0</v>
      </c>
      <c r="T439" s="110" t="n">
        <f aca="false">IF(OR(OR($B439="",$E439="",$F439=""),K439&lt;&gt;"نعم"),0,IF(M439="نعم",IF(AND(ISNUMBER(O439),N(O439)&lt;=cfg_VAL_M),G439,0),MAX(0,MIN(F439,cfg_VAL_DATE)-MAX(E439,cfg_Y_START)+1)))</f>
        <v>0</v>
      </c>
      <c r="V439" s="110" t="n">
        <f aca="false">IF(OR($B439="",$E439="",$F439=""),0,MAX(0,MIN($F439,EOMONTH(DATE(cfg_FY,1,1),0))-MAX($E439,DATE(cfg_FY,1,1))+1)*(1-IF($M439="نعم",0,N($J439))))</f>
        <v>0</v>
      </c>
      <c r="W439" s="110" t="n">
        <f aca="false">IF(OR($B439="",$E439="",$F439=""),0,MAX(0,MIN($F439,EOMONTH(DATE(cfg_FY,2,1),0))-MAX($E439,DATE(cfg_FY,2,1))+1)*(1-IF($M439="نعم",0,N($J439))))</f>
        <v>0</v>
      </c>
      <c r="X439" s="110" t="n">
        <f aca="false">IF(OR($B439="",$E439="",$F439=""),0,MAX(0,MIN($F439,EOMONTH(DATE(cfg_FY,3,1),0))-MAX($E439,DATE(cfg_FY,3,1))+1)*(1-IF($M439="نعم",0,N($J439))))</f>
        <v>0</v>
      </c>
      <c r="Y439" s="110" t="n">
        <f aca="false">IF(OR($B439="",$E439="",$F439=""),0,MAX(0,MIN($F439,EOMONTH(DATE(cfg_FY,4,1),0))-MAX($E439,DATE(cfg_FY,4,1))+1)*(1-IF($M439="نعم",0,N($J439))))</f>
        <v>0</v>
      </c>
      <c r="Z439" s="110" t="n">
        <f aca="false">IF(OR($B439="",$E439="",$F439=""),0,MAX(0,MIN($F439,EOMONTH(DATE(cfg_FY,5,1),0))-MAX($E439,DATE(cfg_FY,5,1))+1)*(1-IF($M439="نعم",0,N($J439))))</f>
        <v>0</v>
      </c>
      <c r="AA439" s="110" t="n">
        <f aca="false">IF(OR($B439="",$E439="",$F439=""),0,MAX(0,MIN($F439,EOMONTH(DATE(cfg_FY,6,1),0))-MAX($E439,DATE(cfg_FY,6,1))+1)*(1-IF($M439="نعم",0,N($J439))))</f>
        <v>0</v>
      </c>
      <c r="AB439" s="110" t="n">
        <f aca="false">IF(OR($B439="",$E439="",$F439=""),0,MAX(0,MIN($F439,EOMONTH(DATE(cfg_FY,7,1),0))-MAX($E439,DATE(cfg_FY,7,1))+1)*(1-IF($M439="نعم",0,N($J439))))</f>
        <v>0</v>
      </c>
      <c r="AC439" s="110" t="n">
        <f aca="false">IF(OR($B439="",$E439="",$F439=""),0,MAX(0,MIN($F439,EOMONTH(DATE(cfg_FY,8,1),0))-MAX($E439,DATE(cfg_FY,8,1))+1)*(1-IF($M439="نعم",0,N($J439))))</f>
        <v>0</v>
      </c>
      <c r="AD439" s="110" t="n">
        <f aca="false">IF(OR($B439="",$E439="",$F439=""),0,MAX(0,MIN($F439,EOMONTH(DATE(cfg_FY,9,1),0))-MAX($E439,DATE(cfg_FY,9,1))+1)*(1-IF($M439="نعم",0,N($J439))))</f>
        <v>0</v>
      </c>
      <c r="AE439" s="110" t="n">
        <f aca="false">IF(OR($B439="",$E439="",$F439=""),0,MAX(0,MIN($F439,EOMONTH(DATE(cfg_FY,10,1),0))-MAX($E439,DATE(cfg_FY,10,1))+1)*(1-IF($M439="نعم",0,N($J439))))</f>
        <v>0</v>
      </c>
      <c r="AF439" s="110" t="n">
        <f aca="false">IF(OR($B439="",$E439="",$F439=""),0,MAX(0,MIN($F439,EOMONTH(DATE(cfg_FY,11,1),0))-MAX($E439,DATE(cfg_FY,11,1))+1)*(1-IF($M439="نعم",0,N($J439))))</f>
        <v>0</v>
      </c>
      <c r="AG439" s="110" t="n">
        <f aca="false">IF(OR($B439="",$E439="",$F439=""),0,MAX(0,MIN($F439,EOMONTH(DATE(cfg_FY,12,1),0))-MAX($E439,DATE(cfg_FY,12,1))+1)*(1-IF($M439="نعم",0,N($J439))))</f>
        <v>0</v>
      </c>
      <c r="AH439" s="110" t="n">
        <f aca="false">IF(OR(OR($B439="",$E439="",$F439=""),$L439&lt;&gt;"لا"),0,MAX(0,MIN($F439,EOMONTH(DATE(cfg_FY,1,1),0))-$E439+1))</f>
        <v>0</v>
      </c>
      <c r="AI439" s="110" t="n">
        <f aca="false">IF(OR(OR($B439="",$E439="",$F439=""),$L439&lt;&gt;"لا"),0,MAX(0,MIN($F439,EOMONTH(DATE(cfg_FY,2,1),0))-$E439+1))</f>
        <v>0</v>
      </c>
      <c r="AJ439" s="110" t="n">
        <f aca="false">IF(OR(OR($B439="",$E439="",$F439=""),$L439&lt;&gt;"لا"),0,MAX(0,MIN($F439,EOMONTH(DATE(cfg_FY,3,1),0))-$E439+1))</f>
        <v>0</v>
      </c>
      <c r="AK439" s="110" t="n">
        <f aca="false">IF(OR(OR($B439="",$E439="",$F439=""),$L439&lt;&gt;"لا"),0,MAX(0,MIN($F439,EOMONTH(DATE(cfg_FY,4,1),0))-$E439+1))</f>
        <v>0</v>
      </c>
      <c r="AL439" s="110" t="n">
        <f aca="false">IF(OR(OR($B439="",$E439="",$F439=""),$L439&lt;&gt;"لا"),0,MAX(0,MIN($F439,EOMONTH(DATE(cfg_FY,5,1),0))-$E439+1))</f>
        <v>0</v>
      </c>
      <c r="AM439" s="110" t="n">
        <f aca="false">IF(OR(OR($B439="",$E439="",$F439=""),$L439&lt;&gt;"لا"),0,MAX(0,MIN($F439,EOMONTH(DATE(cfg_FY,6,1),0))-$E439+1))</f>
        <v>0</v>
      </c>
      <c r="AN439" s="110" t="n">
        <f aca="false">IF(OR(OR($B439="",$E439="",$F439=""),$L439&lt;&gt;"لا"),0,MAX(0,MIN($F439,EOMONTH(DATE(cfg_FY,7,1),0))-$E439+1))</f>
        <v>0</v>
      </c>
      <c r="AO439" s="110" t="n">
        <f aca="false">IF(OR(OR($B439="",$E439="",$F439=""),$L439&lt;&gt;"لا"),0,MAX(0,MIN($F439,EOMONTH(DATE(cfg_FY,8,1),0))-$E439+1))</f>
        <v>0</v>
      </c>
      <c r="AP439" s="110" t="n">
        <f aca="false">IF(OR(OR($B439="",$E439="",$F439=""),$L439&lt;&gt;"لا"),0,MAX(0,MIN($F439,EOMONTH(DATE(cfg_FY,9,1),0))-$E439+1))</f>
        <v>0</v>
      </c>
      <c r="AQ439" s="110" t="n">
        <f aca="false">IF(OR(OR($B439="",$E439="",$F439=""),$L439&lt;&gt;"لا"),0,MAX(0,MIN($F439,EOMONTH(DATE(cfg_FY,10,1),0))-$E439+1))</f>
        <v>0</v>
      </c>
      <c r="AR439" s="110" t="n">
        <f aca="false">IF(OR(OR($B439="",$E439="",$F439=""),$L439&lt;&gt;"لا"),0,MAX(0,MIN($F439,EOMONTH(DATE(cfg_FY,11,1),0))-$E439+1))</f>
        <v>0</v>
      </c>
      <c r="AS439" s="110" t="n">
        <f aca="false">IF(OR(OR($B439="",$E439="",$F439=""),$L439&lt;&gt;"لا"),0,MAX(0,MIN($F439,EOMONTH(DATE(cfg_FY,12,1),0))-$E439+1))</f>
        <v>0</v>
      </c>
      <c r="AT439" s="110" t="n">
        <f aca="false">IF(OR(OR($B439="",$E439="",$F439=""),$K439&lt;&gt;"نعم",$M439="نعم"),0,MAX(0,MIN($F439,EOMONTH(DATE(cfg_FY,1,1),0))-MAX($E439,DATE(cfg_FY,1,1))+1))</f>
        <v>0</v>
      </c>
      <c r="AU439" s="110" t="n">
        <f aca="false">IF(OR(OR($B439="",$E439="",$F439=""),$K439&lt;&gt;"نعم",$M439="نعم"),0,MAX(0,MIN($F439,EOMONTH(DATE(cfg_FY,2,1),0))-MAX($E439,DATE(cfg_FY,2,1))+1))</f>
        <v>0</v>
      </c>
      <c r="AV439" s="110" t="n">
        <f aca="false">IF(OR(OR($B439="",$E439="",$F439=""),$K439&lt;&gt;"نعم",$M439="نعم"),0,MAX(0,MIN($F439,EOMONTH(DATE(cfg_FY,3,1),0))-MAX($E439,DATE(cfg_FY,3,1))+1))</f>
        <v>0</v>
      </c>
      <c r="AW439" s="110" t="n">
        <f aca="false">IF(OR(OR($B439="",$E439="",$F439=""),$K439&lt;&gt;"نعم",$M439="نعم"),0,MAX(0,MIN($F439,EOMONTH(DATE(cfg_FY,4,1),0))-MAX($E439,DATE(cfg_FY,4,1))+1))</f>
        <v>0</v>
      </c>
      <c r="AX439" s="110" t="n">
        <f aca="false">IF(OR(OR($B439="",$E439="",$F439=""),$K439&lt;&gt;"نعم",$M439="نعم"),0,MAX(0,MIN($F439,EOMONTH(DATE(cfg_FY,5,1),0))-MAX($E439,DATE(cfg_FY,5,1))+1))</f>
        <v>0</v>
      </c>
      <c r="AY439" s="110" t="n">
        <f aca="false">IF(OR(OR($B439="",$E439="",$F439=""),$K439&lt;&gt;"نعم",$M439="نعم"),0,MAX(0,MIN($F439,EOMONTH(DATE(cfg_FY,6,1),0))-MAX($E439,DATE(cfg_FY,6,1))+1))</f>
        <v>0</v>
      </c>
      <c r="AZ439" s="110" t="n">
        <f aca="false">IF(OR(OR($B439="",$E439="",$F439=""),$K439&lt;&gt;"نعم",$M439="نعم"),0,MAX(0,MIN($F439,EOMONTH(DATE(cfg_FY,7,1),0))-MAX($E439,DATE(cfg_FY,7,1))+1))</f>
        <v>0</v>
      </c>
      <c r="BA439" s="110" t="n">
        <f aca="false">IF(OR(OR($B439="",$E439="",$F439=""),$K439&lt;&gt;"نعم",$M439="نعم"),0,MAX(0,MIN($F439,EOMONTH(DATE(cfg_FY,8,1),0))-MAX($E439,DATE(cfg_FY,8,1))+1))</f>
        <v>0</v>
      </c>
      <c r="BB439" s="110" t="n">
        <f aca="false">IF(OR(OR($B439="",$E439="",$F439=""),$K439&lt;&gt;"نعم",$M439="نعم"),0,MAX(0,MIN($F439,EOMONTH(DATE(cfg_FY,9,1),0))-MAX($E439,DATE(cfg_FY,9,1))+1))</f>
        <v>0</v>
      </c>
      <c r="BC439" s="110" t="n">
        <f aca="false">IF(OR(OR($B439="",$E439="",$F439=""),$K439&lt;&gt;"نعم",$M439="نعم"),0,MAX(0,MIN($F439,EOMONTH(DATE(cfg_FY,10,1),0))-MAX($E439,DATE(cfg_FY,10,1))+1))</f>
        <v>0</v>
      </c>
      <c r="BD439" s="110" t="n">
        <f aca="false">IF(OR(OR($B439="",$E439="",$F439=""),$K439&lt;&gt;"نعم",$M439="نعم"),0,MAX(0,MIN($F439,EOMONTH(DATE(cfg_FY,11,1),0))-MAX($E439,DATE(cfg_FY,11,1))+1))</f>
        <v>0</v>
      </c>
      <c r="BE439" s="110" t="n">
        <f aca="false">IF(OR(OR($B439="",$E439="",$F439=""),$K439&lt;&gt;"نعم",$M439="نعم"),0,MAX(0,MIN($F439,EOMONTH(DATE(cfg_FY,12,1),0))-MAX($E439,DATE(cfg_FY,12,1))+1))</f>
        <v>0</v>
      </c>
    </row>
    <row r="440" customFormat="false" ht="15" hidden="false" customHeight="false" outlineLevel="0" collapsed="false">
      <c r="A440" s="93" t="str">
        <f aca="false">IF(B440="","",ROW()-5)</f>
        <v/>
      </c>
      <c r="B440" s="79"/>
      <c r="C440" s="80" t="str">
        <f aca="false">IF(B440="","",IFERROR(INDEX(الموظفون!$C$6:$C$105,MATCH(B440,الموظفون!$B$6:$B$105,0)),"✖ رقم غير موجود"))</f>
        <v/>
      </c>
      <c r="D440" s="79"/>
      <c r="E440" s="94"/>
      <c r="F440" s="94"/>
      <c r="G440" s="57" t="str">
        <f aca="false">IF(OR($B440="",$E440="",$F440=""),"",MAX(0,F440-E440+1))</f>
        <v/>
      </c>
      <c r="H440" s="58" t="str">
        <f aca="false">IF(D440="","",IFERROR(VLOOKUP(D440,cfg_LT,2,FALSE()),1))</f>
        <v/>
      </c>
      <c r="I440" s="82"/>
      <c r="J440" s="58" t="str">
        <f aca="false">IF(D440="","",IF(I440&lt;&gt;"",I440,H440))</f>
        <v/>
      </c>
      <c r="K440" s="80" t="str">
        <f aca="false">IF(D440="","",IFERROR(VLOOKUP($D440,cfg_LT,3,FALSE()),""))</f>
        <v/>
      </c>
      <c r="L440" s="80" t="str">
        <f aca="false">IF(D440="","",IFERROR(VLOOKUP($D440,cfg_LT,4,FALSE()),""))</f>
        <v/>
      </c>
      <c r="M440" s="80" t="str">
        <f aca="false">IF(D440="","",IFERROR(VLOOKUP($D440,cfg_LT,5,FALSE()),""))</f>
        <v/>
      </c>
      <c r="N440" s="97" t="n">
        <f aca="false">IF(OR(OR($B440="",$E440="",$F440=""),M440&lt;&gt;"نعم"),0,G440*J440*IFERROR(INDEX(الموظفون!$R$6:$R$105,MATCH(B440,الموظفون!$B$6:$B$105,0)),0)/cfg_DAYS_M)</f>
        <v>0</v>
      </c>
      <c r="O440" s="93" t="str">
        <f aca="false">IF(OR(OR($B440="",$E440="",$F440=""),M440&lt;&gt;"نعم"),"",IF(YEAR(E440)=cfg_FY,MONTH(E440),""))</f>
        <v/>
      </c>
      <c r="P440" s="80" t="str">
        <f aca="false">IF(B440="","",IF(OR(D440="",E440="",F440=""),"⚠ أكمل النوع والتواريخ",IF(F440&lt;E440,"✖ النهاية قبل البداية",IF(COUNTIFS($B$6:$B$505,B440,$E$6:$E$505,"&lt;="&amp;F440,$F$6:$F$505,"&gt;="&amp;E440)&gt;1,"⚠ تداخل مع سجل آخر",IF(E440&gt;cfg_VAL_DATE,"⏳ قادمة",IF(F440&lt;cfg_VAL_DATE,"✔ منتهية","✈ جارية في تاريخ التقرير"))))))</f>
        <v/>
      </c>
      <c r="Q440" s="79"/>
      <c r="R440" s="57" t="n">
        <f aca="false">IF(OR(OR($B440="",$E440="",$F440=""),L440&lt;&gt;"لا"),0,MAX(0,MIN(F440,cfg_Y_START-1)-E440+1))</f>
        <v>0</v>
      </c>
      <c r="S440" s="57" t="n">
        <f aca="false">IF(OR(OR($B440="",$E440="",$F440=""),L440&lt;&gt;"لا"),0,MAX(0,MIN(F440,cfg_VAL_DATE)-E440+1))</f>
        <v>0</v>
      </c>
      <c r="T440" s="57" t="n">
        <f aca="false">IF(OR(OR($B440="",$E440="",$F440=""),K440&lt;&gt;"نعم"),0,IF(M440="نعم",IF(AND(ISNUMBER(O440),N(O440)&lt;=cfg_VAL_M),G440,0),MAX(0,MIN(F440,cfg_VAL_DATE)-MAX(E440,cfg_Y_START)+1)))</f>
        <v>0</v>
      </c>
      <c r="V440" s="57" t="n">
        <f aca="false">IF(OR($B440="",$E440="",$F440=""),0,MAX(0,MIN($F440,EOMONTH(DATE(cfg_FY,1,1),0))-MAX($E440,DATE(cfg_FY,1,1))+1)*(1-IF($M440="نعم",0,N($J440))))</f>
        <v>0</v>
      </c>
      <c r="W440" s="57" t="n">
        <f aca="false">IF(OR($B440="",$E440="",$F440=""),0,MAX(0,MIN($F440,EOMONTH(DATE(cfg_FY,2,1),0))-MAX($E440,DATE(cfg_FY,2,1))+1)*(1-IF($M440="نعم",0,N($J440))))</f>
        <v>0</v>
      </c>
      <c r="X440" s="57" t="n">
        <f aca="false">IF(OR($B440="",$E440="",$F440=""),0,MAX(0,MIN($F440,EOMONTH(DATE(cfg_FY,3,1),0))-MAX($E440,DATE(cfg_FY,3,1))+1)*(1-IF($M440="نعم",0,N($J440))))</f>
        <v>0</v>
      </c>
      <c r="Y440" s="57" t="n">
        <f aca="false">IF(OR($B440="",$E440="",$F440=""),0,MAX(0,MIN($F440,EOMONTH(DATE(cfg_FY,4,1),0))-MAX($E440,DATE(cfg_FY,4,1))+1)*(1-IF($M440="نعم",0,N($J440))))</f>
        <v>0</v>
      </c>
      <c r="Z440" s="57" t="n">
        <f aca="false">IF(OR($B440="",$E440="",$F440=""),0,MAX(0,MIN($F440,EOMONTH(DATE(cfg_FY,5,1),0))-MAX($E440,DATE(cfg_FY,5,1))+1)*(1-IF($M440="نعم",0,N($J440))))</f>
        <v>0</v>
      </c>
      <c r="AA440" s="57" t="n">
        <f aca="false">IF(OR($B440="",$E440="",$F440=""),0,MAX(0,MIN($F440,EOMONTH(DATE(cfg_FY,6,1),0))-MAX($E440,DATE(cfg_FY,6,1))+1)*(1-IF($M440="نعم",0,N($J440))))</f>
        <v>0</v>
      </c>
      <c r="AB440" s="57" t="n">
        <f aca="false">IF(OR($B440="",$E440="",$F440=""),0,MAX(0,MIN($F440,EOMONTH(DATE(cfg_FY,7,1),0))-MAX($E440,DATE(cfg_FY,7,1))+1)*(1-IF($M440="نعم",0,N($J440))))</f>
        <v>0</v>
      </c>
      <c r="AC440" s="57" t="n">
        <f aca="false">IF(OR($B440="",$E440="",$F440=""),0,MAX(0,MIN($F440,EOMONTH(DATE(cfg_FY,8,1),0))-MAX($E440,DATE(cfg_FY,8,1))+1)*(1-IF($M440="نعم",0,N($J440))))</f>
        <v>0</v>
      </c>
      <c r="AD440" s="57" t="n">
        <f aca="false">IF(OR($B440="",$E440="",$F440=""),0,MAX(0,MIN($F440,EOMONTH(DATE(cfg_FY,9,1),0))-MAX($E440,DATE(cfg_FY,9,1))+1)*(1-IF($M440="نعم",0,N($J440))))</f>
        <v>0</v>
      </c>
      <c r="AE440" s="57" t="n">
        <f aca="false">IF(OR($B440="",$E440="",$F440=""),0,MAX(0,MIN($F440,EOMONTH(DATE(cfg_FY,10,1),0))-MAX($E440,DATE(cfg_FY,10,1))+1)*(1-IF($M440="نعم",0,N($J440))))</f>
        <v>0</v>
      </c>
      <c r="AF440" s="57" t="n">
        <f aca="false">IF(OR($B440="",$E440="",$F440=""),0,MAX(0,MIN($F440,EOMONTH(DATE(cfg_FY,11,1),0))-MAX($E440,DATE(cfg_FY,11,1))+1)*(1-IF($M440="نعم",0,N($J440))))</f>
        <v>0</v>
      </c>
      <c r="AG440" s="57" t="n">
        <f aca="false">IF(OR($B440="",$E440="",$F440=""),0,MAX(0,MIN($F440,EOMONTH(DATE(cfg_FY,12,1),0))-MAX($E440,DATE(cfg_FY,12,1))+1)*(1-IF($M440="نعم",0,N($J440))))</f>
        <v>0</v>
      </c>
      <c r="AH440" s="57" t="n">
        <f aca="false">IF(OR(OR($B440="",$E440="",$F440=""),$L440&lt;&gt;"لا"),0,MAX(0,MIN($F440,EOMONTH(DATE(cfg_FY,1,1),0))-$E440+1))</f>
        <v>0</v>
      </c>
      <c r="AI440" s="57" t="n">
        <f aca="false">IF(OR(OR($B440="",$E440="",$F440=""),$L440&lt;&gt;"لا"),0,MAX(0,MIN($F440,EOMONTH(DATE(cfg_FY,2,1),0))-$E440+1))</f>
        <v>0</v>
      </c>
      <c r="AJ440" s="57" t="n">
        <f aca="false">IF(OR(OR($B440="",$E440="",$F440=""),$L440&lt;&gt;"لا"),0,MAX(0,MIN($F440,EOMONTH(DATE(cfg_FY,3,1),0))-$E440+1))</f>
        <v>0</v>
      </c>
      <c r="AK440" s="57" t="n">
        <f aca="false">IF(OR(OR($B440="",$E440="",$F440=""),$L440&lt;&gt;"لا"),0,MAX(0,MIN($F440,EOMONTH(DATE(cfg_FY,4,1),0))-$E440+1))</f>
        <v>0</v>
      </c>
      <c r="AL440" s="57" t="n">
        <f aca="false">IF(OR(OR($B440="",$E440="",$F440=""),$L440&lt;&gt;"لا"),0,MAX(0,MIN($F440,EOMONTH(DATE(cfg_FY,5,1),0))-$E440+1))</f>
        <v>0</v>
      </c>
      <c r="AM440" s="57" t="n">
        <f aca="false">IF(OR(OR($B440="",$E440="",$F440=""),$L440&lt;&gt;"لا"),0,MAX(0,MIN($F440,EOMONTH(DATE(cfg_FY,6,1),0))-$E440+1))</f>
        <v>0</v>
      </c>
      <c r="AN440" s="57" t="n">
        <f aca="false">IF(OR(OR($B440="",$E440="",$F440=""),$L440&lt;&gt;"لا"),0,MAX(0,MIN($F440,EOMONTH(DATE(cfg_FY,7,1),0))-$E440+1))</f>
        <v>0</v>
      </c>
      <c r="AO440" s="57" t="n">
        <f aca="false">IF(OR(OR($B440="",$E440="",$F440=""),$L440&lt;&gt;"لا"),0,MAX(0,MIN($F440,EOMONTH(DATE(cfg_FY,8,1),0))-$E440+1))</f>
        <v>0</v>
      </c>
      <c r="AP440" s="57" t="n">
        <f aca="false">IF(OR(OR($B440="",$E440="",$F440=""),$L440&lt;&gt;"لا"),0,MAX(0,MIN($F440,EOMONTH(DATE(cfg_FY,9,1),0))-$E440+1))</f>
        <v>0</v>
      </c>
      <c r="AQ440" s="57" t="n">
        <f aca="false">IF(OR(OR($B440="",$E440="",$F440=""),$L440&lt;&gt;"لا"),0,MAX(0,MIN($F440,EOMONTH(DATE(cfg_FY,10,1),0))-$E440+1))</f>
        <v>0</v>
      </c>
      <c r="AR440" s="57" t="n">
        <f aca="false">IF(OR(OR($B440="",$E440="",$F440=""),$L440&lt;&gt;"لا"),0,MAX(0,MIN($F440,EOMONTH(DATE(cfg_FY,11,1),0))-$E440+1))</f>
        <v>0</v>
      </c>
      <c r="AS440" s="57" t="n">
        <f aca="false">IF(OR(OR($B440="",$E440="",$F440=""),$L440&lt;&gt;"لا"),0,MAX(0,MIN($F440,EOMONTH(DATE(cfg_FY,12,1),0))-$E440+1))</f>
        <v>0</v>
      </c>
      <c r="AT440" s="57" t="n">
        <f aca="false">IF(OR(OR($B440="",$E440="",$F440=""),$K440&lt;&gt;"نعم",$M440="نعم"),0,MAX(0,MIN($F440,EOMONTH(DATE(cfg_FY,1,1),0))-MAX($E440,DATE(cfg_FY,1,1))+1))</f>
        <v>0</v>
      </c>
      <c r="AU440" s="57" t="n">
        <f aca="false">IF(OR(OR($B440="",$E440="",$F440=""),$K440&lt;&gt;"نعم",$M440="نعم"),0,MAX(0,MIN($F440,EOMONTH(DATE(cfg_FY,2,1),0))-MAX($E440,DATE(cfg_FY,2,1))+1))</f>
        <v>0</v>
      </c>
      <c r="AV440" s="57" t="n">
        <f aca="false">IF(OR(OR($B440="",$E440="",$F440=""),$K440&lt;&gt;"نعم",$M440="نعم"),0,MAX(0,MIN($F440,EOMONTH(DATE(cfg_FY,3,1),0))-MAX($E440,DATE(cfg_FY,3,1))+1))</f>
        <v>0</v>
      </c>
      <c r="AW440" s="57" t="n">
        <f aca="false">IF(OR(OR($B440="",$E440="",$F440=""),$K440&lt;&gt;"نعم",$M440="نعم"),0,MAX(0,MIN($F440,EOMONTH(DATE(cfg_FY,4,1),0))-MAX($E440,DATE(cfg_FY,4,1))+1))</f>
        <v>0</v>
      </c>
      <c r="AX440" s="57" t="n">
        <f aca="false">IF(OR(OR($B440="",$E440="",$F440=""),$K440&lt;&gt;"نعم",$M440="نعم"),0,MAX(0,MIN($F440,EOMONTH(DATE(cfg_FY,5,1),0))-MAX($E440,DATE(cfg_FY,5,1))+1))</f>
        <v>0</v>
      </c>
      <c r="AY440" s="57" t="n">
        <f aca="false">IF(OR(OR($B440="",$E440="",$F440=""),$K440&lt;&gt;"نعم",$M440="نعم"),0,MAX(0,MIN($F440,EOMONTH(DATE(cfg_FY,6,1),0))-MAX($E440,DATE(cfg_FY,6,1))+1))</f>
        <v>0</v>
      </c>
      <c r="AZ440" s="57" t="n">
        <f aca="false">IF(OR(OR($B440="",$E440="",$F440=""),$K440&lt;&gt;"نعم",$M440="نعم"),0,MAX(0,MIN($F440,EOMONTH(DATE(cfg_FY,7,1),0))-MAX($E440,DATE(cfg_FY,7,1))+1))</f>
        <v>0</v>
      </c>
      <c r="BA440" s="57" t="n">
        <f aca="false">IF(OR(OR($B440="",$E440="",$F440=""),$K440&lt;&gt;"نعم",$M440="نعم"),0,MAX(0,MIN($F440,EOMONTH(DATE(cfg_FY,8,1),0))-MAX($E440,DATE(cfg_FY,8,1))+1))</f>
        <v>0</v>
      </c>
      <c r="BB440" s="57" t="n">
        <f aca="false">IF(OR(OR($B440="",$E440="",$F440=""),$K440&lt;&gt;"نعم",$M440="نعم"),0,MAX(0,MIN($F440,EOMONTH(DATE(cfg_FY,9,1),0))-MAX($E440,DATE(cfg_FY,9,1))+1))</f>
        <v>0</v>
      </c>
      <c r="BC440" s="57" t="n">
        <f aca="false">IF(OR(OR($B440="",$E440="",$F440=""),$K440&lt;&gt;"نعم",$M440="نعم"),0,MAX(0,MIN($F440,EOMONTH(DATE(cfg_FY,10,1),0))-MAX($E440,DATE(cfg_FY,10,1))+1))</f>
        <v>0</v>
      </c>
      <c r="BD440" s="57" t="n">
        <f aca="false">IF(OR(OR($B440="",$E440="",$F440=""),$K440&lt;&gt;"نعم",$M440="نعم"),0,MAX(0,MIN($F440,EOMONTH(DATE(cfg_FY,11,1),0))-MAX($E440,DATE(cfg_FY,11,1))+1))</f>
        <v>0</v>
      </c>
      <c r="BE440" s="57" t="n">
        <f aca="false">IF(OR(OR($B440="",$E440="",$F440=""),$K440&lt;&gt;"نعم",$M440="نعم"),0,MAX(0,MIN($F440,EOMONTH(DATE(cfg_FY,12,1),0))-MAX($E440,DATE(cfg_FY,12,1))+1))</f>
        <v>0</v>
      </c>
    </row>
    <row r="441" customFormat="false" ht="15" hidden="false" customHeight="false" outlineLevel="0" collapsed="false">
      <c r="A441" s="100" t="str">
        <f aca="false">IF(B441="","",ROW()-5)</f>
        <v/>
      </c>
      <c r="B441" s="79"/>
      <c r="C441" s="102" t="str">
        <f aca="false">IF(B441="","",IFERROR(INDEX(الموظفون!$C$6:$C$105,MATCH(B441,الموظفون!$B$6:$B$105,0)),"✖ رقم غير موجود"))</f>
        <v/>
      </c>
      <c r="D441" s="79"/>
      <c r="E441" s="94"/>
      <c r="F441" s="94"/>
      <c r="G441" s="110" t="str">
        <f aca="false">IF(OR($B441="",$E441="",$F441=""),"",MAX(0,F441-E441+1))</f>
        <v/>
      </c>
      <c r="H441" s="111" t="str">
        <f aca="false">IF(D441="","",IFERROR(VLOOKUP(D441,cfg_LT,2,FALSE()),1))</f>
        <v/>
      </c>
      <c r="I441" s="82"/>
      <c r="J441" s="111" t="str">
        <f aca="false">IF(D441="","",IF(I441&lt;&gt;"",I441,H441))</f>
        <v/>
      </c>
      <c r="K441" s="102" t="str">
        <f aca="false">IF(D441="","",IFERROR(VLOOKUP($D441,cfg_LT,3,FALSE()),""))</f>
        <v/>
      </c>
      <c r="L441" s="102" t="str">
        <f aca="false">IF(D441="","",IFERROR(VLOOKUP($D441,cfg_LT,4,FALSE()),""))</f>
        <v/>
      </c>
      <c r="M441" s="102" t="str">
        <f aca="false">IF(D441="","",IFERROR(VLOOKUP($D441,cfg_LT,5,FALSE()),""))</f>
        <v/>
      </c>
      <c r="N441" s="101" t="n">
        <f aca="false">IF(OR(OR($B441="",$E441="",$F441=""),M441&lt;&gt;"نعم"),0,G441*J441*IFERROR(INDEX(الموظفون!$R$6:$R$105,MATCH(B441,الموظفون!$B$6:$B$105,0)),0)/cfg_DAYS_M)</f>
        <v>0</v>
      </c>
      <c r="O441" s="100" t="str">
        <f aca="false">IF(OR(OR($B441="",$E441="",$F441=""),M441&lt;&gt;"نعم"),"",IF(YEAR(E441)=cfg_FY,MONTH(E441),""))</f>
        <v/>
      </c>
      <c r="P441" s="102" t="str">
        <f aca="false">IF(B441="","",IF(OR(D441="",E441="",F441=""),"⚠ أكمل النوع والتواريخ",IF(F441&lt;E441,"✖ النهاية قبل البداية",IF(COUNTIFS($B$6:$B$505,B441,$E$6:$E$505,"&lt;="&amp;F441,$F$6:$F$505,"&gt;="&amp;E441)&gt;1,"⚠ تداخل مع سجل آخر",IF(E441&gt;cfg_VAL_DATE,"⏳ قادمة",IF(F441&lt;cfg_VAL_DATE,"✔ منتهية","✈ جارية في تاريخ التقرير"))))))</f>
        <v/>
      </c>
      <c r="Q441" s="79"/>
      <c r="R441" s="110" t="n">
        <f aca="false">IF(OR(OR($B441="",$E441="",$F441=""),L441&lt;&gt;"لا"),0,MAX(0,MIN(F441,cfg_Y_START-1)-E441+1))</f>
        <v>0</v>
      </c>
      <c r="S441" s="110" t="n">
        <f aca="false">IF(OR(OR($B441="",$E441="",$F441=""),L441&lt;&gt;"لا"),0,MAX(0,MIN(F441,cfg_VAL_DATE)-E441+1))</f>
        <v>0</v>
      </c>
      <c r="T441" s="110" t="n">
        <f aca="false">IF(OR(OR($B441="",$E441="",$F441=""),K441&lt;&gt;"نعم"),0,IF(M441="نعم",IF(AND(ISNUMBER(O441),N(O441)&lt;=cfg_VAL_M),G441,0),MAX(0,MIN(F441,cfg_VAL_DATE)-MAX(E441,cfg_Y_START)+1)))</f>
        <v>0</v>
      </c>
      <c r="V441" s="110" t="n">
        <f aca="false">IF(OR($B441="",$E441="",$F441=""),0,MAX(0,MIN($F441,EOMONTH(DATE(cfg_FY,1,1),0))-MAX($E441,DATE(cfg_FY,1,1))+1)*(1-IF($M441="نعم",0,N($J441))))</f>
        <v>0</v>
      </c>
      <c r="W441" s="110" t="n">
        <f aca="false">IF(OR($B441="",$E441="",$F441=""),0,MAX(0,MIN($F441,EOMONTH(DATE(cfg_FY,2,1),0))-MAX($E441,DATE(cfg_FY,2,1))+1)*(1-IF($M441="نعم",0,N($J441))))</f>
        <v>0</v>
      </c>
      <c r="X441" s="110" t="n">
        <f aca="false">IF(OR($B441="",$E441="",$F441=""),0,MAX(0,MIN($F441,EOMONTH(DATE(cfg_FY,3,1),0))-MAX($E441,DATE(cfg_FY,3,1))+1)*(1-IF($M441="نعم",0,N($J441))))</f>
        <v>0</v>
      </c>
      <c r="Y441" s="110" t="n">
        <f aca="false">IF(OR($B441="",$E441="",$F441=""),0,MAX(0,MIN($F441,EOMONTH(DATE(cfg_FY,4,1),0))-MAX($E441,DATE(cfg_FY,4,1))+1)*(1-IF($M441="نعم",0,N($J441))))</f>
        <v>0</v>
      </c>
      <c r="Z441" s="110" t="n">
        <f aca="false">IF(OR($B441="",$E441="",$F441=""),0,MAX(0,MIN($F441,EOMONTH(DATE(cfg_FY,5,1),0))-MAX($E441,DATE(cfg_FY,5,1))+1)*(1-IF($M441="نعم",0,N($J441))))</f>
        <v>0</v>
      </c>
      <c r="AA441" s="110" t="n">
        <f aca="false">IF(OR($B441="",$E441="",$F441=""),0,MAX(0,MIN($F441,EOMONTH(DATE(cfg_FY,6,1),0))-MAX($E441,DATE(cfg_FY,6,1))+1)*(1-IF($M441="نعم",0,N($J441))))</f>
        <v>0</v>
      </c>
      <c r="AB441" s="110" t="n">
        <f aca="false">IF(OR($B441="",$E441="",$F441=""),0,MAX(0,MIN($F441,EOMONTH(DATE(cfg_FY,7,1),0))-MAX($E441,DATE(cfg_FY,7,1))+1)*(1-IF($M441="نعم",0,N($J441))))</f>
        <v>0</v>
      </c>
      <c r="AC441" s="110" t="n">
        <f aca="false">IF(OR($B441="",$E441="",$F441=""),0,MAX(0,MIN($F441,EOMONTH(DATE(cfg_FY,8,1),0))-MAX($E441,DATE(cfg_FY,8,1))+1)*(1-IF($M441="نعم",0,N($J441))))</f>
        <v>0</v>
      </c>
      <c r="AD441" s="110" t="n">
        <f aca="false">IF(OR($B441="",$E441="",$F441=""),0,MAX(0,MIN($F441,EOMONTH(DATE(cfg_FY,9,1),0))-MAX($E441,DATE(cfg_FY,9,1))+1)*(1-IF($M441="نعم",0,N($J441))))</f>
        <v>0</v>
      </c>
      <c r="AE441" s="110" t="n">
        <f aca="false">IF(OR($B441="",$E441="",$F441=""),0,MAX(0,MIN($F441,EOMONTH(DATE(cfg_FY,10,1),0))-MAX($E441,DATE(cfg_FY,10,1))+1)*(1-IF($M441="نعم",0,N($J441))))</f>
        <v>0</v>
      </c>
      <c r="AF441" s="110" t="n">
        <f aca="false">IF(OR($B441="",$E441="",$F441=""),0,MAX(0,MIN($F441,EOMONTH(DATE(cfg_FY,11,1),0))-MAX($E441,DATE(cfg_FY,11,1))+1)*(1-IF($M441="نعم",0,N($J441))))</f>
        <v>0</v>
      </c>
      <c r="AG441" s="110" t="n">
        <f aca="false">IF(OR($B441="",$E441="",$F441=""),0,MAX(0,MIN($F441,EOMONTH(DATE(cfg_FY,12,1),0))-MAX($E441,DATE(cfg_FY,12,1))+1)*(1-IF($M441="نعم",0,N($J441))))</f>
        <v>0</v>
      </c>
      <c r="AH441" s="110" t="n">
        <f aca="false">IF(OR(OR($B441="",$E441="",$F441=""),$L441&lt;&gt;"لا"),0,MAX(0,MIN($F441,EOMONTH(DATE(cfg_FY,1,1),0))-$E441+1))</f>
        <v>0</v>
      </c>
      <c r="AI441" s="110" t="n">
        <f aca="false">IF(OR(OR($B441="",$E441="",$F441=""),$L441&lt;&gt;"لا"),0,MAX(0,MIN($F441,EOMONTH(DATE(cfg_FY,2,1),0))-$E441+1))</f>
        <v>0</v>
      </c>
      <c r="AJ441" s="110" t="n">
        <f aca="false">IF(OR(OR($B441="",$E441="",$F441=""),$L441&lt;&gt;"لا"),0,MAX(0,MIN($F441,EOMONTH(DATE(cfg_FY,3,1),0))-$E441+1))</f>
        <v>0</v>
      </c>
      <c r="AK441" s="110" t="n">
        <f aca="false">IF(OR(OR($B441="",$E441="",$F441=""),$L441&lt;&gt;"لا"),0,MAX(0,MIN($F441,EOMONTH(DATE(cfg_FY,4,1),0))-$E441+1))</f>
        <v>0</v>
      </c>
      <c r="AL441" s="110" t="n">
        <f aca="false">IF(OR(OR($B441="",$E441="",$F441=""),$L441&lt;&gt;"لا"),0,MAX(0,MIN($F441,EOMONTH(DATE(cfg_FY,5,1),0))-$E441+1))</f>
        <v>0</v>
      </c>
      <c r="AM441" s="110" t="n">
        <f aca="false">IF(OR(OR($B441="",$E441="",$F441=""),$L441&lt;&gt;"لا"),0,MAX(0,MIN($F441,EOMONTH(DATE(cfg_FY,6,1),0))-$E441+1))</f>
        <v>0</v>
      </c>
      <c r="AN441" s="110" t="n">
        <f aca="false">IF(OR(OR($B441="",$E441="",$F441=""),$L441&lt;&gt;"لا"),0,MAX(0,MIN($F441,EOMONTH(DATE(cfg_FY,7,1),0))-$E441+1))</f>
        <v>0</v>
      </c>
      <c r="AO441" s="110" t="n">
        <f aca="false">IF(OR(OR($B441="",$E441="",$F441=""),$L441&lt;&gt;"لا"),0,MAX(0,MIN($F441,EOMONTH(DATE(cfg_FY,8,1),0))-$E441+1))</f>
        <v>0</v>
      </c>
      <c r="AP441" s="110" t="n">
        <f aca="false">IF(OR(OR($B441="",$E441="",$F441=""),$L441&lt;&gt;"لا"),0,MAX(0,MIN($F441,EOMONTH(DATE(cfg_FY,9,1),0))-$E441+1))</f>
        <v>0</v>
      </c>
      <c r="AQ441" s="110" t="n">
        <f aca="false">IF(OR(OR($B441="",$E441="",$F441=""),$L441&lt;&gt;"لا"),0,MAX(0,MIN($F441,EOMONTH(DATE(cfg_FY,10,1),0))-$E441+1))</f>
        <v>0</v>
      </c>
      <c r="AR441" s="110" t="n">
        <f aca="false">IF(OR(OR($B441="",$E441="",$F441=""),$L441&lt;&gt;"لا"),0,MAX(0,MIN($F441,EOMONTH(DATE(cfg_FY,11,1),0))-$E441+1))</f>
        <v>0</v>
      </c>
      <c r="AS441" s="110" t="n">
        <f aca="false">IF(OR(OR($B441="",$E441="",$F441=""),$L441&lt;&gt;"لا"),0,MAX(0,MIN($F441,EOMONTH(DATE(cfg_FY,12,1),0))-$E441+1))</f>
        <v>0</v>
      </c>
      <c r="AT441" s="110" t="n">
        <f aca="false">IF(OR(OR($B441="",$E441="",$F441=""),$K441&lt;&gt;"نعم",$M441="نعم"),0,MAX(0,MIN($F441,EOMONTH(DATE(cfg_FY,1,1),0))-MAX($E441,DATE(cfg_FY,1,1))+1))</f>
        <v>0</v>
      </c>
      <c r="AU441" s="110" t="n">
        <f aca="false">IF(OR(OR($B441="",$E441="",$F441=""),$K441&lt;&gt;"نعم",$M441="نعم"),0,MAX(0,MIN($F441,EOMONTH(DATE(cfg_FY,2,1),0))-MAX($E441,DATE(cfg_FY,2,1))+1))</f>
        <v>0</v>
      </c>
      <c r="AV441" s="110" t="n">
        <f aca="false">IF(OR(OR($B441="",$E441="",$F441=""),$K441&lt;&gt;"نعم",$M441="نعم"),0,MAX(0,MIN($F441,EOMONTH(DATE(cfg_FY,3,1),0))-MAX($E441,DATE(cfg_FY,3,1))+1))</f>
        <v>0</v>
      </c>
      <c r="AW441" s="110" t="n">
        <f aca="false">IF(OR(OR($B441="",$E441="",$F441=""),$K441&lt;&gt;"نعم",$M441="نعم"),0,MAX(0,MIN($F441,EOMONTH(DATE(cfg_FY,4,1),0))-MAX($E441,DATE(cfg_FY,4,1))+1))</f>
        <v>0</v>
      </c>
      <c r="AX441" s="110" t="n">
        <f aca="false">IF(OR(OR($B441="",$E441="",$F441=""),$K441&lt;&gt;"نعم",$M441="نعم"),0,MAX(0,MIN($F441,EOMONTH(DATE(cfg_FY,5,1),0))-MAX($E441,DATE(cfg_FY,5,1))+1))</f>
        <v>0</v>
      </c>
      <c r="AY441" s="110" t="n">
        <f aca="false">IF(OR(OR($B441="",$E441="",$F441=""),$K441&lt;&gt;"نعم",$M441="نعم"),0,MAX(0,MIN($F441,EOMONTH(DATE(cfg_FY,6,1),0))-MAX($E441,DATE(cfg_FY,6,1))+1))</f>
        <v>0</v>
      </c>
      <c r="AZ441" s="110" t="n">
        <f aca="false">IF(OR(OR($B441="",$E441="",$F441=""),$K441&lt;&gt;"نعم",$M441="نعم"),0,MAX(0,MIN($F441,EOMONTH(DATE(cfg_FY,7,1),0))-MAX($E441,DATE(cfg_FY,7,1))+1))</f>
        <v>0</v>
      </c>
      <c r="BA441" s="110" t="n">
        <f aca="false">IF(OR(OR($B441="",$E441="",$F441=""),$K441&lt;&gt;"نعم",$M441="نعم"),0,MAX(0,MIN($F441,EOMONTH(DATE(cfg_FY,8,1),0))-MAX($E441,DATE(cfg_FY,8,1))+1))</f>
        <v>0</v>
      </c>
      <c r="BB441" s="110" t="n">
        <f aca="false">IF(OR(OR($B441="",$E441="",$F441=""),$K441&lt;&gt;"نعم",$M441="نعم"),0,MAX(0,MIN($F441,EOMONTH(DATE(cfg_FY,9,1),0))-MAX($E441,DATE(cfg_FY,9,1))+1))</f>
        <v>0</v>
      </c>
      <c r="BC441" s="110" t="n">
        <f aca="false">IF(OR(OR($B441="",$E441="",$F441=""),$K441&lt;&gt;"نعم",$M441="نعم"),0,MAX(0,MIN($F441,EOMONTH(DATE(cfg_FY,10,1),0))-MAX($E441,DATE(cfg_FY,10,1))+1))</f>
        <v>0</v>
      </c>
      <c r="BD441" s="110" t="n">
        <f aca="false">IF(OR(OR($B441="",$E441="",$F441=""),$K441&lt;&gt;"نعم",$M441="نعم"),0,MAX(0,MIN($F441,EOMONTH(DATE(cfg_FY,11,1),0))-MAX($E441,DATE(cfg_FY,11,1))+1))</f>
        <v>0</v>
      </c>
      <c r="BE441" s="110" t="n">
        <f aca="false">IF(OR(OR($B441="",$E441="",$F441=""),$K441&lt;&gt;"نعم",$M441="نعم"),0,MAX(0,MIN($F441,EOMONTH(DATE(cfg_FY,12,1),0))-MAX($E441,DATE(cfg_FY,12,1))+1))</f>
        <v>0</v>
      </c>
    </row>
    <row r="442" customFormat="false" ht="15" hidden="false" customHeight="false" outlineLevel="0" collapsed="false">
      <c r="A442" s="93" t="str">
        <f aca="false">IF(B442="","",ROW()-5)</f>
        <v/>
      </c>
      <c r="B442" s="79"/>
      <c r="C442" s="80" t="str">
        <f aca="false">IF(B442="","",IFERROR(INDEX(الموظفون!$C$6:$C$105,MATCH(B442,الموظفون!$B$6:$B$105,0)),"✖ رقم غير موجود"))</f>
        <v/>
      </c>
      <c r="D442" s="79"/>
      <c r="E442" s="94"/>
      <c r="F442" s="94"/>
      <c r="G442" s="57" t="str">
        <f aca="false">IF(OR($B442="",$E442="",$F442=""),"",MAX(0,F442-E442+1))</f>
        <v/>
      </c>
      <c r="H442" s="58" t="str">
        <f aca="false">IF(D442="","",IFERROR(VLOOKUP(D442,cfg_LT,2,FALSE()),1))</f>
        <v/>
      </c>
      <c r="I442" s="82"/>
      <c r="J442" s="58" t="str">
        <f aca="false">IF(D442="","",IF(I442&lt;&gt;"",I442,H442))</f>
        <v/>
      </c>
      <c r="K442" s="80" t="str">
        <f aca="false">IF(D442="","",IFERROR(VLOOKUP($D442,cfg_LT,3,FALSE()),""))</f>
        <v/>
      </c>
      <c r="L442" s="80" t="str">
        <f aca="false">IF(D442="","",IFERROR(VLOOKUP($D442,cfg_LT,4,FALSE()),""))</f>
        <v/>
      </c>
      <c r="M442" s="80" t="str">
        <f aca="false">IF(D442="","",IFERROR(VLOOKUP($D442,cfg_LT,5,FALSE()),""))</f>
        <v/>
      </c>
      <c r="N442" s="97" t="n">
        <f aca="false">IF(OR(OR($B442="",$E442="",$F442=""),M442&lt;&gt;"نعم"),0,G442*J442*IFERROR(INDEX(الموظفون!$R$6:$R$105,MATCH(B442,الموظفون!$B$6:$B$105,0)),0)/cfg_DAYS_M)</f>
        <v>0</v>
      </c>
      <c r="O442" s="93" t="str">
        <f aca="false">IF(OR(OR($B442="",$E442="",$F442=""),M442&lt;&gt;"نعم"),"",IF(YEAR(E442)=cfg_FY,MONTH(E442),""))</f>
        <v/>
      </c>
      <c r="P442" s="80" t="str">
        <f aca="false">IF(B442="","",IF(OR(D442="",E442="",F442=""),"⚠ أكمل النوع والتواريخ",IF(F442&lt;E442,"✖ النهاية قبل البداية",IF(COUNTIFS($B$6:$B$505,B442,$E$6:$E$505,"&lt;="&amp;F442,$F$6:$F$505,"&gt;="&amp;E442)&gt;1,"⚠ تداخل مع سجل آخر",IF(E442&gt;cfg_VAL_DATE,"⏳ قادمة",IF(F442&lt;cfg_VAL_DATE,"✔ منتهية","✈ جارية في تاريخ التقرير"))))))</f>
        <v/>
      </c>
      <c r="Q442" s="79"/>
      <c r="R442" s="57" t="n">
        <f aca="false">IF(OR(OR($B442="",$E442="",$F442=""),L442&lt;&gt;"لا"),0,MAX(0,MIN(F442,cfg_Y_START-1)-E442+1))</f>
        <v>0</v>
      </c>
      <c r="S442" s="57" t="n">
        <f aca="false">IF(OR(OR($B442="",$E442="",$F442=""),L442&lt;&gt;"لا"),0,MAX(0,MIN(F442,cfg_VAL_DATE)-E442+1))</f>
        <v>0</v>
      </c>
      <c r="T442" s="57" t="n">
        <f aca="false">IF(OR(OR($B442="",$E442="",$F442=""),K442&lt;&gt;"نعم"),0,IF(M442="نعم",IF(AND(ISNUMBER(O442),N(O442)&lt;=cfg_VAL_M),G442,0),MAX(0,MIN(F442,cfg_VAL_DATE)-MAX(E442,cfg_Y_START)+1)))</f>
        <v>0</v>
      </c>
      <c r="V442" s="57" t="n">
        <f aca="false">IF(OR($B442="",$E442="",$F442=""),0,MAX(0,MIN($F442,EOMONTH(DATE(cfg_FY,1,1),0))-MAX($E442,DATE(cfg_FY,1,1))+1)*(1-IF($M442="نعم",0,N($J442))))</f>
        <v>0</v>
      </c>
      <c r="W442" s="57" t="n">
        <f aca="false">IF(OR($B442="",$E442="",$F442=""),0,MAX(0,MIN($F442,EOMONTH(DATE(cfg_FY,2,1),0))-MAX($E442,DATE(cfg_FY,2,1))+1)*(1-IF($M442="نعم",0,N($J442))))</f>
        <v>0</v>
      </c>
      <c r="X442" s="57" t="n">
        <f aca="false">IF(OR($B442="",$E442="",$F442=""),0,MAX(0,MIN($F442,EOMONTH(DATE(cfg_FY,3,1),0))-MAX($E442,DATE(cfg_FY,3,1))+1)*(1-IF($M442="نعم",0,N($J442))))</f>
        <v>0</v>
      </c>
      <c r="Y442" s="57" t="n">
        <f aca="false">IF(OR($B442="",$E442="",$F442=""),0,MAX(0,MIN($F442,EOMONTH(DATE(cfg_FY,4,1),0))-MAX($E442,DATE(cfg_FY,4,1))+1)*(1-IF($M442="نعم",0,N($J442))))</f>
        <v>0</v>
      </c>
      <c r="Z442" s="57" t="n">
        <f aca="false">IF(OR($B442="",$E442="",$F442=""),0,MAX(0,MIN($F442,EOMONTH(DATE(cfg_FY,5,1),0))-MAX($E442,DATE(cfg_FY,5,1))+1)*(1-IF($M442="نعم",0,N($J442))))</f>
        <v>0</v>
      </c>
      <c r="AA442" s="57" t="n">
        <f aca="false">IF(OR($B442="",$E442="",$F442=""),0,MAX(0,MIN($F442,EOMONTH(DATE(cfg_FY,6,1),0))-MAX($E442,DATE(cfg_FY,6,1))+1)*(1-IF($M442="نعم",0,N($J442))))</f>
        <v>0</v>
      </c>
      <c r="AB442" s="57" t="n">
        <f aca="false">IF(OR($B442="",$E442="",$F442=""),0,MAX(0,MIN($F442,EOMONTH(DATE(cfg_FY,7,1),0))-MAX($E442,DATE(cfg_FY,7,1))+1)*(1-IF($M442="نعم",0,N($J442))))</f>
        <v>0</v>
      </c>
      <c r="AC442" s="57" t="n">
        <f aca="false">IF(OR($B442="",$E442="",$F442=""),0,MAX(0,MIN($F442,EOMONTH(DATE(cfg_FY,8,1),0))-MAX($E442,DATE(cfg_FY,8,1))+1)*(1-IF($M442="نعم",0,N($J442))))</f>
        <v>0</v>
      </c>
      <c r="AD442" s="57" t="n">
        <f aca="false">IF(OR($B442="",$E442="",$F442=""),0,MAX(0,MIN($F442,EOMONTH(DATE(cfg_FY,9,1),0))-MAX($E442,DATE(cfg_FY,9,1))+1)*(1-IF($M442="نعم",0,N($J442))))</f>
        <v>0</v>
      </c>
      <c r="AE442" s="57" t="n">
        <f aca="false">IF(OR($B442="",$E442="",$F442=""),0,MAX(0,MIN($F442,EOMONTH(DATE(cfg_FY,10,1),0))-MAX($E442,DATE(cfg_FY,10,1))+1)*(1-IF($M442="نعم",0,N($J442))))</f>
        <v>0</v>
      </c>
      <c r="AF442" s="57" t="n">
        <f aca="false">IF(OR($B442="",$E442="",$F442=""),0,MAX(0,MIN($F442,EOMONTH(DATE(cfg_FY,11,1),0))-MAX($E442,DATE(cfg_FY,11,1))+1)*(1-IF($M442="نعم",0,N($J442))))</f>
        <v>0</v>
      </c>
      <c r="AG442" s="57" t="n">
        <f aca="false">IF(OR($B442="",$E442="",$F442=""),0,MAX(0,MIN($F442,EOMONTH(DATE(cfg_FY,12,1),0))-MAX($E442,DATE(cfg_FY,12,1))+1)*(1-IF($M442="نعم",0,N($J442))))</f>
        <v>0</v>
      </c>
      <c r="AH442" s="57" t="n">
        <f aca="false">IF(OR(OR($B442="",$E442="",$F442=""),$L442&lt;&gt;"لا"),0,MAX(0,MIN($F442,EOMONTH(DATE(cfg_FY,1,1),0))-$E442+1))</f>
        <v>0</v>
      </c>
      <c r="AI442" s="57" t="n">
        <f aca="false">IF(OR(OR($B442="",$E442="",$F442=""),$L442&lt;&gt;"لا"),0,MAX(0,MIN($F442,EOMONTH(DATE(cfg_FY,2,1),0))-$E442+1))</f>
        <v>0</v>
      </c>
      <c r="AJ442" s="57" t="n">
        <f aca="false">IF(OR(OR($B442="",$E442="",$F442=""),$L442&lt;&gt;"لا"),0,MAX(0,MIN($F442,EOMONTH(DATE(cfg_FY,3,1),0))-$E442+1))</f>
        <v>0</v>
      </c>
      <c r="AK442" s="57" t="n">
        <f aca="false">IF(OR(OR($B442="",$E442="",$F442=""),$L442&lt;&gt;"لا"),0,MAX(0,MIN($F442,EOMONTH(DATE(cfg_FY,4,1),0))-$E442+1))</f>
        <v>0</v>
      </c>
      <c r="AL442" s="57" t="n">
        <f aca="false">IF(OR(OR($B442="",$E442="",$F442=""),$L442&lt;&gt;"لا"),0,MAX(0,MIN($F442,EOMONTH(DATE(cfg_FY,5,1),0))-$E442+1))</f>
        <v>0</v>
      </c>
      <c r="AM442" s="57" t="n">
        <f aca="false">IF(OR(OR($B442="",$E442="",$F442=""),$L442&lt;&gt;"لا"),0,MAX(0,MIN($F442,EOMONTH(DATE(cfg_FY,6,1),0))-$E442+1))</f>
        <v>0</v>
      </c>
      <c r="AN442" s="57" t="n">
        <f aca="false">IF(OR(OR($B442="",$E442="",$F442=""),$L442&lt;&gt;"لا"),0,MAX(0,MIN($F442,EOMONTH(DATE(cfg_FY,7,1),0))-$E442+1))</f>
        <v>0</v>
      </c>
      <c r="AO442" s="57" t="n">
        <f aca="false">IF(OR(OR($B442="",$E442="",$F442=""),$L442&lt;&gt;"لا"),0,MAX(0,MIN($F442,EOMONTH(DATE(cfg_FY,8,1),0))-$E442+1))</f>
        <v>0</v>
      </c>
      <c r="AP442" s="57" t="n">
        <f aca="false">IF(OR(OR($B442="",$E442="",$F442=""),$L442&lt;&gt;"لا"),0,MAX(0,MIN($F442,EOMONTH(DATE(cfg_FY,9,1),0))-$E442+1))</f>
        <v>0</v>
      </c>
      <c r="AQ442" s="57" t="n">
        <f aca="false">IF(OR(OR($B442="",$E442="",$F442=""),$L442&lt;&gt;"لا"),0,MAX(0,MIN($F442,EOMONTH(DATE(cfg_FY,10,1),0))-$E442+1))</f>
        <v>0</v>
      </c>
      <c r="AR442" s="57" t="n">
        <f aca="false">IF(OR(OR($B442="",$E442="",$F442=""),$L442&lt;&gt;"لا"),0,MAX(0,MIN($F442,EOMONTH(DATE(cfg_FY,11,1),0))-$E442+1))</f>
        <v>0</v>
      </c>
      <c r="AS442" s="57" t="n">
        <f aca="false">IF(OR(OR($B442="",$E442="",$F442=""),$L442&lt;&gt;"لا"),0,MAX(0,MIN($F442,EOMONTH(DATE(cfg_FY,12,1),0))-$E442+1))</f>
        <v>0</v>
      </c>
      <c r="AT442" s="57" t="n">
        <f aca="false">IF(OR(OR($B442="",$E442="",$F442=""),$K442&lt;&gt;"نعم",$M442="نعم"),0,MAX(0,MIN($F442,EOMONTH(DATE(cfg_FY,1,1),0))-MAX($E442,DATE(cfg_FY,1,1))+1))</f>
        <v>0</v>
      </c>
      <c r="AU442" s="57" t="n">
        <f aca="false">IF(OR(OR($B442="",$E442="",$F442=""),$K442&lt;&gt;"نعم",$M442="نعم"),0,MAX(0,MIN($F442,EOMONTH(DATE(cfg_FY,2,1),0))-MAX($E442,DATE(cfg_FY,2,1))+1))</f>
        <v>0</v>
      </c>
      <c r="AV442" s="57" t="n">
        <f aca="false">IF(OR(OR($B442="",$E442="",$F442=""),$K442&lt;&gt;"نعم",$M442="نعم"),0,MAX(0,MIN($F442,EOMONTH(DATE(cfg_FY,3,1),0))-MAX($E442,DATE(cfg_FY,3,1))+1))</f>
        <v>0</v>
      </c>
      <c r="AW442" s="57" t="n">
        <f aca="false">IF(OR(OR($B442="",$E442="",$F442=""),$K442&lt;&gt;"نعم",$M442="نعم"),0,MAX(0,MIN($F442,EOMONTH(DATE(cfg_FY,4,1),0))-MAX($E442,DATE(cfg_FY,4,1))+1))</f>
        <v>0</v>
      </c>
      <c r="AX442" s="57" t="n">
        <f aca="false">IF(OR(OR($B442="",$E442="",$F442=""),$K442&lt;&gt;"نعم",$M442="نعم"),0,MAX(0,MIN($F442,EOMONTH(DATE(cfg_FY,5,1),0))-MAX($E442,DATE(cfg_FY,5,1))+1))</f>
        <v>0</v>
      </c>
      <c r="AY442" s="57" t="n">
        <f aca="false">IF(OR(OR($B442="",$E442="",$F442=""),$K442&lt;&gt;"نعم",$M442="نعم"),0,MAX(0,MIN($F442,EOMONTH(DATE(cfg_FY,6,1),0))-MAX($E442,DATE(cfg_FY,6,1))+1))</f>
        <v>0</v>
      </c>
      <c r="AZ442" s="57" t="n">
        <f aca="false">IF(OR(OR($B442="",$E442="",$F442=""),$K442&lt;&gt;"نعم",$M442="نعم"),0,MAX(0,MIN($F442,EOMONTH(DATE(cfg_FY,7,1),0))-MAX($E442,DATE(cfg_FY,7,1))+1))</f>
        <v>0</v>
      </c>
      <c r="BA442" s="57" t="n">
        <f aca="false">IF(OR(OR($B442="",$E442="",$F442=""),$K442&lt;&gt;"نعم",$M442="نعم"),0,MAX(0,MIN($F442,EOMONTH(DATE(cfg_FY,8,1),0))-MAX($E442,DATE(cfg_FY,8,1))+1))</f>
        <v>0</v>
      </c>
      <c r="BB442" s="57" t="n">
        <f aca="false">IF(OR(OR($B442="",$E442="",$F442=""),$K442&lt;&gt;"نعم",$M442="نعم"),0,MAX(0,MIN($F442,EOMONTH(DATE(cfg_FY,9,1),0))-MAX($E442,DATE(cfg_FY,9,1))+1))</f>
        <v>0</v>
      </c>
      <c r="BC442" s="57" t="n">
        <f aca="false">IF(OR(OR($B442="",$E442="",$F442=""),$K442&lt;&gt;"نعم",$M442="نعم"),0,MAX(0,MIN($F442,EOMONTH(DATE(cfg_FY,10,1),0))-MAX($E442,DATE(cfg_FY,10,1))+1))</f>
        <v>0</v>
      </c>
      <c r="BD442" s="57" t="n">
        <f aca="false">IF(OR(OR($B442="",$E442="",$F442=""),$K442&lt;&gt;"نعم",$M442="نعم"),0,MAX(0,MIN($F442,EOMONTH(DATE(cfg_FY,11,1),0))-MAX($E442,DATE(cfg_FY,11,1))+1))</f>
        <v>0</v>
      </c>
      <c r="BE442" s="57" t="n">
        <f aca="false">IF(OR(OR($B442="",$E442="",$F442=""),$K442&lt;&gt;"نعم",$M442="نعم"),0,MAX(0,MIN($F442,EOMONTH(DATE(cfg_FY,12,1),0))-MAX($E442,DATE(cfg_FY,12,1))+1))</f>
        <v>0</v>
      </c>
    </row>
    <row r="443" customFormat="false" ht="15" hidden="false" customHeight="false" outlineLevel="0" collapsed="false">
      <c r="A443" s="100" t="str">
        <f aca="false">IF(B443="","",ROW()-5)</f>
        <v/>
      </c>
      <c r="B443" s="79"/>
      <c r="C443" s="102" t="str">
        <f aca="false">IF(B443="","",IFERROR(INDEX(الموظفون!$C$6:$C$105,MATCH(B443,الموظفون!$B$6:$B$105,0)),"✖ رقم غير موجود"))</f>
        <v/>
      </c>
      <c r="D443" s="79"/>
      <c r="E443" s="94"/>
      <c r="F443" s="94"/>
      <c r="G443" s="110" t="str">
        <f aca="false">IF(OR($B443="",$E443="",$F443=""),"",MAX(0,F443-E443+1))</f>
        <v/>
      </c>
      <c r="H443" s="111" t="str">
        <f aca="false">IF(D443="","",IFERROR(VLOOKUP(D443,cfg_LT,2,FALSE()),1))</f>
        <v/>
      </c>
      <c r="I443" s="82"/>
      <c r="J443" s="111" t="str">
        <f aca="false">IF(D443="","",IF(I443&lt;&gt;"",I443,H443))</f>
        <v/>
      </c>
      <c r="K443" s="102" t="str">
        <f aca="false">IF(D443="","",IFERROR(VLOOKUP($D443,cfg_LT,3,FALSE()),""))</f>
        <v/>
      </c>
      <c r="L443" s="102" t="str">
        <f aca="false">IF(D443="","",IFERROR(VLOOKUP($D443,cfg_LT,4,FALSE()),""))</f>
        <v/>
      </c>
      <c r="M443" s="102" t="str">
        <f aca="false">IF(D443="","",IFERROR(VLOOKUP($D443,cfg_LT,5,FALSE()),""))</f>
        <v/>
      </c>
      <c r="N443" s="101" t="n">
        <f aca="false">IF(OR(OR($B443="",$E443="",$F443=""),M443&lt;&gt;"نعم"),0,G443*J443*IFERROR(INDEX(الموظفون!$R$6:$R$105,MATCH(B443,الموظفون!$B$6:$B$105,0)),0)/cfg_DAYS_M)</f>
        <v>0</v>
      </c>
      <c r="O443" s="100" t="str">
        <f aca="false">IF(OR(OR($B443="",$E443="",$F443=""),M443&lt;&gt;"نعم"),"",IF(YEAR(E443)=cfg_FY,MONTH(E443),""))</f>
        <v/>
      </c>
      <c r="P443" s="102" t="str">
        <f aca="false">IF(B443="","",IF(OR(D443="",E443="",F443=""),"⚠ أكمل النوع والتواريخ",IF(F443&lt;E443,"✖ النهاية قبل البداية",IF(COUNTIFS($B$6:$B$505,B443,$E$6:$E$505,"&lt;="&amp;F443,$F$6:$F$505,"&gt;="&amp;E443)&gt;1,"⚠ تداخل مع سجل آخر",IF(E443&gt;cfg_VAL_DATE,"⏳ قادمة",IF(F443&lt;cfg_VAL_DATE,"✔ منتهية","✈ جارية في تاريخ التقرير"))))))</f>
        <v/>
      </c>
      <c r="Q443" s="79"/>
      <c r="R443" s="110" t="n">
        <f aca="false">IF(OR(OR($B443="",$E443="",$F443=""),L443&lt;&gt;"لا"),0,MAX(0,MIN(F443,cfg_Y_START-1)-E443+1))</f>
        <v>0</v>
      </c>
      <c r="S443" s="110" t="n">
        <f aca="false">IF(OR(OR($B443="",$E443="",$F443=""),L443&lt;&gt;"لا"),0,MAX(0,MIN(F443,cfg_VAL_DATE)-E443+1))</f>
        <v>0</v>
      </c>
      <c r="T443" s="110" t="n">
        <f aca="false">IF(OR(OR($B443="",$E443="",$F443=""),K443&lt;&gt;"نعم"),0,IF(M443="نعم",IF(AND(ISNUMBER(O443),N(O443)&lt;=cfg_VAL_M),G443,0),MAX(0,MIN(F443,cfg_VAL_DATE)-MAX(E443,cfg_Y_START)+1)))</f>
        <v>0</v>
      </c>
      <c r="V443" s="110" t="n">
        <f aca="false">IF(OR($B443="",$E443="",$F443=""),0,MAX(0,MIN($F443,EOMONTH(DATE(cfg_FY,1,1),0))-MAX($E443,DATE(cfg_FY,1,1))+1)*(1-IF($M443="نعم",0,N($J443))))</f>
        <v>0</v>
      </c>
      <c r="W443" s="110" t="n">
        <f aca="false">IF(OR($B443="",$E443="",$F443=""),0,MAX(0,MIN($F443,EOMONTH(DATE(cfg_FY,2,1),0))-MAX($E443,DATE(cfg_FY,2,1))+1)*(1-IF($M443="نعم",0,N($J443))))</f>
        <v>0</v>
      </c>
      <c r="X443" s="110" t="n">
        <f aca="false">IF(OR($B443="",$E443="",$F443=""),0,MAX(0,MIN($F443,EOMONTH(DATE(cfg_FY,3,1),0))-MAX($E443,DATE(cfg_FY,3,1))+1)*(1-IF($M443="نعم",0,N($J443))))</f>
        <v>0</v>
      </c>
      <c r="Y443" s="110" t="n">
        <f aca="false">IF(OR($B443="",$E443="",$F443=""),0,MAX(0,MIN($F443,EOMONTH(DATE(cfg_FY,4,1),0))-MAX($E443,DATE(cfg_FY,4,1))+1)*(1-IF($M443="نعم",0,N($J443))))</f>
        <v>0</v>
      </c>
      <c r="Z443" s="110" t="n">
        <f aca="false">IF(OR($B443="",$E443="",$F443=""),0,MAX(0,MIN($F443,EOMONTH(DATE(cfg_FY,5,1),0))-MAX($E443,DATE(cfg_FY,5,1))+1)*(1-IF($M443="نعم",0,N($J443))))</f>
        <v>0</v>
      </c>
      <c r="AA443" s="110" t="n">
        <f aca="false">IF(OR($B443="",$E443="",$F443=""),0,MAX(0,MIN($F443,EOMONTH(DATE(cfg_FY,6,1),0))-MAX($E443,DATE(cfg_FY,6,1))+1)*(1-IF($M443="نعم",0,N($J443))))</f>
        <v>0</v>
      </c>
      <c r="AB443" s="110" t="n">
        <f aca="false">IF(OR($B443="",$E443="",$F443=""),0,MAX(0,MIN($F443,EOMONTH(DATE(cfg_FY,7,1),0))-MAX($E443,DATE(cfg_FY,7,1))+1)*(1-IF($M443="نعم",0,N($J443))))</f>
        <v>0</v>
      </c>
      <c r="AC443" s="110" t="n">
        <f aca="false">IF(OR($B443="",$E443="",$F443=""),0,MAX(0,MIN($F443,EOMONTH(DATE(cfg_FY,8,1),0))-MAX($E443,DATE(cfg_FY,8,1))+1)*(1-IF($M443="نعم",0,N($J443))))</f>
        <v>0</v>
      </c>
      <c r="AD443" s="110" t="n">
        <f aca="false">IF(OR($B443="",$E443="",$F443=""),0,MAX(0,MIN($F443,EOMONTH(DATE(cfg_FY,9,1),0))-MAX($E443,DATE(cfg_FY,9,1))+1)*(1-IF($M443="نعم",0,N($J443))))</f>
        <v>0</v>
      </c>
      <c r="AE443" s="110" t="n">
        <f aca="false">IF(OR($B443="",$E443="",$F443=""),0,MAX(0,MIN($F443,EOMONTH(DATE(cfg_FY,10,1),0))-MAX($E443,DATE(cfg_FY,10,1))+1)*(1-IF($M443="نعم",0,N($J443))))</f>
        <v>0</v>
      </c>
      <c r="AF443" s="110" t="n">
        <f aca="false">IF(OR($B443="",$E443="",$F443=""),0,MAX(0,MIN($F443,EOMONTH(DATE(cfg_FY,11,1),0))-MAX($E443,DATE(cfg_FY,11,1))+1)*(1-IF($M443="نعم",0,N($J443))))</f>
        <v>0</v>
      </c>
      <c r="AG443" s="110" t="n">
        <f aca="false">IF(OR($B443="",$E443="",$F443=""),0,MAX(0,MIN($F443,EOMONTH(DATE(cfg_FY,12,1),0))-MAX($E443,DATE(cfg_FY,12,1))+1)*(1-IF($M443="نعم",0,N($J443))))</f>
        <v>0</v>
      </c>
      <c r="AH443" s="110" t="n">
        <f aca="false">IF(OR(OR($B443="",$E443="",$F443=""),$L443&lt;&gt;"لا"),0,MAX(0,MIN($F443,EOMONTH(DATE(cfg_FY,1,1),0))-$E443+1))</f>
        <v>0</v>
      </c>
      <c r="AI443" s="110" t="n">
        <f aca="false">IF(OR(OR($B443="",$E443="",$F443=""),$L443&lt;&gt;"لا"),0,MAX(0,MIN($F443,EOMONTH(DATE(cfg_FY,2,1),0))-$E443+1))</f>
        <v>0</v>
      </c>
      <c r="AJ443" s="110" t="n">
        <f aca="false">IF(OR(OR($B443="",$E443="",$F443=""),$L443&lt;&gt;"لا"),0,MAX(0,MIN($F443,EOMONTH(DATE(cfg_FY,3,1),0))-$E443+1))</f>
        <v>0</v>
      </c>
      <c r="AK443" s="110" t="n">
        <f aca="false">IF(OR(OR($B443="",$E443="",$F443=""),$L443&lt;&gt;"لا"),0,MAX(0,MIN($F443,EOMONTH(DATE(cfg_FY,4,1),0))-$E443+1))</f>
        <v>0</v>
      </c>
      <c r="AL443" s="110" t="n">
        <f aca="false">IF(OR(OR($B443="",$E443="",$F443=""),$L443&lt;&gt;"لا"),0,MAX(0,MIN($F443,EOMONTH(DATE(cfg_FY,5,1),0))-$E443+1))</f>
        <v>0</v>
      </c>
      <c r="AM443" s="110" t="n">
        <f aca="false">IF(OR(OR($B443="",$E443="",$F443=""),$L443&lt;&gt;"لا"),0,MAX(0,MIN($F443,EOMONTH(DATE(cfg_FY,6,1),0))-$E443+1))</f>
        <v>0</v>
      </c>
      <c r="AN443" s="110" t="n">
        <f aca="false">IF(OR(OR($B443="",$E443="",$F443=""),$L443&lt;&gt;"لا"),0,MAX(0,MIN($F443,EOMONTH(DATE(cfg_FY,7,1),0))-$E443+1))</f>
        <v>0</v>
      </c>
      <c r="AO443" s="110" t="n">
        <f aca="false">IF(OR(OR($B443="",$E443="",$F443=""),$L443&lt;&gt;"لا"),0,MAX(0,MIN($F443,EOMONTH(DATE(cfg_FY,8,1),0))-$E443+1))</f>
        <v>0</v>
      </c>
      <c r="AP443" s="110" t="n">
        <f aca="false">IF(OR(OR($B443="",$E443="",$F443=""),$L443&lt;&gt;"لا"),0,MAX(0,MIN($F443,EOMONTH(DATE(cfg_FY,9,1),0))-$E443+1))</f>
        <v>0</v>
      </c>
      <c r="AQ443" s="110" t="n">
        <f aca="false">IF(OR(OR($B443="",$E443="",$F443=""),$L443&lt;&gt;"لا"),0,MAX(0,MIN($F443,EOMONTH(DATE(cfg_FY,10,1),0))-$E443+1))</f>
        <v>0</v>
      </c>
      <c r="AR443" s="110" t="n">
        <f aca="false">IF(OR(OR($B443="",$E443="",$F443=""),$L443&lt;&gt;"لا"),0,MAX(0,MIN($F443,EOMONTH(DATE(cfg_FY,11,1),0))-$E443+1))</f>
        <v>0</v>
      </c>
      <c r="AS443" s="110" t="n">
        <f aca="false">IF(OR(OR($B443="",$E443="",$F443=""),$L443&lt;&gt;"لا"),0,MAX(0,MIN($F443,EOMONTH(DATE(cfg_FY,12,1),0))-$E443+1))</f>
        <v>0</v>
      </c>
      <c r="AT443" s="110" t="n">
        <f aca="false">IF(OR(OR($B443="",$E443="",$F443=""),$K443&lt;&gt;"نعم",$M443="نعم"),0,MAX(0,MIN($F443,EOMONTH(DATE(cfg_FY,1,1),0))-MAX($E443,DATE(cfg_FY,1,1))+1))</f>
        <v>0</v>
      </c>
      <c r="AU443" s="110" t="n">
        <f aca="false">IF(OR(OR($B443="",$E443="",$F443=""),$K443&lt;&gt;"نعم",$M443="نعم"),0,MAX(0,MIN($F443,EOMONTH(DATE(cfg_FY,2,1),0))-MAX($E443,DATE(cfg_FY,2,1))+1))</f>
        <v>0</v>
      </c>
      <c r="AV443" s="110" t="n">
        <f aca="false">IF(OR(OR($B443="",$E443="",$F443=""),$K443&lt;&gt;"نعم",$M443="نعم"),0,MAX(0,MIN($F443,EOMONTH(DATE(cfg_FY,3,1),0))-MAX($E443,DATE(cfg_FY,3,1))+1))</f>
        <v>0</v>
      </c>
      <c r="AW443" s="110" t="n">
        <f aca="false">IF(OR(OR($B443="",$E443="",$F443=""),$K443&lt;&gt;"نعم",$M443="نعم"),0,MAX(0,MIN($F443,EOMONTH(DATE(cfg_FY,4,1),0))-MAX($E443,DATE(cfg_FY,4,1))+1))</f>
        <v>0</v>
      </c>
      <c r="AX443" s="110" t="n">
        <f aca="false">IF(OR(OR($B443="",$E443="",$F443=""),$K443&lt;&gt;"نعم",$M443="نعم"),0,MAX(0,MIN($F443,EOMONTH(DATE(cfg_FY,5,1),0))-MAX($E443,DATE(cfg_FY,5,1))+1))</f>
        <v>0</v>
      </c>
      <c r="AY443" s="110" t="n">
        <f aca="false">IF(OR(OR($B443="",$E443="",$F443=""),$K443&lt;&gt;"نعم",$M443="نعم"),0,MAX(0,MIN($F443,EOMONTH(DATE(cfg_FY,6,1),0))-MAX($E443,DATE(cfg_FY,6,1))+1))</f>
        <v>0</v>
      </c>
      <c r="AZ443" s="110" t="n">
        <f aca="false">IF(OR(OR($B443="",$E443="",$F443=""),$K443&lt;&gt;"نعم",$M443="نعم"),0,MAX(0,MIN($F443,EOMONTH(DATE(cfg_FY,7,1),0))-MAX($E443,DATE(cfg_FY,7,1))+1))</f>
        <v>0</v>
      </c>
      <c r="BA443" s="110" t="n">
        <f aca="false">IF(OR(OR($B443="",$E443="",$F443=""),$K443&lt;&gt;"نعم",$M443="نعم"),0,MAX(0,MIN($F443,EOMONTH(DATE(cfg_FY,8,1),0))-MAX($E443,DATE(cfg_FY,8,1))+1))</f>
        <v>0</v>
      </c>
      <c r="BB443" s="110" t="n">
        <f aca="false">IF(OR(OR($B443="",$E443="",$F443=""),$K443&lt;&gt;"نعم",$M443="نعم"),0,MAX(0,MIN($F443,EOMONTH(DATE(cfg_FY,9,1),0))-MAX($E443,DATE(cfg_FY,9,1))+1))</f>
        <v>0</v>
      </c>
      <c r="BC443" s="110" t="n">
        <f aca="false">IF(OR(OR($B443="",$E443="",$F443=""),$K443&lt;&gt;"نعم",$M443="نعم"),0,MAX(0,MIN($F443,EOMONTH(DATE(cfg_FY,10,1),0))-MAX($E443,DATE(cfg_FY,10,1))+1))</f>
        <v>0</v>
      </c>
      <c r="BD443" s="110" t="n">
        <f aca="false">IF(OR(OR($B443="",$E443="",$F443=""),$K443&lt;&gt;"نعم",$M443="نعم"),0,MAX(0,MIN($F443,EOMONTH(DATE(cfg_FY,11,1),0))-MAX($E443,DATE(cfg_FY,11,1))+1))</f>
        <v>0</v>
      </c>
      <c r="BE443" s="110" t="n">
        <f aca="false">IF(OR(OR($B443="",$E443="",$F443=""),$K443&lt;&gt;"نعم",$M443="نعم"),0,MAX(0,MIN($F443,EOMONTH(DATE(cfg_FY,12,1),0))-MAX($E443,DATE(cfg_FY,12,1))+1))</f>
        <v>0</v>
      </c>
    </row>
    <row r="444" customFormat="false" ht="15" hidden="false" customHeight="false" outlineLevel="0" collapsed="false">
      <c r="A444" s="93" t="str">
        <f aca="false">IF(B444="","",ROW()-5)</f>
        <v/>
      </c>
      <c r="B444" s="79"/>
      <c r="C444" s="80" t="str">
        <f aca="false">IF(B444="","",IFERROR(INDEX(الموظفون!$C$6:$C$105,MATCH(B444,الموظفون!$B$6:$B$105,0)),"✖ رقم غير موجود"))</f>
        <v/>
      </c>
      <c r="D444" s="79"/>
      <c r="E444" s="94"/>
      <c r="F444" s="94"/>
      <c r="G444" s="57" t="str">
        <f aca="false">IF(OR($B444="",$E444="",$F444=""),"",MAX(0,F444-E444+1))</f>
        <v/>
      </c>
      <c r="H444" s="58" t="str">
        <f aca="false">IF(D444="","",IFERROR(VLOOKUP(D444,cfg_LT,2,FALSE()),1))</f>
        <v/>
      </c>
      <c r="I444" s="82"/>
      <c r="J444" s="58" t="str">
        <f aca="false">IF(D444="","",IF(I444&lt;&gt;"",I444,H444))</f>
        <v/>
      </c>
      <c r="K444" s="80" t="str">
        <f aca="false">IF(D444="","",IFERROR(VLOOKUP($D444,cfg_LT,3,FALSE()),""))</f>
        <v/>
      </c>
      <c r="L444" s="80" t="str">
        <f aca="false">IF(D444="","",IFERROR(VLOOKUP($D444,cfg_LT,4,FALSE()),""))</f>
        <v/>
      </c>
      <c r="M444" s="80" t="str">
        <f aca="false">IF(D444="","",IFERROR(VLOOKUP($D444,cfg_LT,5,FALSE()),""))</f>
        <v/>
      </c>
      <c r="N444" s="97" t="n">
        <f aca="false">IF(OR(OR($B444="",$E444="",$F444=""),M444&lt;&gt;"نعم"),0,G444*J444*IFERROR(INDEX(الموظفون!$R$6:$R$105,MATCH(B444,الموظفون!$B$6:$B$105,0)),0)/cfg_DAYS_M)</f>
        <v>0</v>
      </c>
      <c r="O444" s="93" t="str">
        <f aca="false">IF(OR(OR($B444="",$E444="",$F444=""),M444&lt;&gt;"نعم"),"",IF(YEAR(E444)=cfg_FY,MONTH(E444),""))</f>
        <v/>
      </c>
      <c r="P444" s="80" t="str">
        <f aca="false">IF(B444="","",IF(OR(D444="",E444="",F444=""),"⚠ أكمل النوع والتواريخ",IF(F444&lt;E444,"✖ النهاية قبل البداية",IF(COUNTIFS($B$6:$B$505,B444,$E$6:$E$505,"&lt;="&amp;F444,$F$6:$F$505,"&gt;="&amp;E444)&gt;1,"⚠ تداخل مع سجل آخر",IF(E444&gt;cfg_VAL_DATE,"⏳ قادمة",IF(F444&lt;cfg_VAL_DATE,"✔ منتهية","✈ جارية في تاريخ التقرير"))))))</f>
        <v/>
      </c>
      <c r="Q444" s="79"/>
      <c r="R444" s="57" t="n">
        <f aca="false">IF(OR(OR($B444="",$E444="",$F444=""),L444&lt;&gt;"لا"),0,MAX(0,MIN(F444,cfg_Y_START-1)-E444+1))</f>
        <v>0</v>
      </c>
      <c r="S444" s="57" t="n">
        <f aca="false">IF(OR(OR($B444="",$E444="",$F444=""),L444&lt;&gt;"لا"),0,MAX(0,MIN(F444,cfg_VAL_DATE)-E444+1))</f>
        <v>0</v>
      </c>
      <c r="T444" s="57" t="n">
        <f aca="false">IF(OR(OR($B444="",$E444="",$F444=""),K444&lt;&gt;"نعم"),0,IF(M444="نعم",IF(AND(ISNUMBER(O444),N(O444)&lt;=cfg_VAL_M),G444,0),MAX(0,MIN(F444,cfg_VAL_DATE)-MAX(E444,cfg_Y_START)+1)))</f>
        <v>0</v>
      </c>
      <c r="V444" s="57" t="n">
        <f aca="false">IF(OR($B444="",$E444="",$F444=""),0,MAX(0,MIN($F444,EOMONTH(DATE(cfg_FY,1,1),0))-MAX($E444,DATE(cfg_FY,1,1))+1)*(1-IF($M444="نعم",0,N($J444))))</f>
        <v>0</v>
      </c>
      <c r="W444" s="57" t="n">
        <f aca="false">IF(OR($B444="",$E444="",$F444=""),0,MAX(0,MIN($F444,EOMONTH(DATE(cfg_FY,2,1),0))-MAX($E444,DATE(cfg_FY,2,1))+1)*(1-IF($M444="نعم",0,N($J444))))</f>
        <v>0</v>
      </c>
      <c r="X444" s="57" t="n">
        <f aca="false">IF(OR($B444="",$E444="",$F444=""),0,MAX(0,MIN($F444,EOMONTH(DATE(cfg_FY,3,1),0))-MAX($E444,DATE(cfg_FY,3,1))+1)*(1-IF($M444="نعم",0,N($J444))))</f>
        <v>0</v>
      </c>
      <c r="Y444" s="57" t="n">
        <f aca="false">IF(OR($B444="",$E444="",$F444=""),0,MAX(0,MIN($F444,EOMONTH(DATE(cfg_FY,4,1),0))-MAX($E444,DATE(cfg_FY,4,1))+1)*(1-IF($M444="نعم",0,N($J444))))</f>
        <v>0</v>
      </c>
      <c r="Z444" s="57" t="n">
        <f aca="false">IF(OR($B444="",$E444="",$F444=""),0,MAX(0,MIN($F444,EOMONTH(DATE(cfg_FY,5,1),0))-MAX($E444,DATE(cfg_FY,5,1))+1)*(1-IF($M444="نعم",0,N($J444))))</f>
        <v>0</v>
      </c>
      <c r="AA444" s="57" t="n">
        <f aca="false">IF(OR($B444="",$E444="",$F444=""),0,MAX(0,MIN($F444,EOMONTH(DATE(cfg_FY,6,1),0))-MAX($E444,DATE(cfg_FY,6,1))+1)*(1-IF($M444="نعم",0,N($J444))))</f>
        <v>0</v>
      </c>
      <c r="AB444" s="57" t="n">
        <f aca="false">IF(OR($B444="",$E444="",$F444=""),0,MAX(0,MIN($F444,EOMONTH(DATE(cfg_FY,7,1),0))-MAX($E444,DATE(cfg_FY,7,1))+1)*(1-IF($M444="نعم",0,N($J444))))</f>
        <v>0</v>
      </c>
      <c r="AC444" s="57" t="n">
        <f aca="false">IF(OR($B444="",$E444="",$F444=""),0,MAX(0,MIN($F444,EOMONTH(DATE(cfg_FY,8,1),0))-MAX($E444,DATE(cfg_FY,8,1))+1)*(1-IF($M444="نعم",0,N($J444))))</f>
        <v>0</v>
      </c>
      <c r="AD444" s="57" t="n">
        <f aca="false">IF(OR($B444="",$E444="",$F444=""),0,MAX(0,MIN($F444,EOMONTH(DATE(cfg_FY,9,1),0))-MAX($E444,DATE(cfg_FY,9,1))+1)*(1-IF($M444="نعم",0,N($J444))))</f>
        <v>0</v>
      </c>
      <c r="AE444" s="57" t="n">
        <f aca="false">IF(OR($B444="",$E444="",$F444=""),0,MAX(0,MIN($F444,EOMONTH(DATE(cfg_FY,10,1),0))-MAX($E444,DATE(cfg_FY,10,1))+1)*(1-IF($M444="نعم",0,N($J444))))</f>
        <v>0</v>
      </c>
      <c r="AF444" s="57" t="n">
        <f aca="false">IF(OR($B444="",$E444="",$F444=""),0,MAX(0,MIN($F444,EOMONTH(DATE(cfg_FY,11,1),0))-MAX($E444,DATE(cfg_FY,11,1))+1)*(1-IF($M444="نعم",0,N($J444))))</f>
        <v>0</v>
      </c>
      <c r="AG444" s="57" t="n">
        <f aca="false">IF(OR($B444="",$E444="",$F444=""),0,MAX(0,MIN($F444,EOMONTH(DATE(cfg_FY,12,1),0))-MAX($E444,DATE(cfg_FY,12,1))+1)*(1-IF($M444="نعم",0,N($J444))))</f>
        <v>0</v>
      </c>
      <c r="AH444" s="57" t="n">
        <f aca="false">IF(OR(OR($B444="",$E444="",$F444=""),$L444&lt;&gt;"لا"),0,MAX(0,MIN($F444,EOMONTH(DATE(cfg_FY,1,1),0))-$E444+1))</f>
        <v>0</v>
      </c>
      <c r="AI444" s="57" t="n">
        <f aca="false">IF(OR(OR($B444="",$E444="",$F444=""),$L444&lt;&gt;"لا"),0,MAX(0,MIN($F444,EOMONTH(DATE(cfg_FY,2,1),0))-$E444+1))</f>
        <v>0</v>
      </c>
      <c r="AJ444" s="57" t="n">
        <f aca="false">IF(OR(OR($B444="",$E444="",$F444=""),$L444&lt;&gt;"لا"),0,MAX(0,MIN($F444,EOMONTH(DATE(cfg_FY,3,1),0))-$E444+1))</f>
        <v>0</v>
      </c>
      <c r="AK444" s="57" t="n">
        <f aca="false">IF(OR(OR($B444="",$E444="",$F444=""),$L444&lt;&gt;"لا"),0,MAX(0,MIN($F444,EOMONTH(DATE(cfg_FY,4,1),0))-$E444+1))</f>
        <v>0</v>
      </c>
      <c r="AL444" s="57" t="n">
        <f aca="false">IF(OR(OR($B444="",$E444="",$F444=""),$L444&lt;&gt;"لا"),0,MAX(0,MIN($F444,EOMONTH(DATE(cfg_FY,5,1),0))-$E444+1))</f>
        <v>0</v>
      </c>
      <c r="AM444" s="57" t="n">
        <f aca="false">IF(OR(OR($B444="",$E444="",$F444=""),$L444&lt;&gt;"لا"),0,MAX(0,MIN($F444,EOMONTH(DATE(cfg_FY,6,1),0))-$E444+1))</f>
        <v>0</v>
      </c>
      <c r="AN444" s="57" t="n">
        <f aca="false">IF(OR(OR($B444="",$E444="",$F444=""),$L444&lt;&gt;"لا"),0,MAX(0,MIN($F444,EOMONTH(DATE(cfg_FY,7,1),0))-$E444+1))</f>
        <v>0</v>
      </c>
      <c r="AO444" s="57" t="n">
        <f aca="false">IF(OR(OR($B444="",$E444="",$F444=""),$L444&lt;&gt;"لا"),0,MAX(0,MIN($F444,EOMONTH(DATE(cfg_FY,8,1),0))-$E444+1))</f>
        <v>0</v>
      </c>
      <c r="AP444" s="57" t="n">
        <f aca="false">IF(OR(OR($B444="",$E444="",$F444=""),$L444&lt;&gt;"لا"),0,MAX(0,MIN($F444,EOMONTH(DATE(cfg_FY,9,1),0))-$E444+1))</f>
        <v>0</v>
      </c>
      <c r="AQ444" s="57" t="n">
        <f aca="false">IF(OR(OR($B444="",$E444="",$F444=""),$L444&lt;&gt;"لا"),0,MAX(0,MIN($F444,EOMONTH(DATE(cfg_FY,10,1),0))-$E444+1))</f>
        <v>0</v>
      </c>
      <c r="AR444" s="57" t="n">
        <f aca="false">IF(OR(OR($B444="",$E444="",$F444=""),$L444&lt;&gt;"لا"),0,MAX(0,MIN($F444,EOMONTH(DATE(cfg_FY,11,1),0))-$E444+1))</f>
        <v>0</v>
      </c>
      <c r="AS444" s="57" t="n">
        <f aca="false">IF(OR(OR($B444="",$E444="",$F444=""),$L444&lt;&gt;"لا"),0,MAX(0,MIN($F444,EOMONTH(DATE(cfg_FY,12,1),0))-$E444+1))</f>
        <v>0</v>
      </c>
      <c r="AT444" s="57" t="n">
        <f aca="false">IF(OR(OR($B444="",$E444="",$F444=""),$K444&lt;&gt;"نعم",$M444="نعم"),0,MAX(0,MIN($F444,EOMONTH(DATE(cfg_FY,1,1),0))-MAX($E444,DATE(cfg_FY,1,1))+1))</f>
        <v>0</v>
      </c>
      <c r="AU444" s="57" t="n">
        <f aca="false">IF(OR(OR($B444="",$E444="",$F444=""),$K444&lt;&gt;"نعم",$M444="نعم"),0,MAX(0,MIN($F444,EOMONTH(DATE(cfg_FY,2,1),0))-MAX($E444,DATE(cfg_FY,2,1))+1))</f>
        <v>0</v>
      </c>
      <c r="AV444" s="57" t="n">
        <f aca="false">IF(OR(OR($B444="",$E444="",$F444=""),$K444&lt;&gt;"نعم",$M444="نعم"),0,MAX(0,MIN($F444,EOMONTH(DATE(cfg_FY,3,1),0))-MAX($E444,DATE(cfg_FY,3,1))+1))</f>
        <v>0</v>
      </c>
      <c r="AW444" s="57" t="n">
        <f aca="false">IF(OR(OR($B444="",$E444="",$F444=""),$K444&lt;&gt;"نعم",$M444="نعم"),0,MAX(0,MIN($F444,EOMONTH(DATE(cfg_FY,4,1),0))-MAX($E444,DATE(cfg_FY,4,1))+1))</f>
        <v>0</v>
      </c>
      <c r="AX444" s="57" t="n">
        <f aca="false">IF(OR(OR($B444="",$E444="",$F444=""),$K444&lt;&gt;"نعم",$M444="نعم"),0,MAX(0,MIN($F444,EOMONTH(DATE(cfg_FY,5,1),0))-MAX($E444,DATE(cfg_FY,5,1))+1))</f>
        <v>0</v>
      </c>
      <c r="AY444" s="57" t="n">
        <f aca="false">IF(OR(OR($B444="",$E444="",$F444=""),$K444&lt;&gt;"نعم",$M444="نعم"),0,MAX(0,MIN($F444,EOMONTH(DATE(cfg_FY,6,1),0))-MAX($E444,DATE(cfg_FY,6,1))+1))</f>
        <v>0</v>
      </c>
      <c r="AZ444" s="57" t="n">
        <f aca="false">IF(OR(OR($B444="",$E444="",$F444=""),$K444&lt;&gt;"نعم",$M444="نعم"),0,MAX(0,MIN($F444,EOMONTH(DATE(cfg_FY,7,1),0))-MAX($E444,DATE(cfg_FY,7,1))+1))</f>
        <v>0</v>
      </c>
      <c r="BA444" s="57" t="n">
        <f aca="false">IF(OR(OR($B444="",$E444="",$F444=""),$K444&lt;&gt;"نعم",$M444="نعم"),0,MAX(0,MIN($F444,EOMONTH(DATE(cfg_FY,8,1),0))-MAX($E444,DATE(cfg_FY,8,1))+1))</f>
        <v>0</v>
      </c>
      <c r="BB444" s="57" t="n">
        <f aca="false">IF(OR(OR($B444="",$E444="",$F444=""),$K444&lt;&gt;"نعم",$M444="نعم"),0,MAX(0,MIN($F444,EOMONTH(DATE(cfg_FY,9,1),0))-MAX($E444,DATE(cfg_FY,9,1))+1))</f>
        <v>0</v>
      </c>
      <c r="BC444" s="57" t="n">
        <f aca="false">IF(OR(OR($B444="",$E444="",$F444=""),$K444&lt;&gt;"نعم",$M444="نعم"),0,MAX(0,MIN($F444,EOMONTH(DATE(cfg_FY,10,1),0))-MAX($E444,DATE(cfg_FY,10,1))+1))</f>
        <v>0</v>
      </c>
      <c r="BD444" s="57" t="n">
        <f aca="false">IF(OR(OR($B444="",$E444="",$F444=""),$K444&lt;&gt;"نعم",$M444="نعم"),0,MAX(0,MIN($F444,EOMONTH(DATE(cfg_FY,11,1),0))-MAX($E444,DATE(cfg_FY,11,1))+1))</f>
        <v>0</v>
      </c>
      <c r="BE444" s="57" t="n">
        <f aca="false">IF(OR(OR($B444="",$E444="",$F444=""),$K444&lt;&gt;"نعم",$M444="نعم"),0,MAX(0,MIN($F444,EOMONTH(DATE(cfg_FY,12,1),0))-MAX($E444,DATE(cfg_FY,12,1))+1))</f>
        <v>0</v>
      </c>
    </row>
    <row r="445" customFormat="false" ht="15" hidden="false" customHeight="false" outlineLevel="0" collapsed="false">
      <c r="A445" s="100" t="str">
        <f aca="false">IF(B445="","",ROW()-5)</f>
        <v/>
      </c>
      <c r="B445" s="79"/>
      <c r="C445" s="102" t="str">
        <f aca="false">IF(B445="","",IFERROR(INDEX(الموظفون!$C$6:$C$105,MATCH(B445,الموظفون!$B$6:$B$105,0)),"✖ رقم غير موجود"))</f>
        <v/>
      </c>
      <c r="D445" s="79"/>
      <c r="E445" s="94"/>
      <c r="F445" s="94"/>
      <c r="G445" s="110" t="str">
        <f aca="false">IF(OR($B445="",$E445="",$F445=""),"",MAX(0,F445-E445+1))</f>
        <v/>
      </c>
      <c r="H445" s="111" t="str">
        <f aca="false">IF(D445="","",IFERROR(VLOOKUP(D445,cfg_LT,2,FALSE()),1))</f>
        <v/>
      </c>
      <c r="I445" s="82"/>
      <c r="J445" s="111" t="str">
        <f aca="false">IF(D445="","",IF(I445&lt;&gt;"",I445,H445))</f>
        <v/>
      </c>
      <c r="K445" s="102" t="str">
        <f aca="false">IF(D445="","",IFERROR(VLOOKUP($D445,cfg_LT,3,FALSE()),""))</f>
        <v/>
      </c>
      <c r="L445" s="102" t="str">
        <f aca="false">IF(D445="","",IFERROR(VLOOKUP($D445,cfg_LT,4,FALSE()),""))</f>
        <v/>
      </c>
      <c r="M445" s="102" t="str">
        <f aca="false">IF(D445="","",IFERROR(VLOOKUP($D445,cfg_LT,5,FALSE()),""))</f>
        <v/>
      </c>
      <c r="N445" s="101" t="n">
        <f aca="false">IF(OR(OR($B445="",$E445="",$F445=""),M445&lt;&gt;"نعم"),0,G445*J445*IFERROR(INDEX(الموظفون!$R$6:$R$105,MATCH(B445,الموظفون!$B$6:$B$105,0)),0)/cfg_DAYS_M)</f>
        <v>0</v>
      </c>
      <c r="O445" s="100" t="str">
        <f aca="false">IF(OR(OR($B445="",$E445="",$F445=""),M445&lt;&gt;"نعم"),"",IF(YEAR(E445)=cfg_FY,MONTH(E445),""))</f>
        <v/>
      </c>
      <c r="P445" s="102" t="str">
        <f aca="false">IF(B445="","",IF(OR(D445="",E445="",F445=""),"⚠ أكمل النوع والتواريخ",IF(F445&lt;E445,"✖ النهاية قبل البداية",IF(COUNTIFS($B$6:$B$505,B445,$E$6:$E$505,"&lt;="&amp;F445,$F$6:$F$505,"&gt;="&amp;E445)&gt;1,"⚠ تداخل مع سجل آخر",IF(E445&gt;cfg_VAL_DATE,"⏳ قادمة",IF(F445&lt;cfg_VAL_DATE,"✔ منتهية","✈ جارية في تاريخ التقرير"))))))</f>
        <v/>
      </c>
      <c r="Q445" s="79"/>
      <c r="R445" s="110" t="n">
        <f aca="false">IF(OR(OR($B445="",$E445="",$F445=""),L445&lt;&gt;"لا"),0,MAX(0,MIN(F445,cfg_Y_START-1)-E445+1))</f>
        <v>0</v>
      </c>
      <c r="S445" s="110" t="n">
        <f aca="false">IF(OR(OR($B445="",$E445="",$F445=""),L445&lt;&gt;"لا"),0,MAX(0,MIN(F445,cfg_VAL_DATE)-E445+1))</f>
        <v>0</v>
      </c>
      <c r="T445" s="110" t="n">
        <f aca="false">IF(OR(OR($B445="",$E445="",$F445=""),K445&lt;&gt;"نعم"),0,IF(M445="نعم",IF(AND(ISNUMBER(O445),N(O445)&lt;=cfg_VAL_M),G445,0),MAX(0,MIN(F445,cfg_VAL_DATE)-MAX(E445,cfg_Y_START)+1)))</f>
        <v>0</v>
      </c>
      <c r="V445" s="110" t="n">
        <f aca="false">IF(OR($B445="",$E445="",$F445=""),0,MAX(0,MIN($F445,EOMONTH(DATE(cfg_FY,1,1),0))-MAX($E445,DATE(cfg_FY,1,1))+1)*(1-IF($M445="نعم",0,N($J445))))</f>
        <v>0</v>
      </c>
      <c r="W445" s="110" t="n">
        <f aca="false">IF(OR($B445="",$E445="",$F445=""),0,MAX(0,MIN($F445,EOMONTH(DATE(cfg_FY,2,1),0))-MAX($E445,DATE(cfg_FY,2,1))+1)*(1-IF($M445="نعم",0,N($J445))))</f>
        <v>0</v>
      </c>
      <c r="X445" s="110" t="n">
        <f aca="false">IF(OR($B445="",$E445="",$F445=""),0,MAX(0,MIN($F445,EOMONTH(DATE(cfg_FY,3,1),0))-MAX($E445,DATE(cfg_FY,3,1))+1)*(1-IF($M445="نعم",0,N($J445))))</f>
        <v>0</v>
      </c>
      <c r="Y445" s="110" t="n">
        <f aca="false">IF(OR($B445="",$E445="",$F445=""),0,MAX(0,MIN($F445,EOMONTH(DATE(cfg_FY,4,1),0))-MAX($E445,DATE(cfg_FY,4,1))+1)*(1-IF($M445="نعم",0,N($J445))))</f>
        <v>0</v>
      </c>
      <c r="Z445" s="110" t="n">
        <f aca="false">IF(OR($B445="",$E445="",$F445=""),0,MAX(0,MIN($F445,EOMONTH(DATE(cfg_FY,5,1),0))-MAX($E445,DATE(cfg_FY,5,1))+1)*(1-IF($M445="نعم",0,N($J445))))</f>
        <v>0</v>
      </c>
      <c r="AA445" s="110" t="n">
        <f aca="false">IF(OR($B445="",$E445="",$F445=""),0,MAX(0,MIN($F445,EOMONTH(DATE(cfg_FY,6,1),0))-MAX($E445,DATE(cfg_FY,6,1))+1)*(1-IF($M445="نعم",0,N($J445))))</f>
        <v>0</v>
      </c>
      <c r="AB445" s="110" t="n">
        <f aca="false">IF(OR($B445="",$E445="",$F445=""),0,MAX(0,MIN($F445,EOMONTH(DATE(cfg_FY,7,1),0))-MAX($E445,DATE(cfg_FY,7,1))+1)*(1-IF($M445="نعم",0,N($J445))))</f>
        <v>0</v>
      </c>
      <c r="AC445" s="110" t="n">
        <f aca="false">IF(OR($B445="",$E445="",$F445=""),0,MAX(0,MIN($F445,EOMONTH(DATE(cfg_FY,8,1),0))-MAX($E445,DATE(cfg_FY,8,1))+1)*(1-IF($M445="نعم",0,N($J445))))</f>
        <v>0</v>
      </c>
      <c r="AD445" s="110" t="n">
        <f aca="false">IF(OR($B445="",$E445="",$F445=""),0,MAX(0,MIN($F445,EOMONTH(DATE(cfg_FY,9,1),0))-MAX($E445,DATE(cfg_FY,9,1))+1)*(1-IF($M445="نعم",0,N($J445))))</f>
        <v>0</v>
      </c>
      <c r="AE445" s="110" t="n">
        <f aca="false">IF(OR($B445="",$E445="",$F445=""),0,MAX(0,MIN($F445,EOMONTH(DATE(cfg_FY,10,1),0))-MAX($E445,DATE(cfg_FY,10,1))+1)*(1-IF($M445="نعم",0,N($J445))))</f>
        <v>0</v>
      </c>
      <c r="AF445" s="110" t="n">
        <f aca="false">IF(OR($B445="",$E445="",$F445=""),0,MAX(0,MIN($F445,EOMONTH(DATE(cfg_FY,11,1),0))-MAX($E445,DATE(cfg_FY,11,1))+1)*(1-IF($M445="نعم",0,N($J445))))</f>
        <v>0</v>
      </c>
      <c r="AG445" s="110" t="n">
        <f aca="false">IF(OR($B445="",$E445="",$F445=""),0,MAX(0,MIN($F445,EOMONTH(DATE(cfg_FY,12,1),0))-MAX($E445,DATE(cfg_FY,12,1))+1)*(1-IF($M445="نعم",0,N($J445))))</f>
        <v>0</v>
      </c>
      <c r="AH445" s="110" t="n">
        <f aca="false">IF(OR(OR($B445="",$E445="",$F445=""),$L445&lt;&gt;"لا"),0,MAX(0,MIN($F445,EOMONTH(DATE(cfg_FY,1,1),0))-$E445+1))</f>
        <v>0</v>
      </c>
      <c r="AI445" s="110" t="n">
        <f aca="false">IF(OR(OR($B445="",$E445="",$F445=""),$L445&lt;&gt;"لا"),0,MAX(0,MIN($F445,EOMONTH(DATE(cfg_FY,2,1),0))-$E445+1))</f>
        <v>0</v>
      </c>
      <c r="AJ445" s="110" t="n">
        <f aca="false">IF(OR(OR($B445="",$E445="",$F445=""),$L445&lt;&gt;"لا"),0,MAX(0,MIN($F445,EOMONTH(DATE(cfg_FY,3,1),0))-$E445+1))</f>
        <v>0</v>
      </c>
      <c r="AK445" s="110" t="n">
        <f aca="false">IF(OR(OR($B445="",$E445="",$F445=""),$L445&lt;&gt;"لا"),0,MAX(0,MIN($F445,EOMONTH(DATE(cfg_FY,4,1),0))-$E445+1))</f>
        <v>0</v>
      </c>
      <c r="AL445" s="110" t="n">
        <f aca="false">IF(OR(OR($B445="",$E445="",$F445=""),$L445&lt;&gt;"لا"),0,MAX(0,MIN($F445,EOMONTH(DATE(cfg_FY,5,1),0))-$E445+1))</f>
        <v>0</v>
      </c>
      <c r="AM445" s="110" t="n">
        <f aca="false">IF(OR(OR($B445="",$E445="",$F445=""),$L445&lt;&gt;"لا"),0,MAX(0,MIN($F445,EOMONTH(DATE(cfg_FY,6,1),0))-$E445+1))</f>
        <v>0</v>
      </c>
      <c r="AN445" s="110" t="n">
        <f aca="false">IF(OR(OR($B445="",$E445="",$F445=""),$L445&lt;&gt;"لا"),0,MAX(0,MIN($F445,EOMONTH(DATE(cfg_FY,7,1),0))-$E445+1))</f>
        <v>0</v>
      </c>
      <c r="AO445" s="110" t="n">
        <f aca="false">IF(OR(OR($B445="",$E445="",$F445=""),$L445&lt;&gt;"لا"),0,MAX(0,MIN($F445,EOMONTH(DATE(cfg_FY,8,1),0))-$E445+1))</f>
        <v>0</v>
      </c>
      <c r="AP445" s="110" t="n">
        <f aca="false">IF(OR(OR($B445="",$E445="",$F445=""),$L445&lt;&gt;"لا"),0,MAX(0,MIN($F445,EOMONTH(DATE(cfg_FY,9,1),0))-$E445+1))</f>
        <v>0</v>
      </c>
      <c r="AQ445" s="110" t="n">
        <f aca="false">IF(OR(OR($B445="",$E445="",$F445=""),$L445&lt;&gt;"لا"),0,MAX(0,MIN($F445,EOMONTH(DATE(cfg_FY,10,1),0))-$E445+1))</f>
        <v>0</v>
      </c>
      <c r="AR445" s="110" t="n">
        <f aca="false">IF(OR(OR($B445="",$E445="",$F445=""),$L445&lt;&gt;"لا"),0,MAX(0,MIN($F445,EOMONTH(DATE(cfg_FY,11,1),0))-$E445+1))</f>
        <v>0</v>
      </c>
      <c r="AS445" s="110" t="n">
        <f aca="false">IF(OR(OR($B445="",$E445="",$F445=""),$L445&lt;&gt;"لا"),0,MAX(0,MIN($F445,EOMONTH(DATE(cfg_FY,12,1),0))-$E445+1))</f>
        <v>0</v>
      </c>
      <c r="AT445" s="110" t="n">
        <f aca="false">IF(OR(OR($B445="",$E445="",$F445=""),$K445&lt;&gt;"نعم",$M445="نعم"),0,MAX(0,MIN($F445,EOMONTH(DATE(cfg_FY,1,1),0))-MAX($E445,DATE(cfg_FY,1,1))+1))</f>
        <v>0</v>
      </c>
      <c r="AU445" s="110" t="n">
        <f aca="false">IF(OR(OR($B445="",$E445="",$F445=""),$K445&lt;&gt;"نعم",$M445="نعم"),0,MAX(0,MIN($F445,EOMONTH(DATE(cfg_FY,2,1),0))-MAX($E445,DATE(cfg_FY,2,1))+1))</f>
        <v>0</v>
      </c>
      <c r="AV445" s="110" t="n">
        <f aca="false">IF(OR(OR($B445="",$E445="",$F445=""),$K445&lt;&gt;"نعم",$M445="نعم"),0,MAX(0,MIN($F445,EOMONTH(DATE(cfg_FY,3,1),0))-MAX($E445,DATE(cfg_FY,3,1))+1))</f>
        <v>0</v>
      </c>
      <c r="AW445" s="110" t="n">
        <f aca="false">IF(OR(OR($B445="",$E445="",$F445=""),$K445&lt;&gt;"نعم",$M445="نعم"),0,MAX(0,MIN($F445,EOMONTH(DATE(cfg_FY,4,1),0))-MAX($E445,DATE(cfg_FY,4,1))+1))</f>
        <v>0</v>
      </c>
      <c r="AX445" s="110" t="n">
        <f aca="false">IF(OR(OR($B445="",$E445="",$F445=""),$K445&lt;&gt;"نعم",$M445="نعم"),0,MAX(0,MIN($F445,EOMONTH(DATE(cfg_FY,5,1),0))-MAX($E445,DATE(cfg_FY,5,1))+1))</f>
        <v>0</v>
      </c>
      <c r="AY445" s="110" t="n">
        <f aca="false">IF(OR(OR($B445="",$E445="",$F445=""),$K445&lt;&gt;"نعم",$M445="نعم"),0,MAX(0,MIN($F445,EOMONTH(DATE(cfg_FY,6,1),0))-MAX($E445,DATE(cfg_FY,6,1))+1))</f>
        <v>0</v>
      </c>
      <c r="AZ445" s="110" t="n">
        <f aca="false">IF(OR(OR($B445="",$E445="",$F445=""),$K445&lt;&gt;"نعم",$M445="نعم"),0,MAX(0,MIN($F445,EOMONTH(DATE(cfg_FY,7,1),0))-MAX($E445,DATE(cfg_FY,7,1))+1))</f>
        <v>0</v>
      </c>
      <c r="BA445" s="110" t="n">
        <f aca="false">IF(OR(OR($B445="",$E445="",$F445=""),$K445&lt;&gt;"نعم",$M445="نعم"),0,MAX(0,MIN($F445,EOMONTH(DATE(cfg_FY,8,1),0))-MAX($E445,DATE(cfg_FY,8,1))+1))</f>
        <v>0</v>
      </c>
      <c r="BB445" s="110" t="n">
        <f aca="false">IF(OR(OR($B445="",$E445="",$F445=""),$K445&lt;&gt;"نعم",$M445="نعم"),0,MAX(0,MIN($F445,EOMONTH(DATE(cfg_FY,9,1),0))-MAX($E445,DATE(cfg_FY,9,1))+1))</f>
        <v>0</v>
      </c>
      <c r="BC445" s="110" t="n">
        <f aca="false">IF(OR(OR($B445="",$E445="",$F445=""),$K445&lt;&gt;"نعم",$M445="نعم"),0,MAX(0,MIN($F445,EOMONTH(DATE(cfg_FY,10,1),0))-MAX($E445,DATE(cfg_FY,10,1))+1))</f>
        <v>0</v>
      </c>
      <c r="BD445" s="110" t="n">
        <f aca="false">IF(OR(OR($B445="",$E445="",$F445=""),$K445&lt;&gt;"نعم",$M445="نعم"),0,MAX(0,MIN($F445,EOMONTH(DATE(cfg_FY,11,1),0))-MAX($E445,DATE(cfg_FY,11,1))+1))</f>
        <v>0</v>
      </c>
      <c r="BE445" s="110" t="n">
        <f aca="false">IF(OR(OR($B445="",$E445="",$F445=""),$K445&lt;&gt;"نعم",$M445="نعم"),0,MAX(0,MIN($F445,EOMONTH(DATE(cfg_FY,12,1),0))-MAX($E445,DATE(cfg_FY,12,1))+1))</f>
        <v>0</v>
      </c>
    </row>
    <row r="446" customFormat="false" ht="15" hidden="false" customHeight="false" outlineLevel="0" collapsed="false">
      <c r="A446" s="93" t="str">
        <f aca="false">IF(B446="","",ROW()-5)</f>
        <v/>
      </c>
      <c r="B446" s="79"/>
      <c r="C446" s="80" t="str">
        <f aca="false">IF(B446="","",IFERROR(INDEX(الموظفون!$C$6:$C$105,MATCH(B446,الموظفون!$B$6:$B$105,0)),"✖ رقم غير موجود"))</f>
        <v/>
      </c>
      <c r="D446" s="79"/>
      <c r="E446" s="94"/>
      <c r="F446" s="94"/>
      <c r="G446" s="57" t="str">
        <f aca="false">IF(OR($B446="",$E446="",$F446=""),"",MAX(0,F446-E446+1))</f>
        <v/>
      </c>
      <c r="H446" s="58" t="str">
        <f aca="false">IF(D446="","",IFERROR(VLOOKUP(D446,cfg_LT,2,FALSE()),1))</f>
        <v/>
      </c>
      <c r="I446" s="82"/>
      <c r="J446" s="58" t="str">
        <f aca="false">IF(D446="","",IF(I446&lt;&gt;"",I446,H446))</f>
        <v/>
      </c>
      <c r="K446" s="80" t="str">
        <f aca="false">IF(D446="","",IFERROR(VLOOKUP($D446,cfg_LT,3,FALSE()),""))</f>
        <v/>
      </c>
      <c r="L446" s="80" t="str">
        <f aca="false">IF(D446="","",IFERROR(VLOOKUP($D446,cfg_LT,4,FALSE()),""))</f>
        <v/>
      </c>
      <c r="M446" s="80" t="str">
        <f aca="false">IF(D446="","",IFERROR(VLOOKUP($D446,cfg_LT,5,FALSE()),""))</f>
        <v/>
      </c>
      <c r="N446" s="97" t="n">
        <f aca="false">IF(OR(OR($B446="",$E446="",$F446=""),M446&lt;&gt;"نعم"),0,G446*J446*IFERROR(INDEX(الموظفون!$R$6:$R$105,MATCH(B446,الموظفون!$B$6:$B$105,0)),0)/cfg_DAYS_M)</f>
        <v>0</v>
      </c>
      <c r="O446" s="93" t="str">
        <f aca="false">IF(OR(OR($B446="",$E446="",$F446=""),M446&lt;&gt;"نعم"),"",IF(YEAR(E446)=cfg_FY,MONTH(E446),""))</f>
        <v/>
      </c>
      <c r="P446" s="80" t="str">
        <f aca="false">IF(B446="","",IF(OR(D446="",E446="",F446=""),"⚠ أكمل النوع والتواريخ",IF(F446&lt;E446,"✖ النهاية قبل البداية",IF(COUNTIFS($B$6:$B$505,B446,$E$6:$E$505,"&lt;="&amp;F446,$F$6:$F$505,"&gt;="&amp;E446)&gt;1,"⚠ تداخل مع سجل آخر",IF(E446&gt;cfg_VAL_DATE,"⏳ قادمة",IF(F446&lt;cfg_VAL_DATE,"✔ منتهية","✈ جارية في تاريخ التقرير"))))))</f>
        <v/>
      </c>
      <c r="Q446" s="79"/>
      <c r="R446" s="57" t="n">
        <f aca="false">IF(OR(OR($B446="",$E446="",$F446=""),L446&lt;&gt;"لا"),0,MAX(0,MIN(F446,cfg_Y_START-1)-E446+1))</f>
        <v>0</v>
      </c>
      <c r="S446" s="57" t="n">
        <f aca="false">IF(OR(OR($B446="",$E446="",$F446=""),L446&lt;&gt;"لا"),0,MAX(0,MIN(F446,cfg_VAL_DATE)-E446+1))</f>
        <v>0</v>
      </c>
      <c r="T446" s="57" t="n">
        <f aca="false">IF(OR(OR($B446="",$E446="",$F446=""),K446&lt;&gt;"نعم"),0,IF(M446="نعم",IF(AND(ISNUMBER(O446),N(O446)&lt;=cfg_VAL_M),G446,0),MAX(0,MIN(F446,cfg_VAL_DATE)-MAX(E446,cfg_Y_START)+1)))</f>
        <v>0</v>
      </c>
      <c r="V446" s="57" t="n">
        <f aca="false">IF(OR($B446="",$E446="",$F446=""),0,MAX(0,MIN($F446,EOMONTH(DATE(cfg_FY,1,1),0))-MAX($E446,DATE(cfg_FY,1,1))+1)*(1-IF($M446="نعم",0,N($J446))))</f>
        <v>0</v>
      </c>
      <c r="W446" s="57" t="n">
        <f aca="false">IF(OR($B446="",$E446="",$F446=""),0,MAX(0,MIN($F446,EOMONTH(DATE(cfg_FY,2,1),0))-MAX($E446,DATE(cfg_FY,2,1))+1)*(1-IF($M446="نعم",0,N($J446))))</f>
        <v>0</v>
      </c>
      <c r="X446" s="57" t="n">
        <f aca="false">IF(OR($B446="",$E446="",$F446=""),0,MAX(0,MIN($F446,EOMONTH(DATE(cfg_FY,3,1),0))-MAX($E446,DATE(cfg_FY,3,1))+1)*(1-IF($M446="نعم",0,N($J446))))</f>
        <v>0</v>
      </c>
      <c r="Y446" s="57" t="n">
        <f aca="false">IF(OR($B446="",$E446="",$F446=""),0,MAX(0,MIN($F446,EOMONTH(DATE(cfg_FY,4,1),0))-MAX($E446,DATE(cfg_FY,4,1))+1)*(1-IF($M446="نعم",0,N($J446))))</f>
        <v>0</v>
      </c>
      <c r="Z446" s="57" t="n">
        <f aca="false">IF(OR($B446="",$E446="",$F446=""),0,MAX(0,MIN($F446,EOMONTH(DATE(cfg_FY,5,1),0))-MAX($E446,DATE(cfg_FY,5,1))+1)*(1-IF($M446="نعم",0,N($J446))))</f>
        <v>0</v>
      </c>
      <c r="AA446" s="57" t="n">
        <f aca="false">IF(OR($B446="",$E446="",$F446=""),0,MAX(0,MIN($F446,EOMONTH(DATE(cfg_FY,6,1),0))-MAX($E446,DATE(cfg_FY,6,1))+1)*(1-IF($M446="نعم",0,N($J446))))</f>
        <v>0</v>
      </c>
      <c r="AB446" s="57" t="n">
        <f aca="false">IF(OR($B446="",$E446="",$F446=""),0,MAX(0,MIN($F446,EOMONTH(DATE(cfg_FY,7,1),0))-MAX($E446,DATE(cfg_FY,7,1))+1)*(1-IF($M446="نعم",0,N($J446))))</f>
        <v>0</v>
      </c>
      <c r="AC446" s="57" t="n">
        <f aca="false">IF(OR($B446="",$E446="",$F446=""),0,MAX(0,MIN($F446,EOMONTH(DATE(cfg_FY,8,1),0))-MAX($E446,DATE(cfg_FY,8,1))+1)*(1-IF($M446="نعم",0,N($J446))))</f>
        <v>0</v>
      </c>
      <c r="AD446" s="57" t="n">
        <f aca="false">IF(OR($B446="",$E446="",$F446=""),0,MAX(0,MIN($F446,EOMONTH(DATE(cfg_FY,9,1),0))-MAX($E446,DATE(cfg_FY,9,1))+1)*(1-IF($M446="نعم",0,N($J446))))</f>
        <v>0</v>
      </c>
      <c r="AE446" s="57" t="n">
        <f aca="false">IF(OR($B446="",$E446="",$F446=""),0,MAX(0,MIN($F446,EOMONTH(DATE(cfg_FY,10,1),0))-MAX($E446,DATE(cfg_FY,10,1))+1)*(1-IF($M446="نعم",0,N($J446))))</f>
        <v>0</v>
      </c>
      <c r="AF446" s="57" t="n">
        <f aca="false">IF(OR($B446="",$E446="",$F446=""),0,MAX(0,MIN($F446,EOMONTH(DATE(cfg_FY,11,1),0))-MAX($E446,DATE(cfg_FY,11,1))+1)*(1-IF($M446="نعم",0,N($J446))))</f>
        <v>0</v>
      </c>
      <c r="AG446" s="57" t="n">
        <f aca="false">IF(OR($B446="",$E446="",$F446=""),0,MAX(0,MIN($F446,EOMONTH(DATE(cfg_FY,12,1),0))-MAX($E446,DATE(cfg_FY,12,1))+1)*(1-IF($M446="نعم",0,N($J446))))</f>
        <v>0</v>
      </c>
      <c r="AH446" s="57" t="n">
        <f aca="false">IF(OR(OR($B446="",$E446="",$F446=""),$L446&lt;&gt;"لا"),0,MAX(0,MIN($F446,EOMONTH(DATE(cfg_FY,1,1),0))-$E446+1))</f>
        <v>0</v>
      </c>
      <c r="AI446" s="57" t="n">
        <f aca="false">IF(OR(OR($B446="",$E446="",$F446=""),$L446&lt;&gt;"لا"),0,MAX(0,MIN($F446,EOMONTH(DATE(cfg_FY,2,1),0))-$E446+1))</f>
        <v>0</v>
      </c>
      <c r="AJ446" s="57" t="n">
        <f aca="false">IF(OR(OR($B446="",$E446="",$F446=""),$L446&lt;&gt;"لا"),0,MAX(0,MIN($F446,EOMONTH(DATE(cfg_FY,3,1),0))-$E446+1))</f>
        <v>0</v>
      </c>
      <c r="AK446" s="57" t="n">
        <f aca="false">IF(OR(OR($B446="",$E446="",$F446=""),$L446&lt;&gt;"لا"),0,MAX(0,MIN($F446,EOMONTH(DATE(cfg_FY,4,1),0))-$E446+1))</f>
        <v>0</v>
      </c>
      <c r="AL446" s="57" t="n">
        <f aca="false">IF(OR(OR($B446="",$E446="",$F446=""),$L446&lt;&gt;"لا"),0,MAX(0,MIN($F446,EOMONTH(DATE(cfg_FY,5,1),0))-$E446+1))</f>
        <v>0</v>
      </c>
      <c r="AM446" s="57" t="n">
        <f aca="false">IF(OR(OR($B446="",$E446="",$F446=""),$L446&lt;&gt;"لا"),0,MAX(0,MIN($F446,EOMONTH(DATE(cfg_FY,6,1),0))-$E446+1))</f>
        <v>0</v>
      </c>
      <c r="AN446" s="57" t="n">
        <f aca="false">IF(OR(OR($B446="",$E446="",$F446=""),$L446&lt;&gt;"لا"),0,MAX(0,MIN($F446,EOMONTH(DATE(cfg_FY,7,1),0))-$E446+1))</f>
        <v>0</v>
      </c>
      <c r="AO446" s="57" t="n">
        <f aca="false">IF(OR(OR($B446="",$E446="",$F446=""),$L446&lt;&gt;"لا"),0,MAX(0,MIN($F446,EOMONTH(DATE(cfg_FY,8,1),0))-$E446+1))</f>
        <v>0</v>
      </c>
      <c r="AP446" s="57" t="n">
        <f aca="false">IF(OR(OR($B446="",$E446="",$F446=""),$L446&lt;&gt;"لا"),0,MAX(0,MIN($F446,EOMONTH(DATE(cfg_FY,9,1),0))-$E446+1))</f>
        <v>0</v>
      </c>
      <c r="AQ446" s="57" t="n">
        <f aca="false">IF(OR(OR($B446="",$E446="",$F446=""),$L446&lt;&gt;"لا"),0,MAX(0,MIN($F446,EOMONTH(DATE(cfg_FY,10,1),0))-$E446+1))</f>
        <v>0</v>
      </c>
      <c r="AR446" s="57" t="n">
        <f aca="false">IF(OR(OR($B446="",$E446="",$F446=""),$L446&lt;&gt;"لا"),0,MAX(0,MIN($F446,EOMONTH(DATE(cfg_FY,11,1),0))-$E446+1))</f>
        <v>0</v>
      </c>
      <c r="AS446" s="57" t="n">
        <f aca="false">IF(OR(OR($B446="",$E446="",$F446=""),$L446&lt;&gt;"لا"),0,MAX(0,MIN($F446,EOMONTH(DATE(cfg_FY,12,1),0))-$E446+1))</f>
        <v>0</v>
      </c>
      <c r="AT446" s="57" t="n">
        <f aca="false">IF(OR(OR($B446="",$E446="",$F446=""),$K446&lt;&gt;"نعم",$M446="نعم"),0,MAX(0,MIN($F446,EOMONTH(DATE(cfg_FY,1,1),0))-MAX($E446,DATE(cfg_FY,1,1))+1))</f>
        <v>0</v>
      </c>
      <c r="AU446" s="57" t="n">
        <f aca="false">IF(OR(OR($B446="",$E446="",$F446=""),$K446&lt;&gt;"نعم",$M446="نعم"),0,MAX(0,MIN($F446,EOMONTH(DATE(cfg_FY,2,1),0))-MAX($E446,DATE(cfg_FY,2,1))+1))</f>
        <v>0</v>
      </c>
      <c r="AV446" s="57" t="n">
        <f aca="false">IF(OR(OR($B446="",$E446="",$F446=""),$K446&lt;&gt;"نعم",$M446="نعم"),0,MAX(0,MIN($F446,EOMONTH(DATE(cfg_FY,3,1),0))-MAX($E446,DATE(cfg_FY,3,1))+1))</f>
        <v>0</v>
      </c>
      <c r="AW446" s="57" t="n">
        <f aca="false">IF(OR(OR($B446="",$E446="",$F446=""),$K446&lt;&gt;"نعم",$M446="نعم"),0,MAX(0,MIN($F446,EOMONTH(DATE(cfg_FY,4,1),0))-MAX($E446,DATE(cfg_FY,4,1))+1))</f>
        <v>0</v>
      </c>
      <c r="AX446" s="57" t="n">
        <f aca="false">IF(OR(OR($B446="",$E446="",$F446=""),$K446&lt;&gt;"نعم",$M446="نعم"),0,MAX(0,MIN($F446,EOMONTH(DATE(cfg_FY,5,1),0))-MAX($E446,DATE(cfg_FY,5,1))+1))</f>
        <v>0</v>
      </c>
      <c r="AY446" s="57" t="n">
        <f aca="false">IF(OR(OR($B446="",$E446="",$F446=""),$K446&lt;&gt;"نعم",$M446="نعم"),0,MAX(0,MIN($F446,EOMONTH(DATE(cfg_FY,6,1),0))-MAX($E446,DATE(cfg_FY,6,1))+1))</f>
        <v>0</v>
      </c>
      <c r="AZ446" s="57" t="n">
        <f aca="false">IF(OR(OR($B446="",$E446="",$F446=""),$K446&lt;&gt;"نعم",$M446="نعم"),0,MAX(0,MIN($F446,EOMONTH(DATE(cfg_FY,7,1),0))-MAX($E446,DATE(cfg_FY,7,1))+1))</f>
        <v>0</v>
      </c>
      <c r="BA446" s="57" t="n">
        <f aca="false">IF(OR(OR($B446="",$E446="",$F446=""),$K446&lt;&gt;"نعم",$M446="نعم"),0,MAX(0,MIN($F446,EOMONTH(DATE(cfg_FY,8,1),0))-MAX($E446,DATE(cfg_FY,8,1))+1))</f>
        <v>0</v>
      </c>
      <c r="BB446" s="57" t="n">
        <f aca="false">IF(OR(OR($B446="",$E446="",$F446=""),$K446&lt;&gt;"نعم",$M446="نعم"),0,MAX(0,MIN($F446,EOMONTH(DATE(cfg_FY,9,1),0))-MAX($E446,DATE(cfg_FY,9,1))+1))</f>
        <v>0</v>
      </c>
      <c r="BC446" s="57" t="n">
        <f aca="false">IF(OR(OR($B446="",$E446="",$F446=""),$K446&lt;&gt;"نعم",$M446="نعم"),0,MAX(0,MIN($F446,EOMONTH(DATE(cfg_FY,10,1),0))-MAX($E446,DATE(cfg_FY,10,1))+1))</f>
        <v>0</v>
      </c>
      <c r="BD446" s="57" t="n">
        <f aca="false">IF(OR(OR($B446="",$E446="",$F446=""),$K446&lt;&gt;"نعم",$M446="نعم"),0,MAX(0,MIN($F446,EOMONTH(DATE(cfg_FY,11,1),0))-MAX($E446,DATE(cfg_FY,11,1))+1))</f>
        <v>0</v>
      </c>
      <c r="BE446" s="57" t="n">
        <f aca="false">IF(OR(OR($B446="",$E446="",$F446=""),$K446&lt;&gt;"نعم",$M446="نعم"),0,MAX(0,MIN($F446,EOMONTH(DATE(cfg_FY,12,1),0))-MAX($E446,DATE(cfg_FY,12,1))+1))</f>
        <v>0</v>
      </c>
    </row>
    <row r="447" customFormat="false" ht="15" hidden="false" customHeight="false" outlineLevel="0" collapsed="false">
      <c r="A447" s="100" t="str">
        <f aca="false">IF(B447="","",ROW()-5)</f>
        <v/>
      </c>
      <c r="B447" s="79"/>
      <c r="C447" s="102" t="str">
        <f aca="false">IF(B447="","",IFERROR(INDEX(الموظفون!$C$6:$C$105,MATCH(B447,الموظفون!$B$6:$B$105,0)),"✖ رقم غير موجود"))</f>
        <v/>
      </c>
      <c r="D447" s="79"/>
      <c r="E447" s="94"/>
      <c r="F447" s="94"/>
      <c r="G447" s="110" t="str">
        <f aca="false">IF(OR($B447="",$E447="",$F447=""),"",MAX(0,F447-E447+1))</f>
        <v/>
      </c>
      <c r="H447" s="111" t="str">
        <f aca="false">IF(D447="","",IFERROR(VLOOKUP(D447,cfg_LT,2,FALSE()),1))</f>
        <v/>
      </c>
      <c r="I447" s="82"/>
      <c r="J447" s="111" t="str">
        <f aca="false">IF(D447="","",IF(I447&lt;&gt;"",I447,H447))</f>
        <v/>
      </c>
      <c r="K447" s="102" t="str">
        <f aca="false">IF(D447="","",IFERROR(VLOOKUP($D447,cfg_LT,3,FALSE()),""))</f>
        <v/>
      </c>
      <c r="L447" s="102" t="str">
        <f aca="false">IF(D447="","",IFERROR(VLOOKUP($D447,cfg_LT,4,FALSE()),""))</f>
        <v/>
      </c>
      <c r="M447" s="102" t="str">
        <f aca="false">IF(D447="","",IFERROR(VLOOKUP($D447,cfg_LT,5,FALSE()),""))</f>
        <v/>
      </c>
      <c r="N447" s="101" t="n">
        <f aca="false">IF(OR(OR($B447="",$E447="",$F447=""),M447&lt;&gt;"نعم"),0,G447*J447*IFERROR(INDEX(الموظفون!$R$6:$R$105,MATCH(B447,الموظفون!$B$6:$B$105,0)),0)/cfg_DAYS_M)</f>
        <v>0</v>
      </c>
      <c r="O447" s="100" t="str">
        <f aca="false">IF(OR(OR($B447="",$E447="",$F447=""),M447&lt;&gt;"نعم"),"",IF(YEAR(E447)=cfg_FY,MONTH(E447),""))</f>
        <v/>
      </c>
      <c r="P447" s="102" t="str">
        <f aca="false">IF(B447="","",IF(OR(D447="",E447="",F447=""),"⚠ أكمل النوع والتواريخ",IF(F447&lt;E447,"✖ النهاية قبل البداية",IF(COUNTIFS($B$6:$B$505,B447,$E$6:$E$505,"&lt;="&amp;F447,$F$6:$F$505,"&gt;="&amp;E447)&gt;1,"⚠ تداخل مع سجل آخر",IF(E447&gt;cfg_VAL_DATE,"⏳ قادمة",IF(F447&lt;cfg_VAL_DATE,"✔ منتهية","✈ جارية في تاريخ التقرير"))))))</f>
        <v/>
      </c>
      <c r="Q447" s="79"/>
      <c r="R447" s="110" t="n">
        <f aca="false">IF(OR(OR($B447="",$E447="",$F447=""),L447&lt;&gt;"لا"),0,MAX(0,MIN(F447,cfg_Y_START-1)-E447+1))</f>
        <v>0</v>
      </c>
      <c r="S447" s="110" t="n">
        <f aca="false">IF(OR(OR($B447="",$E447="",$F447=""),L447&lt;&gt;"لا"),0,MAX(0,MIN(F447,cfg_VAL_DATE)-E447+1))</f>
        <v>0</v>
      </c>
      <c r="T447" s="110" t="n">
        <f aca="false">IF(OR(OR($B447="",$E447="",$F447=""),K447&lt;&gt;"نعم"),0,IF(M447="نعم",IF(AND(ISNUMBER(O447),N(O447)&lt;=cfg_VAL_M),G447,0),MAX(0,MIN(F447,cfg_VAL_DATE)-MAX(E447,cfg_Y_START)+1)))</f>
        <v>0</v>
      </c>
      <c r="V447" s="110" t="n">
        <f aca="false">IF(OR($B447="",$E447="",$F447=""),0,MAX(0,MIN($F447,EOMONTH(DATE(cfg_FY,1,1),0))-MAX($E447,DATE(cfg_FY,1,1))+1)*(1-IF($M447="نعم",0,N($J447))))</f>
        <v>0</v>
      </c>
      <c r="W447" s="110" t="n">
        <f aca="false">IF(OR($B447="",$E447="",$F447=""),0,MAX(0,MIN($F447,EOMONTH(DATE(cfg_FY,2,1),0))-MAX($E447,DATE(cfg_FY,2,1))+1)*(1-IF($M447="نعم",0,N($J447))))</f>
        <v>0</v>
      </c>
      <c r="X447" s="110" t="n">
        <f aca="false">IF(OR($B447="",$E447="",$F447=""),0,MAX(0,MIN($F447,EOMONTH(DATE(cfg_FY,3,1),0))-MAX($E447,DATE(cfg_FY,3,1))+1)*(1-IF($M447="نعم",0,N($J447))))</f>
        <v>0</v>
      </c>
      <c r="Y447" s="110" t="n">
        <f aca="false">IF(OR($B447="",$E447="",$F447=""),0,MAX(0,MIN($F447,EOMONTH(DATE(cfg_FY,4,1),0))-MAX($E447,DATE(cfg_FY,4,1))+1)*(1-IF($M447="نعم",0,N($J447))))</f>
        <v>0</v>
      </c>
      <c r="Z447" s="110" t="n">
        <f aca="false">IF(OR($B447="",$E447="",$F447=""),0,MAX(0,MIN($F447,EOMONTH(DATE(cfg_FY,5,1),0))-MAX($E447,DATE(cfg_FY,5,1))+1)*(1-IF($M447="نعم",0,N($J447))))</f>
        <v>0</v>
      </c>
      <c r="AA447" s="110" t="n">
        <f aca="false">IF(OR($B447="",$E447="",$F447=""),0,MAX(0,MIN($F447,EOMONTH(DATE(cfg_FY,6,1),0))-MAX($E447,DATE(cfg_FY,6,1))+1)*(1-IF($M447="نعم",0,N($J447))))</f>
        <v>0</v>
      </c>
      <c r="AB447" s="110" t="n">
        <f aca="false">IF(OR($B447="",$E447="",$F447=""),0,MAX(0,MIN($F447,EOMONTH(DATE(cfg_FY,7,1),0))-MAX($E447,DATE(cfg_FY,7,1))+1)*(1-IF($M447="نعم",0,N($J447))))</f>
        <v>0</v>
      </c>
      <c r="AC447" s="110" t="n">
        <f aca="false">IF(OR($B447="",$E447="",$F447=""),0,MAX(0,MIN($F447,EOMONTH(DATE(cfg_FY,8,1),0))-MAX($E447,DATE(cfg_FY,8,1))+1)*(1-IF($M447="نعم",0,N($J447))))</f>
        <v>0</v>
      </c>
      <c r="AD447" s="110" t="n">
        <f aca="false">IF(OR($B447="",$E447="",$F447=""),0,MAX(0,MIN($F447,EOMONTH(DATE(cfg_FY,9,1),0))-MAX($E447,DATE(cfg_FY,9,1))+1)*(1-IF($M447="نعم",0,N($J447))))</f>
        <v>0</v>
      </c>
      <c r="AE447" s="110" t="n">
        <f aca="false">IF(OR($B447="",$E447="",$F447=""),0,MAX(0,MIN($F447,EOMONTH(DATE(cfg_FY,10,1),0))-MAX($E447,DATE(cfg_FY,10,1))+1)*(1-IF($M447="نعم",0,N($J447))))</f>
        <v>0</v>
      </c>
      <c r="AF447" s="110" t="n">
        <f aca="false">IF(OR($B447="",$E447="",$F447=""),0,MAX(0,MIN($F447,EOMONTH(DATE(cfg_FY,11,1),0))-MAX($E447,DATE(cfg_FY,11,1))+1)*(1-IF($M447="نعم",0,N($J447))))</f>
        <v>0</v>
      </c>
      <c r="AG447" s="110" t="n">
        <f aca="false">IF(OR($B447="",$E447="",$F447=""),0,MAX(0,MIN($F447,EOMONTH(DATE(cfg_FY,12,1),0))-MAX($E447,DATE(cfg_FY,12,1))+1)*(1-IF($M447="نعم",0,N($J447))))</f>
        <v>0</v>
      </c>
      <c r="AH447" s="110" t="n">
        <f aca="false">IF(OR(OR($B447="",$E447="",$F447=""),$L447&lt;&gt;"لا"),0,MAX(0,MIN($F447,EOMONTH(DATE(cfg_FY,1,1),0))-$E447+1))</f>
        <v>0</v>
      </c>
      <c r="AI447" s="110" t="n">
        <f aca="false">IF(OR(OR($B447="",$E447="",$F447=""),$L447&lt;&gt;"لا"),0,MAX(0,MIN($F447,EOMONTH(DATE(cfg_FY,2,1),0))-$E447+1))</f>
        <v>0</v>
      </c>
      <c r="AJ447" s="110" t="n">
        <f aca="false">IF(OR(OR($B447="",$E447="",$F447=""),$L447&lt;&gt;"لا"),0,MAX(0,MIN($F447,EOMONTH(DATE(cfg_FY,3,1),0))-$E447+1))</f>
        <v>0</v>
      </c>
      <c r="AK447" s="110" t="n">
        <f aca="false">IF(OR(OR($B447="",$E447="",$F447=""),$L447&lt;&gt;"لا"),0,MAX(0,MIN($F447,EOMONTH(DATE(cfg_FY,4,1),0))-$E447+1))</f>
        <v>0</v>
      </c>
      <c r="AL447" s="110" t="n">
        <f aca="false">IF(OR(OR($B447="",$E447="",$F447=""),$L447&lt;&gt;"لا"),0,MAX(0,MIN($F447,EOMONTH(DATE(cfg_FY,5,1),0))-$E447+1))</f>
        <v>0</v>
      </c>
      <c r="AM447" s="110" t="n">
        <f aca="false">IF(OR(OR($B447="",$E447="",$F447=""),$L447&lt;&gt;"لا"),0,MAX(0,MIN($F447,EOMONTH(DATE(cfg_FY,6,1),0))-$E447+1))</f>
        <v>0</v>
      </c>
      <c r="AN447" s="110" t="n">
        <f aca="false">IF(OR(OR($B447="",$E447="",$F447=""),$L447&lt;&gt;"لا"),0,MAX(0,MIN($F447,EOMONTH(DATE(cfg_FY,7,1),0))-$E447+1))</f>
        <v>0</v>
      </c>
      <c r="AO447" s="110" t="n">
        <f aca="false">IF(OR(OR($B447="",$E447="",$F447=""),$L447&lt;&gt;"لا"),0,MAX(0,MIN($F447,EOMONTH(DATE(cfg_FY,8,1),0))-$E447+1))</f>
        <v>0</v>
      </c>
      <c r="AP447" s="110" t="n">
        <f aca="false">IF(OR(OR($B447="",$E447="",$F447=""),$L447&lt;&gt;"لا"),0,MAX(0,MIN($F447,EOMONTH(DATE(cfg_FY,9,1),0))-$E447+1))</f>
        <v>0</v>
      </c>
      <c r="AQ447" s="110" t="n">
        <f aca="false">IF(OR(OR($B447="",$E447="",$F447=""),$L447&lt;&gt;"لا"),0,MAX(0,MIN($F447,EOMONTH(DATE(cfg_FY,10,1),0))-$E447+1))</f>
        <v>0</v>
      </c>
      <c r="AR447" s="110" t="n">
        <f aca="false">IF(OR(OR($B447="",$E447="",$F447=""),$L447&lt;&gt;"لا"),0,MAX(0,MIN($F447,EOMONTH(DATE(cfg_FY,11,1),0))-$E447+1))</f>
        <v>0</v>
      </c>
      <c r="AS447" s="110" t="n">
        <f aca="false">IF(OR(OR($B447="",$E447="",$F447=""),$L447&lt;&gt;"لا"),0,MAX(0,MIN($F447,EOMONTH(DATE(cfg_FY,12,1),0))-$E447+1))</f>
        <v>0</v>
      </c>
      <c r="AT447" s="110" t="n">
        <f aca="false">IF(OR(OR($B447="",$E447="",$F447=""),$K447&lt;&gt;"نعم",$M447="نعم"),0,MAX(0,MIN($F447,EOMONTH(DATE(cfg_FY,1,1),0))-MAX($E447,DATE(cfg_FY,1,1))+1))</f>
        <v>0</v>
      </c>
      <c r="AU447" s="110" t="n">
        <f aca="false">IF(OR(OR($B447="",$E447="",$F447=""),$K447&lt;&gt;"نعم",$M447="نعم"),0,MAX(0,MIN($F447,EOMONTH(DATE(cfg_FY,2,1),0))-MAX($E447,DATE(cfg_FY,2,1))+1))</f>
        <v>0</v>
      </c>
      <c r="AV447" s="110" t="n">
        <f aca="false">IF(OR(OR($B447="",$E447="",$F447=""),$K447&lt;&gt;"نعم",$M447="نعم"),0,MAX(0,MIN($F447,EOMONTH(DATE(cfg_FY,3,1),0))-MAX($E447,DATE(cfg_FY,3,1))+1))</f>
        <v>0</v>
      </c>
      <c r="AW447" s="110" t="n">
        <f aca="false">IF(OR(OR($B447="",$E447="",$F447=""),$K447&lt;&gt;"نعم",$M447="نعم"),0,MAX(0,MIN($F447,EOMONTH(DATE(cfg_FY,4,1),0))-MAX($E447,DATE(cfg_FY,4,1))+1))</f>
        <v>0</v>
      </c>
      <c r="AX447" s="110" t="n">
        <f aca="false">IF(OR(OR($B447="",$E447="",$F447=""),$K447&lt;&gt;"نعم",$M447="نعم"),0,MAX(0,MIN($F447,EOMONTH(DATE(cfg_FY,5,1),0))-MAX($E447,DATE(cfg_FY,5,1))+1))</f>
        <v>0</v>
      </c>
      <c r="AY447" s="110" t="n">
        <f aca="false">IF(OR(OR($B447="",$E447="",$F447=""),$K447&lt;&gt;"نعم",$M447="نعم"),0,MAX(0,MIN($F447,EOMONTH(DATE(cfg_FY,6,1),0))-MAX($E447,DATE(cfg_FY,6,1))+1))</f>
        <v>0</v>
      </c>
      <c r="AZ447" s="110" t="n">
        <f aca="false">IF(OR(OR($B447="",$E447="",$F447=""),$K447&lt;&gt;"نعم",$M447="نعم"),0,MAX(0,MIN($F447,EOMONTH(DATE(cfg_FY,7,1),0))-MAX($E447,DATE(cfg_FY,7,1))+1))</f>
        <v>0</v>
      </c>
      <c r="BA447" s="110" t="n">
        <f aca="false">IF(OR(OR($B447="",$E447="",$F447=""),$K447&lt;&gt;"نعم",$M447="نعم"),0,MAX(0,MIN($F447,EOMONTH(DATE(cfg_FY,8,1),0))-MAX($E447,DATE(cfg_FY,8,1))+1))</f>
        <v>0</v>
      </c>
      <c r="BB447" s="110" t="n">
        <f aca="false">IF(OR(OR($B447="",$E447="",$F447=""),$K447&lt;&gt;"نعم",$M447="نعم"),0,MAX(0,MIN($F447,EOMONTH(DATE(cfg_FY,9,1),0))-MAX($E447,DATE(cfg_FY,9,1))+1))</f>
        <v>0</v>
      </c>
      <c r="BC447" s="110" t="n">
        <f aca="false">IF(OR(OR($B447="",$E447="",$F447=""),$K447&lt;&gt;"نعم",$M447="نعم"),0,MAX(0,MIN($F447,EOMONTH(DATE(cfg_FY,10,1),0))-MAX($E447,DATE(cfg_FY,10,1))+1))</f>
        <v>0</v>
      </c>
      <c r="BD447" s="110" t="n">
        <f aca="false">IF(OR(OR($B447="",$E447="",$F447=""),$K447&lt;&gt;"نعم",$M447="نعم"),0,MAX(0,MIN($F447,EOMONTH(DATE(cfg_FY,11,1),0))-MAX($E447,DATE(cfg_FY,11,1))+1))</f>
        <v>0</v>
      </c>
      <c r="BE447" s="110" t="n">
        <f aca="false">IF(OR(OR($B447="",$E447="",$F447=""),$K447&lt;&gt;"نعم",$M447="نعم"),0,MAX(0,MIN($F447,EOMONTH(DATE(cfg_FY,12,1),0))-MAX($E447,DATE(cfg_FY,12,1))+1))</f>
        <v>0</v>
      </c>
    </row>
    <row r="448" customFormat="false" ht="15" hidden="false" customHeight="false" outlineLevel="0" collapsed="false">
      <c r="A448" s="93" t="str">
        <f aca="false">IF(B448="","",ROW()-5)</f>
        <v/>
      </c>
      <c r="B448" s="79"/>
      <c r="C448" s="80" t="str">
        <f aca="false">IF(B448="","",IFERROR(INDEX(الموظفون!$C$6:$C$105,MATCH(B448,الموظفون!$B$6:$B$105,0)),"✖ رقم غير موجود"))</f>
        <v/>
      </c>
      <c r="D448" s="79"/>
      <c r="E448" s="94"/>
      <c r="F448" s="94"/>
      <c r="G448" s="57" t="str">
        <f aca="false">IF(OR($B448="",$E448="",$F448=""),"",MAX(0,F448-E448+1))</f>
        <v/>
      </c>
      <c r="H448" s="58" t="str">
        <f aca="false">IF(D448="","",IFERROR(VLOOKUP(D448,cfg_LT,2,FALSE()),1))</f>
        <v/>
      </c>
      <c r="I448" s="82"/>
      <c r="J448" s="58" t="str">
        <f aca="false">IF(D448="","",IF(I448&lt;&gt;"",I448,H448))</f>
        <v/>
      </c>
      <c r="K448" s="80" t="str">
        <f aca="false">IF(D448="","",IFERROR(VLOOKUP($D448,cfg_LT,3,FALSE()),""))</f>
        <v/>
      </c>
      <c r="L448" s="80" t="str">
        <f aca="false">IF(D448="","",IFERROR(VLOOKUP($D448,cfg_LT,4,FALSE()),""))</f>
        <v/>
      </c>
      <c r="M448" s="80" t="str">
        <f aca="false">IF(D448="","",IFERROR(VLOOKUP($D448,cfg_LT,5,FALSE()),""))</f>
        <v/>
      </c>
      <c r="N448" s="97" t="n">
        <f aca="false">IF(OR(OR($B448="",$E448="",$F448=""),M448&lt;&gt;"نعم"),0,G448*J448*IFERROR(INDEX(الموظفون!$R$6:$R$105,MATCH(B448,الموظفون!$B$6:$B$105,0)),0)/cfg_DAYS_M)</f>
        <v>0</v>
      </c>
      <c r="O448" s="93" t="str">
        <f aca="false">IF(OR(OR($B448="",$E448="",$F448=""),M448&lt;&gt;"نعم"),"",IF(YEAR(E448)=cfg_FY,MONTH(E448),""))</f>
        <v/>
      </c>
      <c r="P448" s="80" t="str">
        <f aca="false">IF(B448="","",IF(OR(D448="",E448="",F448=""),"⚠ أكمل النوع والتواريخ",IF(F448&lt;E448,"✖ النهاية قبل البداية",IF(COUNTIFS($B$6:$B$505,B448,$E$6:$E$505,"&lt;="&amp;F448,$F$6:$F$505,"&gt;="&amp;E448)&gt;1,"⚠ تداخل مع سجل آخر",IF(E448&gt;cfg_VAL_DATE,"⏳ قادمة",IF(F448&lt;cfg_VAL_DATE,"✔ منتهية","✈ جارية في تاريخ التقرير"))))))</f>
        <v/>
      </c>
      <c r="Q448" s="79"/>
      <c r="R448" s="57" t="n">
        <f aca="false">IF(OR(OR($B448="",$E448="",$F448=""),L448&lt;&gt;"لا"),0,MAX(0,MIN(F448,cfg_Y_START-1)-E448+1))</f>
        <v>0</v>
      </c>
      <c r="S448" s="57" t="n">
        <f aca="false">IF(OR(OR($B448="",$E448="",$F448=""),L448&lt;&gt;"لا"),0,MAX(0,MIN(F448,cfg_VAL_DATE)-E448+1))</f>
        <v>0</v>
      </c>
      <c r="T448" s="57" t="n">
        <f aca="false">IF(OR(OR($B448="",$E448="",$F448=""),K448&lt;&gt;"نعم"),0,IF(M448="نعم",IF(AND(ISNUMBER(O448),N(O448)&lt;=cfg_VAL_M),G448,0),MAX(0,MIN(F448,cfg_VAL_DATE)-MAX(E448,cfg_Y_START)+1)))</f>
        <v>0</v>
      </c>
      <c r="V448" s="57" t="n">
        <f aca="false">IF(OR($B448="",$E448="",$F448=""),0,MAX(0,MIN($F448,EOMONTH(DATE(cfg_FY,1,1),0))-MAX($E448,DATE(cfg_FY,1,1))+1)*(1-IF($M448="نعم",0,N($J448))))</f>
        <v>0</v>
      </c>
      <c r="W448" s="57" t="n">
        <f aca="false">IF(OR($B448="",$E448="",$F448=""),0,MAX(0,MIN($F448,EOMONTH(DATE(cfg_FY,2,1),0))-MAX($E448,DATE(cfg_FY,2,1))+1)*(1-IF($M448="نعم",0,N($J448))))</f>
        <v>0</v>
      </c>
      <c r="X448" s="57" t="n">
        <f aca="false">IF(OR($B448="",$E448="",$F448=""),0,MAX(0,MIN($F448,EOMONTH(DATE(cfg_FY,3,1),0))-MAX($E448,DATE(cfg_FY,3,1))+1)*(1-IF($M448="نعم",0,N($J448))))</f>
        <v>0</v>
      </c>
      <c r="Y448" s="57" t="n">
        <f aca="false">IF(OR($B448="",$E448="",$F448=""),0,MAX(0,MIN($F448,EOMONTH(DATE(cfg_FY,4,1),0))-MAX($E448,DATE(cfg_FY,4,1))+1)*(1-IF($M448="نعم",0,N($J448))))</f>
        <v>0</v>
      </c>
      <c r="Z448" s="57" t="n">
        <f aca="false">IF(OR($B448="",$E448="",$F448=""),0,MAX(0,MIN($F448,EOMONTH(DATE(cfg_FY,5,1),0))-MAX($E448,DATE(cfg_FY,5,1))+1)*(1-IF($M448="نعم",0,N($J448))))</f>
        <v>0</v>
      </c>
      <c r="AA448" s="57" t="n">
        <f aca="false">IF(OR($B448="",$E448="",$F448=""),0,MAX(0,MIN($F448,EOMONTH(DATE(cfg_FY,6,1),0))-MAX($E448,DATE(cfg_FY,6,1))+1)*(1-IF($M448="نعم",0,N($J448))))</f>
        <v>0</v>
      </c>
      <c r="AB448" s="57" t="n">
        <f aca="false">IF(OR($B448="",$E448="",$F448=""),0,MAX(0,MIN($F448,EOMONTH(DATE(cfg_FY,7,1),0))-MAX($E448,DATE(cfg_FY,7,1))+1)*(1-IF($M448="نعم",0,N($J448))))</f>
        <v>0</v>
      </c>
      <c r="AC448" s="57" t="n">
        <f aca="false">IF(OR($B448="",$E448="",$F448=""),0,MAX(0,MIN($F448,EOMONTH(DATE(cfg_FY,8,1),0))-MAX($E448,DATE(cfg_FY,8,1))+1)*(1-IF($M448="نعم",0,N($J448))))</f>
        <v>0</v>
      </c>
      <c r="AD448" s="57" t="n">
        <f aca="false">IF(OR($B448="",$E448="",$F448=""),0,MAX(0,MIN($F448,EOMONTH(DATE(cfg_FY,9,1),0))-MAX($E448,DATE(cfg_FY,9,1))+1)*(1-IF($M448="نعم",0,N($J448))))</f>
        <v>0</v>
      </c>
      <c r="AE448" s="57" t="n">
        <f aca="false">IF(OR($B448="",$E448="",$F448=""),0,MAX(0,MIN($F448,EOMONTH(DATE(cfg_FY,10,1),0))-MAX($E448,DATE(cfg_FY,10,1))+1)*(1-IF($M448="نعم",0,N($J448))))</f>
        <v>0</v>
      </c>
      <c r="AF448" s="57" t="n">
        <f aca="false">IF(OR($B448="",$E448="",$F448=""),0,MAX(0,MIN($F448,EOMONTH(DATE(cfg_FY,11,1),0))-MAX($E448,DATE(cfg_FY,11,1))+1)*(1-IF($M448="نعم",0,N($J448))))</f>
        <v>0</v>
      </c>
      <c r="AG448" s="57" t="n">
        <f aca="false">IF(OR($B448="",$E448="",$F448=""),0,MAX(0,MIN($F448,EOMONTH(DATE(cfg_FY,12,1),0))-MAX($E448,DATE(cfg_FY,12,1))+1)*(1-IF($M448="نعم",0,N($J448))))</f>
        <v>0</v>
      </c>
      <c r="AH448" s="57" t="n">
        <f aca="false">IF(OR(OR($B448="",$E448="",$F448=""),$L448&lt;&gt;"لا"),0,MAX(0,MIN($F448,EOMONTH(DATE(cfg_FY,1,1),0))-$E448+1))</f>
        <v>0</v>
      </c>
      <c r="AI448" s="57" t="n">
        <f aca="false">IF(OR(OR($B448="",$E448="",$F448=""),$L448&lt;&gt;"لا"),0,MAX(0,MIN($F448,EOMONTH(DATE(cfg_FY,2,1),0))-$E448+1))</f>
        <v>0</v>
      </c>
      <c r="AJ448" s="57" t="n">
        <f aca="false">IF(OR(OR($B448="",$E448="",$F448=""),$L448&lt;&gt;"لا"),0,MAX(0,MIN($F448,EOMONTH(DATE(cfg_FY,3,1),0))-$E448+1))</f>
        <v>0</v>
      </c>
      <c r="AK448" s="57" t="n">
        <f aca="false">IF(OR(OR($B448="",$E448="",$F448=""),$L448&lt;&gt;"لا"),0,MAX(0,MIN($F448,EOMONTH(DATE(cfg_FY,4,1),0))-$E448+1))</f>
        <v>0</v>
      </c>
      <c r="AL448" s="57" t="n">
        <f aca="false">IF(OR(OR($B448="",$E448="",$F448=""),$L448&lt;&gt;"لا"),0,MAX(0,MIN($F448,EOMONTH(DATE(cfg_FY,5,1),0))-$E448+1))</f>
        <v>0</v>
      </c>
      <c r="AM448" s="57" t="n">
        <f aca="false">IF(OR(OR($B448="",$E448="",$F448=""),$L448&lt;&gt;"لا"),0,MAX(0,MIN($F448,EOMONTH(DATE(cfg_FY,6,1),0))-$E448+1))</f>
        <v>0</v>
      </c>
      <c r="AN448" s="57" t="n">
        <f aca="false">IF(OR(OR($B448="",$E448="",$F448=""),$L448&lt;&gt;"لا"),0,MAX(0,MIN($F448,EOMONTH(DATE(cfg_FY,7,1),0))-$E448+1))</f>
        <v>0</v>
      </c>
      <c r="AO448" s="57" t="n">
        <f aca="false">IF(OR(OR($B448="",$E448="",$F448=""),$L448&lt;&gt;"لا"),0,MAX(0,MIN($F448,EOMONTH(DATE(cfg_FY,8,1),0))-$E448+1))</f>
        <v>0</v>
      </c>
      <c r="AP448" s="57" t="n">
        <f aca="false">IF(OR(OR($B448="",$E448="",$F448=""),$L448&lt;&gt;"لا"),0,MAX(0,MIN($F448,EOMONTH(DATE(cfg_FY,9,1),0))-$E448+1))</f>
        <v>0</v>
      </c>
      <c r="AQ448" s="57" t="n">
        <f aca="false">IF(OR(OR($B448="",$E448="",$F448=""),$L448&lt;&gt;"لا"),0,MAX(0,MIN($F448,EOMONTH(DATE(cfg_FY,10,1),0))-$E448+1))</f>
        <v>0</v>
      </c>
      <c r="AR448" s="57" t="n">
        <f aca="false">IF(OR(OR($B448="",$E448="",$F448=""),$L448&lt;&gt;"لا"),0,MAX(0,MIN($F448,EOMONTH(DATE(cfg_FY,11,1),0))-$E448+1))</f>
        <v>0</v>
      </c>
      <c r="AS448" s="57" t="n">
        <f aca="false">IF(OR(OR($B448="",$E448="",$F448=""),$L448&lt;&gt;"لا"),0,MAX(0,MIN($F448,EOMONTH(DATE(cfg_FY,12,1),0))-$E448+1))</f>
        <v>0</v>
      </c>
      <c r="AT448" s="57" t="n">
        <f aca="false">IF(OR(OR($B448="",$E448="",$F448=""),$K448&lt;&gt;"نعم",$M448="نعم"),0,MAX(0,MIN($F448,EOMONTH(DATE(cfg_FY,1,1),0))-MAX($E448,DATE(cfg_FY,1,1))+1))</f>
        <v>0</v>
      </c>
      <c r="AU448" s="57" t="n">
        <f aca="false">IF(OR(OR($B448="",$E448="",$F448=""),$K448&lt;&gt;"نعم",$M448="نعم"),0,MAX(0,MIN($F448,EOMONTH(DATE(cfg_FY,2,1),0))-MAX($E448,DATE(cfg_FY,2,1))+1))</f>
        <v>0</v>
      </c>
      <c r="AV448" s="57" t="n">
        <f aca="false">IF(OR(OR($B448="",$E448="",$F448=""),$K448&lt;&gt;"نعم",$M448="نعم"),0,MAX(0,MIN($F448,EOMONTH(DATE(cfg_FY,3,1),0))-MAX($E448,DATE(cfg_FY,3,1))+1))</f>
        <v>0</v>
      </c>
      <c r="AW448" s="57" t="n">
        <f aca="false">IF(OR(OR($B448="",$E448="",$F448=""),$K448&lt;&gt;"نعم",$M448="نعم"),0,MAX(0,MIN($F448,EOMONTH(DATE(cfg_FY,4,1),0))-MAX($E448,DATE(cfg_FY,4,1))+1))</f>
        <v>0</v>
      </c>
      <c r="AX448" s="57" t="n">
        <f aca="false">IF(OR(OR($B448="",$E448="",$F448=""),$K448&lt;&gt;"نعم",$M448="نعم"),0,MAX(0,MIN($F448,EOMONTH(DATE(cfg_FY,5,1),0))-MAX($E448,DATE(cfg_FY,5,1))+1))</f>
        <v>0</v>
      </c>
      <c r="AY448" s="57" t="n">
        <f aca="false">IF(OR(OR($B448="",$E448="",$F448=""),$K448&lt;&gt;"نعم",$M448="نعم"),0,MAX(0,MIN($F448,EOMONTH(DATE(cfg_FY,6,1),0))-MAX($E448,DATE(cfg_FY,6,1))+1))</f>
        <v>0</v>
      </c>
      <c r="AZ448" s="57" t="n">
        <f aca="false">IF(OR(OR($B448="",$E448="",$F448=""),$K448&lt;&gt;"نعم",$M448="نعم"),0,MAX(0,MIN($F448,EOMONTH(DATE(cfg_FY,7,1),0))-MAX($E448,DATE(cfg_FY,7,1))+1))</f>
        <v>0</v>
      </c>
      <c r="BA448" s="57" t="n">
        <f aca="false">IF(OR(OR($B448="",$E448="",$F448=""),$K448&lt;&gt;"نعم",$M448="نعم"),0,MAX(0,MIN($F448,EOMONTH(DATE(cfg_FY,8,1),0))-MAX($E448,DATE(cfg_FY,8,1))+1))</f>
        <v>0</v>
      </c>
      <c r="BB448" s="57" t="n">
        <f aca="false">IF(OR(OR($B448="",$E448="",$F448=""),$K448&lt;&gt;"نعم",$M448="نعم"),0,MAX(0,MIN($F448,EOMONTH(DATE(cfg_FY,9,1),0))-MAX($E448,DATE(cfg_FY,9,1))+1))</f>
        <v>0</v>
      </c>
      <c r="BC448" s="57" t="n">
        <f aca="false">IF(OR(OR($B448="",$E448="",$F448=""),$K448&lt;&gt;"نعم",$M448="نعم"),0,MAX(0,MIN($F448,EOMONTH(DATE(cfg_FY,10,1),0))-MAX($E448,DATE(cfg_FY,10,1))+1))</f>
        <v>0</v>
      </c>
      <c r="BD448" s="57" t="n">
        <f aca="false">IF(OR(OR($B448="",$E448="",$F448=""),$K448&lt;&gt;"نعم",$M448="نعم"),0,MAX(0,MIN($F448,EOMONTH(DATE(cfg_FY,11,1),0))-MAX($E448,DATE(cfg_FY,11,1))+1))</f>
        <v>0</v>
      </c>
      <c r="BE448" s="57" t="n">
        <f aca="false">IF(OR(OR($B448="",$E448="",$F448=""),$K448&lt;&gt;"نعم",$M448="نعم"),0,MAX(0,MIN($F448,EOMONTH(DATE(cfg_FY,12,1),0))-MAX($E448,DATE(cfg_FY,12,1))+1))</f>
        <v>0</v>
      </c>
    </row>
    <row r="449" customFormat="false" ht="15" hidden="false" customHeight="false" outlineLevel="0" collapsed="false">
      <c r="A449" s="100" t="str">
        <f aca="false">IF(B449="","",ROW()-5)</f>
        <v/>
      </c>
      <c r="B449" s="79"/>
      <c r="C449" s="102" t="str">
        <f aca="false">IF(B449="","",IFERROR(INDEX(الموظفون!$C$6:$C$105,MATCH(B449,الموظفون!$B$6:$B$105,0)),"✖ رقم غير موجود"))</f>
        <v/>
      </c>
      <c r="D449" s="79"/>
      <c r="E449" s="94"/>
      <c r="F449" s="94"/>
      <c r="G449" s="110" t="str">
        <f aca="false">IF(OR($B449="",$E449="",$F449=""),"",MAX(0,F449-E449+1))</f>
        <v/>
      </c>
      <c r="H449" s="111" t="str">
        <f aca="false">IF(D449="","",IFERROR(VLOOKUP(D449,cfg_LT,2,FALSE()),1))</f>
        <v/>
      </c>
      <c r="I449" s="82"/>
      <c r="J449" s="111" t="str">
        <f aca="false">IF(D449="","",IF(I449&lt;&gt;"",I449,H449))</f>
        <v/>
      </c>
      <c r="K449" s="102" t="str">
        <f aca="false">IF(D449="","",IFERROR(VLOOKUP($D449,cfg_LT,3,FALSE()),""))</f>
        <v/>
      </c>
      <c r="L449" s="102" t="str">
        <f aca="false">IF(D449="","",IFERROR(VLOOKUP($D449,cfg_LT,4,FALSE()),""))</f>
        <v/>
      </c>
      <c r="M449" s="102" t="str">
        <f aca="false">IF(D449="","",IFERROR(VLOOKUP($D449,cfg_LT,5,FALSE()),""))</f>
        <v/>
      </c>
      <c r="N449" s="101" t="n">
        <f aca="false">IF(OR(OR($B449="",$E449="",$F449=""),M449&lt;&gt;"نعم"),0,G449*J449*IFERROR(INDEX(الموظفون!$R$6:$R$105,MATCH(B449,الموظفون!$B$6:$B$105,0)),0)/cfg_DAYS_M)</f>
        <v>0</v>
      </c>
      <c r="O449" s="100" t="str">
        <f aca="false">IF(OR(OR($B449="",$E449="",$F449=""),M449&lt;&gt;"نعم"),"",IF(YEAR(E449)=cfg_FY,MONTH(E449),""))</f>
        <v/>
      </c>
      <c r="P449" s="102" t="str">
        <f aca="false">IF(B449="","",IF(OR(D449="",E449="",F449=""),"⚠ أكمل النوع والتواريخ",IF(F449&lt;E449,"✖ النهاية قبل البداية",IF(COUNTIFS($B$6:$B$505,B449,$E$6:$E$505,"&lt;="&amp;F449,$F$6:$F$505,"&gt;="&amp;E449)&gt;1,"⚠ تداخل مع سجل آخر",IF(E449&gt;cfg_VAL_DATE,"⏳ قادمة",IF(F449&lt;cfg_VAL_DATE,"✔ منتهية","✈ جارية في تاريخ التقرير"))))))</f>
        <v/>
      </c>
      <c r="Q449" s="79"/>
      <c r="R449" s="110" t="n">
        <f aca="false">IF(OR(OR($B449="",$E449="",$F449=""),L449&lt;&gt;"لا"),0,MAX(0,MIN(F449,cfg_Y_START-1)-E449+1))</f>
        <v>0</v>
      </c>
      <c r="S449" s="110" t="n">
        <f aca="false">IF(OR(OR($B449="",$E449="",$F449=""),L449&lt;&gt;"لا"),0,MAX(0,MIN(F449,cfg_VAL_DATE)-E449+1))</f>
        <v>0</v>
      </c>
      <c r="T449" s="110" t="n">
        <f aca="false">IF(OR(OR($B449="",$E449="",$F449=""),K449&lt;&gt;"نعم"),0,IF(M449="نعم",IF(AND(ISNUMBER(O449),N(O449)&lt;=cfg_VAL_M),G449,0),MAX(0,MIN(F449,cfg_VAL_DATE)-MAX(E449,cfg_Y_START)+1)))</f>
        <v>0</v>
      </c>
      <c r="V449" s="110" t="n">
        <f aca="false">IF(OR($B449="",$E449="",$F449=""),0,MAX(0,MIN($F449,EOMONTH(DATE(cfg_FY,1,1),0))-MAX($E449,DATE(cfg_FY,1,1))+1)*(1-IF($M449="نعم",0,N($J449))))</f>
        <v>0</v>
      </c>
      <c r="W449" s="110" t="n">
        <f aca="false">IF(OR($B449="",$E449="",$F449=""),0,MAX(0,MIN($F449,EOMONTH(DATE(cfg_FY,2,1),0))-MAX($E449,DATE(cfg_FY,2,1))+1)*(1-IF($M449="نعم",0,N($J449))))</f>
        <v>0</v>
      </c>
      <c r="X449" s="110" t="n">
        <f aca="false">IF(OR($B449="",$E449="",$F449=""),0,MAX(0,MIN($F449,EOMONTH(DATE(cfg_FY,3,1),0))-MAX($E449,DATE(cfg_FY,3,1))+1)*(1-IF($M449="نعم",0,N($J449))))</f>
        <v>0</v>
      </c>
      <c r="Y449" s="110" t="n">
        <f aca="false">IF(OR($B449="",$E449="",$F449=""),0,MAX(0,MIN($F449,EOMONTH(DATE(cfg_FY,4,1),0))-MAX($E449,DATE(cfg_FY,4,1))+1)*(1-IF($M449="نعم",0,N($J449))))</f>
        <v>0</v>
      </c>
      <c r="Z449" s="110" t="n">
        <f aca="false">IF(OR($B449="",$E449="",$F449=""),0,MAX(0,MIN($F449,EOMONTH(DATE(cfg_FY,5,1),0))-MAX($E449,DATE(cfg_FY,5,1))+1)*(1-IF($M449="نعم",0,N($J449))))</f>
        <v>0</v>
      </c>
      <c r="AA449" s="110" t="n">
        <f aca="false">IF(OR($B449="",$E449="",$F449=""),0,MAX(0,MIN($F449,EOMONTH(DATE(cfg_FY,6,1),0))-MAX($E449,DATE(cfg_FY,6,1))+1)*(1-IF($M449="نعم",0,N($J449))))</f>
        <v>0</v>
      </c>
      <c r="AB449" s="110" t="n">
        <f aca="false">IF(OR($B449="",$E449="",$F449=""),0,MAX(0,MIN($F449,EOMONTH(DATE(cfg_FY,7,1),0))-MAX($E449,DATE(cfg_FY,7,1))+1)*(1-IF($M449="نعم",0,N($J449))))</f>
        <v>0</v>
      </c>
      <c r="AC449" s="110" t="n">
        <f aca="false">IF(OR($B449="",$E449="",$F449=""),0,MAX(0,MIN($F449,EOMONTH(DATE(cfg_FY,8,1),0))-MAX($E449,DATE(cfg_FY,8,1))+1)*(1-IF($M449="نعم",0,N($J449))))</f>
        <v>0</v>
      </c>
      <c r="AD449" s="110" t="n">
        <f aca="false">IF(OR($B449="",$E449="",$F449=""),0,MAX(0,MIN($F449,EOMONTH(DATE(cfg_FY,9,1),0))-MAX($E449,DATE(cfg_FY,9,1))+1)*(1-IF($M449="نعم",0,N($J449))))</f>
        <v>0</v>
      </c>
      <c r="AE449" s="110" t="n">
        <f aca="false">IF(OR($B449="",$E449="",$F449=""),0,MAX(0,MIN($F449,EOMONTH(DATE(cfg_FY,10,1),0))-MAX($E449,DATE(cfg_FY,10,1))+1)*(1-IF($M449="نعم",0,N($J449))))</f>
        <v>0</v>
      </c>
      <c r="AF449" s="110" t="n">
        <f aca="false">IF(OR($B449="",$E449="",$F449=""),0,MAX(0,MIN($F449,EOMONTH(DATE(cfg_FY,11,1),0))-MAX($E449,DATE(cfg_FY,11,1))+1)*(1-IF($M449="نعم",0,N($J449))))</f>
        <v>0</v>
      </c>
      <c r="AG449" s="110" t="n">
        <f aca="false">IF(OR($B449="",$E449="",$F449=""),0,MAX(0,MIN($F449,EOMONTH(DATE(cfg_FY,12,1),0))-MAX($E449,DATE(cfg_FY,12,1))+1)*(1-IF($M449="نعم",0,N($J449))))</f>
        <v>0</v>
      </c>
      <c r="AH449" s="110" t="n">
        <f aca="false">IF(OR(OR($B449="",$E449="",$F449=""),$L449&lt;&gt;"لا"),0,MAX(0,MIN($F449,EOMONTH(DATE(cfg_FY,1,1),0))-$E449+1))</f>
        <v>0</v>
      </c>
      <c r="AI449" s="110" t="n">
        <f aca="false">IF(OR(OR($B449="",$E449="",$F449=""),$L449&lt;&gt;"لا"),0,MAX(0,MIN($F449,EOMONTH(DATE(cfg_FY,2,1),0))-$E449+1))</f>
        <v>0</v>
      </c>
      <c r="AJ449" s="110" t="n">
        <f aca="false">IF(OR(OR($B449="",$E449="",$F449=""),$L449&lt;&gt;"لا"),0,MAX(0,MIN($F449,EOMONTH(DATE(cfg_FY,3,1),0))-$E449+1))</f>
        <v>0</v>
      </c>
      <c r="AK449" s="110" t="n">
        <f aca="false">IF(OR(OR($B449="",$E449="",$F449=""),$L449&lt;&gt;"لا"),0,MAX(0,MIN($F449,EOMONTH(DATE(cfg_FY,4,1),0))-$E449+1))</f>
        <v>0</v>
      </c>
      <c r="AL449" s="110" t="n">
        <f aca="false">IF(OR(OR($B449="",$E449="",$F449=""),$L449&lt;&gt;"لا"),0,MAX(0,MIN($F449,EOMONTH(DATE(cfg_FY,5,1),0))-$E449+1))</f>
        <v>0</v>
      </c>
      <c r="AM449" s="110" t="n">
        <f aca="false">IF(OR(OR($B449="",$E449="",$F449=""),$L449&lt;&gt;"لا"),0,MAX(0,MIN($F449,EOMONTH(DATE(cfg_FY,6,1),0))-$E449+1))</f>
        <v>0</v>
      </c>
      <c r="AN449" s="110" t="n">
        <f aca="false">IF(OR(OR($B449="",$E449="",$F449=""),$L449&lt;&gt;"لا"),0,MAX(0,MIN($F449,EOMONTH(DATE(cfg_FY,7,1),0))-$E449+1))</f>
        <v>0</v>
      </c>
      <c r="AO449" s="110" t="n">
        <f aca="false">IF(OR(OR($B449="",$E449="",$F449=""),$L449&lt;&gt;"لا"),0,MAX(0,MIN($F449,EOMONTH(DATE(cfg_FY,8,1),0))-$E449+1))</f>
        <v>0</v>
      </c>
      <c r="AP449" s="110" t="n">
        <f aca="false">IF(OR(OR($B449="",$E449="",$F449=""),$L449&lt;&gt;"لا"),0,MAX(0,MIN($F449,EOMONTH(DATE(cfg_FY,9,1),0))-$E449+1))</f>
        <v>0</v>
      </c>
      <c r="AQ449" s="110" t="n">
        <f aca="false">IF(OR(OR($B449="",$E449="",$F449=""),$L449&lt;&gt;"لا"),0,MAX(0,MIN($F449,EOMONTH(DATE(cfg_FY,10,1),0))-$E449+1))</f>
        <v>0</v>
      </c>
      <c r="AR449" s="110" t="n">
        <f aca="false">IF(OR(OR($B449="",$E449="",$F449=""),$L449&lt;&gt;"لا"),0,MAX(0,MIN($F449,EOMONTH(DATE(cfg_FY,11,1),0))-$E449+1))</f>
        <v>0</v>
      </c>
      <c r="AS449" s="110" t="n">
        <f aca="false">IF(OR(OR($B449="",$E449="",$F449=""),$L449&lt;&gt;"لا"),0,MAX(0,MIN($F449,EOMONTH(DATE(cfg_FY,12,1),0))-$E449+1))</f>
        <v>0</v>
      </c>
      <c r="AT449" s="110" t="n">
        <f aca="false">IF(OR(OR($B449="",$E449="",$F449=""),$K449&lt;&gt;"نعم",$M449="نعم"),0,MAX(0,MIN($F449,EOMONTH(DATE(cfg_FY,1,1),0))-MAX($E449,DATE(cfg_FY,1,1))+1))</f>
        <v>0</v>
      </c>
      <c r="AU449" s="110" t="n">
        <f aca="false">IF(OR(OR($B449="",$E449="",$F449=""),$K449&lt;&gt;"نعم",$M449="نعم"),0,MAX(0,MIN($F449,EOMONTH(DATE(cfg_FY,2,1),0))-MAX($E449,DATE(cfg_FY,2,1))+1))</f>
        <v>0</v>
      </c>
      <c r="AV449" s="110" t="n">
        <f aca="false">IF(OR(OR($B449="",$E449="",$F449=""),$K449&lt;&gt;"نعم",$M449="نعم"),0,MAX(0,MIN($F449,EOMONTH(DATE(cfg_FY,3,1),0))-MAX($E449,DATE(cfg_FY,3,1))+1))</f>
        <v>0</v>
      </c>
      <c r="AW449" s="110" t="n">
        <f aca="false">IF(OR(OR($B449="",$E449="",$F449=""),$K449&lt;&gt;"نعم",$M449="نعم"),0,MAX(0,MIN($F449,EOMONTH(DATE(cfg_FY,4,1),0))-MAX($E449,DATE(cfg_FY,4,1))+1))</f>
        <v>0</v>
      </c>
      <c r="AX449" s="110" t="n">
        <f aca="false">IF(OR(OR($B449="",$E449="",$F449=""),$K449&lt;&gt;"نعم",$M449="نعم"),0,MAX(0,MIN($F449,EOMONTH(DATE(cfg_FY,5,1),0))-MAX($E449,DATE(cfg_FY,5,1))+1))</f>
        <v>0</v>
      </c>
      <c r="AY449" s="110" t="n">
        <f aca="false">IF(OR(OR($B449="",$E449="",$F449=""),$K449&lt;&gt;"نعم",$M449="نعم"),0,MAX(0,MIN($F449,EOMONTH(DATE(cfg_FY,6,1),0))-MAX($E449,DATE(cfg_FY,6,1))+1))</f>
        <v>0</v>
      </c>
      <c r="AZ449" s="110" t="n">
        <f aca="false">IF(OR(OR($B449="",$E449="",$F449=""),$K449&lt;&gt;"نعم",$M449="نعم"),0,MAX(0,MIN($F449,EOMONTH(DATE(cfg_FY,7,1),0))-MAX($E449,DATE(cfg_FY,7,1))+1))</f>
        <v>0</v>
      </c>
      <c r="BA449" s="110" t="n">
        <f aca="false">IF(OR(OR($B449="",$E449="",$F449=""),$K449&lt;&gt;"نعم",$M449="نعم"),0,MAX(0,MIN($F449,EOMONTH(DATE(cfg_FY,8,1),0))-MAX($E449,DATE(cfg_FY,8,1))+1))</f>
        <v>0</v>
      </c>
      <c r="BB449" s="110" t="n">
        <f aca="false">IF(OR(OR($B449="",$E449="",$F449=""),$K449&lt;&gt;"نعم",$M449="نعم"),0,MAX(0,MIN($F449,EOMONTH(DATE(cfg_FY,9,1),0))-MAX($E449,DATE(cfg_FY,9,1))+1))</f>
        <v>0</v>
      </c>
      <c r="BC449" s="110" t="n">
        <f aca="false">IF(OR(OR($B449="",$E449="",$F449=""),$K449&lt;&gt;"نعم",$M449="نعم"),0,MAX(0,MIN($F449,EOMONTH(DATE(cfg_FY,10,1),0))-MAX($E449,DATE(cfg_FY,10,1))+1))</f>
        <v>0</v>
      </c>
      <c r="BD449" s="110" t="n">
        <f aca="false">IF(OR(OR($B449="",$E449="",$F449=""),$K449&lt;&gt;"نعم",$M449="نعم"),0,MAX(0,MIN($F449,EOMONTH(DATE(cfg_FY,11,1),0))-MAX($E449,DATE(cfg_FY,11,1))+1))</f>
        <v>0</v>
      </c>
      <c r="BE449" s="110" t="n">
        <f aca="false">IF(OR(OR($B449="",$E449="",$F449=""),$K449&lt;&gt;"نعم",$M449="نعم"),0,MAX(0,MIN($F449,EOMONTH(DATE(cfg_FY,12,1),0))-MAX($E449,DATE(cfg_FY,12,1))+1))</f>
        <v>0</v>
      </c>
    </row>
    <row r="450" customFormat="false" ht="15" hidden="false" customHeight="false" outlineLevel="0" collapsed="false">
      <c r="A450" s="93" t="str">
        <f aca="false">IF(B450="","",ROW()-5)</f>
        <v/>
      </c>
      <c r="B450" s="79"/>
      <c r="C450" s="80" t="str">
        <f aca="false">IF(B450="","",IFERROR(INDEX(الموظفون!$C$6:$C$105,MATCH(B450,الموظفون!$B$6:$B$105,0)),"✖ رقم غير موجود"))</f>
        <v/>
      </c>
      <c r="D450" s="79"/>
      <c r="E450" s="94"/>
      <c r="F450" s="94"/>
      <c r="G450" s="57" t="str">
        <f aca="false">IF(OR($B450="",$E450="",$F450=""),"",MAX(0,F450-E450+1))</f>
        <v/>
      </c>
      <c r="H450" s="58" t="str">
        <f aca="false">IF(D450="","",IFERROR(VLOOKUP(D450,cfg_LT,2,FALSE()),1))</f>
        <v/>
      </c>
      <c r="I450" s="82"/>
      <c r="J450" s="58" t="str">
        <f aca="false">IF(D450="","",IF(I450&lt;&gt;"",I450,H450))</f>
        <v/>
      </c>
      <c r="K450" s="80" t="str">
        <f aca="false">IF(D450="","",IFERROR(VLOOKUP($D450,cfg_LT,3,FALSE()),""))</f>
        <v/>
      </c>
      <c r="L450" s="80" t="str">
        <f aca="false">IF(D450="","",IFERROR(VLOOKUP($D450,cfg_LT,4,FALSE()),""))</f>
        <v/>
      </c>
      <c r="M450" s="80" t="str">
        <f aca="false">IF(D450="","",IFERROR(VLOOKUP($D450,cfg_LT,5,FALSE()),""))</f>
        <v/>
      </c>
      <c r="N450" s="97" t="n">
        <f aca="false">IF(OR(OR($B450="",$E450="",$F450=""),M450&lt;&gt;"نعم"),0,G450*J450*IFERROR(INDEX(الموظفون!$R$6:$R$105,MATCH(B450,الموظفون!$B$6:$B$105,0)),0)/cfg_DAYS_M)</f>
        <v>0</v>
      </c>
      <c r="O450" s="93" t="str">
        <f aca="false">IF(OR(OR($B450="",$E450="",$F450=""),M450&lt;&gt;"نعم"),"",IF(YEAR(E450)=cfg_FY,MONTH(E450),""))</f>
        <v/>
      </c>
      <c r="P450" s="80" t="str">
        <f aca="false">IF(B450="","",IF(OR(D450="",E450="",F450=""),"⚠ أكمل النوع والتواريخ",IF(F450&lt;E450,"✖ النهاية قبل البداية",IF(COUNTIFS($B$6:$B$505,B450,$E$6:$E$505,"&lt;="&amp;F450,$F$6:$F$505,"&gt;="&amp;E450)&gt;1,"⚠ تداخل مع سجل آخر",IF(E450&gt;cfg_VAL_DATE,"⏳ قادمة",IF(F450&lt;cfg_VAL_DATE,"✔ منتهية","✈ جارية في تاريخ التقرير"))))))</f>
        <v/>
      </c>
      <c r="Q450" s="79"/>
      <c r="R450" s="57" t="n">
        <f aca="false">IF(OR(OR($B450="",$E450="",$F450=""),L450&lt;&gt;"لا"),0,MAX(0,MIN(F450,cfg_Y_START-1)-E450+1))</f>
        <v>0</v>
      </c>
      <c r="S450" s="57" t="n">
        <f aca="false">IF(OR(OR($B450="",$E450="",$F450=""),L450&lt;&gt;"لا"),0,MAX(0,MIN(F450,cfg_VAL_DATE)-E450+1))</f>
        <v>0</v>
      </c>
      <c r="T450" s="57" t="n">
        <f aca="false">IF(OR(OR($B450="",$E450="",$F450=""),K450&lt;&gt;"نعم"),0,IF(M450="نعم",IF(AND(ISNUMBER(O450),N(O450)&lt;=cfg_VAL_M),G450,0),MAX(0,MIN(F450,cfg_VAL_DATE)-MAX(E450,cfg_Y_START)+1)))</f>
        <v>0</v>
      </c>
      <c r="V450" s="57" t="n">
        <f aca="false">IF(OR($B450="",$E450="",$F450=""),0,MAX(0,MIN($F450,EOMONTH(DATE(cfg_FY,1,1),0))-MAX($E450,DATE(cfg_FY,1,1))+1)*(1-IF($M450="نعم",0,N($J450))))</f>
        <v>0</v>
      </c>
      <c r="W450" s="57" t="n">
        <f aca="false">IF(OR($B450="",$E450="",$F450=""),0,MAX(0,MIN($F450,EOMONTH(DATE(cfg_FY,2,1),0))-MAX($E450,DATE(cfg_FY,2,1))+1)*(1-IF($M450="نعم",0,N($J450))))</f>
        <v>0</v>
      </c>
      <c r="X450" s="57" t="n">
        <f aca="false">IF(OR($B450="",$E450="",$F450=""),0,MAX(0,MIN($F450,EOMONTH(DATE(cfg_FY,3,1),0))-MAX($E450,DATE(cfg_FY,3,1))+1)*(1-IF($M450="نعم",0,N($J450))))</f>
        <v>0</v>
      </c>
      <c r="Y450" s="57" t="n">
        <f aca="false">IF(OR($B450="",$E450="",$F450=""),0,MAX(0,MIN($F450,EOMONTH(DATE(cfg_FY,4,1),0))-MAX($E450,DATE(cfg_FY,4,1))+1)*(1-IF($M450="نعم",0,N($J450))))</f>
        <v>0</v>
      </c>
      <c r="Z450" s="57" t="n">
        <f aca="false">IF(OR($B450="",$E450="",$F450=""),0,MAX(0,MIN($F450,EOMONTH(DATE(cfg_FY,5,1),0))-MAX($E450,DATE(cfg_FY,5,1))+1)*(1-IF($M450="نعم",0,N($J450))))</f>
        <v>0</v>
      </c>
      <c r="AA450" s="57" t="n">
        <f aca="false">IF(OR($B450="",$E450="",$F450=""),0,MAX(0,MIN($F450,EOMONTH(DATE(cfg_FY,6,1),0))-MAX($E450,DATE(cfg_FY,6,1))+1)*(1-IF($M450="نعم",0,N($J450))))</f>
        <v>0</v>
      </c>
      <c r="AB450" s="57" t="n">
        <f aca="false">IF(OR($B450="",$E450="",$F450=""),0,MAX(0,MIN($F450,EOMONTH(DATE(cfg_FY,7,1),0))-MAX($E450,DATE(cfg_FY,7,1))+1)*(1-IF($M450="نعم",0,N($J450))))</f>
        <v>0</v>
      </c>
      <c r="AC450" s="57" t="n">
        <f aca="false">IF(OR($B450="",$E450="",$F450=""),0,MAX(0,MIN($F450,EOMONTH(DATE(cfg_FY,8,1),0))-MAX($E450,DATE(cfg_FY,8,1))+1)*(1-IF($M450="نعم",0,N($J450))))</f>
        <v>0</v>
      </c>
      <c r="AD450" s="57" t="n">
        <f aca="false">IF(OR($B450="",$E450="",$F450=""),0,MAX(0,MIN($F450,EOMONTH(DATE(cfg_FY,9,1),0))-MAX($E450,DATE(cfg_FY,9,1))+1)*(1-IF($M450="نعم",0,N($J450))))</f>
        <v>0</v>
      </c>
      <c r="AE450" s="57" t="n">
        <f aca="false">IF(OR($B450="",$E450="",$F450=""),0,MAX(0,MIN($F450,EOMONTH(DATE(cfg_FY,10,1),0))-MAX($E450,DATE(cfg_FY,10,1))+1)*(1-IF($M450="نعم",0,N($J450))))</f>
        <v>0</v>
      </c>
      <c r="AF450" s="57" t="n">
        <f aca="false">IF(OR($B450="",$E450="",$F450=""),0,MAX(0,MIN($F450,EOMONTH(DATE(cfg_FY,11,1),0))-MAX($E450,DATE(cfg_FY,11,1))+1)*(1-IF($M450="نعم",0,N($J450))))</f>
        <v>0</v>
      </c>
      <c r="AG450" s="57" t="n">
        <f aca="false">IF(OR($B450="",$E450="",$F450=""),0,MAX(0,MIN($F450,EOMONTH(DATE(cfg_FY,12,1),0))-MAX($E450,DATE(cfg_FY,12,1))+1)*(1-IF($M450="نعم",0,N($J450))))</f>
        <v>0</v>
      </c>
      <c r="AH450" s="57" t="n">
        <f aca="false">IF(OR(OR($B450="",$E450="",$F450=""),$L450&lt;&gt;"لا"),0,MAX(0,MIN($F450,EOMONTH(DATE(cfg_FY,1,1),0))-$E450+1))</f>
        <v>0</v>
      </c>
      <c r="AI450" s="57" t="n">
        <f aca="false">IF(OR(OR($B450="",$E450="",$F450=""),$L450&lt;&gt;"لا"),0,MAX(0,MIN($F450,EOMONTH(DATE(cfg_FY,2,1),0))-$E450+1))</f>
        <v>0</v>
      </c>
      <c r="AJ450" s="57" t="n">
        <f aca="false">IF(OR(OR($B450="",$E450="",$F450=""),$L450&lt;&gt;"لا"),0,MAX(0,MIN($F450,EOMONTH(DATE(cfg_FY,3,1),0))-$E450+1))</f>
        <v>0</v>
      </c>
      <c r="AK450" s="57" t="n">
        <f aca="false">IF(OR(OR($B450="",$E450="",$F450=""),$L450&lt;&gt;"لا"),0,MAX(0,MIN($F450,EOMONTH(DATE(cfg_FY,4,1),0))-$E450+1))</f>
        <v>0</v>
      </c>
      <c r="AL450" s="57" t="n">
        <f aca="false">IF(OR(OR($B450="",$E450="",$F450=""),$L450&lt;&gt;"لا"),0,MAX(0,MIN($F450,EOMONTH(DATE(cfg_FY,5,1),0))-$E450+1))</f>
        <v>0</v>
      </c>
      <c r="AM450" s="57" t="n">
        <f aca="false">IF(OR(OR($B450="",$E450="",$F450=""),$L450&lt;&gt;"لا"),0,MAX(0,MIN($F450,EOMONTH(DATE(cfg_FY,6,1),0))-$E450+1))</f>
        <v>0</v>
      </c>
      <c r="AN450" s="57" t="n">
        <f aca="false">IF(OR(OR($B450="",$E450="",$F450=""),$L450&lt;&gt;"لا"),0,MAX(0,MIN($F450,EOMONTH(DATE(cfg_FY,7,1),0))-$E450+1))</f>
        <v>0</v>
      </c>
      <c r="AO450" s="57" t="n">
        <f aca="false">IF(OR(OR($B450="",$E450="",$F450=""),$L450&lt;&gt;"لا"),0,MAX(0,MIN($F450,EOMONTH(DATE(cfg_FY,8,1),0))-$E450+1))</f>
        <v>0</v>
      </c>
      <c r="AP450" s="57" t="n">
        <f aca="false">IF(OR(OR($B450="",$E450="",$F450=""),$L450&lt;&gt;"لا"),0,MAX(0,MIN($F450,EOMONTH(DATE(cfg_FY,9,1),0))-$E450+1))</f>
        <v>0</v>
      </c>
      <c r="AQ450" s="57" t="n">
        <f aca="false">IF(OR(OR($B450="",$E450="",$F450=""),$L450&lt;&gt;"لا"),0,MAX(0,MIN($F450,EOMONTH(DATE(cfg_FY,10,1),0))-$E450+1))</f>
        <v>0</v>
      </c>
      <c r="AR450" s="57" t="n">
        <f aca="false">IF(OR(OR($B450="",$E450="",$F450=""),$L450&lt;&gt;"لا"),0,MAX(0,MIN($F450,EOMONTH(DATE(cfg_FY,11,1),0))-$E450+1))</f>
        <v>0</v>
      </c>
      <c r="AS450" s="57" t="n">
        <f aca="false">IF(OR(OR($B450="",$E450="",$F450=""),$L450&lt;&gt;"لا"),0,MAX(0,MIN($F450,EOMONTH(DATE(cfg_FY,12,1),0))-$E450+1))</f>
        <v>0</v>
      </c>
      <c r="AT450" s="57" t="n">
        <f aca="false">IF(OR(OR($B450="",$E450="",$F450=""),$K450&lt;&gt;"نعم",$M450="نعم"),0,MAX(0,MIN($F450,EOMONTH(DATE(cfg_FY,1,1),0))-MAX($E450,DATE(cfg_FY,1,1))+1))</f>
        <v>0</v>
      </c>
      <c r="AU450" s="57" t="n">
        <f aca="false">IF(OR(OR($B450="",$E450="",$F450=""),$K450&lt;&gt;"نعم",$M450="نعم"),0,MAX(0,MIN($F450,EOMONTH(DATE(cfg_FY,2,1),0))-MAX($E450,DATE(cfg_FY,2,1))+1))</f>
        <v>0</v>
      </c>
      <c r="AV450" s="57" t="n">
        <f aca="false">IF(OR(OR($B450="",$E450="",$F450=""),$K450&lt;&gt;"نعم",$M450="نعم"),0,MAX(0,MIN($F450,EOMONTH(DATE(cfg_FY,3,1),0))-MAX($E450,DATE(cfg_FY,3,1))+1))</f>
        <v>0</v>
      </c>
      <c r="AW450" s="57" t="n">
        <f aca="false">IF(OR(OR($B450="",$E450="",$F450=""),$K450&lt;&gt;"نعم",$M450="نعم"),0,MAX(0,MIN($F450,EOMONTH(DATE(cfg_FY,4,1),0))-MAX($E450,DATE(cfg_FY,4,1))+1))</f>
        <v>0</v>
      </c>
      <c r="AX450" s="57" t="n">
        <f aca="false">IF(OR(OR($B450="",$E450="",$F450=""),$K450&lt;&gt;"نعم",$M450="نعم"),0,MAX(0,MIN($F450,EOMONTH(DATE(cfg_FY,5,1),0))-MAX($E450,DATE(cfg_FY,5,1))+1))</f>
        <v>0</v>
      </c>
      <c r="AY450" s="57" t="n">
        <f aca="false">IF(OR(OR($B450="",$E450="",$F450=""),$K450&lt;&gt;"نعم",$M450="نعم"),0,MAX(0,MIN($F450,EOMONTH(DATE(cfg_FY,6,1),0))-MAX($E450,DATE(cfg_FY,6,1))+1))</f>
        <v>0</v>
      </c>
      <c r="AZ450" s="57" t="n">
        <f aca="false">IF(OR(OR($B450="",$E450="",$F450=""),$K450&lt;&gt;"نعم",$M450="نعم"),0,MAX(0,MIN($F450,EOMONTH(DATE(cfg_FY,7,1),0))-MAX($E450,DATE(cfg_FY,7,1))+1))</f>
        <v>0</v>
      </c>
      <c r="BA450" s="57" t="n">
        <f aca="false">IF(OR(OR($B450="",$E450="",$F450=""),$K450&lt;&gt;"نعم",$M450="نعم"),0,MAX(0,MIN($F450,EOMONTH(DATE(cfg_FY,8,1),0))-MAX($E450,DATE(cfg_FY,8,1))+1))</f>
        <v>0</v>
      </c>
      <c r="BB450" s="57" t="n">
        <f aca="false">IF(OR(OR($B450="",$E450="",$F450=""),$K450&lt;&gt;"نعم",$M450="نعم"),0,MAX(0,MIN($F450,EOMONTH(DATE(cfg_FY,9,1),0))-MAX($E450,DATE(cfg_FY,9,1))+1))</f>
        <v>0</v>
      </c>
      <c r="BC450" s="57" t="n">
        <f aca="false">IF(OR(OR($B450="",$E450="",$F450=""),$K450&lt;&gt;"نعم",$M450="نعم"),0,MAX(0,MIN($F450,EOMONTH(DATE(cfg_FY,10,1),0))-MAX($E450,DATE(cfg_FY,10,1))+1))</f>
        <v>0</v>
      </c>
      <c r="BD450" s="57" t="n">
        <f aca="false">IF(OR(OR($B450="",$E450="",$F450=""),$K450&lt;&gt;"نعم",$M450="نعم"),0,MAX(0,MIN($F450,EOMONTH(DATE(cfg_FY,11,1),0))-MAX($E450,DATE(cfg_FY,11,1))+1))</f>
        <v>0</v>
      </c>
      <c r="BE450" s="57" t="n">
        <f aca="false">IF(OR(OR($B450="",$E450="",$F450=""),$K450&lt;&gt;"نعم",$M450="نعم"),0,MAX(0,MIN($F450,EOMONTH(DATE(cfg_FY,12,1),0))-MAX($E450,DATE(cfg_FY,12,1))+1))</f>
        <v>0</v>
      </c>
    </row>
    <row r="451" customFormat="false" ht="15" hidden="false" customHeight="false" outlineLevel="0" collapsed="false">
      <c r="A451" s="100" t="str">
        <f aca="false">IF(B451="","",ROW()-5)</f>
        <v/>
      </c>
      <c r="B451" s="79"/>
      <c r="C451" s="102" t="str">
        <f aca="false">IF(B451="","",IFERROR(INDEX(الموظفون!$C$6:$C$105,MATCH(B451,الموظفون!$B$6:$B$105,0)),"✖ رقم غير موجود"))</f>
        <v/>
      </c>
      <c r="D451" s="79"/>
      <c r="E451" s="94"/>
      <c r="F451" s="94"/>
      <c r="G451" s="110" t="str">
        <f aca="false">IF(OR($B451="",$E451="",$F451=""),"",MAX(0,F451-E451+1))</f>
        <v/>
      </c>
      <c r="H451" s="111" t="str">
        <f aca="false">IF(D451="","",IFERROR(VLOOKUP(D451,cfg_LT,2,FALSE()),1))</f>
        <v/>
      </c>
      <c r="I451" s="82"/>
      <c r="J451" s="111" t="str">
        <f aca="false">IF(D451="","",IF(I451&lt;&gt;"",I451,H451))</f>
        <v/>
      </c>
      <c r="K451" s="102" t="str">
        <f aca="false">IF(D451="","",IFERROR(VLOOKUP($D451,cfg_LT,3,FALSE()),""))</f>
        <v/>
      </c>
      <c r="L451" s="102" t="str">
        <f aca="false">IF(D451="","",IFERROR(VLOOKUP($D451,cfg_LT,4,FALSE()),""))</f>
        <v/>
      </c>
      <c r="M451" s="102" t="str">
        <f aca="false">IF(D451="","",IFERROR(VLOOKUP($D451,cfg_LT,5,FALSE()),""))</f>
        <v/>
      </c>
      <c r="N451" s="101" t="n">
        <f aca="false">IF(OR(OR($B451="",$E451="",$F451=""),M451&lt;&gt;"نعم"),0,G451*J451*IFERROR(INDEX(الموظفون!$R$6:$R$105,MATCH(B451,الموظفون!$B$6:$B$105,0)),0)/cfg_DAYS_M)</f>
        <v>0</v>
      </c>
      <c r="O451" s="100" t="str">
        <f aca="false">IF(OR(OR($B451="",$E451="",$F451=""),M451&lt;&gt;"نعم"),"",IF(YEAR(E451)=cfg_FY,MONTH(E451),""))</f>
        <v/>
      </c>
      <c r="P451" s="102" t="str">
        <f aca="false">IF(B451="","",IF(OR(D451="",E451="",F451=""),"⚠ أكمل النوع والتواريخ",IF(F451&lt;E451,"✖ النهاية قبل البداية",IF(COUNTIFS($B$6:$B$505,B451,$E$6:$E$505,"&lt;="&amp;F451,$F$6:$F$505,"&gt;="&amp;E451)&gt;1,"⚠ تداخل مع سجل آخر",IF(E451&gt;cfg_VAL_DATE,"⏳ قادمة",IF(F451&lt;cfg_VAL_DATE,"✔ منتهية","✈ جارية في تاريخ التقرير"))))))</f>
        <v/>
      </c>
      <c r="Q451" s="79"/>
      <c r="R451" s="110" t="n">
        <f aca="false">IF(OR(OR($B451="",$E451="",$F451=""),L451&lt;&gt;"لا"),0,MAX(0,MIN(F451,cfg_Y_START-1)-E451+1))</f>
        <v>0</v>
      </c>
      <c r="S451" s="110" t="n">
        <f aca="false">IF(OR(OR($B451="",$E451="",$F451=""),L451&lt;&gt;"لا"),0,MAX(0,MIN(F451,cfg_VAL_DATE)-E451+1))</f>
        <v>0</v>
      </c>
      <c r="T451" s="110" t="n">
        <f aca="false">IF(OR(OR($B451="",$E451="",$F451=""),K451&lt;&gt;"نعم"),0,IF(M451="نعم",IF(AND(ISNUMBER(O451),N(O451)&lt;=cfg_VAL_M),G451,0),MAX(0,MIN(F451,cfg_VAL_DATE)-MAX(E451,cfg_Y_START)+1)))</f>
        <v>0</v>
      </c>
      <c r="V451" s="110" t="n">
        <f aca="false">IF(OR($B451="",$E451="",$F451=""),0,MAX(0,MIN($F451,EOMONTH(DATE(cfg_FY,1,1),0))-MAX($E451,DATE(cfg_FY,1,1))+1)*(1-IF($M451="نعم",0,N($J451))))</f>
        <v>0</v>
      </c>
      <c r="W451" s="110" t="n">
        <f aca="false">IF(OR($B451="",$E451="",$F451=""),0,MAX(0,MIN($F451,EOMONTH(DATE(cfg_FY,2,1),0))-MAX($E451,DATE(cfg_FY,2,1))+1)*(1-IF($M451="نعم",0,N($J451))))</f>
        <v>0</v>
      </c>
      <c r="X451" s="110" t="n">
        <f aca="false">IF(OR($B451="",$E451="",$F451=""),0,MAX(0,MIN($F451,EOMONTH(DATE(cfg_FY,3,1),0))-MAX($E451,DATE(cfg_FY,3,1))+1)*(1-IF($M451="نعم",0,N($J451))))</f>
        <v>0</v>
      </c>
      <c r="Y451" s="110" t="n">
        <f aca="false">IF(OR($B451="",$E451="",$F451=""),0,MAX(0,MIN($F451,EOMONTH(DATE(cfg_FY,4,1),0))-MAX($E451,DATE(cfg_FY,4,1))+1)*(1-IF($M451="نعم",0,N($J451))))</f>
        <v>0</v>
      </c>
      <c r="Z451" s="110" t="n">
        <f aca="false">IF(OR($B451="",$E451="",$F451=""),0,MAX(0,MIN($F451,EOMONTH(DATE(cfg_FY,5,1),0))-MAX($E451,DATE(cfg_FY,5,1))+1)*(1-IF($M451="نعم",0,N($J451))))</f>
        <v>0</v>
      </c>
      <c r="AA451" s="110" t="n">
        <f aca="false">IF(OR($B451="",$E451="",$F451=""),0,MAX(0,MIN($F451,EOMONTH(DATE(cfg_FY,6,1),0))-MAX($E451,DATE(cfg_FY,6,1))+1)*(1-IF($M451="نعم",0,N($J451))))</f>
        <v>0</v>
      </c>
      <c r="AB451" s="110" t="n">
        <f aca="false">IF(OR($B451="",$E451="",$F451=""),0,MAX(0,MIN($F451,EOMONTH(DATE(cfg_FY,7,1),0))-MAX($E451,DATE(cfg_FY,7,1))+1)*(1-IF($M451="نعم",0,N($J451))))</f>
        <v>0</v>
      </c>
      <c r="AC451" s="110" t="n">
        <f aca="false">IF(OR($B451="",$E451="",$F451=""),0,MAX(0,MIN($F451,EOMONTH(DATE(cfg_FY,8,1),0))-MAX($E451,DATE(cfg_FY,8,1))+1)*(1-IF($M451="نعم",0,N($J451))))</f>
        <v>0</v>
      </c>
      <c r="AD451" s="110" t="n">
        <f aca="false">IF(OR($B451="",$E451="",$F451=""),0,MAX(0,MIN($F451,EOMONTH(DATE(cfg_FY,9,1),0))-MAX($E451,DATE(cfg_FY,9,1))+1)*(1-IF($M451="نعم",0,N($J451))))</f>
        <v>0</v>
      </c>
      <c r="AE451" s="110" t="n">
        <f aca="false">IF(OR($B451="",$E451="",$F451=""),0,MAX(0,MIN($F451,EOMONTH(DATE(cfg_FY,10,1),0))-MAX($E451,DATE(cfg_FY,10,1))+1)*(1-IF($M451="نعم",0,N($J451))))</f>
        <v>0</v>
      </c>
      <c r="AF451" s="110" t="n">
        <f aca="false">IF(OR($B451="",$E451="",$F451=""),0,MAX(0,MIN($F451,EOMONTH(DATE(cfg_FY,11,1),0))-MAX($E451,DATE(cfg_FY,11,1))+1)*(1-IF($M451="نعم",0,N($J451))))</f>
        <v>0</v>
      </c>
      <c r="AG451" s="110" t="n">
        <f aca="false">IF(OR($B451="",$E451="",$F451=""),0,MAX(0,MIN($F451,EOMONTH(DATE(cfg_FY,12,1),0))-MAX($E451,DATE(cfg_FY,12,1))+1)*(1-IF($M451="نعم",0,N($J451))))</f>
        <v>0</v>
      </c>
      <c r="AH451" s="110" t="n">
        <f aca="false">IF(OR(OR($B451="",$E451="",$F451=""),$L451&lt;&gt;"لا"),0,MAX(0,MIN($F451,EOMONTH(DATE(cfg_FY,1,1),0))-$E451+1))</f>
        <v>0</v>
      </c>
      <c r="AI451" s="110" t="n">
        <f aca="false">IF(OR(OR($B451="",$E451="",$F451=""),$L451&lt;&gt;"لا"),0,MAX(0,MIN($F451,EOMONTH(DATE(cfg_FY,2,1),0))-$E451+1))</f>
        <v>0</v>
      </c>
      <c r="AJ451" s="110" t="n">
        <f aca="false">IF(OR(OR($B451="",$E451="",$F451=""),$L451&lt;&gt;"لا"),0,MAX(0,MIN($F451,EOMONTH(DATE(cfg_FY,3,1),0))-$E451+1))</f>
        <v>0</v>
      </c>
      <c r="AK451" s="110" t="n">
        <f aca="false">IF(OR(OR($B451="",$E451="",$F451=""),$L451&lt;&gt;"لا"),0,MAX(0,MIN($F451,EOMONTH(DATE(cfg_FY,4,1),0))-$E451+1))</f>
        <v>0</v>
      </c>
      <c r="AL451" s="110" t="n">
        <f aca="false">IF(OR(OR($B451="",$E451="",$F451=""),$L451&lt;&gt;"لا"),0,MAX(0,MIN($F451,EOMONTH(DATE(cfg_FY,5,1),0))-$E451+1))</f>
        <v>0</v>
      </c>
      <c r="AM451" s="110" t="n">
        <f aca="false">IF(OR(OR($B451="",$E451="",$F451=""),$L451&lt;&gt;"لا"),0,MAX(0,MIN($F451,EOMONTH(DATE(cfg_FY,6,1),0))-$E451+1))</f>
        <v>0</v>
      </c>
      <c r="AN451" s="110" t="n">
        <f aca="false">IF(OR(OR($B451="",$E451="",$F451=""),$L451&lt;&gt;"لا"),0,MAX(0,MIN($F451,EOMONTH(DATE(cfg_FY,7,1),0))-$E451+1))</f>
        <v>0</v>
      </c>
      <c r="AO451" s="110" t="n">
        <f aca="false">IF(OR(OR($B451="",$E451="",$F451=""),$L451&lt;&gt;"لا"),0,MAX(0,MIN($F451,EOMONTH(DATE(cfg_FY,8,1),0))-$E451+1))</f>
        <v>0</v>
      </c>
      <c r="AP451" s="110" t="n">
        <f aca="false">IF(OR(OR($B451="",$E451="",$F451=""),$L451&lt;&gt;"لا"),0,MAX(0,MIN($F451,EOMONTH(DATE(cfg_FY,9,1),0))-$E451+1))</f>
        <v>0</v>
      </c>
      <c r="AQ451" s="110" t="n">
        <f aca="false">IF(OR(OR($B451="",$E451="",$F451=""),$L451&lt;&gt;"لا"),0,MAX(0,MIN($F451,EOMONTH(DATE(cfg_FY,10,1),0))-$E451+1))</f>
        <v>0</v>
      </c>
      <c r="AR451" s="110" t="n">
        <f aca="false">IF(OR(OR($B451="",$E451="",$F451=""),$L451&lt;&gt;"لا"),0,MAX(0,MIN($F451,EOMONTH(DATE(cfg_FY,11,1),0))-$E451+1))</f>
        <v>0</v>
      </c>
      <c r="AS451" s="110" t="n">
        <f aca="false">IF(OR(OR($B451="",$E451="",$F451=""),$L451&lt;&gt;"لا"),0,MAX(0,MIN($F451,EOMONTH(DATE(cfg_FY,12,1),0))-$E451+1))</f>
        <v>0</v>
      </c>
      <c r="AT451" s="110" t="n">
        <f aca="false">IF(OR(OR($B451="",$E451="",$F451=""),$K451&lt;&gt;"نعم",$M451="نعم"),0,MAX(0,MIN($F451,EOMONTH(DATE(cfg_FY,1,1),0))-MAX($E451,DATE(cfg_FY,1,1))+1))</f>
        <v>0</v>
      </c>
      <c r="AU451" s="110" t="n">
        <f aca="false">IF(OR(OR($B451="",$E451="",$F451=""),$K451&lt;&gt;"نعم",$M451="نعم"),0,MAX(0,MIN($F451,EOMONTH(DATE(cfg_FY,2,1),0))-MAX($E451,DATE(cfg_FY,2,1))+1))</f>
        <v>0</v>
      </c>
      <c r="AV451" s="110" t="n">
        <f aca="false">IF(OR(OR($B451="",$E451="",$F451=""),$K451&lt;&gt;"نعم",$M451="نعم"),0,MAX(0,MIN($F451,EOMONTH(DATE(cfg_FY,3,1),0))-MAX($E451,DATE(cfg_FY,3,1))+1))</f>
        <v>0</v>
      </c>
      <c r="AW451" s="110" t="n">
        <f aca="false">IF(OR(OR($B451="",$E451="",$F451=""),$K451&lt;&gt;"نعم",$M451="نعم"),0,MAX(0,MIN($F451,EOMONTH(DATE(cfg_FY,4,1),0))-MAX($E451,DATE(cfg_FY,4,1))+1))</f>
        <v>0</v>
      </c>
      <c r="AX451" s="110" t="n">
        <f aca="false">IF(OR(OR($B451="",$E451="",$F451=""),$K451&lt;&gt;"نعم",$M451="نعم"),0,MAX(0,MIN($F451,EOMONTH(DATE(cfg_FY,5,1),0))-MAX($E451,DATE(cfg_FY,5,1))+1))</f>
        <v>0</v>
      </c>
      <c r="AY451" s="110" t="n">
        <f aca="false">IF(OR(OR($B451="",$E451="",$F451=""),$K451&lt;&gt;"نعم",$M451="نعم"),0,MAX(0,MIN($F451,EOMONTH(DATE(cfg_FY,6,1),0))-MAX($E451,DATE(cfg_FY,6,1))+1))</f>
        <v>0</v>
      </c>
      <c r="AZ451" s="110" t="n">
        <f aca="false">IF(OR(OR($B451="",$E451="",$F451=""),$K451&lt;&gt;"نعم",$M451="نعم"),0,MAX(0,MIN($F451,EOMONTH(DATE(cfg_FY,7,1),0))-MAX($E451,DATE(cfg_FY,7,1))+1))</f>
        <v>0</v>
      </c>
      <c r="BA451" s="110" t="n">
        <f aca="false">IF(OR(OR($B451="",$E451="",$F451=""),$K451&lt;&gt;"نعم",$M451="نعم"),0,MAX(0,MIN($F451,EOMONTH(DATE(cfg_FY,8,1),0))-MAX($E451,DATE(cfg_FY,8,1))+1))</f>
        <v>0</v>
      </c>
      <c r="BB451" s="110" t="n">
        <f aca="false">IF(OR(OR($B451="",$E451="",$F451=""),$K451&lt;&gt;"نعم",$M451="نعم"),0,MAX(0,MIN($F451,EOMONTH(DATE(cfg_FY,9,1),0))-MAX($E451,DATE(cfg_FY,9,1))+1))</f>
        <v>0</v>
      </c>
      <c r="BC451" s="110" t="n">
        <f aca="false">IF(OR(OR($B451="",$E451="",$F451=""),$K451&lt;&gt;"نعم",$M451="نعم"),0,MAX(0,MIN($F451,EOMONTH(DATE(cfg_FY,10,1),0))-MAX($E451,DATE(cfg_FY,10,1))+1))</f>
        <v>0</v>
      </c>
      <c r="BD451" s="110" t="n">
        <f aca="false">IF(OR(OR($B451="",$E451="",$F451=""),$K451&lt;&gt;"نعم",$M451="نعم"),0,MAX(0,MIN($F451,EOMONTH(DATE(cfg_FY,11,1),0))-MAX($E451,DATE(cfg_FY,11,1))+1))</f>
        <v>0</v>
      </c>
      <c r="BE451" s="110" t="n">
        <f aca="false">IF(OR(OR($B451="",$E451="",$F451=""),$K451&lt;&gt;"نعم",$M451="نعم"),0,MAX(0,MIN($F451,EOMONTH(DATE(cfg_FY,12,1),0))-MAX($E451,DATE(cfg_FY,12,1))+1))</f>
        <v>0</v>
      </c>
    </row>
    <row r="452" customFormat="false" ht="15" hidden="false" customHeight="false" outlineLevel="0" collapsed="false">
      <c r="A452" s="93" t="str">
        <f aca="false">IF(B452="","",ROW()-5)</f>
        <v/>
      </c>
      <c r="B452" s="79"/>
      <c r="C452" s="80" t="str">
        <f aca="false">IF(B452="","",IFERROR(INDEX(الموظفون!$C$6:$C$105,MATCH(B452,الموظفون!$B$6:$B$105,0)),"✖ رقم غير موجود"))</f>
        <v/>
      </c>
      <c r="D452" s="79"/>
      <c r="E452" s="94"/>
      <c r="F452" s="94"/>
      <c r="G452" s="57" t="str">
        <f aca="false">IF(OR($B452="",$E452="",$F452=""),"",MAX(0,F452-E452+1))</f>
        <v/>
      </c>
      <c r="H452" s="58" t="str">
        <f aca="false">IF(D452="","",IFERROR(VLOOKUP(D452,cfg_LT,2,FALSE()),1))</f>
        <v/>
      </c>
      <c r="I452" s="82"/>
      <c r="J452" s="58" t="str">
        <f aca="false">IF(D452="","",IF(I452&lt;&gt;"",I452,H452))</f>
        <v/>
      </c>
      <c r="K452" s="80" t="str">
        <f aca="false">IF(D452="","",IFERROR(VLOOKUP($D452,cfg_LT,3,FALSE()),""))</f>
        <v/>
      </c>
      <c r="L452" s="80" t="str">
        <f aca="false">IF(D452="","",IFERROR(VLOOKUP($D452,cfg_LT,4,FALSE()),""))</f>
        <v/>
      </c>
      <c r="M452" s="80" t="str">
        <f aca="false">IF(D452="","",IFERROR(VLOOKUP($D452,cfg_LT,5,FALSE()),""))</f>
        <v/>
      </c>
      <c r="N452" s="97" t="n">
        <f aca="false">IF(OR(OR($B452="",$E452="",$F452=""),M452&lt;&gt;"نعم"),0,G452*J452*IFERROR(INDEX(الموظفون!$R$6:$R$105,MATCH(B452,الموظفون!$B$6:$B$105,0)),0)/cfg_DAYS_M)</f>
        <v>0</v>
      </c>
      <c r="O452" s="93" t="str">
        <f aca="false">IF(OR(OR($B452="",$E452="",$F452=""),M452&lt;&gt;"نعم"),"",IF(YEAR(E452)=cfg_FY,MONTH(E452),""))</f>
        <v/>
      </c>
      <c r="P452" s="80" t="str">
        <f aca="false">IF(B452="","",IF(OR(D452="",E452="",F452=""),"⚠ أكمل النوع والتواريخ",IF(F452&lt;E452,"✖ النهاية قبل البداية",IF(COUNTIFS($B$6:$B$505,B452,$E$6:$E$505,"&lt;="&amp;F452,$F$6:$F$505,"&gt;="&amp;E452)&gt;1,"⚠ تداخل مع سجل آخر",IF(E452&gt;cfg_VAL_DATE,"⏳ قادمة",IF(F452&lt;cfg_VAL_DATE,"✔ منتهية","✈ جارية في تاريخ التقرير"))))))</f>
        <v/>
      </c>
      <c r="Q452" s="79"/>
      <c r="R452" s="57" t="n">
        <f aca="false">IF(OR(OR($B452="",$E452="",$F452=""),L452&lt;&gt;"لا"),0,MAX(0,MIN(F452,cfg_Y_START-1)-E452+1))</f>
        <v>0</v>
      </c>
      <c r="S452" s="57" t="n">
        <f aca="false">IF(OR(OR($B452="",$E452="",$F452=""),L452&lt;&gt;"لا"),0,MAX(0,MIN(F452,cfg_VAL_DATE)-E452+1))</f>
        <v>0</v>
      </c>
      <c r="T452" s="57" t="n">
        <f aca="false">IF(OR(OR($B452="",$E452="",$F452=""),K452&lt;&gt;"نعم"),0,IF(M452="نعم",IF(AND(ISNUMBER(O452),N(O452)&lt;=cfg_VAL_M),G452,0),MAX(0,MIN(F452,cfg_VAL_DATE)-MAX(E452,cfg_Y_START)+1)))</f>
        <v>0</v>
      </c>
      <c r="V452" s="57" t="n">
        <f aca="false">IF(OR($B452="",$E452="",$F452=""),0,MAX(0,MIN($F452,EOMONTH(DATE(cfg_FY,1,1),0))-MAX($E452,DATE(cfg_FY,1,1))+1)*(1-IF($M452="نعم",0,N($J452))))</f>
        <v>0</v>
      </c>
      <c r="W452" s="57" t="n">
        <f aca="false">IF(OR($B452="",$E452="",$F452=""),0,MAX(0,MIN($F452,EOMONTH(DATE(cfg_FY,2,1),0))-MAX($E452,DATE(cfg_FY,2,1))+1)*(1-IF($M452="نعم",0,N($J452))))</f>
        <v>0</v>
      </c>
      <c r="X452" s="57" t="n">
        <f aca="false">IF(OR($B452="",$E452="",$F452=""),0,MAX(0,MIN($F452,EOMONTH(DATE(cfg_FY,3,1),0))-MAX($E452,DATE(cfg_FY,3,1))+1)*(1-IF($M452="نعم",0,N($J452))))</f>
        <v>0</v>
      </c>
      <c r="Y452" s="57" t="n">
        <f aca="false">IF(OR($B452="",$E452="",$F452=""),0,MAX(0,MIN($F452,EOMONTH(DATE(cfg_FY,4,1),0))-MAX($E452,DATE(cfg_FY,4,1))+1)*(1-IF($M452="نعم",0,N($J452))))</f>
        <v>0</v>
      </c>
      <c r="Z452" s="57" t="n">
        <f aca="false">IF(OR($B452="",$E452="",$F452=""),0,MAX(0,MIN($F452,EOMONTH(DATE(cfg_FY,5,1),0))-MAX($E452,DATE(cfg_FY,5,1))+1)*(1-IF($M452="نعم",0,N($J452))))</f>
        <v>0</v>
      </c>
      <c r="AA452" s="57" t="n">
        <f aca="false">IF(OR($B452="",$E452="",$F452=""),0,MAX(0,MIN($F452,EOMONTH(DATE(cfg_FY,6,1),0))-MAX($E452,DATE(cfg_FY,6,1))+1)*(1-IF($M452="نعم",0,N($J452))))</f>
        <v>0</v>
      </c>
      <c r="AB452" s="57" t="n">
        <f aca="false">IF(OR($B452="",$E452="",$F452=""),0,MAX(0,MIN($F452,EOMONTH(DATE(cfg_FY,7,1),0))-MAX($E452,DATE(cfg_FY,7,1))+1)*(1-IF($M452="نعم",0,N($J452))))</f>
        <v>0</v>
      </c>
      <c r="AC452" s="57" t="n">
        <f aca="false">IF(OR($B452="",$E452="",$F452=""),0,MAX(0,MIN($F452,EOMONTH(DATE(cfg_FY,8,1),0))-MAX($E452,DATE(cfg_FY,8,1))+1)*(1-IF($M452="نعم",0,N($J452))))</f>
        <v>0</v>
      </c>
      <c r="AD452" s="57" t="n">
        <f aca="false">IF(OR($B452="",$E452="",$F452=""),0,MAX(0,MIN($F452,EOMONTH(DATE(cfg_FY,9,1),0))-MAX($E452,DATE(cfg_FY,9,1))+1)*(1-IF($M452="نعم",0,N($J452))))</f>
        <v>0</v>
      </c>
      <c r="AE452" s="57" t="n">
        <f aca="false">IF(OR($B452="",$E452="",$F452=""),0,MAX(0,MIN($F452,EOMONTH(DATE(cfg_FY,10,1),0))-MAX($E452,DATE(cfg_FY,10,1))+1)*(1-IF($M452="نعم",0,N($J452))))</f>
        <v>0</v>
      </c>
      <c r="AF452" s="57" t="n">
        <f aca="false">IF(OR($B452="",$E452="",$F452=""),0,MAX(0,MIN($F452,EOMONTH(DATE(cfg_FY,11,1),0))-MAX($E452,DATE(cfg_FY,11,1))+1)*(1-IF($M452="نعم",0,N($J452))))</f>
        <v>0</v>
      </c>
      <c r="AG452" s="57" t="n">
        <f aca="false">IF(OR($B452="",$E452="",$F452=""),0,MAX(0,MIN($F452,EOMONTH(DATE(cfg_FY,12,1),0))-MAX($E452,DATE(cfg_FY,12,1))+1)*(1-IF($M452="نعم",0,N($J452))))</f>
        <v>0</v>
      </c>
      <c r="AH452" s="57" t="n">
        <f aca="false">IF(OR(OR($B452="",$E452="",$F452=""),$L452&lt;&gt;"لا"),0,MAX(0,MIN($F452,EOMONTH(DATE(cfg_FY,1,1),0))-$E452+1))</f>
        <v>0</v>
      </c>
      <c r="AI452" s="57" t="n">
        <f aca="false">IF(OR(OR($B452="",$E452="",$F452=""),$L452&lt;&gt;"لا"),0,MAX(0,MIN($F452,EOMONTH(DATE(cfg_FY,2,1),0))-$E452+1))</f>
        <v>0</v>
      </c>
      <c r="AJ452" s="57" t="n">
        <f aca="false">IF(OR(OR($B452="",$E452="",$F452=""),$L452&lt;&gt;"لا"),0,MAX(0,MIN($F452,EOMONTH(DATE(cfg_FY,3,1),0))-$E452+1))</f>
        <v>0</v>
      </c>
      <c r="AK452" s="57" t="n">
        <f aca="false">IF(OR(OR($B452="",$E452="",$F452=""),$L452&lt;&gt;"لا"),0,MAX(0,MIN($F452,EOMONTH(DATE(cfg_FY,4,1),0))-$E452+1))</f>
        <v>0</v>
      </c>
      <c r="AL452" s="57" t="n">
        <f aca="false">IF(OR(OR($B452="",$E452="",$F452=""),$L452&lt;&gt;"لا"),0,MAX(0,MIN($F452,EOMONTH(DATE(cfg_FY,5,1),0))-$E452+1))</f>
        <v>0</v>
      </c>
      <c r="AM452" s="57" t="n">
        <f aca="false">IF(OR(OR($B452="",$E452="",$F452=""),$L452&lt;&gt;"لا"),0,MAX(0,MIN($F452,EOMONTH(DATE(cfg_FY,6,1),0))-$E452+1))</f>
        <v>0</v>
      </c>
      <c r="AN452" s="57" t="n">
        <f aca="false">IF(OR(OR($B452="",$E452="",$F452=""),$L452&lt;&gt;"لا"),0,MAX(0,MIN($F452,EOMONTH(DATE(cfg_FY,7,1),0))-$E452+1))</f>
        <v>0</v>
      </c>
      <c r="AO452" s="57" t="n">
        <f aca="false">IF(OR(OR($B452="",$E452="",$F452=""),$L452&lt;&gt;"لا"),0,MAX(0,MIN($F452,EOMONTH(DATE(cfg_FY,8,1),0))-$E452+1))</f>
        <v>0</v>
      </c>
      <c r="AP452" s="57" t="n">
        <f aca="false">IF(OR(OR($B452="",$E452="",$F452=""),$L452&lt;&gt;"لا"),0,MAX(0,MIN($F452,EOMONTH(DATE(cfg_FY,9,1),0))-$E452+1))</f>
        <v>0</v>
      </c>
      <c r="AQ452" s="57" t="n">
        <f aca="false">IF(OR(OR($B452="",$E452="",$F452=""),$L452&lt;&gt;"لا"),0,MAX(0,MIN($F452,EOMONTH(DATE(cfg_FY,10,1),0))-$E452+1))</f>
        <v>0</v>
      </c>
      <c r="AR452" s="57" t="n">
        <f aca="false">IF(OR(OR($B452="",$E452="",$F452=""),$L452&lt;&gt;"لا"),0,MAX(0,MIN($F452,EOMONTH(DATE(cfg_FY,11,1),0))-$E452+1))</f>
        <v>0</v>
      </c>
      <c r="AS452" s="57" t="n">
        <f aca="false">IF(OR(OR($B452="",$E452="",$F452=""),$L452&lt;&gt;"لا"),0,MAX(0,MIN($F452,EOMONTH(DATE(cfg_FY,12,1),0))-$E452+1))</f>
        <v>0</v>
      </c>
      <c r="AT452" s="57" t="n">
        <f aca="false">IF(OR(OR($B452="",$E452="",$F452=""),$K452&lt;&gt;"نعم",$M452="نعم"),0,MAX(0,MIN($F452,EOMONTH(DATE(cfg_FY,1,1),0))-MAX($E452,DATE(cfg_FY,1,1))+1))</f>
        <v>0</v>
      </c>
      <c r="AU452" s="57" t="n">
        <f aca="false">IF(OR(OR($B452="",$E452="",$F452=""),$K452&lt;&gt;"نعم",$M452="نعم"),0,MAX(0,MIN($F452,EOMONTH(DATE(cfg_FY,2,1),0))-MAX($E452,DATE(cfg_FY,2,1))+1))</f>
        <v>0</v>
      </c>
      <c r="AV452" s="57" t="n">
        <f aca="false">IF(OR(OR($B452="",$E452="",$F452=""),$K452&lt;&gt;"نعم",$M452="نعم"),0,MAX(0,MIN($F452,EOMONTH(DATE(cfg_FY,3,1),0))-MAX($E452,DATE(cfg_FY,3,1))+1))</f>
        <v>0</v>
      </c>
      <c r="AW452" s="57" t="n">
        <f aca="false">IF(OR(OR($B452="",$E452="",$F452=""),$K452&lt;&gt;"نعم",$M452="نعم"),0,MAX(0,MIN($F452,EOMONTH(DATE(cfg_FY,4,1),0))-MAX($E452,DATE(cfg_FY,4,1))+1))</f>
        <v>0</v>
      </c>
      <c r="AX452" s="57" t="n">
        <f aca="false">IF(OR(OR($B452="",$E452="",$F452=""),$K452&lt;&gt;"نعم",$M452="نعم"),0,MAX(0,MIN($F452,EOMONTH(DATE(cfg_FY,5,1),0))-MAX($E452,DATE(cfg_FY,5,1))+1))</f>
        <v>0</v>
      </c>
      <c r="AY452" s="57" t="n">
        <f aca="false">IF(OR(OR($B452="",$E452="",$F452=""),$K452&lt;&gt;"نعم",$M452="نعم"),0,MAX(0,MIN($F452,EOMONTH(DATE(cfg_FY,6,1),0))-MAX($E452,DATE(cfg_FY,6,1))+1))</f>
        <v>0</v>
      </c>
      <c r="AZ452" s="57" t="n">
        <f aca="false">IF(OR(OR($B452="",$E452="",$F452=""),$K452&lt;&gt;"نعم",$M452="نعم"),0,MAX(0,MIN($F452,EOMONTH(DATE(cfg_FY,7,1),0))-MAX($E452,DATE(cfg_FY,7,1))+1))</f>
        <v>0</v>
      </c>
      <c r="BA452" s="57" t="n">
        <f aca="false">IF(OR(OR($B452="",$E452="",$F452=""),$K452&lt;&gt;"نعم",$M452="نعم"),0,MAX(0,MIN($F452,EOMONTH(DATE(cfg_FY,8,1),0))-MAX($E452,DATE(cfg_FY,8,1))+1))</f>
        <v>0</v>
      </c>
      <c r="BB452" s="57" t="n">
        <f aca="false">IF(OR(OR($B452="",$E452="",$F452=""),$K452&lt;&gt;"نعم",$M452="نعم"),0,MAX(0,MIN($F452,EOMONTH(DATE(cfg_FY,9,1),0))-MAX($E452,DATE(cfg_FY,9,1))+1))</f>
        <v>0</v>
      </c>
      <c r="BC452" s="57" t="n">
        <f aca="false">IF(OR(OR($B452="",$E452="",$F452=""),$K452&lt;&gt;"نعم",$M452="نعم"),0,MAX(0,MIN($F452,EOMONTH(DATE(cfg_FY,10,1),0))-MAX($E452,DATE(cfg_FY,10,1))+1))</f>
        <v>0</v>
      </c>
      <c r="BD452" s="57" t="n">
        <f aca="false">IF(OR(OR($B452="",$E452="",$F452=""),$K452&lt;&gt;"نعم",$M452="نعم"),0,MAX(0,MIN($F452,EOMONTH(DATE(cfg_FY,11,1),0))-MAX($E452,DATE(cfg_FY,11,1))+1))</f>
        <v>0</v>
      </c>
      <c r="BE452" s="57" t="n">
        <f aca="false">IF(OR(OR($B452="",$E452="",$F452=""),$K452&lt;&gt;"نعم",$M452="نعم"),0,MAX(0,MIN($F452,EOMONTH(DATE(cfg_FY,12,1),0))-MAX($E452,DATE(cfg_FY,12,1))+1))</f>
        <v>0</v>
      </c>
    </row>
    <row r="453" customFormat="false" ht="15" hidden="false" customHeight="false" outlineLevel="0" collapsed="false">
      <c r="A453" s="100" t="str">
        <f aca="false">IF(B453="","",ROW()-5)</f>
        <v/>
      </c>
      <c r="B453" s="79"/>
      <c r="C453" s="102" t="str">
        <f aca="false">IF(B453="","",IFERROR(INDEX(الموظفون!$C$6:$C$105,MATCH(B453,الموظفون!$B$6:$B$105,0)),"✖ رقم غير موجود"))</f>
        <v/>
      </c>
      <c r="D453" s="79"/>
      <c r="E453" s="94"/>
      <c r="F453" s="94"/>
      <c r="G453" s="110" t="str">
        <f aca="false">IF(OR($B453="",$E453="",$F453=""),"",MAX(0,F453-E453+1))</f>
        <v/>
      </c>
      <c r="H453" s="111" t="str">
        <f aca="false">IF(D453="","",IFERROR(VLOOKUP(D453,cfg_LT,2,FALSE()),1))</f>
        <v/>
      </c>
      <c r="I453" s="82"/>
      <c r="J453" s="111" t="str">
        <f aca="false">IF(D453="","",IF(I453&lt;&gt;"",I453,H453))</f>
        <v/>
      </c>
      <c r="K453" s="102" t="str">
        <f aca="false">IF(D453="","",IFERROR(VLOOKUP($D453,cfg_LT,3,FALSE()),""))</f>
        <v/>
      </c>
      <c r="L453" s="102" t="str">
        <f aca="false">IF(D453="","",IFERROR(VLOOKUP($D453,cfg_LT,4,FALSE()),""))</f>
        <v/>
      </c>
      <c r="M453" s="102" t="str">
        <f aca="false">IF(D453="","",IFERROR(VLOOKUP($D453,cfg_LT,5,FALSE()),""))</f>
        <v/>
      </c>
      <c r="N453" s="101" t="n">
        <f aca="false">IF(OR(OR($B453="",$E453="",$F453=""),M453&lt;&gt;"نعم"),0,G453*J453*IFERROR(INDEX(الموظفون!$R$6:$R$105,MATCH(B453,الموظفون!$B$6:$B$105,0)),0)/cfg_DAYS_M)</f>
        <v>0</v>
      </c>
      <c r="O453" s="100" t="str">
        <f aca="false">IF(OR(OR($B453="",$E453="",$F453=""),M453&lt;&gt;"نعم"),"",IF(YEAR(E453)=cfg_FY,MONTH(E453),""))</f>
        <v/>
      </c>
      <c r="P453" s="102" t="str">
        <f aca="false">IF(B453="","",IF(OR(D453="",E453="",F453=""),"⚠ أكمل النوع والتواريخ",IF(F453&lt;E453,"✖ النهاية قبل البداية",IF(COUNTIFS($B$6:$B$505,B453,$E$6:$E$505,"&lt;="&amp;F453,$F$6:$F$505,"&gt;="&amp;E453)&gt;1,"⚠ تداخل مع سجل آخر",IF(E453&gt;cfg_VAL_DATE,"⏳ قادمة",IF(F453&lt;cfg_VAL_DATE,"✔ منتهية","✈ جارية في تاريخ التقرير"))))))</f>
        <v/>
      </c>
      <c r="Q453" s="79"/>
      <c r="R453" s="110" t="n">
        <f aca="false">IF(OR(OR($B453="",$E453="",$F453=""),L453&lt;&gt;"لا"),0,MAX(0,MIN(F453,cfg_Y_START-1)-E453+1))</f>
        <v>0</v>
      </c>
      <c r="S453" s="110" t="n">
        <f aca="false">IF(OR(OR($B453="",$E453="",$F453=""),L453&lt;&gt;"لا"),0,MAX(0,MIN(F453,cfg_VAL_DATE)-E453+1))</f>
        <v>0</v>
      </c>
      <c r="T453" s="110" t="n">
        <f aca="false">IF(OR(OR($B453="",$E453="",$F453=""),K453&lt;&gt;"نعم"),0,IF(M453="نعم",IF(AND(ISNUMBER(O453),N(O453)&lt;=cfg_VAL_M),G453,0),MAX(0,MIN(F453,cfg_VAL_DATE)-MAX(E453,cfg_Y_START)+1)))</f>
        <v>0</v>
      </c>
      <c r="V453" s="110" t="n">
        <f aca="false">IF(OR($B453="",$E453="",$F453=""),0,MAX(0,MIN($F453,EOMONTH(DATE(cfg_FY,1,1),0))-MAX($E453,DATE(cfg_FY,1,1))+1)*(1-IF($M453="نعم",0,N($J453))))</f>
        <v>0</v>
      </c>
      <c r="W453" s="110" t="n">
        <f aca="false">IF(OR($B453="",$E453="",$F453=""),0,MAX(0,MIN($F453,EOMONTH(DATE(cfg_FY,2,1),0))-MAX($E453,DATE(cfg_FY,2,1))+1)*(1-IF($M453="نعم",0,N($J453))))</f>
        <v>0</v>
      </c>
      <c r="X453" s="110" t="n">
        <f aca="false">IF(OR($B453="",$E453="",$F453=""),0,MAX(0,MIN($F453,EOMONTH(DATE(cfg_FY,3,1),0))-MAX($E453,DATE(cfg_FY,3,1))+1)*(1-IF($M453="نعم",0,N($J453))))</f>
        <v>0</v>
      </c>
      <c r="Y453" s="110" t="n">
        <f aca="false">IF(OR($B453="",$E453="",$F453=""),0,MAX(0,MIN($F453,EOMONTH(DATE(cfg_FY,4,1),0))-MAX($E453,DATE(cfg_FY,4,1))+1)*(1-IF($M453="نعم",0,N($J453))))</f>
        <v>0</v>
      </c>
      <c r="Z453" s="110" t="n">
        <f aca="false">IF(OR($B453="",$E453="",$F453=""),0,MAX(0,MIN($F453,EOMONTH(DATE(cfg_FY,5,1),0))-MAX($E453,DATE(cfg_FY,5,1))+1)*(1-IF($M453="نعم",0,N($J453))))</f>
        <v>0</v>
      </c>
      <c r="AA453" s="110" t="n">
        <f aca="false">IF(OR($B453="",$E453="",$F453=""),0,MAX(0,MIN($F453,EOMONTH(DATE(cfg_FY,6,1),0))-MAX($E453,DATE(cfg_FY,6,1))+1)*(1-IF($M453="نعم",0,N($J453))))</f>
        <v>0</v>
      </c>
      <c r="AB453" s="110" t="n">
        <f aca="false">IF(OR($B453="",$E453="",$F453=""),0,MAX(0,MIN($F453,EOMONTH(DATE(cfg_FY,7,1),0))-MAX($E453,DATE(cfg_FY,7,1))+1)*(1-IF($M453="نعم",0,N($J453))))</f>
        <v>0</v>
      </c>
      <c r="AC453" s="110" t="n">
        <f aca="false">IF(OR($B453="",$E453="",$F453=""),0,MAX(0,MIN($F453,EOMONTH(DATE(cfg_FY,8,1),0))-MAX($E453,DATE(cfg_FY,8,1))+1)*(1-IF($M453="نعم",0,N($J453))))</f>
        <v>0</v>
      </c>
      <c r="AD453" s="110" t="n">
        <f aca="false">IF(OR($B453="",$E453="",$F453=""),0,MAX(0,MIN($F453,EOMONTH(DATE(cfg_FY,9,1),0))-MAX($E453,DATE(cfg_FY,9,1))+1)*(1-IF($M453="نعم",0,N($J453))))</f>
        <v>0</v>
      </c>
      <c r="AE453" s="110" t="n">
        <f aca="false">IF(OR($B453="",$E453="",$F453=""),0,MAX(0,MIN($F453,EOMONTH(DATE(cfg_FY,10,1),0))-MAX($E453,DATE(cfg_FY,10,1))+1)*(1-IF($M453="نعم",0,N($J453))))</f>
        <v>0</v>
      </c>
      <c r="AF453" s="110" t="n">
        <f aca="false">IF(OR($B453="",$E453="",$F453=""),0,MAX(0,MIN($F453,EOMONTH(DATE(cfg_FY,11,1),0))-MAX($E453,DATE(cfg_FY,11,1))+1)*(1-IF($M453="نعم",0,N($J453))))</f>
        <v>0</v>
      </c>
      <c r="AG453" s="110" t="n">
        <f aca="false">IF(OR($B453="",$E453="",$F453=""),0,MAX(0,MIN($F453,EOMONTH(DATE(cfg_FY,12,1),0))-MAX($E453,DATE(cfg_FY,12,1))+1)*(1-IF($M453="نعم",0,N($J453))))</f>
        <v>0</v>
      </c>
      <c r="AH453" s="110" t="n">
        <f aca="false">IF(OR(OR($B453="",$E453="",$F453=""),$L453&lt;&gt;"لا"),0,MAX(0,MIN($F453,EOMONTH(DATE(cfg_FY,1,1),0))-$E453+1))</f>
        <v>0</v>
      </c>
      <c r="AI453" s="110" t="n">
        <f aca="false">IF(OR(OR($B453="",$E453="",$F453=""),$L453&lt;&gt;"لا"),0,MAX(0,MIN($F453,EOMONTH(DATE(cfg_FY,2,1),0))-$E453+1))</f>
        <v>0</v>
      </c>
      <c r="AJ453" s="110" t="n">
        <f aca="false">IF(OR(OR($B453="",$E453="",$F453=""),$L453&lt;&gt;"لا"),0,MAX(0,MIN($F453,EOMONTH(DATE(cfg_FY,3,1),0))-$E453+1))</f>
        <v>0</v>
      </c>
      <c r="AK453" s="110" t="n">
        <f aca="false">IF(OR(OR($B453="",$E453="",$F453=""),$L453&lt;&gt;"لا"),0,MAX(0,MIN($F453,EOMONTH(DATE(cfg_FY,4,1),0))-$E453+1))</f>
        <v>0</v>
      </c>
      <c r="AL453" s="110" t="n">
        <f aca="false">IF(OR(OR($B453="",$E453="",$F453=""),$L453&lt;&gt;"لا"),0,MAX(0,MIN($F453,EOMONTH(DATE(cfg_FY,5,1),0))-$E453+1))</f>
        <v>0</v>
      </c>
      <c r="AM453" s="110" t="n">
        <f aca="false">IF(OR(OR($B453="",$E453="",$F453=""),$L453&lt;&gt;"لا"),0,MAX(0,MIN($F453,EOMONTH(DATE(cfg_FY,6,1),0))-$E453+1))</f>
        <v>0</v>
      </c>
      <c r="AN453" s="110" t="n">
        <f aca="false">IF(OR(OR($B453="",$E453="",$F453=""),$L453&lt;&gt;"لا"),0,MAX(0,MIN($F453,EOMONTH(DATE(cfg_FY,7,1),0))-$E453+1))</f>
        <v>0</v>
      </c>
      <c r="AO453" s="110" t="n">
        <f aca="false">IF(OR(OR($B453="",$E453="",$F453=""),$L453&lt;&gt;"لا"),0,MAX(0,MIN($F453,EOMONTH(DATE(cfg_FY,8,1),0))-$E453+1))</f>
        <v>0</v>
      </c>
      <c r="AP453" s="110" t="n">
        <f aca="false">IF(OR(OR($B453="",$E453="",$F453=""),$L453&lt;&gt;"لا"),0,MAX(0,MIN($F453,EOMONTH(DATE(cfg_FY,9,1),0))-$E453+1))</f>
        <v>0</v>
      </c>
      <c r="AQ453" s="110" t="n">
        <f aca="false">IF(OR(OR($B453="",$E453="",$F453=""),$L453&lt;&gt;"لا"),0,MAX(0,MIN($F453,EOMONTH(DATE(cfg_FY,10,1),0))-$E453+1))</f>
        <v>0</v>
      </c>
      <c r="AR453" s="110" t="n">
        <f aca="false">IF(OR(OR($B453="",$E453="",$F453=""),$L453&lt;&gt;"لا"),0,MAX(0,MIN($F453,EOMONTH(DATE(cfg_FY,11,1),0))-$E453+1))</f>
        <v>0</v>
      </c>
      <c r="AS453" s="110" t="n">
        <f aca="false">IF(OR(OR($B453="",$E453="",$F453=""),$L453&lt;&gt;"لا"),0,MAX(0,MIN($F453,EOMONTH(DATE(cfg_FY,12,1),0))-$E453+1))</f>
        <v>0</v>
      </c>
      <c r="AT453" s="110" t="n">
        <f aca="false">IF(OR(OR($B453="",$E453="",$F453=""),$K453&lt;&gt;"نعم",$M453="نعم"),0,MAX(0,MIN($F453,EOMONTH(DATE(cfg_FY,1,1),0))-MAX($E453,DATE(cfg_FY,1,1))+1))</f>
        <v>0</v>
      </c>
      <c r="AU453" s="110" t="n">
        <f aca="false">IF(OR(OR($B453="",$E453="",$F453=""),$K453&lt;&gt;"نعم",$M453="نعم"),0,MAX(0,MIN($F453,EOMONTH(DATE(cfg_FY,2,1),0))-MAX($E453,DATE(cfg_FY,2,1))+1))</f>
        <v>0</v>
      </c>
      <c r="AV453" s="110" t="n">
        <f aca="false">IF(OR(OR($B453="",$E453="",$F453=""),$K453&lt;&gt;"نعم",$M453="نعم"),0,MAX(0,MIN($F453,EOMONTH(DATE(cfg_FY,3,1),0))-MAX($E453,DATE(cfg_FY,3,1))+1))</f>
        <v>0</v>
      </c>
      <c r="AW453" s="110" t="n">
        <f aca="false">IF(OR(OR($B453="",$E453="",$F453=""),$K453&lt;&gt;"نعم",$M453="نعم"),0,MAX(0,MIN($F453,EOMONTH(DATE(cfg_FY,4,1),0))-MAX($E453,DATE(cfg_FY,4,1))+1))</f>
        <v>0</v>
      </c>
      <c r="AX453" s="110" t="n">
        <f aca="false">IF(OR(OR($B453="",$E453="",$F453=""),$K453&lt;&gt;"نعم",$M453="نعم"),0,MAX(0,MIN($F453,EOMONTH(DATE(cfg_FY,5,1),0))-MAX($E453,DATE(cfg_FY,5,1))+1))</f>
        <v>0</v>
      </c>
      <c r="AY453" s="110" t="n">
        <f aca="false">IF(OR(OR($B453="",$E453="",$F453=""),$K453&lt;&gt;"نعم",$M453="نعم"),0,MAX(0,MIN($F453,EOMONTH(DATE(cfg_FY,6,1),0))-MAX($E453,DATE(cfg_FY,6,1))+1))</f>
        <v>0</v>
      </c>
      <c r="AZ453" s="110" t="n">
        <f aca="false">IF(OR(OR($B453="",$E453="",$F453=""),$K453&lt;&gt;"نعم",$M453="نعم"),0,MAX(0,MIN($F453,EOMONTH(DATE(cfg_FY,7,1),0))-MAX($E453,DATE(cfg_FY,7,1))+1))</f>
        <v>0</v>
      </c>
      <c r="BA453" s="110" t="n">
        <f aca="false">IF(OR(OR($B453="",$E453="",$F453=""),$K453&lt;&gt;"نعم",$M453="نعم"),0,MAX(0,MIN($F453,EOMONTH(DATE(cfg_FY,8,1),0))-MAX($E453,DATE(cfg_FY,8,1))+1))</f>
        <v>0</v>
      </c>
      <c r="BB453" s="110" t="n">
        <f aca="false">IF(OR(OR($B453="",$E453="",$F453=""),$K453&lt;&gt;"نعم",$M453="نعم"),0,MAX(0,MIN($F453,EOMONTH(DATE(cfg_FY,9,1),0))-MAX($E453,DATE(cfg_FY,9,1))+1))</f>
        <v>0</v>
      </c>
      <c r="BC453" s="110" t="n">
        <f aca="false">IF(OR(OR($B453="",$E453="",$F453=""),$K453&lt;&gt;"نعم",$M453="نعم"),0,MAX(0,MIN($F453,EOMONTH(DATE(cfg_FY,10,1),0))-MAX($E453,DATE(cfg_FY,10,1))+1))</f>
        <v>0</v>
      </c>
      <c r="BD453" s="110" t="n">
        <f aca="false">IF(OR(OR($B453="",$E453="",$F453=""),$K453&lt;&gt;"نعم",$M453="نعم"),0,MAX(0,MIN($F453,EOMONTH(DATE(cfg_FY,11,1),0))-MAX($E453,DATE(cfg_FY,11,1))+1))</f>
        <v>0</v>
      </c>
      <c r="BE453" s="110" t="n">
        <f aca="false">IF(OR(OR($B453="",$E453="",$F453=""),$K453&lt;&gt;"نعم",$M453="نعم"),0,MAX(0,MIN($F453,EOMONTH(DATE(cfg_FY,12,1),0))-MAX($E453,DATE(cfg_FY,12,1))+1))</f>
        <v>0</v>
      </c>
    </row>
    <row r="454" customFormat="false" ht="15" hidden="false" customHeight="false" outlineLevel="0" collapsed="false">
      <c r="A454" s="93" t="str">
        <f aca="false">IF(B454="","",ROW()-5)</f>
        <v/>
      </c>
      <c r="B454" s="79"/>
      <c r="C454" s="80" t="str">
        <f aca="false">IF(B454="","",IFERROR(INDEX(الموظفون!$C$6:$C$105,MATCH(B454,الموظفون!$B$6:$B$105,0)),"✖ رقم غير موجود"))</f>
        <v/>
      </c>
      <c r="D454" s="79"/>
      <c r="E454" s="94"/>
      <c r="F454" s="94"/>
      <c r="G454" s="57" t="str">
        <f aca="false">IF(OR($B454="",$E454="",$F454=""),"",MAX(0,F454-E454+1))</f>
        <v/>
      </c>
      <c r="H454" s="58" t="str">
        <f aca="false">IF(D454="","",IFERROR(VLOOKUP(D454,cfg_LT,2,FALSE()),1))</f>
        <v/>
      </c>
      <c r="I454" s="82"/>
      <c r="J454" s="58" t="str">
        <f aca="false">IF(D454="","",IF(I454&lt;&gt;"",I454,H454))</f>
        <v/>
      </c>
      <c r="K454" s="80" t="str">
        <f aca="false">IF(D454="","",IFERROR(VLOOKUP($D454,cfg_LT,3,FALSE()),""))</f>
        <v/>
      </c>
      <c r="L454" s="80" t="str">
        <f aca="false">IF(D454="","",IFERROR(VLOOKUP($D454,cfg_LT,4,FALSE()),""))</f>
        <v/>
      </c>
      <c r="M454" s="80" t="str">
        <f aca="false">IF(D454="","",IFERROR(VLOOKUP($D454,cfg_LT,5,FALSE()),""))</f>
        <v/>
      </c>
      <c r="N454" s="97" t="n">
        <f aca="false">IF(OR(OR($B454="",$E454="",$F454=""),M454&lt;&gt;"نعم"),0,G454*J454*IFERROR(INDEX(الموظفون!$R$6:$R$105,MATCH(B454,الموظفون!$B$6:$B$105,0)),0)/cfg_DAYS_M)</f>
        <v>0</v>
      </c>
      <c r="O454" s="93" t="str">
        <f aca="false">IF(OR(OR($B454="",$E454="",$F454=""),M454&lt;&gt;"نعم"),"",IF(YEAR(E454)=cfg_FY,MONTH(E454),""))</f>
        <v/>
      </c>
      <c r="P454" s="80" t="str">
        <f aca="false">IF(B454="","",IF(OR(D454="",E454="",F454=""),"⚠ أكمل النوع والتواريخ",IF(F454&lt;E454,"✖ النهاية قبل البداية",IF(COUNTIFS($B$6:$B$505,B454,$E$6:$E$505,"&lt;="&amp;F454,$F$6:$F$505,"&gt;="&amp;E454)&gt;1,"⚠ تداخل مع سجل آخر",IF(E454&gt;cfg_VAL_DATE,"⏳ قادمة",IF(F454&lt;cfg_VAL_DATE,"✔ منتهية","✈ جارية في تاريخ التقرير"))))))</f>
        <v/>
      </c>
      <c r="Q454" s="79"/>
      <c r="R454" s="57" t="n">
        <f aca="false">IF(OR(OR($B454="",$E454="",$F454=""),L454&lt;&gt;"لا"),0,MAX(0,MIN(F454,cfg_Y_START-1)-E454+1))</f>
        <v>0</v>
      </c>
      <c r="S454" s="57" t="n">
        <f aca="false">IF(OR(OR($B454="",$E454="",$F454=""),L454&lt;&gt;"لا"),0,MAX(0,MIN(F454,cfg_VAL_DATE)-E454+1))</f>
        <v>0</v>
      </c>
      <c r="T454" s="57" t="n">
        <f aca="false">IF(OR(OR($B454="",$E454="",$F454=""),K454&lt;&gt;"نعم"),0,IF(M454="نعم",IF(AND(ISNUMBER(O454),N(O454)&lt;=cfg_VAL_M),G454,0),MAX(0,MIN(F454,cfg_VAL_DATE)-MAX(E454,cfg_Y_START)+1)))</f>
        <v>0</v>
      </c>
      <c r="V454" s="57" t="n">
        <f aca="false">IF(OR($B454="",$E454="",$F454=""),0,MAX(0,MIN($F454,EOMONTH(DATE(cfg_FY,1,1),0))-MAX($E454,DATE(cfg_FY,1,1))+1)*(1-IF($M454="نعم",0,N($J454))))</f>
        <v>0</v>
      </c>
      <c r="W454" s="57" t="n">
        <f aca="false">IF(OR($B454="",$E454="",$F454=""),0,MAX(0,MIN($F454,EOMONTH(DATE(cfg_FY,2,1),0))-MAX($E454,DATE(cfg_FY,2,1))+1)*(1-IF($M454="نعم",0,N($J454))))</f>
        <v>0</v>
      </c>
      <c r="X454" s="57" t="n">
        <f aca="false">IF(OR($B454="",$E454="",$F454=""),0,MAX(0,MIN($F454,EOMONTH(DATE(cfg_FY,3,1),0))-MAX($E454,DATE(cfg_FY,3,1))+1)*(1-IF($M454="نعم",0,N($J454))))</f>
        <v>0</v>
      </c>
      <c r="Y454" s="57" t="n">
        <f aca="false">IF(OR($B454="",$E454="",$F454=""),0,MAX(0,MIN($F454,EOMONTH(DATE(cfg_FY,4,1),0))-MAX($E454,DATE(cfg_FY,4,1))+1)*(1-IF($M454="نعم",0,N($J454))))</f>
        <v>0</v>
      </c>
      <c r="Z454" s="57" t="n">
        <f aca="false">IF(OR($B454="",$E454="",$F454=""),0,MAX(0,MIN($F454,EOMONTH(DATE(cfg_FY,5,1),0))-MAX($E454,DATE(cfg_FY,5,1))+1)*(1-IF($M454="نعم",0,N($J454))))</f>
        <v>0</v>
      </c>
      <c r="AA454" s="57" t="n">
        <f aca="false">IF(OR($B454="",$E454="",$F454=""),0,MAX(0,MIN($F454,EOMONTH(DATE(cfg_FY,6,1),0))-MAX($E454,DATE(cfg_FY,6,1))+1)*(1-IF($M454="نعم",0,N($J454))))</f>
        <v>0</v>
      </c>
      <c r="AB454" s="57" t="n">
        <f aca="false">IF(OR($B454="",$E454="",$F454=""),0,MAX(0,MIN($F454,EOMONTH(DATE(cfg_FY,7,1),0))-MAX($E454,DATE(cfg_FY,7,1))+1)*(1-IF($M454="نعم",0,N($J454))))</f>
        <v>0</v>
      </c>
      <c r="AC454" s="57" t="n">
        <f aca="false">IF(OR($B454="",$E454="",$F454=""),0,MAX(0,MIN($F454,EOMONTH(DATE(cfg_FY,8,1),0))-MAX($E454,DATE(cfg_FY,8,1))+1)*(1-IF($M454="نعم",0,N($J454))))</f>
        <v>0</v>
      </c>
      <c r="AD454" s="57" t="n">
        <f aca="false">IF(OR($B454="",$E454="",$F454=""),0,MAX(0,MIN($F454,EOMONTH(DATE(cfg_FY,9,1),0))-MAX($E454,DATE(cfg_FY,9,1))+1)*(1-IF($M454="نعم",0,N($J454))))</f>
        <v>0</v>
      </c>
      <c r="AE454" s="57" t="n">
        <f aca="false">IF(OR($B454="",$E454="",$F454=""),0,MAX(0,MIN($F454,EOMONTH(DATE(cfg_FY,10,1),0))-MAX($E454,DATE(cfg_FY,10,1))+1)*(1-IF($M454="نعم",0,N($J454))))</f>
        <v>0</v>
      </c>
      <c r="AF454" s="57" t="n">
        <f aca="false">IF(OR($B454="",$E454="",$F454=""),0,MAX(0,MIN($F454,EOMONTH(DATE(cfg_FY,11,1),0))-MAX($E454,DATE(cfg_FY,11,1))+1)*(1-IF($M454="نعم",0,N($J454))))</f>
        <v>0</v>
      </c>
      <c r="AG454" s="57" t="n">
        <f aca="false">IF(OR($B454="",$E454="",$F454=""),0,MAX(0,MIN($F454,EOMONTH(DATE(cfg_FY,12,1),0))-MAX($E454,DATE(cfg_FY,12,1))+1)*(1-IF($M454="نعم",0,N($J454))))</f>
        <v>0</v>
      </c>
      <c r="AH454" s="57" t="n">
        <f aca="false">IF(OR(OR($B454="",$E454="",$F454=""),$L454&lt;&gt;"لا"),0,MAX(0,MIN($F454,EOMONTH(DATE(cfg_FY,1,1),0))-$E454+1))</f>
        <v>0</v>
      </c>
      <c r="AI454" s="57" t="n">
        <f aca="false">IF(OR(OR($B454="",$E454="",$F454=""),$L454&lt;&gt;"لا"),0,MAX(0,MIN($F454,EOMONTH(DATE(cfg_FY,2,1),0))-$E454+1))</f>
        <v>0</v>
      </c>
      <c r="AJ454" s="57" t="n">
        <f aca="false">IF(OR(OR($B454="",$E454="",$F454=""),$L454&lt;&gt;"لا"),0,MAX(0,MIN($F454,EOMONTH(DATE(cfg_FY,3,1),0))-$E454+1))</f>
        <v>0</v>
      </c>
      <c r="AK454" s="57" t="n">
        <f aca="false">IF(OR(OR($B454="",$E454="",$F454=""),$L454&lt;&gt;"لا"),0,MAX(0,MIN($F454,EOMONTH(DATE(cfg_FY,4,1),0))-$E454+1))</f>
        <v>0</v>
      </c>
      <c r="AL454" s="57" t="n">
        <f aca="false">IF(OR(OR($B454="",$E454="",$F454=""),$L454&lt;&gt;"لا"),0,MAX(0,MIN($F454,EOMONTH(DATE(cfg_FY,5,1),0))-$E454+1))</f>
        <v>0</v>
      </c>
      <c r="AM454" s="57" t="n">
        <f aca="false">IF(OR(OR($B454="",$E454="",$F454=""),$L454&lt;&gt;"لا"),0,MAX(0,MIN($F454,EOMONTH(DATE(cfg_FY,6,1),0))-$E454+1))</f>
        <v>0</v>
      </c>
      <c r="AN454" s="57" t="n">
        <f aca="false">IF(OR(OR($B454="",$E454="",$F454=""),$L454&lt;&gt;"لا"),0,MAX(0,MIN($F454,EOMONTH(DATE(cfg_FY,7,1),0))-$E454+1))</f>
        <v>0</v>
      </c>
      <c r="AO454" s="57" t="n">
        <f aca="false">IF(OR(OR($B454="",$E454="",$F454=""),$L454&lt;&gt;"لا"),0,MAX(0,MIN($F454,EOMONTH(DATE(cfg_FY,8,1),0))-$E454+1))</f>
        <v>0</v>
      </c>
      <c r="AP454" s="57" t="n">
        <f aca="false">IF(OR(OR($B454="",$E454="",$F454=""),$L454&lt;&gt;"لا"),0,MAX(0,MIN($F454,EOMONTH(DATE(cfg_FY,9,1),0))-$E454+1))</f>
        <v>0</v>
      </c>
      <c r="AQ454" s="57" t="n">
        <f aca="false">IF(OR(OR($B454="",$E454="",$F454=""),$L454&lt;&gt;"لا"),0,MAX(0,MIN($F454,EOMONTH(DATE(cfg_FY,10,1),0))-$E454+1))</f>
        <v>0</v>
      </c>
      <c r="AR454" s="57" t="n">
        <f aca="false">IF(OR(OR($B454="",$E454="",$F454=""),$L454&lt;&gt;"لا"),0,MAX(0,MIN($F454,EOMONTH(DATE(cfg_FY,11,1),0))-$E454+1))</f>
        <v>0</v>
      </c>
      <c r="AS454" s="57" t="n">
        <f aca="false">IF(OR(OR($B454="",$E454="",$F454=""),$L454&lt;&gt;"لا"),0,MAX(0,MIN($F454,EOMONTH(DATE(cfg_FY,12,1),0))-$E454+1))</f>
        <v>0</v>
      </c>
      <c r="AT454" s="57" t="n">
        <f aca="false">IF(OR(OR($B454="",$E454="",$F454=""),$K454&lt;&gt;"نعم",$M454="نعم"),0,MAX(0,MIN($F454,EOMONTH(DATE(cfg_FY,1,1),0))-MAX($E454,DATE(cfg_FY,1,1))+1))</f>
        <v>0</v>
      </c>
      <c r="AU454" s="57" t="n">
        <f aca="false">IF(OR(OR($B454="",$E454="",$F454=""),$K454&lt;&gt;"نعم",$M454="نعم"),0,MAX(0,MIN($F454,EOMONTH(DATE(cfg_FY,2,1),0))-MAX($E454,DATE(cfg_FY,2,1))+1))</f>
        <v>0</v>
      </c>
      <c r="AV454" s="57" t="n">
        <f aca="false">IF(OR(OR($B454="",$E454="",$F454=""),$K454&lt;&gt;"نعم",$M454="نعم"),0,MAX(0,MIN($F454,EOMONTH(DATE(cfg_FY,3,1),0))-MAX($E454,DATE(cfg_FY,3,1))+1))</f>
        <v>0</v>
      </c>
      <c r="AW454" s="57" t="n">
        <f aca="false">IF(OR(OR($B454="",$E454="",$F454=""),$K454&lt;&gt;"نعم",$M454="نعم"),0,MAX(0,MIN($F454,EOMONTH(DATE(cfg_FY,4,1),0))-MAX($E454,DATE(cfg_FY,4,1))+1))</f>
        <v>0</v>
      </c>
      <c r="AX454" s="57" t="n">
        <f aca="false">IF(OR(OR($B454="",$E454="",$F454=""),$K454&lt;&gt;"نعم",$M454="نعم"),0,MAX(0,MIN($F454,EOMONTH(DATE(cfg_FY,5,1),0))-MAX($E454,DATE(cfg_FY,5,1))+1))</f>
        <v>0</v>
      </c>
      <c r="AY454" s="57" t="n">
        <f aca="false">IF(OR(OR($B454="",$E454="",$F454=""),$K454&lt;&gt;"نعم",$M454="نعم"),0,MAX(0,MIN($F454,EOMONTH(DATE(cfg_FY,6,1),0))-MAX($E454,DATE(cfg_FY,6,1))+1))</f>
        <v>0</v>
      </c>
      <c r="AZ454" s="57" t="n">
        <f aca="false">IF(OR(OR($B454="",$E454="",$F454=""),$K454&lt;&gt;"نعم",$M454="نعم"),0,MAX(0,MIN($F454,EOMONTH(DATE(cfg_FY,7,1),0))-MAX($E454,DATE(cfg_FY,7,1))+1))</f>
        <v>0</v>
      </c>
      <c r="BA454" s="57" t="n">
        <f aca="false">IF(OR(OR($B454="",$E454="",$F454=""),$K454&lt;&gt;"نعم",$M454="نعم"),0,MAX(0,MIN($F454,EOMONTH(DATE(cfg_FY,8,1),0))-MAX($E454,DATE(cfg_FY,8,1))+1))</f>
        <v>0</v>
      </c>
      <c r="BB454" s="57" t="n">
        <f aca="false">IF(OR(OR($B454="",$E454="",$F454=""),$K454&lt;&gt;"نعم",$M454="نعم"),0,MAX(0,MIN($F454,EOMONTH(DATE(cfg_FY,9,1),0))-MAX($E454,DATE(cfg_FY,9,1))+1))</f>
        <v>0</v>
      </c>
      <c r="BC454" s="57" t="n">
        <f aca="false">IF(OR(OR($B454="",$E454="",$F454=""),$K454&lt;&gt;"نعم",$M454="نعم"),0,MAX(0,MIN($F454,EOMONTH(DATE(cfg_FY,10,1),0))-MAX($E454,DATE(cfg_FY,10,1))+1))</f>
        <v>0</v>
      </c>
      <c r="BD454" s="57" t="n">
        <f aca="false">IF(OR(OR($B454="",$E454="",$F454=""),$K454&lt;&gt;"نعم",$M454="نعم"),0,MAX(0,MIN($F454,EOMONTH(DATE(cfg_FY,11,1),0))-MAX($E454,DATE(cfg_FY,11,1))+1))</f>
        <v>0</v>
      </c>
      <c r="BE454" s="57" t="n">
        <f aca="false">IF(OR(OR($B454="",$E454="",$F454=""),$K454&lt;&gt;"نعم",$M454="نعم"),0,MAX(0,MIN($F454,EOMONTH(DATE(cfg_FY,12,1),0))-MAX($E454,DATE(cfg_FY,12,1))+1))</f>
        <v>0</v>
      </c>
    </row>
    <row r="455" customFormat="false" ht="15" hidden="false" customHeight="false" outlineLevel="0" collapsed="false">
      <c r="A455" s="100" t="str">
        <f aca="false">IF(B455="","",ROW()-5)</f>
        <v/>
      </c>
      <c r="B455" s="79"/>
      <c r="C455" s="102" t="str">
        <f aca="false">IF(B455="","",IFERROR(INDEX(الموظفون!$C$6:$C$105,MATCH(B455,الموظفون!$B$6:$B$105,0)),"✖ رقم غير موجود"))</f>
        <v/>
      </c>
      <c r="D455" s="79"/>
      <c r="E455" s="94"/>
      <c r="F455" s="94"/>
      <c r="G455" s="110" t="str">
        <f aca="false">IF(OR($B455="",$E455="",$F455=""),"",MAX(0,F455-E455+1))</f>
        <v/>
      </c>
      <c r="H455" s="111" t="str">
        <f aca="false">IF(D455="","",IFERROR(VLOOKUP(D455,cfg_LT,2,FALSE()),1))</f>
        <v/>
      </c>
      <c r="I455" s="82"/>
      <c r="J455" s="111" t="str">
        <f aca="false">IF(D455="","",IF(I455&lt;&gt;"",I455,H455))</f>
        <v/>
      </c>
      <c r="K455" s="102" t="str">
        <f aca="false">IF(D455="","",IFERROR(VLOOKUP($D455,cfg_LT,3,FALSE()),""))</f>
        <v/>
      </c>
      <c r="L455" s="102" t="str">
        <f aca="false">IF(D455="","",IFERROR(VLOOKUP($D455,cfg_LT,4,FALSE()),""))</f>
        <v/>
      </c>
      <c r="M455" s="102" t="str">
        <f aca="false">IF(D455="","",IFERROR(VLOOKUP($D455,cfg_LT,5,FALSE()),""))</f>
        <v/>
      </c>
      <c r="N455" s="101" t="n">
        <f aca="false">IF(OR(OR($B455="",$E455="",$F455=""),M455&lt;&gt;"نعم"),0,G455*J455*IFERROR(INDEX(الموظفون!$R$6:$R$105,MATCH(B455,الموظفون!$B$6:$B$105,0)),0)/cfg_DAYS_M)</f>
        <v>0</v>
      </c>
      <c r="O455" s="100" t="str">
        <f aca="false">IF(OR(OR($B455="",$E455="",$F455=""),M455&lt;&gt;"نعم"),"",IF(YEAR(E455)=cfg_FY,MONTH(E455),""))</f>
        <v/>
      </c>
      <c r="P455" s="102" t="str">
        <f aca="false">IF(B455="","",IF(OR(D455="",E455="",F455=""),"⚠ أكمل النوع والتواريخ",IF(F455&lt;E455,"✖ النهاية قبل البداية",IF(COUNTIFS($B$6:$B$505,B455,$E$6:$E$505,"&lt;="&amp;F455,$F$6:$F$505,"&gt;="&amp;E455)&gt;1,"⚠ تداخل مع سجل آخر",IF(E455&gt;cfg_VAL_DATE,"⏳ قادمة",IF(F455&lt;cfg_VAL_DATE,"✔ منتهية","✈ جارية في تاريخ التقرير"))))))</f>
        <v/>
      </c>
      <c r="Q455" s="79"/>
      <c r="R455" s="110" t="n">
        <f aca="false">IF(OR(OR($B455="",$E455="",$F455=""),L455&lt;&gt;"لا"),0,MAX(0,MIN(F455,cfg_Y_START-1)-E455+1))</f>
        <v>0</v>
      </c>
      <c r="S455" s="110" t="n">
        <f aca="false">IF(OR(OR($B455="",$E455="",$F455=""),L455&lt;&gt;"لا"),0,MAX(0,MIN(F455,cfg_VAL_DATE)-E455+1))</f>
        <v>0</v>
      </c>
      <c r="T455" s="110" t="n">
        <f aca="false">IF(OR(OR($B455="",$E455="",$F455=""),K455&lt;&gt;"نعم"),0,IF(M455="نعم",IF(AND(ISNUMBER(O455),N(O455)&lt;=cfg_VAL_M),G455,0),MAX(0,MIN(F455,cfg_VAL_DATE)-MAX(E455,cfg_Y_START)+1)))</f>
        <v>0</v>
      </c>
      <c r="V455" s="110" t="n">
        <f aca="false">IF(OR($B455="",$E455="",$F455=""),0,MAX(0,MIN($F455,EOMONTH(DATE(cfg_FY,1,1),0))-MAX($E455,DATE(cfg_FY,1,1))+1)*(1-IF($M455="نعم",0,N($J455))))</f>
        <v>0</v>
      </c>
      <c r="W455" s="110" t="n">
        <f aca="false">IF(OR($B455="",$E455="",$F455=""),0,MAX(0,MIN($F455,EOMONTH(DATE(cfg_FY,2,1),0))-MAX($E455,DATE(cfg_FY,2,1))+1)*(1-IF($M455="نعم",0,N($J455))))</f>
        <v>0</v>
      </c>
      <c r="X455" s="110" t="n">
        <f aca="false">IF(OR($B455="",$E455="",$F455=""),0,MAX(0,MIN($F455,EOMONTH(DATE(cfg_FY,3,1),0))-MAX($E455,DATE(cfg_FY,3,1))+1)*(1-IF($M455="نعم",0,N($J455))))</f>
        <v>0</v>
      </c>
      <c r="Y455" s="110" t="n">
        <f aca="false">IF(OR($B455="",$E455="",$F455=""),0,MAX(0,MIN($F455,EOMONTH(DATE(cfg_FY,4,1),0))-MAX($E455,DATE(cfg_FY,4,1))+1)*(1-IF($M455="نعم",0,N($J455))))</f>
        <v>0</v>
      </c>
      <c r="Z455" s="110" t="n">
        <f aca="false">IF(OR($B455="",$E455="",$F455=""),0,MAX(0,MIN($F455,EOMONTH(DATE(cfg_FY,5,1),0))-MAX($E455,DATE(cfg_FY,5,1))+1)*(1-IF($M455="نعم",0,N($J455))))</f>
        <v>0</v>
      </c>
      <c r="AA455" s="110" t="n">
        <f aca="false">IF(OR($B455="",$E455="",$F455=""),0,MAX(0,MIN($F455,EOMONTH(DATE(cfg_FY,6,1),0))-MAX($E455,DATE(cfg_FY,6,1))+1)*(1-IF($M455="نعم",0,N($J455))))</f>
        <v>0</v>
      </c>
      <c r="AB455" s="110" t="n">
        <f aca="false">IF(OR($B455="",$E455="",$F455=""),0,MAX(0,MIN($F455,EOMONTH(DATE(cfg_FY,7,1),0))-MAX($E455,DATE(cfg_FY,7,1))+1)*(1-IF($M455="نعم",0,N($J455))))</f>
        <v>0</v>
      </c>
      <c r="AC455" s="110" t="n">
        <f aca="false">IF(OR($B455="",$E455="",$F455=""),0,MAX(0,MIN($F455,EOMONTH(DATE(cfg_FY,8,1),0))-MAX($E455,DATE(cfg_FY,8,1))+1)*(1-IF($M455="نعم",0,N($J455))))</f>
        <v>0</v>
      </c>
      <c r="AD455" s="110" t="n">
        <f aca="false">IF(OR($B455="",$E455="",$F455=""),0,MAX(0,MIN($F455,EOMONTH(DATE(cfg_FY,9,1),0))-MAX($E455,DATE(cfg_FY,9,1))+1)*(1-IF($M455="نعم",0,N($J455))))</f>
        <v>0</v>
      </c>
      <c r="AE455" s="110" t="n">
        <f aca="false">IF(OR($B455="",$E455="",$F455=""),0,MAX(0,MIN($F455,EOMONTH(DATE(cfg_FY,10,1),0))-MAX($E455,DATE(cfg_FY,10,1))+1)*(1-IF($M455="نعم",0,N($J455))))</f>
        <v>0</v>
      </c>
      <c r="AF455" s="110" t="n">
        <f aca="false">IF(OR($B455="",$E455="",$F455=""),0,MAX(0,MIN($F455,EOMONTH(DATE(cfg_FY,11,1),0))-MAX($E455,DATE(cfg_FY,11,1))+1)*(1-IF($M455="نعم",0,N($J455))))</f>
        <v>0</v>
      </c>
      <c r="AG455" s="110" t="n">
        <f aca="false">IF(OR($B455="",$E455="",$F455=""),0,MAX(0,MIN($F455,EOMONTH(DATE(cfg_FY,12,1),0))-MAX($E455,DATE(cfg_FY,12,1))+1)*(1-IF($M455="نعم",0,N($J455))))</f>
        <v>0</v>
      </c>
      <c r="AH455" s="110" t="n">
        <f aca="false">IF(OR(OR($B455="",$E455="",$F455=""),$L455&lt;&gt;"لا"),0,MAX(0,MIN($F455,EOMONTH(DATE(cfg_FY,1,1),0))-$E455+1))</f>
        <v>0</v>
      </c>
      <c r="AI455" s="110" t="n">
        <f aca="false">IF(OR(OR($B455="",$E455="",$F455=""),$L455&lt;&gt;"لا"),0,MAX(0,MIN($F455,EOMONTH(DATE(cfg_FY,2,1),0))-$E455+1))</f>
        <v>0</v>
      </c>
      <c r="AJ455" s="110" t="n">
        <f aca="false">IF(OR(OR($B455="",$E455="",$F455=""),$L455&lt;&gt;"لا"),0,MAX(0,MIN($F455,EOMONTH(DATE(cfg_FY,3,1),0))-$E455+1))</f>
        <v>0</v>
      </c>
      <c r="AK455" s="110" t="n">
        <f aca="false">IF(OR(OR($B455="",$E455="",$F455=""),$L455&lt;&gt;"لا"),0,MAX(0,MIN($F455,EOMONTH(DATE(cfg_FY,4,1),0))-$E455+1))</f>
        <v>0</v>
      </c>
      <c r="AL455" s="110" t="n">
        <f aca="false">IF(OR(OR($B455="",$E455="",$F455=""),$L455&lt;&gt;"لا"),0,MAX(0,MIN($F455,EOMONTH(DATE(cfg_FY,5,1),0))-$E455+1))</f>
        <v>0</v>
      </c>
      <c r="AM455" s="110" t="n">
        <f aca="false">IF(OR(OR($B455="",$E455="",$F455=""),$L455&lt;&gt;"لا"),0,MAX(0,MIN($F455,EOMONTH(DATE(cfg_FY,6,1),0))-$E455+1))</f>
        <v>0</v>
      </c>
      <c r="AN455" s="110" t="n">
        <f aca="false">IF(OR(OR($B455="",$E455="",$F455=""),$L455&lt;&gt;"لا"),0,MAX(0,MIN($F455,EOMONTH(DATE(cfg_FY,7,1),0))-$E455+1))</f>
        <v>0</v>
      </c>
      <c r="AO455" s="110" t="n">
        <f aca="false">IF(OR(OR($B455="",$E455="",$F455=""),$L455&lt;&gt;"لا"),0,MAX(0,MIN($F455,EOMONTH(DATE(cfg_FY,8,1),0))-$E455+1))</f>
        <v>0</v>
      </c>
      <c r="AP455" s="110" t="n">
        <f aca="false">IF(OR(OR($B455="",$E455="",$F455=""),$L455&lt;&gt;"لا"),0,MAX(0,MIN($F455,EOMONTH(DATE(cfg_FY,9,1),0))-$E455+1))</f>
        <v>0</v>
      </c>
      <c r="AQ455" s="110" t="n">
        <f aca="false">IF(OR(OR($B455="",$E455="",$F455=""),$L455&lt;&gt;"لا"),0,MAX(0,MIN($F455,EOMONTH(DATE(cfg_FY,10,1),0))-$E455+1))</f>
        <v>0</v>
      </c>
      <c r="AR455" s="110" t="n">
        <f aca="false">IF(OR(OR($B455="",$E455="",$F455=""),$L455&lt;&gt;"لا"),0,MAX(0,MIN($F455,EOMONTH(DATE(cfg_FY,11,1),0))-$E455+1))</f>
        <v>0</v>
      </c>
      <c r="AS455" s="110" t="n">
        <f aca="false">IF(OR(OR($B455="",$E455="",$F455=""),$L455&lt;&gt;"لا"),0,MAX(0,MIN($F455,EOMONTH(DATE(cfg_FY,12,1),0))-$E455+1))</f>
        <v>0</v>
      </c>
      <c r="AT455" s="110" t="n">
        <f aca="false">IF(OR(OR($B455="",$E455="",$F455=""),$K455&lt;&gt;"نعم",$M455="نعم"),0,MAX(0,MIN($F455,EOMONTH(DATE(cfg_FY,1,1),0))-MAX($E455,DATE(cfg_FY,1,1))+1))</f>
        <v>0</v>
      </c>
      <c r="AU455" s="110" t="n">
        <f aca="false">IF(OR(OR($B455="",$E455="",$F455=""),$K455&lt;&gt;"نعم",$M455="نعم"),0,MAX(0,MIN($F455,EOMONTH(DATE(cfg_FY,2,1),0))-MAX($E455,DATE(cfg_FY,2,1))+1))</f>
        <v>0</v>
      </c>
      <c r="AV455" s="110" t="n">
        <f aca="false">IF(OR(OR($B455="",$E455="",$F455=""),$K455&lt;&gt;"نعم",$M455="نعم"),0,MAX(0,MIN($F455,EOMONTH(DATE(cfg_FY,3,1),0))-MAX($E455,DATE(cfg_FY,3,1))+1))</f>
        <v>0</v>
      </c>
      <c r="AW455" s="110" t="n">
        <f aca="false">IF(OR(OR($B455="",$E455="",$F455=""),$K455&lt;&gt;"نعم",$M455="نعم"),0,MAX(0,MIN($F455,EOMONTH(DATE(cfg_FY,4,1),0))-MAX($E455,DATE(cfg_FY,4,1))+1))</f>
        <v>0</v>
      </c>
      <c r="AX455" s="110" t="n">
        <f aca="false">IF(OR(OR($B455="",$E455="",$F455=""),$K455&lt;&gt;"نعم",$M455="نعم"),0,MAX(0,MIN($F455,EOMONTH(DATE(cfg_FY,5,1),0))-MAX($E455,DATE(cfg_FY,5,1))+1))</f>
        <v>0</v>
      </c>
      <c r="AY455" s="110" t="n">
        <f aca="false">IF(OR(OR($B455="",$E455="",$F455=""),$K455&lt;&gt;"نعم",$M455="نعم"),0,MAX(0,MIN($F455,EOMONTH(DATE(cfg_FY,6,1),0))-MAX($E455,DATE(cfg_FY,6,1))+1))</f>
        <v>0</v>
      </c>
      <c r="AZ455" s="110" t="n">
        <f aca="false">IF(OR(OR($B455="",$E455="",$F455=""),$K455&lt;&gt;"نعم",$M455="نعم"),0,MAX(0,MIN($F455,EOMONTH(DATE(cfg_FY,7,1),0))-MAX($E455,DATE(cfg_FY,7,1))+1))</f>
        <v>0</v>
      </c>
      <c r="BA455" s="110" t="n">
        <f aca="false">IF(OR(OR($B455="",$E455="",$F455=""),$K455&lt;&gt;"نعم",$M455="نعم"),0,MAX(0,MIN($F455,EOMONTH(DATE(cfg_FY,8,1),0))-MAX($E455,DATE(cfg_FY,8,1))+1))</f>
        <v>0</v>
      </c>
      <c r="BB455" s="110" t="n">
        <f aca="false">IF(OR(OR($B455="",$E455="",$F455=""),$K455&lt;&gt;"نعم",$M455="نعم"),0,MAX(0,MIN($F455,EOMONTH(DATE(cfg_FY,9,1),0))-MAX($E455,DATE(cfg_FY,9,1))+1))</f>
        <v>0</v>
      </c>
      <c r="BC455" s="110" t="n">
        <f aca="false">IF(OR(OR($B455="",$E455="",$F455=""),$K455&lt;&gt;"نعم",$M455="نعم"),0,MAX(0,MIN($F455,EOMONTH(DATE(cfg_FY,10,1),0))-MAX($E455,DATE(cfg_FY,10,1))+1))</f>
        <v>0</v>
      </c>
      <c r="BD455" s="110" t="n">
        <f aca="false">IF(OR(OR($B455="",$E455="",$F455=""),$K455&lt;&gt;"نعم",$M455="نعم"),0,MAX(0,MIN($F455,EOMONTH(DATE(cfg_FY,11,1),0))-MAX($E455,DATE(cfg_FY,11,1))+1))</f>
        <v>0</v>
      </c>
      <c r="BE455" s="110" t="n">
        <f aca="false">IF(OR(OR($B455="",$E455="",$F455=""),$K455&lt;&gt;"نعم",$M455="نعم"),0,MAX(0,MIN($F455,EOMONTH(DATE(cfg_FY,12,1),0))-MAX($E455,DATE(cfg_FY,12,1))+1))</f>
        <v>0</v>
      </c>
    </row>
    <row r="456" customFormat="false" ht="15" hidden="false" customHeight="false" outlineLevel="0" collapsed="false">
      <c r="A456" s="93" t="str">
        <f aca="false">IF(B456="","",ROW()-5)</f>
        <v/>
      </c>
      <c r="B456" s="79"/>
      <c r="C456" s="80" t="str">
        <f aca="false">IF(B456="","",IFERROR(INDEX(الموظفون!$C$6:$C$105,MATCH(B456,الموظفون!$B$6:$B$105,0)),"✖ رقم غير موجود"))</f>
        <v/>
      </c>
      <c r="D456" s="79"/>
      <c r="E456" s="94"/>
      <c r="F456" s="94"/>
      <c r="G456" s="57" t="str">
        <f aca="false">IF(OR($B456="",$E456="",$F456=""),"",MAX(0,F456-E456+1))</f>
        <v/>
      </c>
      <c r="H456" s="58" t="str">
        <f aca="false">IF(D456="","",IFERROR(VLOOKUP(D456,cfg_LT,2,FALSE()),1))</f>
        <v/>
      </c>
      <c r="I456" s="82"/>
      <c r="J456" s="58" t="str">
        <f aca="false">IF(D456="","",IF(I456&lt;&gt;"",I456,H456))</f>
        <v/>
      </c>
      <c r="K456" s="80" t="str">
        <f aca="false">IF(D456="","",IFERROR(VLOOKUP($D456,cfg_LT,3,FALSE()),""))</f>
        <v/>
      </c>
      <c r="L456" s="80" t="str">
        <f aca="false">IF(D456="","",IFERROR(VLOOKUP($D456,cfg_LT,4,FALSE()),""))</f>
        <v/>
      </c>
      <c r="M456" s="80" t="str">
        <f aca="false">IF(D456="","",IFERROR(VLOOKUP($D456,cfg_LT,5,FALSE()),""))</f>
        <v/>
      </c>
      <c r="N456" s="97" t="n">
        <f aca="false">IF(OR(OR($B456="",$E456="",$F456=""),M456&lt;&gt;"نعم"),0,G456*J456*IFERROR(INDEX(الموظفون!$R$6:$R$105,MATCH(B456,الموظفون!$B$6:$B$105,0)),0)/cfg_DAYS_M)</f>
        <v>0</v>
      </c>
      <c r="O456" s="93" t="str">
        <f aca="false">IF(OR(OR($B456="",$E456="",$F456=""),M456&lt;&gt;"نعم"),"",IF(YEAR(E456)=cfg_FY,MONTH(E456),""))</f>
        <v/>
      </c>
      <c r="P456" s="80" t="str">
        <f aca="false">IF(B456="","",IF(OR(D456="",E456="",F456=""),"⚠ أكمل النوع والتواريخ",IF(F456&lt;E456,"✖ النهاية قبل البداية",IF(COUNTIFS($B$6:$B$505,B456,$E$6:$E$505,"&lt;="&amp;F456,$F$6:$F$505,"&gt;="&amp;E456)&gt;1,"⚠ تداخل مع سجل آخر",IF(E456&gt;cfg_VAL_DATE,"⏳ قادمة",IF(F456&lt;cfg_VAL_DATE,"✔ منتهية","✈ جارية في تاريخ التقرير"))))))</f>
        <v/>
      </c>
      <c r="Q456" s="79"/>
      <c r="R456" s="57" t="n">
        <f aca="false">IF(OR(OR($B456="",$E456="",$F456=""),L456&lt;&gt;"لا"),0,MAX(0,MIN(F456,cfg_Y_START-1)-E456+1))</f>
        <v>0</v>
      </c>
      <c r="S456" s="57" t="n">
        <f aca="false">IF(OR(OR($B456="",$E456="",$F456=""),L456&lt;&gt;"لا"),0,MAX(0,MIN(F456,cfg_VAL_DATE)-E456+1))</f>
        <v>0</v>
      </c>
      <c r="T456" s="57" t="n">
        <f aca="false">IF(OR(OR($B456="",$E456="",$F456=""),K456&lt;&gt;"نعم"),0,IF(M456="نعم",IF(AND(ISNUMBER(O456),N(O456)&lt;=cfg_VAL_M),G456,0),MAX(0,MIN(F456,cfg_VAL_DATE)-MAX(E456,cfg_Y_START)+1)))</f>
        <v>0</v>
      </c>
      <c r="V456" s="57" t="n">
        <f aca="false">IF(OR($B456="",$E456="",$F456=""),0,MAX(0,MIN($F456,EOMONTH(DATE(cfg_FY,1,1),0))-MAX($E456,DATE(cfg_FY,1,1))+1)*(1-IF($M456="نعم",0,N($J456))))</f>
        <v>0</v>
      </c>
      <c r="W456" s="57" t="n">
        <f aca="false">IF(OR($B456="",$E456="",$F456=""),0,MAX(0,MIN($F456,EOMONTH(DATE(cfg_FY,2,1),0))-MAX($E456,DATE(cfg_FY,2,1))+1)*(1-IF($M456="نعم",0,N($J456))))</f>
        <v>0</v>
      </c>
      <c r="X456" s="57" t="n">
        <f aca="false">IF(OR($B456="",$E456="",$F456=""),0,MAX(0,MIN($F456,EOMONTH(DATE(cfg_FY,3,1),0))-MAX($E456,DATE(cfg_FY,3,1))+1)*(1-IF($M456="نعم",0,N($J456))))</f>
        <v>0</v>
      </c>
      <c r="Y456" s="57" t="n">
        <f aca="false">IF(OR($B456="",$E456="",$F456=""),0,MAX(0,MIN($F456,EOMONTH(DATE(cfg_FY,4,1),0))-MAX($E456,DATE(cfg_FY,4,1))+1)*(1-IF($M456="نعم",0,N($J456))))</f>
        <v>0</v>
      </c>
      <c r="Z456" s="57" t="n">
        <f aca="false">IF(OR($B456="",$E456="",$F456=""),0,MAX(0,MIN($F456,EOMONTH(DATE(cfg_FY,5,1),0))-MAX($E456,DATE(cfg_FY,5,1))+1)*(1-IF($M456="نعم",0,N($J456))))</f>
        <v>0</v>
      </c>
      <c r="AA456" s="57" t="n">
        <f aca="false">IF(OR($B456="",$E456="",$F456=""),0,MAX(0,MIN($F456,EOMONTH(DATE(cfg_FY,6,1),0))-MAX($E456,DATE(cfg_FY,6,1))+1)*(1-IF($M456="نعم",0,N($J456))))</f>
        <v>0</v>
      </c>
      <c r="AB456" s="57" t="n">
        <f aca="false">IF(OR($B456="",$E456="",$F456=""),0,MAX(0,MIN($F456,EOMONTH(DATE(cfg_FY,7,1),0))-MAX($E456,DATE(cfg_FY,7,1))+1)*(1-IF($M456="نعم",0,N($J456))))</f>
        <v>0</v>
      </c>
      <c r="AC456" s="57" t="n">
        <f aca="false">IF(OR($B456="",$E456="",$F456=""),0,MAX(0,MIN($F456,EOMONTH(DATE(cfg_FY,8,1),0))-MAX($E456,DATE(cfg_FY,8,1))+1)*(1-IF($M456="نعم",0,N($J456))))</f>
        <v>0</v>
      </c>
      <c r="AD456" s="57" t="n">
        <f aca="false">IF(OR($B456="",$E456="",$F456=""),0,MAX(0,MIN($F456,EOMONTH(DATE(cfg_FY,9,1),0))-MAX($E456,DATE(cfg_FY,9,1))+1)*(1-IF($M456="نعم",0,N($J456))))</f>
        <v>0</v>
      </c>
      <c r="AE456" s="57" t="n">
        <f aca="false">IF(OR($B456="",$E456="",$F456=""),0,MAX(0,MIN($F456,EOMONTH(DATE(cfg_FY,10,1),0))-MAX($E456,DATE(cfg_FY,10,1))+1)*(1-IF($M456="نعم",0,N($J456))))</f>
        <v>0</v>
      </c>
      <c r="AF456" s="57" t="n">
        <f aca="false">IF(OR($B456="",$E456="",$F456=""),0,MAX(0,MIN($F456,EOMONTH(DATE(cfg_FY,11,1),0))-MAX($E456,DATE(cfg_FY,11,1))+1)*(1-IF($M456="نعم",0,N($J456))))</f>
        <v>0</v>
      </c>
      <c r="AG456" s="57" t="n">
        <f aca="false">IF(OR($B456="",$E456="",$F456=""),0,MAX(0,MIN($F456,EOMONTH(DATE(cfg_FY,12,1),0))-MAX($E456,DATE(cfg_FY,12,1))+1)*(1-IF($M456="نعم",0,N($J456))))</f>
        <v>0</v>
      </c>
      <c r="AH456" s="57" t="n">
        <f aca="false">IF(OR(OR($B456="",$E456="",$F456=""),$L456&lt;&gt;"لا"),0,MAX(0,MIN($F456,EOMONTH(DATE(cfg_FY,1,1),0))-$E456+1))</f>
        <v>0</v>
      </c>
      <c r="AI456" s="57" t="n">
        <f aca="false">IF(OR(OR($B456="",$E456="",$F456=""),$L456&lt;&gt;"لا"),0,MAX(0,MIN($F456,EOMONTH(DATE(cfg_FY,2,1),0))-$E456+1))</f>
        <v>0</v>
      </c>
      <c r="AJ456" s="57" t="n">
        <f aca="false">IF(OR(OR($B456="",$E456="",$F456=""),$L456&lt;&gt;"لا"),0,MAX(0,MIN($F456,EOMONTH(DATE(cfg_FY,3,1),0))-$E456+1))</f>
        <v>0</v>
      </c>
      <c r="AK456" s="57" t="n">
        <f aca="false">IF(OR(OR($B456="",$E456="",$F456=""),$L456&lt;&gt;"لا"),0,MAX(0,MIN($F456,EOMONTH(DATE(cfg_FY,4,1),0))-$E456+1))</f>
        <v>0</v>
      </c>
      <c r="AL456" s="57" t="n">
        <f aca="false">IF(OR(OR($B456="",$E456="",$F456=""),$L456&lt;&gt;"لا"),0,MAX(0,MIN($F456,EOMONTH(DATE(cfg_FY,5,1),0))-$E456+1))</f>
        <v>0</v>
      </c>
      <c r="AM456" s="57" t="n">
        <f aca="false">IF(OR(OR($B456="",$E456="",$F456=""),$L456&lt;&gt;"لا"),0,MAX(0,MIN($F456,EOMONTH(DATE(cfg_FY,6,1),0))-$E456+1))</f>
        <v>0</v>
      </c>
      <c r="AN456" s="57" t="n">
        <f aca="false">IF(OR(OR($B456="",$E456="",$F456=""),$L456&lt;&gt;"لا"),0,MAX(0,MIN($F456,EOMONTH(DATE(cfg_FY,7,1),0))-$E456+1))</f>
        <v>0</v>
      </c>
      <c r="AO456" s="57" t="n">
        <f aca="false">IF(OR(OR($B456="",$E456="",$F456=""),$L456&lt;&gt;"لا"),0,MAX(0,MIN($F456,EOMONTH(DATE(cfg_FY,8,1),0))-$E456+1))</f>
        <v>0</v>
      </c>
      <c r="AP456" s="57" t="n">
        <f aca="false">IF(OR(OR($B456="",$E456="",$F456=""),$L456&lt;&gt;"لا"),0,MAX(0,MIN($F456,EOMONTH(DATE(cfg_FY,9,1),0))-$E456+1))</f>
        <v>0</v>
      </c>
      <c r="AQ456" s="57" t="n">
        <f aca="false">IF(OR(OR($B456="",$E456="",$F456=""),$L456&lt;&gt;"لا"),0,MAX(0,MIN($F456,EOMONTH(DATE(cfg_FY,10,1),0))-$E456+1))</f>
        <v>0</v>
      </c>
      <c r="AR456" s="57" t="n">
        <f aca="false">IF(OR(OR($B456="",$E456="",$F456=""),$L456&lt;&gt;"لا"),0,MAX(0,MIN($F456,EOMONTH(DATE(cfg_FY,11,1),0))-$E456+1))</f>
        <v>0</v>
      </c>
      <c r="AS456" s="57" t="n">
        <f aca="false">IF(OR(OR($B456="",$E456="",$F456=""),$L456&lt;&gt;"لا"),0,MAX(0,MIN($F456,EOMONTH(DATE(cfg_FY,12,1),0))-$E456+1))</f>
        <v>0</v>
      </c>
      <c r="AT456" s="57" t="n">
        <f aca="false">IF(OR(OR($B456="",$E456="",$F456=""),$K456&lt;&gt;"نعم",$M456="نعم"),0,MAX(0,MIN($F456,EOMONTH(DATE(cfg_FY,1,1),0))-MAX($E456,DATE(cfg_FY,1,1))+1))</f>
        <v>0</v>
      </c>
      <c r="AU456" s="57" t="n">
        <f aca="false">IF(OR(OR($B456="",$E456="",$F456=""),$K456&lt;&gt;"نعم",$M456="نعم"),0,MAX(0,MIN($F456,EOMONTH(DATE(cfg_FY,2,1),0))-MAX($E456,DATE(cfg_FY,2,1))+1))</f>
        <v>0</v>
      </c>
      <c r="AV456" s="57" t="n">
        <f aca="false">IF(OR(OR($B456="",$E456="",$F456=""),$K456&lt;&gt;"نعم",$M456="نعم"),0,MAX(0,MIN($F456,EOMONTH(DATE(cfg_FY,3,1),0))-MAX($E456,DATE(cfg_FY,3,1))+1))</f>
        <v>0</v>
      </c>
      <c r="AW456" s="57" t="n">
        <f aca="false">IF(OR(OR($B456="",$E456="",$F456=""),$K456&lt;&gt;"نعم",$M456="نعم"),0,MAX(0,MIN($F456,EOMONTH(DATE(cfg_FY,4,1),0))-MAX($E456,DATE(cfg_FY,4,1))+1))</f>
        <v>0</v>
      </c>
      <c r="AX456" s="57" t="n">
        <f aca="false">IF(OR(OR($B456="",$E456="",$F456=""),$K456&lt;&gt;"نعم",$M456="نعم"),0,MAX(0,MIN($F456,EOMONTH(DATE(cfg_FY,5,1),0))-MAX($E456,DATE(cfg_FY,5,1))+1))</f>
        <v>0</v>
      </c>
      <c r="AY456" s="57" t="n">
        <f aca="false">IF(OR(OR($B456="",$E456="",$F456=""),$K456&lt;&gt;"نعم",$M456="نعم"),0,MAX(0,MIN($F456,EOMONTH(DATE(cfg_FY,6,1),0))-MAX($E456,DATE(cfg_FY,6,1))+1))</f>
        <v>0</v>
      </c>
      <c r="AZ456" s="57" t="n">
        <f aca="false">IF(OR(OR($B456="",$E456="",$F456=""),$K456&lt;&gt;"نعم",$M456="نعم"),0,MAX(0,MIN($F456,EOMONTH(DATE(cfg_FY,7,1),0))-MAX($E456,DATE(cfg_FY,7,1))+1))</f>
        <v>0</v>
      </c>
      <c r="BA456" s="57" t="n">
        <f aca="false">IF(OR(OR($B456="",$E456="",$F456=""),$K456&lt;&gt;"نعم",$M456="نعم"),0,MAX(0,MIN($F456,EOMONTH(DATE(cfg_FY,8,1),0))-MAX($E456,DATE(cfg_FY,8,1))+1))</f>
        <v>0</v>
      </c>
      <c r="BB456" s="57" t="n">
        <f aca="false">IF(OR(OR($B456="",$E456="",$F456=""),$K456&lt;&gt;"نعم",$M456="نعم"),0,MAX(0,MIN($F456,EOMONTH(DATE(cfg_FY,9,1),0))-MAX($E456,DATE(cfg_FY,9,1))+1))</f>
        <v>0</v>
      </c>
      <c r="BC456" s="57" t="n">
        <f aca="false">IF(OR(OR($B456="",$E456="",$F456=""),$K456&lt;&gt;"نعم",$M456="نعم"),0,MAX(0,MIN($F456,EOMONTH(DATE(cfg_FY,10,1),0))-MAX($E456,DATE(cfg_FY,10,1))+1))</f>
        <v>0</v>
      </c>
      <c r="BD456" s="57" t="n">
        <f aca="false">IF(OR(OR($B456="",$E456="",$F456=""),$K456&lt;&gt;"نعم",$M456="نعم"),0,MAX(0,MIN($F456,EOMONTH(DATE(cfg_FY,11,1),0))-MAX($E456,DATE(cfg_FY,11,1))+1))</f>
        <v>0</v>
      </c>
      <c r="BE456" s="57" t="n">
        <f aca="false">IF(OR(OR($B456="",$E456="",$F456=""),$K456&lt;&gt;"نعم",$M456="نعم"),0,MAX(0,MIN($F456,EOMONTH(DATE(cfg_FY,12,1),0))-MAX($E456,DATE(cfg_FY,12,1))+1))</f>
        <v>0</v>
      </c>
    </row>
    <row r="457" customFormat="false" ht="15" hidden="false" customHeight="false" outlineLevel="0" collapsed="false">
      <c r="A457" s="100" t="str">
        <f aca="false">IF(B457="","",ROW()-5)</f>
        <v/>
      </c>
      <c r="B457" s="79"/>
      <c r="C457" s="102" t="str">
        <f aca="false">IF(B457="","",IFERROR(INDEX(الموظفون!$C$6:$C$105,MATCH(B457,الموظفون!$B$6:$B$105,0)),"✖ رقم غير موجود"))</f>
        <v/>
      </c>
      <c r="D457" s="79"/>
      <c r="E457" s="94"/>
      <c r="F457" s="94"/>
      <c r="G457" s="110" t="str">
        <f aca="false">IF(OR($B457="",$E457="",$F457=""),"",MAX(0,F457-E457+1))</f>
        <v/>
      </c>
      <c r="H457" s="111" t="str">
        <f aca="false">IF(D457="","",IFERROR(VLOOKUP(D457,cfg_LT,2,FALSE()),1))</f>
        <v/>
      </c>
      <c r="I457" s="82"/>
      <c r="J457" s="111" t="str">
        <f aca="false">IF(D457="","",IF(I457&lt;&gt;"",I457,H457))</f>
        <v/>
      </c>
      <c r="K457" s="102" t="str">
        <f aca="false">IF(D457="","",IFERROR(VLOOKUP($D457,cfg_LT,3,FALSE()),""))</f>
        <v/>
      </c>
      <c r="L457" s="102" t="str">
        <f aca="false">IF(D457="","",IFERROR(VLOOKUP($D457,cfg_LT,4,FALSE()),""))</f>
        <v/>
      </c>
      <c r="M457" s="102" t="str">
        <f aca="false">IF(D457="","",IFERROR(VLOOKUP($D457,cfg_LT,5,FALSE()),""))</f>
        <v/>
      </c>
      <c r="N457" s="101" t="n">
        <f aca="false">IF(OR(OR($B457="",$E457="",$F457=""),M457&lt;&gt;"نعم"),0,G457*J457*IFERROR(INDEX(الموظفون!$R$6:$R$105,MATCH(B457,الموظفون!$B$6:$B$105,0)),0)/cfg_DAYS_M)</f>
        <v>0</v>
      </c>
      <c r="O457" s="100" t="str">
        <f aca="false">IF(OR(OR($B457="",$E457="",$F457=""),M457&lt;&gt;"نعم"),"",IF(YEAR(E457)=cfg_FY,MONTH(E457),""))</f>
        <v/>
      </c>
      <c r="P457" s="102" t="str">
        <f aca="false">IF(B457="","",IF(OR(D457="",E457="",F457=""),"⚠ أكمل النوع والتواريخ",IF(F457&lt;E457,"✖ النهاية قبل البداية",IF(COUNTIFS($B$6:$B$505,B457,$E$6:$E$505,"&lt;="&amp;F457,$F$6:$F$505,"&gt;="&amp;E457)&gt;1,"⚠ تداخل مع سجل آخر",IF(E457&gt;cfg_VAL_DATE,"⏳ قادمة",IF(F457&lt;cfg_VAL_DATE,"✔ منتهية","✈ جارية في تاريخ التقرير"))))))</f>
        <v/>
      </c>
      <c r="Q457" s="79"/>
      <c r="R457" s="110" t="n">
        <f aca="false">IF(OR(OR($B457="",$E457="",$F457=""),L457&lt;&gt;"لا"),0,MAX(0,MIN(F457,cfg_Y_START-1)-E457+1))</f>
        <v>0</v>
      </c>
      <c r="S457" s="110" t="n">
        <f aca="false">IF(OR(OR($B457="",$E457="",$F457=""),L457&lt;&gt;"لا"),0,MAX(0,MIN(F457,cfg_VAL_DATE)-E457+1))</f>
        <v>0</v>
      </c>
      <c r="T457" s="110" t="n">
        <f aca="false">IF(OR(OR($B457="",$E457="",$F457=""),K457&lt;&gt;"نعم"),0,IF(M457="نعم",IF(AND(ISNUMBER(O457),N(O457)&lt;=cfg_VAL_M),G457,0),MAX(0,MIN(F457,cfg_VAL_DATE)-MAX(E457,cfg_Y_START)+1)))</f>
        <v>0</v>
      </c>
      <c r="V457" s="110" t="n">
        <f aca="false">IF(OR($B457="",$E457="",$F457=""),0,MAX(0,MIN($F457,EOMONTH(DATE(cfg_FY,1,1),0))-MAX($E457,DATE(cfg_FY,1,1))+1)*(1-IF($M457="نعم",0,N($J457))))</f>
        <v>0</v>
      </c>
      <c r="W457" s="110" t="n">
        <f aca="false">IF(OR($B457="",$E457="",$F457=""),0,MAX(0,MIN($F457,EOMONTH(DATE(cfg_FY,2,1),0))-MAX($E457,DATE(cfg_FY,2,1))+1)*(1-IF($M457="نعم",0,N($J457))))</f>
        <v>0</v>
      </c>
      <c r="X457" s="110" t="n">
        <f aca="false">IF(OR($B457="",$E457="",$F457=""),0,MAX(0,MIN($F457,EOMONTH(DATE(cfg_FY,3,1),0))-MAX($E457,DATE(cfg_FY,3,1))+1)*(1-IF($M457="نعم",0,N($J457))))</f>
        <v>0</v>
      </c>
      <c r="Y457" s="110" t="n">
        <f aca="false">IF(OR($B457="",$E457="",$F457=""),0,MAX(0,MIN($F457,EOMONTH(DATE(cfg_FY,4,1),0))-MAX($E457,DATE(cfg_FY,4,1))+1)*(1-IF($M457="نعم",0,N($J457))))</f>
        <v>0</v>
      </c>
      <c r="Z457" s="110" t="n">
        <f aca="false">IF(OR($B457="",$E457="",$F457=""),0,MAX(0,MIN($F457,EOMONTH(DATE(cfg_FY,5,1),0))-MAX($E457,DATE(cfg_FY,5,1))+1)*(1-IF($M457="نعم",0,N($J457))))</f>
        <v>0</v>
      </c>
      <c r="AA457" s="110" t="n">
        <f aca="false">IF(OR($B457="",$E457="",$F457=""),0,MAX(0,MIN($F457,EOMONTH(DATE(cfg_FY,6,1),0))-MAX($E457,DATE(cfg_FY,6,1))+1)*(1-IF($M457="نعم",0,N($J457))))</f>
        <v>0</v>
      </c>
      <c r="AB457" s="110" t="n">
        <f aca="false">IF(OR($B457="",$E457="",$F457=""),0,MAX(0,MIN($F457,EOMONTH(DATE(cfg_FY,7,1),0))-MAX($E457,DATE(cfg_FY,7,1))+1)*(1-IF($M457="نعم",0,N($J457))))</f>
        <v>0</v>
      </c>
      <c r="AC457" s="110" t="n">
        <f aca="false">IF(OR($B457="",$E457="",$F457=""),0,MAX(0,MIN($F457,EOMONTH(DATE(cfg_FY,8,1),0))-MAX($E457,DATE(cfg_FY,8,1))+1)*(1-IF($M457="نعم",0,N($J457))))</f>
        <v>0</v>
      </c>
      <c r="AD457" s="110" t="n">
        <f aca="false">IF(OR($B457="",$E457="",$F457=""),0,MAX(0,MIN($F457,EOMONTH(DATE(cfg_FY,9,1),0))-MAX($E457,DATE(cfg_FY,9,1))+1)*(1-IF($M457="نعم",0,N($J457))))</f>
        <v>0</v>
      </c>
      <c r="AE457" s="110" t="n">
        <f aca="false">IF(OR($B457="",$E457="",$F457=""),0,MAX(0,MIN($F457,EOMONTH(DATE(cfg_FY,10,1),0))-MAX($E457,DATE(cfg_FY,10,1))+1)*(1-IF($M457="نعم",0,N($J457))))</f>
        <v>0</v>
      </c>
      <c r="AF457" s="110" t="n">
        <f aca="false">IF(OR($B457="",$E457="",$F457=""),0,MAX(0,MIN($F457,EOMONTH(DATE(cfg_FY,11,1),0))-MAX($E457,DATE(cfg_FY,11,1))+1)*(1-IF($M457="نعم",0,N($J457))))</f>
        <v>0</v>
      </c>
      <c r="AG457" s="110" t="n">
        <f aca="false">IF(OR($B457="",$E457="",$F457=""),0,MAX(0,MIN($F457,EOMONTH(DATE(cfg_FY,12,1),0))-MAX($E457,DATE(cfg_FY,12,1))+1)*(1-IF($M457="نعم",0,N($J457))))</f>
        <v>0</v>
      </c>
      <c r="AH457" s="110" t="n">
        <f aca="false">IF(OR(OR($B457="",$E457="",$F457=""),$L457&lt;&gt;"لا"),0,MAX(0,MIN($F457,EOMONTH(DATE(cfg_FY,1,1),0))-$E457+1))</f>
        <v>0</v>
      </c>
      <c r="AI457" s="110" t="n">
        <f aca="false">IF(OR(OR($B457="",$E457="",$F457=""),$L457&lt;&gt;"لا"),0,MAX(0,MIN($F457,EOMONTH(DATE(cfg_FY,2,1),0))-$E457+1))</f>
        <v>0</v>
      </c>
      <c r="AJ457" s="110" t="n">
        <f aca="false">IF(OR(OR($B457="",$E457="",$F457=""),$L457&lt;&gt;"لا"),0,MAX(0,MIN($F457,EOMONTH(DATE(cfg_FY,3,1),0))-$E457+1))</f>
        <v>0</v>
      </c>
      <c r="AK457" s="110" t="n">
        <f aca="false">IF(OR(OR($B457="",$E457="",$F457=""),$L457&lt;&gt;"لا"),0,MAX(0,MIN($F457,EOMONTH(DATE(cfg_FY,4,1),0))-$E457+1))</f>
        <v>0</v>
      </c>
      <c r="AL457" s="110" t="n">
        <f aca="false">IF(OR(OR($B457="",$E457="",$F457=""),$L457&lt;&gt;"لا"),0,MAX(0,MIN($F457,EOMONTH(DATE(cfg_FY,5,1),0))-$E457+1))</f>
        <v>0</v>
      </c>
      <c r="AM457" s="110" t="n">
        <f aca="false">IF(OR(OR($B457="",$E457="",$F457=""),$L457&lt;&gt;"لا"),0,MAX(0,MIN($F457,EOMONTH(DATE(cfg_FY,6,1),0))-$E457+1))</f>
        <v>0</v>
      </c>
      <c r="AN457" s="110" t="n">
        <f aca="false">IF(OR(OR($B457="",$E457="",$F457=""),$L457&lt;&gt;"لا"),0,MAX(0,MIN($F457,EOMONTH(DATE(cfg_FY,7,1),0))-$E457+1))</f>
        <v>0</v>
      </c>
      <c r="AO457" s="110" t="n">
        <f aca="false">IF(OR(OR($B457="",$E457="",$F457=""),$L457&lt;&gt;"لا"),0,MAX(0,MIN($F457,EOMONTH(DATE(cfg_FY,8,1),0))-$E457+1))</f>
        <v>0</v>
      </c>
      <c r="AP457" s="110" t="n">
        <f aca="false">IF(OR(OR($B457="",$E457="",$F457=""),$L457&lt;&gt;"لا"),0,MAX(0,MIN($F457,EOMONTH(DATE(cfg_FY,9,1),0))-$E457+1))</f>
        <v>0</v>
      </c>
      <c r="AQ457" s="110" t="n">
        <f aca="false">IF(OR(OR($B457="",$E457="",$F457=""),$L457&lt;&gt;"لا"),0,MAX(0,MIN($F457,EOMONTH(DATE(cfg_FY,10,1),0))-$E457+1))</f>
        <v>0</v>
      </c>
      <c r="AR457" s="110" t="n">
        <f aca="false">IF(OR(OR($B457="",$E457="",$F457=""),$L457&lt;&gt;"لا"),0,MAX(0,MIN($F457,EOMONTH(DATE(cfg_FY,11,1),0))-$E457+1))</f>
        <v>0</v>
      </c>
      <c r="AS457" s="110" t="n">
        <f aca="false">IF(OR(OR($B457="",$E457="",$F457=""),$L457&lt;&gt;"لا"),0,MAX(0,MIN($F457,EOMONTH(DATE(cfg_FY,12,1),0))-$E457+1))</f>
        <v>0</v>
      </c>
      <c r="AT457" s="110" t="n">
        <f aca="false">IF(OR(OR($B457="",$E457="",$F457=""),$K457&lt;&gt;"نعم",$M457="نعم"),0,MAX(0,MIN($F457,EOMONTH(DATE(cfg_FY,1,1),0))-MAX($E457,DATE(cfg_FY,1,1))+1))</f>
        <v>0</v>
      </c>
      <c r="AU457" s="110" t="n">
        <f aca="false">IF(OR(OR($B457="",$E457="",$F457=""),$K457&lt;&gt;"نعم",$M457="نعم"),0,MAX(0,MIN($F457,EOMONTH(DATE(cfg_FY,2,1),0))-MAX($E457,DATE(cfg_FY,2,1))+1))</f>
        <v>0</v>
      </c>
      <c r="AV457" s="110" t="n">
        <f aca="false">IF(OR(OR($B457="",$E457="",$F457=""),$K457&lt;&gt;"نعم",$M457="نعم"),0,MAX(0,MIN($F457,EOMONTH(DATE(cfg_FY,3,1),0))-MAX($E457,DATE(cfg_FY,3,1))+1))</f>
        <v>0</v>
      </c>
      <c r="AW457" s="110" t="n">
        <f aca="false">IF(OR(OR($B457="",$E457="",$F457=""),$K457&lt;&gt;"نعم",$M457="نعم"),0,MAX(0,MIN($F457,EOMONTH(DATE(cfg_FY,4,1),0))-MAX($E457,DATE(cfg_FY,4,1))+1))</f>
        <v>0</v>
      </c>
      <c r="AX457" s="110" t="n">
        <f aca="false">IF(OR(OR($B457="",$E457="",$F457=""),$K457&lt;&gt;"نعم",$M457="نعم"),0,MAX(0,MIN($F457,EOMONTH(DATE(cfg_FY,5,1),0))-MAX($E457,DATE(cfg_FY,5,1))+1))</f>
        <v>0</v>
      </c>
      <c r="AY457" s="110" t="n">
        <f aca="false">IF(OR(OR($B457="",$E457="",$F457=""),$K457&lt;&gt;"نعم",$M457="نعم"),0,MAX(0,MIN($F457,EOMONTH(DATE(cfg_FY,6,1),0))-MAX($E457,DATE(cfg_FY,6,1))+1))</f>
        <v>0</v>
      </c>
      <c r="AZ457" s="110" t="n">
        <f aca="false">IF(OR(OR($B457="",$E457="",$F457=""),$K457&lt;&gt;"نعم",$M457="نعم"),0,MAX(0,MIN($F457,EOMONTH(DATE(cfg_FY,7,1),0))-MAX($E457,DATE(cfg_FY,7,1))+1))</f>
        <v>0</v>
      </c>
      <c r="BA457" s="110" t="n">
        <f aca="false">IF(OR(OR($B457="",$E457="",$F457=""),$K457&lt;&gt;"نعم",$M457="نعم"),0,MAX(0,MIN($F457,EOMONTH(DATE(cfg_FY,8,1),0))-MAX($E457,DATE(cfg_FY,8,1))+1))</f>
        <v>0</v>
      </c>
      <c r="BB457" s="110" t="n">
        <f aca="false">IF(OR(OR($B457="",$E457="",$F457=""),$K457&lt;&gt;"نعم",$M457="نعم"),0,MAX(0,MIN($F457,EOMONTH(DATE(cfg_FY,9,1),0))-MAX($E457,DATE(cfg_FY,9,1))+1))</f>
        <v>0</v>
      </c>
      <c r="BC457" s="110" t="n">
        <f aca="false">IF(OR(OR($B457="",$E457="",$F457=""),$K457&lt;&gt;"نعم",$M457="نعم"),0,MAX(0,MIN($F457,EOMONTH(DATE(cfg_FY,10,1),0))-MAX($E457,DATE(cfg_FY,10,1))+1))</f>
        <v>0</v>
      </c>
      <c r="BD457" s="110" t="n">
        <f aca="false">IF(OR(OR($B457="",$E457="",$F457=""),$K457&lt;&gt;"نعم",$M457="نعم"),0,MAX(0,MIN($F457,EOMONTH(DATE(cfg_FY,11,1),0))-MAX($E457,DATE(cfg_FY,11,1))+1))</f>
        <v>0</v>
      </c>
      <c r="BE457" s="110" t="n">
        <f aca="false">IF(OR(OR($B457="",$E457="",$F457=""),$K457&lt;&gt;"نعم",$M457="نعم"),0,MAX(0,MIN($F457,EOMONTH(DATE(cfg_FY,12,1),0))-MAX($E457,DATE(cfg_FY,12,1))+1))</f>
        <v>0</v>
      </c>
    </row>
    <row r="458" customFormat="false" ht="15" hidden="false" customHeight="false" outlineLevel="0" collapsed="false">
      <c r="A458" s="93" t="str">
        <f aca="false">IF(B458="","",ROW()-5)</f>
        <v/>
      </c>
      <c r="B458" s="79"/>
      <c r="C458" s="80" t="str">
        <f aca="false">IF(B458="","",IFERROR(INDEX(الموظفون!$C$6:$C$105,MATCH(B458,الموظفون!$B$6:$B$105,0)),"✖ رقم غير موجود"))</f>
        <v/>
      </c>
      <c r="D458" s="79"/>
      <c r="E458" s="94"/>
      <c r="F458" s="94"/>
      <c r="G458" s="57" t="str">
        <f aca="false">IF(OR($B458="",$E458="",$F458=""),"",MAX(0,F458-E458+1))</f>
        <v/>
      </c>
      <c r="H458" s="58" t="str">
        <f aca="false">IF(D458="","",IFERROR(VLOOKUP(D458,cfg_LT,2,FALSE()),1))</f>
        <v/>
      </c>
      <c r="I458" s="82"/>
      <c r="J458" s="58" t="str">
        <f aca="false">IF(D458="","",IF(I458&lt;&gt;"",I458,H458))</f>
        <v/>
      </c>
      <c r="K458" s="80" t="str">
        <f aca="false">IF(D458="","",IFERROR(VLOOKUP($D458,cfg_LT,3,FALSE()),""))</f>
        <v/>
      </c>
      <c r="L458" s="80" t="str">
        <f aca="false">IF(D458="","",IFERROR(VLOOKUP($D458,cfg_LT,4,FALSE()),""))</f>
        <v/>
      </c>
      <c r="M458" s="80" t="str">
        <f aca="false">IF(D458="","",IFERROR(VLOOKUP($D458,cfg_LT,5,FALSE()),""))</f>
        <v/>
      </c>
      <c r="N458" s="97" t="n">
        <f aca="false">IF(OR(OR($B458="",$E458="",$F458=""),M458&lt;&gt;"نعم"),0,G458*J458*IFERROR(INDEX(الموظفون!$R$6:$R$105,MATCH(B458,الموظفون!$B$6:$B$105,0)),0)/cfg_DAYS_M)</f>
        <v>0</v>
      </c>
      <c r="O458" s="93" t="str">
        <f aca="false">IF(OR(OR($B458="",$E458="",$F458=""),M458&lt;&gt;"نعم"),"",IF(YEAR(E458)=cfg_FY,MONTH(E458),""))</f>
        <v/>
      </c>
      <c r="P458" s="80" t="str">
        <f aca="false">IF(B458="","",IF(OR(D458="",E458="",F458=""),"⚠ أكمل النوع والتواريخ",IF(F458&lt;E458,"✖ النهاية قبل البداية",IF(COUNTIFS($B$6:$B$505,B458,$E$6:$E$505,"&lt;="&amp;F458,$F$6:$F$505,"&gt;="&amp;E458)&gt;1,"⚠ تداخل مع سجل آخر",IF(E458&gt;cfg_VAL_DATE,"⏳ قادمة",IF(F458&lt;cfg_VAL_DATE,"✔ منتهية","✈ جارية في تاريخ التقرير"))))))</f>
        <v/>
      </c>
      <c r="Q458" s="79"/>
      <c r="R458" s="57" t="n">
        <f aca="false">IF(OR(OR($B458="",$E458="",$F458=""),L458&lt;&gt;"لا"),0,MAX(0,MIN(F458,cfg_Y_START-1)-E458+1))</f>
        <v>0</v>
      </c>
      <c r="S458" s="57" t="n">
        <f aca="false">IF(OR(OR($B458="",$E458="",$F458=""),L458&lt;&gt;"لا"),0,MAX(0,MIN(F458,cfg_VAL_DATE)-E458+1))</f>
        <v>0</v>
      </c>
      <c r="T458" s="57" t="n">
        <f aca="false">IF(OR(OR($B458="",$E458="",$F458=""),K458&lt;&gt;"نعم"),0,IF(M458="نعم",IF(AND(ISNUMBER(O458),N(O458)&lt;=cfg_VAL_M),G458,0),MAX(0,MIN(F458,cfg_VAL_DATE)-MAX(E458,cfg_Y_START)+1)))</f>
        <v>0</v>
      </c>
      <c r="V458" s="57" t="n">
        <f aca="false">IF(OR($B458="",$E458="",$F458=""),0,MAX(0,MIN($F458,EOMONTH(DATE(cfg_FY,1,1),0))-MAX($E458,DATE(cfg_FY,1,1))+1)*(1-IF($M458="نعم",0,N($J458))))</f>
        <v>0</v>
      </c>
      <c r="W458" s="57" t="n">
        <f aca="false">IF(OR($B458="",$E458="",$F458=""),0,MAX(0,MIN($F458,EOMONTH(DATE(cfg_FY,2,1),0))-MAX($E458,DATE(cfg_FY,2,1))+1)*(1-IF($M458="نعم",0,N($J458))))</f>
        <v>0</v>
      </c>
      <c r="X458" s="57" t="n">
        <f aca="false">IF(OR($B458="",$E458="",$F458=""),0,MAX(0,MIN($F458,EOMONTH(DATE(cfg_FY,3,1),0))-MAX($E458,DATE(cfg_FY,3,1))+1)*(1-IF($M458="نعم",0,N($J458))))</f>
        <v>0</v>
      </c>
      <c r="Y458" s="57" t="n">
        <f aca="false">IF(OR($B458="",$E458="",$F458=""),0,MAX(0,MIN($F458,EOMONTH(DATE(cfg_FY,4,1),0))-MAX($E458,DATE(cfg_FY,4,1))+1)*(1-IF($M458="نعم",0,N($J458))))</f>
        <v>0</v>
      </c>
      <c r="Z458" s="57" t="n">
        <f aca="false">IF(OR($B458="",$E458="",$F458=""),0,MAX(0,MIN($F458,EOMONTH(DATE(cfg_FY,5,1),0))-MAX($E458,DATE(cfg_FY,5,1))+1)*(1-IF($M458="نعم",0,N($J458))))</f>
        <v>0</v>
      </c>
      <c r="AA458" s="57" t="n">
        <f aca="false">IF(OR($B458="",$E458="",$F458=""),0,MAX(0,MIN($F458,EOMONTH(DATE(cfg_FY,6,1),0))-MAX($E458,DATE(cfg_FY,6,1))+1)*(1-IF($M458="نعم",0,N($J458))))</f>
        <v>0</v>
      </c>
      <c r="AB458" s="57" t="n">
        <f aca="false">IF(OR($B458="",$E458="",$F458=""),0,MAX(0,MIN($F458,EOMONTH(DATE(cfg_FY,7,1),0))-MAX($E458,DATE(cfg_FY,7,1))+1)*(1-IF($M458="نعم",0,N($J458))))</f>
        <v>0</v>
      </c>
      <c r="AC458" s="57" t="n">
        <f aca="false">IF(OR($B458="",$E458="",$F458=""),0,MAX(0,MIN($F458,EOMONTH(DATE(cfg_FY,8,1),0))-MAX($E458,DATE(cfg_FY,8,1))+1)*(1-IF($M458="نعم",0,N($J458))))</f>
        <v>0</v>
      </c>
      <c r="AD458" s="57" t="n">
        <f aca="false">IF(OR($B458="",$E458="",$F458=""),0,MAX(0,MIN($F458,EOMONTH(DATE(cfg_FY,9,1),0))-MAX($E458,DATE(cfg_FY,9,1))+1)*(1-IF($M458="نعم",0,N($J458))))</f>
        <v>0</v>
      </c>
      <c r="AE458" s="57" t="n">
        <f aca="false">IF(OR($B458="",$E458="",$F458=""),0,MAX(0,MIN($F458,EOMONTH(DATE(cfg_FY,10,1),0))-MAX($E458,DATE(cfg_FY,10,1))+1)*(1-IF($M458="نعم",0,N($J458))))</f>
        <v>0</v>
      </c>
      <c r="AF458" s="57" t="n">
        <f aca="false">IF(OR($B458="",$E458="",$F458=""),0,MAX(0,MIN($F458,EOMONTH(DATE(cfg_FY,11,1),0))-MAX($E458,DATE(cfg_FY,11,1))+1)*(1-IF($M458="نعم",0,N($J458))))</f>
        <v>0</v>
      </c>
      <c r="AG458" s="57" t="n">
        <f aca="false">IF(OR($B458="",$E458="",$F458=""),0,MAX(0,MIN($F458,EOMONTH(DATE(cfg_FY,12,1),0))-MAX($E458,DATE(cfg_FY,12,1))+1)*(1-IF($M458="نعم",0,N($J458))))</f>
        <v>0</v>
      </c>
      <c r="AH458" s="57" t="n">
        <f aca="false">IF(OR(OR($B458="",$E458="",$F458=""),$L458&lt;&gt;"لا"),0,MAX(0,MIN($F458,EOMONTH(DATE(cfg_FY,1,1),0))-$E458+1))</f>
        <v>0</v>
      </c>
      <c r="AI458" s="57" t="n">
        <f aca="false">IF(OR(OR($B458="",$E458="",$F458=""),$L458&lt;&gt;"لا"),0,MAX(0,MIN($F458,EOMONTH(DATE(cfg_FY,2,1),0))-$E458+1))</f>
        <v>0</v>
      </c>
      <c r="AJ458" s="57" t="n">
        <f aca="false">IF(OR(OR($B458="",$E458="",$F458=""),$L458&lt;&gt;"لا"),0,MAX(0,MIN($F458,EOMONTH(DATE(cfg_FY,3,1),0))-$E458+1))</f>
        <v>0</v>
      </c>
      <c r="AK458" s="57" t="n">
        <f aca="false">IF(OR(OR($B458="",$E458="",$F458=""),$L458&lt;&gt;"لا"),0,MAX(0,MIN($F458,EOMONTH(DATE(cfg_FY,4,1),0))-$E458+1))</f>
        <v>0</v>
      </c>
      <c r="AL458" s="57" t="n">
        <f aca="false">IF(OR(OR($B458="",$E458="",$F458=""),$L458&lt;&gt;"لا"),0,MAX(0,MIN($F458,EOMONTH(DATE(cfg_FY,5,1),0))-$E458+1))</f>
        <v>0</v>
      </c>
      <c r="AM458" s="57" t="n">
        <f aca="false">IF(OR(OR($B458="",$E458="",$F458=""),$L458&lt;&gt;"لا"),0,MAX(0,MIN($F458,EOMONTH(DATE(cfg_FY,6,1),0))-$E458+1))</f>
        <v>0</v>
      </c>
      <c r="AN458" s="57" t="n">
        <f aca="false">IF(OR(OR($B458="",$E458="",$F458=""),$L458&lt;&gt;"لا"),0,MAX(0,MIN($F458,EOMONTH(DATE(cfg_FY,7,1),0))-$E458+1))</f>
        <v>0</v>
      </c>
      <c r="AO458" s="57" t="n">
        <f aca="false">IF(OR(OR($B458="",$E458="",$F458=""),$L458&lt;&gt;"لا"),0,MAX(0,MIN($F458,EOMONTH(DATE(cfg_FY,8,1),0))-$E458+1))</f>
        <v>0</v>
      </c>
      <c r="AP458" s="57" t="n">
        <f aca="false">IF(OR(OR($B458="",$E458="",$F458=""),$L458&lt;&gt;"لا"),0,MAX(0,MIN($F458,EOMONTH(DATE(cfg_FY,9,1),0))-$E458+1))</f>
        <v>0</v>
      </c>
      <c r="AQ458" s="57" t="n">
        <f aca="false">IF(OR(OR($B458="",$E458="",$F458=""),$L458&lt;&gt;"لا"),0,MAX(0,MIN($F458,EOMONTH(DATE(cfg_FY,10,1),0))-$E458+1))</f>
        <v>0</v>
      </c>
      <c r="AR458" s="57" t="n">
        <f aca="false">IF(OR(OR($B458="",$E458="",$F458=""),$L458&lt;&gt;"لا"),0,MAX(0,MIN($F458,EOMONTH(DATE(cfg_FY,11,1),0))-$E458+1))</f>
        <v>0</v>
      </c>
      <c r="AS458" s="57" t="n">
        <f aca="false">IF(OR(OR($B458="",$E458="",$F458=""),$L458&lt;&gt;"لا"),0,MAX(0,MIN($F458,EOMONTH(DATE(cfg_FY,12,1),0))-$E458+1))</f>
        <v>0</v>
      </c>
      <c r="AT458" s="57" t="n">
        <f aca="false">IF(OR(OR($B458="",$E458="",$F458=""),$K458&lt;&gt;"نعم",$M458="نعم"),0,MAX(0,MIN($F458,EOMONTH(DATE(cfg_FY,1,1),0))-MAX($E458,DATE(cfg_FY,1,1))+1))</f>
        <v>0</v>
      </c>
      <c r="AU458" s="57" t="n">
        <f aca="false">IF(OR(OR($B458="",$E458="",$F458=""),$K458&lt;&gt;"نعم",$M458="نعم"),0,MAX(0,MIN($F458,EOMONTH(DATE(cfg_FY,2,1),0))-MAX($E458,DATE(cfg_FY,2,1))+1))</f>
        <v>0</v>
      </c>
      <c r="AV458" s="57" t="n">
        <f aca="false">IF(OR(OR($B458="",$E458="",$F458=""),$K458&lt;&gt;"نعم",$M458="نعم"),0,MAX(0,MIN($F458,EOMONTH(DATE(cfg_FY,3,1),0))-MAX($E458,DATE(cfg_FY,3,1))+1))</f>
        <v>0</v>
      </c>
      <c r="AW458" s="57" t="n">
        <f aca="false">IF(OR(OR($B458="",$E458="",$F458=""),$K458&lt;&gt;"نعم",$M458="نعم"),0,MAX(0,MIN($F458,EOMONTH(DATE(cfg_FY,4,1),0))-MAX($E458,DATE(cfg_FY,4,1))+1))</f>
        <v>0</v>
      </c>
      <c r="AX458" s="57" t="n">
        <f aca="false">IF(OR(OR($B458="",$E458="",$F458=""),$K458&lt;&gt;"نعم",$M458="نعم"),0,MAX(0,MIN($F458,EOMONTH(DATE(cfg_FY,5,1),0))-MAX($E458,DATE(cfg_FY,5,1))+1))</f>
        <v>0</v>
      </c>
      <c r="AY458" s="57" t="n">
        <f aca="false">IF(OR(OR($B458="",$E458="",$F458=""),$K458&lt;&gt;"نعم",$M458="نعم"),0,MAX(0,MIN($F458,EOMONTH(DATE(cfg_FY,6,1),0))-MAX($E458,DATE(cfg_FY,6,1))+1))</f>
        <v>0</v>
      </c>
      <c r="AZ458" s="57" t="n">
        <f aca="false">IF(OR(OR($B458="",$E458="",$F458=""),$K458&lt;&gt;"نعم",$M458="نعم"),0,MAX(0,MIN($F458,EOMONTH(DATE(cfg_FY,7,1),0))-MAX($E458,DATE(cfg_FY,7,1))+1))</f>
        <v>0</v>
      </c>
      <c r="BA458" s="57" t="n">
        <f aca="false">IF(OR(OR($B458="",$E458="",$F458=""),$K458&lt;&gt;"نعم",$M458="نعم"),0,MAX(0,MIN($F458,EOMONTH(DATE(cfg_FY,8,1),0))-MAX($E458,DATE(cfg_FY,8,1))+1))</f>
        <v>0</v>
      </c>
      <c r="BB458" s="57" t="n">
        <f aca="false">IF(OR(OR($B458="",$E458="",$F458=""),$K458&lt;&gt;"نعم",$M458="نعم"),0,MAX(0,MIN($F458,EOMONTH(DATE(cfg_FY,9,1),0))-MAX($E458,DATE(cfg_FY,9,1))+1))</f>
        <v>0</v>
      </c>
      <c r="BC458" s="57" t="n">
        <f aca="false">IF(OR(OR($B458="",$E458="",$F458=""),$K458&lt;&gt;"نعم",$M458="نعم"),0,MAX(0,MIN($F458,EOMONTH(DATE(cfg_FY,10,1),0))-MAX($E458,DATE(cfg_FY,10,1))+1))</f>
        <v>0</v>
      </c>
      <c r="BD458" s="57" t="n">
        <f aca="false">IF(OR(OR($B458="",$E458="",$F458=""),$K458&lt;&gt;"نعم",$M458="نعم"),0,MAX(0,MIN($F458,EOMONTH(DATE(cfg_FY,11,1),0))-MAX($E458,DATE(cfg_FY,11,1))+1))</f>
        <v>0</v>
      </c>
      <c r="BE458" s="57" t="n">
        <f aca="false">IF(OR(OR($B458="",$E458="",$F458=""),$K458&lt;&gt;"نعم",$M458="نعم"),0,MAX(0,MIN($F458,EOMONTH(DATE(cfg_FY,12,1),0))-MAX($E458,DATE(cfg_FY,12,1))+1))</f>
        <v>0</v>
      </c>
    </row>
    <row r="459" customFormat="false" ht="15" hidden="false" customHeight="false" outlineLevel="0" collapsed="false">
      <c r="A459" s="100" t="str">
        <f aca="false">IF(B459="","",ROW()-5)</f>
        <v/>
      </c>
      <c r="B459" s="79"/>
      <c r="C459" s="102" t="str">
        <f aca="false">IF(B459="","",IFERROR(INDEX(الموظفون!$C$6:$C$105,MATCH(B459,الموظفون!$B$6:$B$105,0)),"✖ رقم غير موجود"))</f>
        <v/>
      </c>
      <c r="D459" s="79"/>
      <c r="E459" s="94"/>
      <c r="F459" s="94"/>
      <c r="G459" s="110" t="str">
        <f aca="false">IF(OR($B459="",$E459="",$F459=""),"",MAX(0,F459-E459+1))</f>
        <v/>
      </c>
      <c r="H459" s="111" t="str">
        <f aca="false">IF(D459="","",IFERROR(VLOOKUP(D459,cfg_LT,2,FALSE()),1))</f>
        <v/>
      </c>
      <c r="I459" s="82"/>
      <c r="J459" s="111" t="str">
        <f aca="false">IF(D459="","",IF(I459&lt;&gt;"",I459,H459))</f>
        <v/>
      </c>
      <c r="K459" s="102" t="str">
        <f aca="false">IF(D459="","",IFERROR(VLOOKUP($D459,cfg_LT,3,FALSE()),""))</f>
        <v/>
      </c>
      <c r="L459" s="102" t="str">
        <f aca="false">IF(D459="","",IFERROR(VLOOKUP($D459,cfg_LT,4,FALSE()),""))</f>
        <v/>
      </c>
      <c r="M459" s="102" t="str">
        <f aca="false">IF(D459="","",IFERROR(VLOOKUP($D459,cfg_LT,5,FALSE()),""))</f>
        <v/>
      </c>
      <c r="N459" s="101" t="n">
        <f aca="false">IF(OR(OR($B459="",$E459="",$F459=""),M459&lt;&gt;"نعم"),0,G459*J459*IFERROR(INDEX(الموظفون!$R$6:$R$105,MATCH(B459,الموظفون!$B$6:$B$105,0)),0)/cfg_DAYS_M)</f>
        <v>0</v>
      </c>
      <c r="O459" s="100" t="str">
        <f aca="false">IF(OR(OR($B459="",$E459="",$F459=""),M459&lt;&gt;"نعم"),"",IF(YEAR(E459)=cfg_FY,MONTH(E459),""))</f>
        <v/>
      </c>
      <c r="P459" s="102" t="str">
        <f aca="false">IF(B459="","",IF(OR(D459="",E459="",F459=""),"⚠ أكمل النوع والتواريخ",IF(F459&lt;E459,"✖ النهاية قبل البداية",IF(COUNTIFS($B$6:$B$505,B459,$E$6:$E$505,"&lt;="&amp;F459,$F$6:$F$505,"&gt;="&amp;E459)&gt;1,"⚠ تداخل مع سجل آخر",IF(E459&gt;cfg_VAL_DATE,"⏳ قادمة",IF(F459&lt;cfg_VAL_DATE,"✔ منتهية","✈ جارية في تاريخ التقرير"))))))</f>
        <v/>
      </c>
      <c r="Q459" s="79"/>
      <c r="R459" s="110" t="n">
        <f aca="false">IF(OR(OR($B459="",$E459="",$F459=""),L459&lt;&gt;"لا"),0,MAX(0,MIN(F459,cfg_Y_START-1)-E459+1))</f>
        <v>0</v>
      </c>
      <c r="S459" s="110" t="n">
        <f aca="false">IF(OR(OR($B459="",$E459="",$F459=""),L459&lt;&gt;"لا"),0,MAX(0,MIN(F459,cfg_VAL_DATE)-E459+1))</f>
        <v>0</v>
      </c>
      <c r="T459" s="110" t="n">
        <f aca="false">IF(OR(OR($B459="",$E459="",$F459=""),K459&lt;&gt;"نعم"),0,IF(M459="نعم",IF(AND(ISNUMBER(O459),N(O459)&lt;=cfg_VAL_M),G459,0),MAX(0,MIN(F459,cfg_VAL_DATE)-MAX(E459,cfg_Y_START)+1)))</f>
        <v>0</v>
      </c>
      <c r="V459" s="110" t="n">
        <f aca="false">IF(OR($B459="",$E459="",$F459=""),0,MAX(0,MIN($F459,EOMONTH(DATE(cfg_FY,1,1),0))-MAX($E459,DATE(cfg_FY,1,1))+1)*(1-IF($M459="نعم",0,N($J459))))</f>
        <v>0</v>
      </c>
      <c r="W459" s="110" t="n">
        <f aca="false">IF(OR($B459="",$E459="",$F459=""),0,MAX(0,MIN($F459,EOMONTH(DATE(cfg_FY,2,1),0))-MAX($E459,DATE(cfg_FY,2,1))+1)*(1-IF($M459="نعم",0,N($J459))))</f>
        <v>0</v>
      </c>
      <c r="X459" s="110" t="n">
        <f aca="false">IF(OR($B459="",$E459="",$F459=""),0,MAX(0,MIN($F459,EOMONTH(DATE(cfg_FY,3,1),0))-MAX($E459,DATE(cfg_FY,3,1))+1)*(1-IF($M459="نعم",0,N($J459))))</f>
        <v>0</v>
      </c>
      <c r="Y459" s="110" t="n">
        <f aca="false">IF(OR($B459="",$E459="",$F459=""),0,MAX(0,MIN($F459,EOMONTH(DATE(cfg_FY,4,1),0))-MAX($E459,DATE(cfg_FY,4,1))+1)*(1-IF($M459="نعم",0,N($J459))))</f>
        <v>0</v>
      </c>
      <c r="Z459" s="110" t="n">
        <f aca="false">IF(OR($B459="",$E459="",$F459=""),0,MAX(0,MIN($F459,EOMONTH(DATE(cfg_FY,5,1),0))-MAX($E459,DATE(cfg_FY,5,1))+1)*(1-IF($M459="نعم",0,N($J459))))</f>
        <v>0</v>
      </c>
      <c r="AA459" s="110" t="n">
        <f aca="false">IF(OR($B459="",$E459="",$F459=""),0,MAX(0,MIN($F459,EOMONTH(DATE(cfg_FY,6,1),0))-MAX($E459,DATE(cfg_FY,6,1))+1)*(1-IF($M459="نعم",0,N($J459))))</f>
        <v>0</v>
      </c>
      <c r="AB459" s="110" t="n">
        <f aca="false">IF(OR($B459="",$E459="",$F459=""),0,MAX(0,MIN($F459,EOMONTH(DATE(cfg_FY,7,1),0))-MAX($E459,DATE(cfg_FY,7,1))+1)*(1-IF($M459="نعم",0,N($J459))))</f>
        <v>0</v>
      </c>
      <c r="AC459" s="110" t="n">
        <f aca="false">IF(OR($B459="",$E459="",$F459=""),0,MAX(0,MIN($F459,EOMONTH(DATE(cfg_FY,8,1),0))-MAX($E459,DATE(cfg_FY,8,1))+1)*(1-IF($M459="نعم",0,N($J459))))</f>
        <v>0</v>
      </c>
      <c r="AD459" s="110" t="n">
        <f aca="false">IF(OR($B459="",$E459="",$F459=""),0,MAX(0,MIN($F459,EOMONTH(DATE(cfg_FY,9,1),0))-MAX($E459,DATE(cfg_FY,9,1))+1)*(1-IF($M459="نعم",0,N($J459))))</f>
        <v>0</v>
      </c>
      <c r="AE459" s="110" t="n">
        <f aca="false">IF(OR($B459="",$E459="",$F459=""),0,MAX(0,MIN($F459,EOMONTH(DATE(cfg_FY,10,1),0))-MAX($E459,DATE(cfg_FY,10,1))+1)*(1-IF($M459="نعم",0,N($J459))))</f>
        <v>0</v>
      </c>
      <c r="AF459" s="110" t="n">
        <f aca="false">IF(OR($B459="",$E459="",$F459=""),0,MAX(0,MIN($F459,EOMONTH(DATE(cfg_FY,11,1),0))-MAX($E459,DATE(cfg_FY,11,1))+1)*(1-IF($M459="نعم",0,N($J459))))</f>
        <v>0</v>
      </c>
      <c r="AG459" s="110" t="n">
        <f aca="false">IF(OR($B459="",$E459="",$F459=""),0,MAX(0,MIN($F459,EOMONTH(DATE(cfg_FY,12,1),0))-MAX($E459,DATE(cfg_FY,12,1))+1)*(1-IF($M459="نعم",0,N($J459))))</f>
        <v>0</v>
      </c>
      <c r="AH459" s="110" t="n">
        <f aca="false">IF(OR(OR($B459="",$E459="",$F459=""),$L459&lt;&gt;"لا"),0,MAX(0,MIN($F459,EOMONTH(DATE(cfg_FY,1,1),0))-$E459+1))</f>
        <v>0</v>
      </c>
      <c r="AI459" s="110" t="n">
        <f aca="false">IF(OR(OR($B459="",$E459="",$F459=""),$L459&lt;&gt;"لا"),0,MAX(0,MIN($F459,EOMONTH(DATE(cfg_FY,2,1),0))-$E459+1))</f>
        <v>0</v>
      </c>
      <c r="AJ459" s="110" t="n">
        <f aca="false">IF(OR(OR($B459="",$E459="",$F459=""),$L459&lt;&gt;"لا"),0,MAX(0,MIN($F459,EOMONTH(DATE(cfg_FY,3,1),0))-$E459+1))</f>
        <v>0</v>
      </c>
      <c r="AK459" s="110" t="n">
        <f aca="false">IF(OR(OR($B459="",$E459="",$F459=""),$L459&lt;&gt;"لا"),0,MAX(0,MIN($F459,EOMONTH(DATE(cfg_FY,4,1),0))-$E459+1))</f>
        <v>0</v>
      </c>
      <c r="AL459" s="110" t="n">
        <f aca="false">IF(OR(OR($B459="",$E459="",$F459=""),$L459&lt;&gt;"لا"),0,MAX(0,MIN($F459,EOMONTH(DATE(cfg_FY,5,1),0))-$E459+1))</f>
        <v>0</v>
      </c>
      <c r="AM459" s="110" t="n">
        <f aca="false">IF(OR(OR($B459="",$E459="",$F459=""),$L459&lt;&gt;"لا"),0,MAX(0,MIN($F459,EOMONTH(DATE(cfg_FY,6,1),0))-$E459+1))</f>
        <v>0</v>
      </c>
      <c r="AN459" s="110" t="n">
        <f aca="false">IF(OR(OR($B459="",$E459="",$F459=""),$L459&lt;&gt;"لا"),0,MAX(0,MIN($F459,EOMONTH(DATE(cfg_FY,7,1),0))-$E459+1))</f>
        <v>0</v>
      </c>
      <c r="AO459" s="110" t="n">
        <f aca="false">IF(OR(OR($B459="",$E459="",$F459=""),$L459&lt;&gt;"لا"),0,MAX(0,MIN($F459,EOMONTH(DATE(cfg_FY,8,1),0))-$E459+1))</f>
        <v>0</v>
      </c>
      <c r="AP459" s="110" t="n">
        <f aca="false">IF(OR(OR($B459="",$E459="",$F459=""),$L459&lt;&gt;"لا"),0,MAX(0,MIN($F459,EOMONTH(DATE(cfg_FY,9,1),0))-$E459+1))</f>
        <v>0</v>
      </c>
      <c r="AQ459" s="110" t="n">
        <f aca="false">IF(OR(OR($B459="",$E459="",$F459=""),$L459&lt;&gt;"لا"),0,MAX(0,MIN($F459,EOMONTH(DATE(cfg_FY,10,1),0))-$E459+1))</f>
        <v>0</v>
      </c>
      <c r="AR459" s="110" t="n">
        <f aca="false">IF(OR(OR($B459="",$E459="",$F459=""),$L459&lt;&gt;"لا"),0,MAX(0,MIN($F459,EOMONTH(DATE(cfg_FY,11,1),0))-$E459+1))</f>
        <v>0</v>
      </c>
      <c r="AS459" s="110" t="n">
        <f aca="false">IF(OR(OR($B459="",$E459="",$F459=""),$L459&lt;&gt;"لا"),0,MAX(0,MIN($F459,EOMONTH(DATE(cfg_FY,12,1),0))-$E459+1))</f>
        <v>0</v>
      </c>
      <c r="AT459" s="110" t="n">
        <f aca="false">IF(OR(OR($B459="",$E459="",$F459=""),$K459&lt;&gt;"نعم",$M459="نعم"),0,MAX(0,MIN($F459,EOMONTH(DATE(cfg_FY,1,1),0))-MAX($E459,DATE(cfg_FY,1,1))+1))</f>
        <v>0</v>
      </c>
      <c r="AU459" s="110" t="n">
        <f aca="false">IF(OR(OR($B459="",$E459="",$F459=""),$K459&lt;&gt;"نعم",$M459="نعم"),0,MAX(0,MIN($F459,EOMONTH(DATE(cfg_FY,2,1),0))-MAX($E459,DATE(cfg_FY,2,1))+1))</f>
        <v>0</v>
      </c>
      <c r="AV459" s="110" t="n">
        <f aca="false">IF(OR(OR($B459="",$E459="",$F459=""),$K459&lt;&gt;"نعم",$M459="نعم"),0,MAX(0,MIN($F459,EOMONTH(DATE(cfg_FY,3,1),0))-MAX($E459,DATE(cfg_FY,3,1))+1))</f>
        <v>0</v>
      </c>
      <c r="AW459" s="110" t="n">
        <f aca="false">IF(OR(OR($B459="",$E459="",$F459=""),$K459&lt;&gt;"نعم",$M459="نعم"),0,MAX(0,MIN($F459,EOMONTH(DATE(cfg_FY,4,1),0))-MAX($E459,DATE(cfg_FY,4,1))+1))</f>
        <v>0</v>
      </c>
      <c r="AX459" s="110" t="n">
        <f aca="false">IF(OR(OR($B459="",$E459="",$F459=""),$K459&lt;&gt;"نعم",$M459="نعم"),0,MAX(0,MIN($F459,EOMONTH(DATE(cfg_FY,5,1),0))-MAX($E459,DATE(cfg_FY,5,1))+1))</f>
        <v>0</v>
      </c>
      <c r="AY459" s="110" t="n">
        <f aca="false">IF(OR(OR($B459="",$E459="",$F459=""),$K459&lt;&gt;"نعم",$M459="نعم"),0,MAX(0,MIN($F459,EOMONTH(DATE(cfg_FY,6,1),0))-MAX($E459,DATE(cfg_FY,6,1))+1))</f>
        <v>0</v>
      </c>
      <c r="AZ459" s="110" t="n">
        <f aca="false">IF(OR(OR($B459="",$E459="",$F459=""),$K459&lt;&gt;"نعم",$M459="نعم"),0,MAX(0,MIN($F459,EOMONTH(DATE(cfg_FY,7,1),0))-MAX($E459,DATE(cfg_FY,7,1))+1))</f>
        <v>0</v>
      </c>
      <c r="BA459" s="110" t="n">
        <f aca="false">IF(OR(OR($B459="",$E459="",$F459=""),$K459&lt;&gt;"نعم",$M459="نعم"),0,MAX(0,MIN($F459,EOMONTH(DATE(cfg_FY,8,1),0))-MAX($E459,DATE(cfg_FY,8,1))+1))</f>
        <v>0</v>
      </c>
      <c r="BB459" s="110" t="n">
        <f aca="false">IF(OR(OR($B459="",$E459="",$F459=""),$K459&lt;&gt;"نعم",$M459="نعم"),0,MAX(0,MIN($F459,EOMONTH(DATE(cfg_FY,9,1),0))-MAX($E459,DATE(cfg_FY,9,1))+1))</f>
        <v>0</v>
      </c>
      <c r="BC459" s="110" t="n">
        <f aca="false">IF(OR(OR($B459="",$E459="",$F459=""),$K459&lt;&gt;"نعم",$M459="نعم"),0,MAX(0,MIN($F459,EOMONTH(DATE(cfg_FY,10,1),0))-MAX($E459,DATE(cfg_FY,10,1))+1))</f>
        <v>0</v>
      </c>
      <c r="BD459" s="110" t="n">
        <f aca="false">IF(OR(OR($B459="",$E459="",$F459=""),$K459&lt;&gt;"نعم",$M459="نعم"),0,MAX(0,MIN($F459,EOMONTH(DATE(cfg_FY,11,1),0))-MAX($E459,DATE(cfg_FY,11,1))+1))</f>
        <v>0</v>
      </c>
      <c r="BE459" s="110" t="n">
        <f aca="false">IF(OR(OR($B459="",$E459="",$F459=""),$K459&lt;&gt;"نعم",$M459="نعم"),0,MAX(0,MIN($F459,EOMONTH(DATE(cfg_FY,12,1),0))-MAX($E459,DATE(cfg_FY,12,1))+1))</f>
        <v>0</v>
      </c>
    </row>
    <row r="460" customFormat="false" ht="15" hidden="false" customHeight="false" outlineLevel="0" collapsed="false">
      <c r="A460" s="93" t="str">
        <f aca="false">IF(B460="","",ROW()-5)</f>
        <v/>
      </c>
      <c r="B460" s="79"/>
      <c r="C460" s="80" t="str">
        <f aca="false">IF(B460="","",IFERROR(INDEX(الموظفون!$C$6:$C$105,MATCH(B460,الموظفون!$B$6:$B$105,0)),"✖ رقم غير موجود"))</f>
        <v/>
      </c>
      <c r="D460" s="79"/>
      <c r="E460" s="94"/>
      <c r="F460" s="94"/>
      <c r="G460" s="57" t="str">
        <f aca="false">IF(OR($B460="",$E460="",$F460=""),"",MAX(0,F460-E460+1))</f>
        <v/>
      </c>
      <c r="H460" s="58" t="str">
        <f aca="false">IF(D460="","",IFERROR(VLOOKUP(D460,cfg_LT,2,FALSE()),1))</f>
        <v/>
      </c>
      <c r="I460" s="82"/>
      <c r="J460" s="58" t="str">
        <f aca="false">IF(D460="","",IF(I460&lt;&gt;"",I460,H460))</f>
        <v/>
      </c>
      <c r="K460" s="80" t="str">
        <f aca="false">IF(D460="","",IFERROR(VLOOKUP($D460,cfg_LT,3,FALSE()),""))</f>
        <v/>
      </c>
      <c r="L460" s="80" t="str">
        <f aca="false">IF(D460="","",IFERROR(VLOOKUP($D460,cfg_LT,4,FALSE()),""))</f>
        <v/>
      </c>
      <c r="M460" s="80" t="str">
        <f aca="false">IF(D460="","",IFERROR(VLOOKUP($D460,cfg_LT,5,FALSE()),""))</f>
        <v/>
      </c>
      <c r="N460" s="97" t="n">
        <f aca="false">IF(OR(OR($B460="",$E460="",$F460=""),M460&lt;&gt;"نعم"),0,G460*J460*IFERROR(INDEX(الموظفون!$R$6:$R$105,MATCH(B460,الموظفون!$B$6:$B$105,0)),0)/cfg_DAYS_M)</f>
        <v>0</v>
      </c>
      <c r="O460" s="93" t="str">
        <f aca="false">IF(OR(OR($B460="",$E460="",$F460=""),M460&lt;&gt;"نعم"),"",IF(YEAR(E460)=cfg_FY,MONTH(E460),""))</f>
        <v/>
      </c>
      <c r="P460" s="80" t="str">
        <f aca="false">IF(B460="","",IF(OR(D460="",E460="",F460=""),"⚠ أكمل النوع والتواريخ",IF(F460&lt;E460,"✖ النهاية قبل البداية",IF(COUNTIFS($B$6:$B$505,B460,$E$6:$E$505,"&lt;="&amp;F460,$F$6:$F$505,"&gt;="&amp;E460)&gt;1,"⚠ تداخل مع سجل آخر",IF(E460&gt;cfg_VAL_DATE,"⏳ قادمة",IF(F460&lt;cfg_VAL_DATE,"✔ منتهية","✈ جارية في تاريخ التقرير"))))))</f>
        <v/>
      </c>
      <c r="Q460" s="79"/>
      <c r="R460" s="57" t="n">
        <f aca="false">IF(OR(OR($B460="",$E460="",$F460=""),L460&lt;&gt;"لا"),0,MAX(0,MIN(F460,cfg_Y_START-1)-E460+1))</f>
        <v>0</v>
      </c>
      <c r="S460" s="57" t="n">
        <f aca="false">IF(OR(OR($B460="",$E460="",$F460=""),L460&lt;&gt;"لا"),0,MAX(0,MIN(F460,cfg_VAL_DATE)-E460+1))</f>
        <v>0</v>
      </c>
      <c r="T460" s="57" t="n">
        <f aca="false">IF(OR(OR($B460="",$E460="",$F460=""),K460&lt;&gt;"نعم"),0,IF(M460="نعم",IF(AND(ISNUMBER(O460),N(O460)&lt;=cfg_VAL_M),G460,0),MAX(0,MIN(F460,cfg_VAL_DATE)-MAX(E460,cfg_Y_START)+1)))</f>
        <v>0</v>
      </c>
      <c r="V460" s="57" t="n">
        <f aca="false">IF(OR($B460="",$E460="",$F460=""),0,MAX(0,MIN($F460,EOMONTH(DATE(cfg_FY,1,1),0))-MAX($E460,DATE(cfg_FY,1,1))+1)*(1-IF($M460="نعم",0,N($J460))))</f>
        <v>0</v>
      </c>
      <c r="W460" s="57" t="n">
        <f aca="false">IF(OR($B460="",$E460="",$F460=""),0,MAX(0,MIN($F460,EOMONTH(DATE(cfg_FY,2,1),0))-MAX($E460,DATE(cfg_FY,2,1))+1)*(1-IF($M460="نعم",0,N($J460))))</f>
        <v>0</v>
      </c>
      <c r="X460" s="57" t="n">
        <f aca="false">IF(OR($B460="",$E460="",$F460=""),0,MAX(0,MIN($F460,EOMONTH(DATE(cfg_FY,3,1),0))-MAX($E460,DATE(cfg_FY,3,1))+1)*(1-IF($M460="نعم",0,N($J460))))</f>
        <v>0</v>
      </c>
      <c r="Y460" s="57" t="n">
        <f aca="false">IF(OR($B460="",$E460="",$F460=""),0,MAX(0,MIN($F460,EOMONTH(DATE(cfg_FY,4,1),0))-MAX($E460,DATE(cfg_FY,4,1))+1)*(1-IF($M460="نعم",0,N($J460))))</f>
        <v>0</v>
      </c>
      <c r="Z460" s="57" t="n">
        <f aca="false">IF(OR($B460="",$E460="",$F460=""),0,MAX(0,MIN($F460,EOMONTH(DATE(cfg_FY,5,1),0))-MAX($E460,DATE(cfg_FY,5,1))+1)*(1-IF($M460="نعم",0,N($J460))))</f>
        <v>0</v>
      </c>
      <c r="AA460" s="57" t="n">
        <f aca="false">IF(OR($B460="",$E460="",$F460=""),0,MAX(0,MIN($F460,EOMONTH(DATE(cfg_FY,6,1),0))-MAX($E460,DATE(cfg_FY,6,1))+1)*(1-IF($M460="نعم",0,N($J460))))</f>
        <v>0</v>
      </c>
      <c r="AB460" s="57" t="n">
        <f aca="false">IF(OR($B460="",$E460="",$F460=""),0,MAX(0,MIN($F460,EOMONTH(DATE(cfg_FY,7,1),0))-MAX($E460,DATE(cfg_FY,7,1))+1)*(1-IF($M460="نعم",0,N($J460))))</f>
        <v>0</v>
      </c>
      <c r="AC460" s="57" t="n">
        <f aca="false">IF(OR($B460="",$E460="",$F460=""),0,MAX(0,MIN($F460,EOMONTH(DATE(cfg_FY,8,1),0))-MAX($E460,DATE(cfg_FY,8,1))+1)*(1-IF($M460="نعم",0,N($J460))))</f>
        <v>0</v>
      </c>
      <c r="AD460" s="57" t="n">
        <f aca="false">IF(OR($B460="",$E460="",$F460=""),0,MAX(0,MIN($F460,EOMONTH(DATE(cfg_FY,9,1),0))-MAX($E460,DATE(cfg_FY,9,1))+1)*(1-IF($M460="نعم",0,N($J460))))</f>
        <v>0</v>
      </c>
      <c r="AE460" s="57" t="n">
        <f aca="false">IF(OR($B460="",$E460="",$F460=""),0,MAX(0,MIN($F460,EOMONTH(DATE(cfg_FY,10,1),0))-MAX($E460,DATE(cfg_FY,10,1))+1)*(1-IF($M460="نعم",0,N($J460))))</f>
        <v>0</v>
      </c>
      <c r="AF460" s="57" t="n">
        <f aca="false">IF(OR($B460="",$E460="",$F460=""),0,MAX(0,MIN($F460,EOMONTH(DATE(cfg_FY,11,1),0))-MAX($E460,DATE(cfg_FY,11,1))+1)*(1-IF($M460="نعم",0,N($J460))))</f>
        <v>0</v>
      </c>
      <c r="AG460" s="57" t="n">
        <f aca="false">IF(OR($B460="",$E460="",$F460=""),0,MAX(0,MIN($F460,EOMONTH(DATE(cfg_FY,12,1),0))-MAX($E460,DATE(cfg_FY,12,1))+1)*(1-IF($M460="نعم",0,N($J460))))</f>
        <v>0</v>
      </c>
      <c r="AH460" s="57" t="n">
        <f aca="false">IF(OR(OR($B460="",$E460="",$F460=""),$L460&lt;&gt;"لا"),0,MAX(0,MIN($F460,EOMONTH(DATE(cfg_FY,1,1),0))-$E460+1))</f>
        <v>0</v>
      </c>
      <c r="AI460" s="57" t="n">
        <f aca="false">IF(OR(OR($B460="",$E460="",$F460=""),$L460&lt;&gt;"لا"),0,MAX(0,MIN($F460,EOMONTH(DATE(cfg_FY,2,1),0))-$E460+1))</f>
        <v>0</v>
      </c>
      <c r="AJ460" s="57" t="n">
        <f aca="false">IF(OR(OR($B460="",$E460="",$F460=""),$L460&lt;&gt;"لا"),0,MAX(0,MIN($F460,EOMONTH(DATE(cfg_FY,3,1),0))-$E460+1))</f>
        <v>0</v>
      </c>
      <c r="AK460" s="57" t="n">
        <f aca="false">IF(OR(OR($B460="",$E460="",$F460=""),$L460&lt;&gt;"لا"),0,MAX(0,MIN($F460,EOMONTH(DATE(cfg_FY,4,1),0))-$E460+1))</f>
        <v>0</v>
      </c>
      <c r="AL460" s="57" t="n">
        <f aca="false">IF(OR(OR($B460="",$E460="",$F460=""),$L460&lt;&gt;"لا"),0,MAX(0,MIN($F460,EOMONTH(DATE(cfg_FY,5,1),0))-$E460+1))</f>
        <v>0</v>
      </c>
      <c r="AM460" s="57" t="n">
        <f aca="false">IF(OR(OR($B460="",$E460="",$F460=""),$L460&lt;&gt;"لا"),0,MAX(0,MIN($F460,EOMONTH(DATE(cfg_FY,6,1),0))-$E460+1))</f>
        <v>0</v>
      </c>
      <c r="AN460" s="57" t="n">
        <f aca="false">IF(OR(OR($B460="",$E460="",$F460=""),$L460&lt;&gt;"لا"),0,MAX(0,MIN($F460,EOMONTH(DATE(cfg_FY,7,1),0))-$E460+1))</f>
        <v>0</v>
      </c>
      <c r="AO460" s="57" t="n">
        <f aca="false">IF(OR(OR($B460="",$E460="",$F460=""),$L460&lt;&gt;"لا"),0,MAX(0,MIN($F460,EOMONTH(DATE(cfg_FY,8,1),0))-$E460+1))</f>
        <v>0</v>
      </c>
      <c r="AP460" s="57" t="n">
        <f aca="false">IF(OR(OR($B460="",$E460="",$F460=""),$L460&lt;&gt;"لا"),0,MAX(0,MIN($F460,EOMONTH(DATE(cfg_FY,9,1),0))-$E460+1))</f>
        <v>0</v>
      </c>
      <c r="AQ460" s="57" t="n">
        <f aca="false">IF(OR(OR($B460="",$E460="",$F460=""),$L460&lt;&gt;"لا"),0,MAX(0,MIN($F460,EOMONTH(DATE(cfg_FY,10,1),0))-$E460+1))</f>
        <v>0</v>
      </c>
      <c r="AR460" s="57" t="n">
        <f aca="false">IF(OR(OR($B460="",$E460="",$F460=""),$L460&lt;&gt;"لا"),0,MAX(0,MIN($F460,EOMONTH(DATE(cfg_FY,11,1),0))-$E460+1))</f>
        <v>0</v>
      </c>
      <c r="AS460" s="57" t="n">
        <f aca="false">IF(OR(OR($B460="",$E460="",$F460=""),$L460&lt;&gt;"لا"),0,MAX(0,MIN($F460,EOMONTH(DATE(cfg_FY,12,1),0))-$E460+1))</f>
        <v>0</v>
      </c>
      <c r="AT460" s="57" t="n">
        <f aca="false">IF(OR(OR($B460="",$E460="",$F460=""),$K460&lt;&gt;"نعم",$M460="نعم"),0,MAX(0,MIN($F460,EOMONTH(DATE(cfg_FY,1,1),0))-MAX($E460,DATE(cfg_FY,1,1))+1))</f>
        <v>0</v>
      </c>
      <c r="AU460" s="57" t="n">
        <f aca="false">IF(OR(OR($B460="",$E460="",$F460=""),$K460&lt;&gt;"نعم",$M460="نعم"),0,MAX(0,MIN($F460,EOMONTH(DATE(cfg_FY,2,1),0))-MAX($E460,DATE(cfg_FY,2,1))+1))</f>
        <v>0</v>
      </c>
      <c r="AV460" s="57" t="n">
        <f aca="false">IF(OR(OR($B460="",$E460="",$F460=""),$K460&lt;&gt;"نعم",$M460="نعم"),0,MAX(0,MIN($F460,EOMONTH(DATE(cfg_FY,3,1),0))-MAX($E460,DATE(cfg_FY,3,1))+1))</f>
        <v>0</v>
      </c>
      <c r="AW460" s="57" t="n">
        <f aca="false">IF(OR(OR($B460="",$E460="",$F460=""),$K460&lt;&gt;"نعم",$M460="نعم"),0,MAX(0,MIN($F460,EOMONTH(DATE(cfg_FY,4,1),0))-MAX($E460,DATE(cfg_FY,4,1))+1))</f>
        <v>0</v>
      </c>
      <c r="AX460" s="57" t="n">
        <f aca="false">IF(OR(OR($B460="",$E460="",$F460=""),$K460&lt;&gt;"نعم",$M460="نعم"),0,MAX(0,MIN($F460,EOMONTH(DATE(cfg_FY,5,1),0))-MAX($E460,DATE(cfg_FY,5,1))+1))</f>
        <v>0</v>
      </c>
      <c r="AY460" s="57" t="n">
        <f aca="false">IF(OR(OR($B460="",$E460="",$F460=""),$K460&lt;&gt;"نعم",$M460="نعم"),0,MAX(0,MIN($F460,EOMONTH(DATE(cfg_FY,6,1),0))-MAX($E460,DATE(cfg_FY,6,1))+1))</f>
        <v>0</v>
      </c>
      <c r="AZ460" s="57" t="n">
        <f aca="false">IF(OR(OR($B460="",$E460="",$F460=""),$K460&lt;&gt;"نعم",$M460="نعم"),0,MAX(0,MIN($F460,EOMONTH(DATE(cfg_FY,7,1),0))-MAX($E460,DATE(cfg_FY,7,1))+1))</f>
        <v>0</v>
      </c>
      <c r="BA460" s="57" t="n">
        <f aca="false">IF(OR(OR($B460="",$E460="",$F460=""),$K460&lt;&gt;"نعم",$M460="نعم"),0,MAX(0,MIN($F460,EOMONTH(DATE(cfg_FY,8,1),0))-MAX($E460,DATE(cfg_FY,8,1))+1))</f>
        <v>0</v>
      </c>
      <c r="BB460" s="57" t="n">
        <f aca="false">IF(OR(OR($B460="",$E460="",$F460=""),$K460&lt;&gt;"نعم",$M460="نعم"),0,MAX(0,MIN($F460,EOMONTH(DATE(cfg_FY,9,1),0))-MAX($E460,DATE(cfg_FY,9,1))+1))</f>
        <v>0</v>
      </c>
      <c r="BC460" s="57" t="n">
        <f aca="false">IF(OR(OR($B460="",$E460="",$F460=""),$K460&lt;&gt;"نعم",$M460="نعم"),0,MAX(0,MIN($F460,EOMONTH(DATE(cfg_FY,10,1),0))-MAX($E460,DATE(cfg_FY,10,1))+1))</f>
        <v>0</v>
      </c>
      <c r="BD460" s="57" t="n">
        <f aca="false">IF(OR(OR($B460="",$E460="",$F460=""),$K460&lt;&gt;"نعم",$M460="نعم"),0,MAX(0,MIN($F460,EOMONTH(DATE(cfg_FY,11,1),0))-MAX($E460,DATE(cfg_FY,11,1))+1))</f>
        <v>0</v>
      </c>
      <c r="BE460" s="57" t="n">
        <f aca="false">IF(OR(OR($B460="",$E460="",$F460=""),$K460&lt;&gt;"نعم",$M460="نعم"),0,MAX(0,MIN($F460,EOMONTH(DATE(cfg_FY,12,1),0))-MAX($E460,DATE(cfg_FY,12,1))+1))</f>
        <v>0</v>
      </c>
    </row>
    <row r="461" customFormat="false" ht="15" hidden="false" customHeight="false" outlineLevel="0" collapsed="false">
      <c r="A461" s="100" t="str">
        <f aca="false">IF(B461="","",ROW()-5)</f>
        <v/>
      </c>
      <c r="B461" s="79"/>
      <c r="C461" s="102" t="str">
        <f aca="false">IF(B461="","",IFERROR(INDEX(الموظفون!$C$6:$C$105,MATCH(B461,الموظفون!$B$6:$B$105,0)),"✖ رقم غير موجود"))</f>
        <v/>
      </c>
      <c r="D461" s="79"/>
      <c r="E461" s="94"/>
      <c r="F461" s="94"/>
      <c r="G461" s="110" t="str">
        <f aca="false">IF(OR($B461="",$E461="",$F461=""),"",MAX(0,F461-E461+1))</f>
        <v/>
      </c>
      <c r="H461" s="111" t="str">
        <f aca="false">IF(D461="","",IFERROR(VLOOKUP(D461,cfg_LT,2,FALSE()),1))</f>
        <v/>
      </c>
      <c r="I461" s="82"/>
      <c r="J461" s="111" t="str">
        <f aca="false">IF(D461="","",IF(I461&lt;&gt;"",I461,H461))</f>
        <v/>
      </c>
      <c r="K461" s="102" t="str">
        <f aca="false">IF(D461="","",IFERROR(VLOOKUP($D461,cfg_LT,3,FALSE()),""))</f>
        <v/>
      </c>
      <c r="L461" s="102" t="str">
        <f aca="false">IF(D461="","",IFERROR(VLOOKUP($D461,cfg_LT,4,FALSE()),""))</f>
        <v/>
      </c>
      <c r="M461" s="102" t="str">
        <f aca="false">IF(D461="","",IFERROR(VLOOKUP($D461,cfg_LT,5,FALSE()),""))</f>
        <v/>
      </c>
      <c r="N461" s="101" t="n">
        <f aca="false">IF(OR(OR($B461="",$E461="",$F461=""),M461&lt;&gt;"نعم"),0,G461*J461*IFERROR(INDEX(الموظفون!$R$6:$R$105,MATCH(B461,الموظفون!$B$6:$B$105,0)),0)/cfg_DAYS_M)</f>
        <v>0</v>
      </c>
      <c r="O461" s="100" t="str">
        <f aca="false">IF(OR(OR($B461="",$E461="",$F461=""),M461&lt;&gt;"نعم"),"",IF(YEAR(E461)=cfg_FY,MONTH(E461),""))</f>
        <v/>
      </c>
      <c r="P461" s="102" t="str">
        <f aca="false">IF(B461="","",IF(OR(D461="",E461="",F461=""),"⚠ أكمل النوع والتواريخ",IF(F461&lt;E461,"✖ النهاية قبل البداية",IF(COUNTIFS($B$6:$B$505,B461,$E$6:$E$505,"&lt;="&amp;F461,$F$6:$F$505,"&gt;="&amp;E461)&gt;1,"⚠ تداخل مع سجل آخر",IF(E461&gt;cfg_VAL_DATE,"⏳ قادمة",IF(F461&lt;cfg_VAL_DATE,"✔ منتهية","✈ جارية في تاريخ التقرير"))))))</f>
        <v/>
      </c>
      <c r="Q461" s="79"/>
      <c r="R461" s="110" t="n">
        <f aca="false">IF(OR(OR($B461="",$E461="",$F461=""),L461&lt;&gt;"لا"),0,MAX(0,MIN(F461,cfg_Y_START-1)-E461+1))</f>
        <v>0</v>
      </c>
      <c r="S461" s="110" t="n">
        <f aca="false">IF(OR(OR($B461="",$E461="",$F461=""),L461&lt;&gt;"لا"),0,MAX(0,MIN(F461,cfg_VAL_DATE)-E461+1))</f>
        <v>0</v>
      </c>
      <c r="T461" s="110" t="n">
        <f aca="false">IF(OR(OR($B461="",$E461="",$F461=""),K461&lt;&gt;"نعم"),0,IF(M461="نعم",IF(AND(ISNUMBER(O461),N(O461)&lt;=cfg_VAL_M),G461,0),MAX(0,MIN(F461,cfg_VAL_DATE)-MAX(E461,cfg_Y_START)+1)))</f>
        <v>0</v>
      </c>
      <c r="V461" s="110" t="n">
        <f aca="false">IF(OR($B461="",$E461="",$F461=""),0,MAX(0,MIN($F461,EOMONTH(DATE(cfg_FY,1,1),0))-MAX($E461,DATE(cfg_FY,1,1))+1)*(1-IF($M461="نعم",0,N($J461))))</f>
        <v>0</v>
      </c>
      <c r="W461" s="110" t="n">
        <f aca="false">IF(OR($B461="",$E461="",$F461=""),0,MAX(0,MIN($F461,EOMONTH(DATE(cfg_FY,2,1),0))-MAX($E461,DATE(cfg_FY,2,1))+1)*(1-IF($M461="نعم",0,N($J461))))</f>
        <v>0</v>
      </c>
      <c r="X461" s="110" t="n">
        <f aca="false">IF(OR($B461="",$E461="",$F461=""),0,MAX(0,MIN($F461,EOMONTH(DATE(cfg_FY,3,1),0))-MAX($E461,DATE(cfg_FY,3,1))+1)*(1-IF($M461="نعم",0,N($J461))))</f>
        <v>0</v>
      </c>
      <c r="Y461" s="110" t="n">
        <f aca="false">IF(OR($B461="",$E461="",$F461=""),0,MAX(0,MIN($F461,EOMONTH(DATE(cfg_FY,4,1),0))-MAX($E461,DATE(cfg_FY,4,1))+1)*(1-IF($M461="نعم",0,N($J461))))</f>
        <v>0</v>
      </c>
      <c r="Z461" s="110" t="n">
        <f aca="false">IF(OR($B461="",$E461="",$F461=""),0,MAX(0,MIN($F461,EOMONTH(DATE(cfg_FY,5,1),0))-MAX($E461,DATE(cfg_FY,5,1))+1)*(1-IF($M461="نعم",0,N($J461))))</f>
        <v>0</v>
      </c>
      <c r="AA461" s="110" t="n">
        <f aca="false">IF(OR($B461="",$E461="",$F461=""),0,MAX(0,MIN($F461,EOMONTH(DATE(cfg_FY,6,1),0))-MAX($E461,DATE(cfg_FY,6,1))+1)*(1-IF($M461="نعم",0,N($J461))))</f>
        <v>0</v>
      </c>
      <c r="AB461" s="110" t="n">
        <f aca="false">IF(OR($B461="",$E461="",$F461=""),0,MAX(0,MIN($F461,EOMONTH(DATE(cfg_FY,7,1),0))-MAX($E461,DATE(cfg_FY,7,1))+1)*(1-IF($M461="نعم",0,N($J461))))</f>
        <v>0</v>
      </c>
      <c r="AC461" s="110" t="n">
        <f aca="false">IF(OR($B461="",$E461="",$F461=""),0,MAX(0,MIN($F461,EOMONTH(DATE(cfg_FY,8,1),0))-MAX($E461,DATE(cfg_FY,8,1))+1)*(1-IF($M461="نعم",0,N($J461))))</f>
        <v>0</v>
      </c>
      <c r="AD461" s="110" t="n">
        <f aca="false">IF(OR($B461="",$E461="",$F461=""),0,MAX(0,MIN($F461,EOMONTH(DATE(cfg_FY,9,1),0))-MAX($E461,DATE(cfg_FY,9,1))+1)*(1-IF($M461="نعم",0,N($J461))))</f>
        <v>0</v>
      </c>
      <c r="AE461" s="110" t="n">
        <f aca="false">IF(OR($B461="",$E461="",$F461=""),0,MAX(0,MIN($F461,EOMONTH(DATE(cfg_FY,10,1),0))-MAX($E461,DATE(cfg_FY,10,1))+1)*(1-IF($M461="نعم",0,N($J461))))</f>
        <v>0</v>
      </c>
      <c r="AF461" s="110" t="n">
        <f aca="false">IF(OR($B461="",$E461="",$F461=""),0,MAX(0,MIN($F461,EOMONTH(DATE(cfg_FY,11,1),0))-MAX($E461,DATE(cfg_FY,11,1))+1)*(1-IF($M461="نعم",0,N($J461))))</f>
        <v>0</v>
      </c>
      <c r="AG461" s="110" t="n">
        <f aca="false">IF(OR($B461="",$E461="",$F461=""),0,MAX(0,MIN($F461,EOMONTH(DATE(cfg_FY,12,1),0))-MAX($E461,DATE(cfg_FY,12,1))+1)*(1-IF($M461="نعم",0,N($J461))))</f>
        <v>0</v>
      </c>
      <c r="AH461" s="110" t="n">
        <f aca="false">IF(OR(OR($B461="",$E461="",$F461=""),$L461&lt;&gt;"لا"),0,MAX(0,MIN($F461,EOMONTH(DATE(cfg_FY,1,1),0))-$E461+1))</f>
        <v>0</v>
      </c>
      <c r="AI461" s="110" t="n">
        <f aca="false">IF(OR(OR($B461="",$E461="",$F461=""),$L461&lt;&gt;"لا"),0,MAX(0,MIN($F461,EOMONTH(DATE(cfg_FY,2,1),0))-$E461+1))</f>
        <v>0</v>
      </c>
      <c r="AJ461" s="110" t="n">
        <f aca="false">IF(OR(OR($B461="",$E461="",$F461=""),$L461&lt;&gt;"لا"),0,MAX(0,MIN($F461,EOMONTH(DATE(cfg_FY,3,1),0))-$E461+1))</f>
        <v>0</v>
      </c>
      <c r="AK461" s="110" t="n">
        <f aca="false">IF(OR(OR($B461="",$E461="",$F461=""),$L461&lt;&gt;"لا"),0,MAX(0,MIN($F461,EOMONTH(DATE(cfg_FY,4,1),0))-$E461+1))</f>
        <v>0</v>
      </c>
      <c r="AL461" s="110" t="n">
        <f aca="false">IF(OR(OR($B461="",$E461="",$F461=""),$L461&lt;&gt;"لا"),0,MAX(0,MIN($F461,EOMONTH(DATE(cfg_FY,5,1),0))-$E461+1))</f>
        <v>0</v>
      </c>
      <c r="AM461" s="110" t="n">
        <f aca="false">IF(OR(OR($B461="",$E461="",$F461=""),$L461&lt;&gt;"لا"),0,MAX(0,MIN($F461,EOMONTH(DATE(cfg_FY,6,1),0))-$E461+1))</f>
        <v>0</v>
      </c>
      <c r="AN461" s="110" t="n">
        <f aca="false">IF(OR(OR($B461="",$E461="",$F461=""),$L461&lt;&gt;"لا"),0,MAX(0,MIN($F461,EOMONTH(DATE(cfg_FY,7,1),0))-$E461+1))</f>
        <v>0</v>
      </c>
      <c r="AO461" s="110" t="n">
        <f aca="false">IF(OR(OR($B461="",$E461="",$F461=""),$L461&lt;&gt;"لا"),0,MAX(0,MIN($F461,EOMONTH(DATE(cfg_FY,8,1),0))-$E461+1))</f>
        <v>0</v>
      </c>
      <c r="AP461" s="110" t="n">
        <f aca="false">IF(OR(OR($B461="",$E461="",$F461=""),$L461&lt;&gt;"لا"),0,MAX(0,MIN($F461,EOMONTH(DATE(cfg_FY,9,1),0))-$E461+1))</f>
        <v>0</v>
      </c>
      <c r="AQ461" s="110" t="n">
        <f aca="false">IF(OR(OR($B461="",$E461="",$F461=""),$L461&lt;&gt;"لا"),0,MAX(0,MIN($F461,EOMONTH(DATE(cfg_FY,10,1),0))-$E461+1))</f>
        <v>0</v>
      </c>
      <c r="AR461" s="110" t="n">
        <f aca="false">IF(OR(OR($B461="",$E461="",$F461=""),$L461&lt;&gt;"لا"),0,MAX(0,MIN($F461,EOMONTH(DATE(cfg_FY,11,1),0))-$E461+1))</f>
        <v>0</v>
      </c>
      <c r="AS461" s="110" t="n">
        <f aca="false">IF(OR(OR($B461="",$E461="",$F461=""),$L461&lt;&gt;"لا"),0,MAX(0,MIN($F461,EOMONTH(DATE(cfg_FY,12,1),0))-$E461+1))</f>
        <v>0</v>
      </c>
      <c r="AT461" s="110" t="n">
        <f aca="false">IF(OR(OR($B461="",$E461="",$F461=""),$K461&lt;&gt;"نعم",$M461="نعم"),0,MAX(0,MIN($F461,EOMONTH(DATE(cfg_FY,1,1),0))-MAX($E461,DATE(cfg_FY,1,1))+1))</f>
        <v>0</v>
      </c>
      <c r="AU461" s="110" t="n">
        <f aca="false">IF(OR(OR($B461="",$E461="",$F461=""),$K461&lt;&gt;"نعم",$M461="نعم"),0,MAX(0,MIN($F461,EOMONTH(DATE(cfg_FY,2,1),0))-MAX($E461,DATE(cfg_FY,2,1))+1))</f>
        <v>0</v>
      </c>
      <c r="AV461" s="110" t="n">
        <f aca="false">IF(OR(OR($B461="",$E461="",$F461=""),$K461&lt;&gt;"نعم",$M461="نعم"),0,MAX(0,MIN($F461,EOMONTH(DATE(cfg_FY,3,1),0))-MAX($E461,DATE(cfg_FY,3,1))+1))</f>
        <v>0</v>
      </c>
      <c r="AW461" s="110" t="n">
        <f aca="false">IF(OR(OR($B461="",$E461="",$F461=""),$K461&lt;&gt;"نعم",$M461="نعم"),0,MAX(0,MIN($F461,EOMONTH(DATE(cfg_FY,4,1),0))-MAX($E461,DATE(cfg_FY,4,1))+1))</f>
        <v>0</v>
      </c>
      <c r="AX461" s="110" t="n">
        <f aca="false">IF(OR(OR($B461="",$E461="",$F461=""),$K461&lt;&gt;"نعم",$M461="نعم"),0,MAX(0,MIN($F461,EOMONTH(DATE(cfg_FY,5,1),0))-MAX($E461,DATE(cfg_FY,5,1))+1))</f>
        <v>0</v>
      </c>
      <c r="AY461" s="110" t="n">
        <f aca="false">IF(OR(OR($B461="",$E461="",$F461=""),$K461&lt;&gt;"نعم",$M461="نعم"),0,MAX(0,MIN($F461,EOMONTH(DATE(cfg_FY,6,1),0))-MAX($E461,DATE(cfg_FY,6,1))+1))</f>
        <v>0</v>
      </c>
      <c r="AZ461" s="110" t="n">
        <f aca="false">IF(OR(OR($B461="",$E461="",$F461=""),$K461&lt;&gt;"نعم",$M461="نعم"),0,MAX(0,MIN($F461,EOMONTH(DATE(cfg_FY,7,1),0))-MAX($E461,DATE(cfg_FY,7,1))+1))</f>
        <v>0</v>
      </c>
      <c r="BA461" s="110" t="n">
        <f aca="false">IF(OR(OR($B461="",$E461="",$F461=""),$K461&lt;&gt;"نعم",$M461="نعم"),0,MAX(0,MIN($F461,EOMONTH(DATE(cfg_FY,8,1),0))-MAX($E461,DATE(cfg_FY,8,1))+1))</f>
        <v>0</v>
      </c>
      <c r="BB461" s="110" t="n">
        <f aca="false">IF(OR(OR($B461="",$E461="",$F461=""),$K461&lt;&gt;"نعم",$M461="نعم"),0,MAX(0,MIN($F461,EOMONTH(DATE(cfg_FY,9,1),0))-MAX($E461,DATE(cfg_FY,9,1))+1))</f>
        <v>0</v>
      </c>
      <c r="BC461" s="110" t="n">
        <f aca="false">IF(OR(OR($B461="",$E461="",$F461=""),$K461&lt;&gt;"نعم",$M461="نعم"),0,MAX(0,MIN($F461,EOMONTH(DATE(cfg_FY,10,1),0))-MAX($E461,DATE(cfg_FY,10,1))+1))</f>
        <v>0</v>
      </c>
      <c r="BD461" s="110" t="n">
        <f aca="false">IF(OR(OR($B461="",$E461="",$F461=""),$K461&lt;&gt;"نعم",$M461="نعم"),0,MAX(0,MIN($F461,EOMONTH(DATE(cfg_FY,11,1),0))-MAX($E461,DATE(cfg_FY,11,1))+1))</f>
        <v>0</v>
      </c>
      <c r="BE461" s="110" t="n">
        <f aca="false">IF(OR(OR($B461="",$E461="",$F461=""),$K461&lt;&gt;"نعم",$M461="نعم"),0,MAX(0,MIN($F461,EOMONTH(DATE(cfg_FY,12,1),0))-MAX($E461,DATE(cfg_FY,12,1))+1))</f>
        <v>0</v>
      </c>
    </row>
    <row r="462" customFormat="false" ht="15" hidden="false" customHeight="false" outlineLevel="0" collapsed="false">
      <c r="A462" s="93" t="str">
        <f aca="false">IF(B462="","",ROW()-5)</f>
        <v/>
      </c>
      <c r="B462" s="79"/>
      <c r="C462" s="80" t="str">
        <f aca="false">IF(B462="","",IFERROR(INDEX(الموظفون!$C$6:$C$105,MATCH(B462,الموظفون!$B$6:$B$105,0)),"✖ رقم غير موجود"))</f>
        <v/>
      </c>
      <c r="D462" s="79"/>
      <c r="E462" s="94"/>
      <c r="F462" s="94"/>
      <c r="G462" s="57" t="str">
        <f aca="false">IF(OR($B462="",$E462="",$F462=""),"",MAX(0,F462-E462+1))</f>
        <v/>
      </c>
      <c r="H462" s="58" t="str">
        <f aca="false">IF(D462="","",IFERROR(VLOOKUP(D462,cfg_LT,2,FALSE()),1))</f>
        <v/>
      </c>
      <c r="I462" s="82"/>
      <c r="J462" s="58" t="str">
        <f aca="false">IF(D462="","",IF(I462&lt;&gt;"",I462,H462))</f>
        <v/>
      </c>
      <c r="K462" s="80" t="str">
        <f aca="false">IF(D462="","",IFERROR(VLOOKUP($D462,cfg_LT,3,FALSE()),""))</f>
        <v/>
      </c>
      <c r="L462" s="80" t="str">
        <f aca="false">IF(D462="","",IFERROR(VLOOKUP($D462,cfg_LT,4,FALSE()),""))</f>
        <v/>
      </c>
      <c r="M462" s="80" t="str">
        <f aca="false">IF(D462="","",IFERROR(VLOOKUP($D462,cfg_LT,5,FALSE()),""))</f>
        <v/>
      </c>
      <c r="N462" s="97" t="n">
        <f aca="false">IF(OR(OR($B462="",$E462="",$F462=""),M462&lt;&gt;"نعم"),0,G462*J462*IFERROR(INDEX(الموظفون!$R$6:$R$105,MATCH(B462,الموظفون!$B$6:$B$105,0)),0)/cfg_DAYS_M)</f>
        <v>0</v>
      </c>
      <c r="O462" s="93" t="str">
        <f aca="false">IF(OR(OR($B462="",$E462="",$F462=""),M462&lt;&gt;"نعم"),"",IF(YEAR(E462)=cfg_FY,MONTH(E462),""))</f>
        <v/>
      </c>
      <c r="P462" s="80" t="str">
        <f aca="false">IF(B462="","",IF(OR(D462="",E462="",F462=""),"⚠ أكمل النوع والتواريخ",IF(F462&lt;E462,"✖ النهاية قبل البداية",IF(COUNTIFS($B$6:$B$505,B462,$E$6:$E$505,"&lt;="&amp;F462,$F$6:$F$505,"&gt;="&amp;E462)&gt;1,"⚠ تداخل مع سجل آخر",IF(E462&gt;cfg_VAL_DATE,"⏳ قادمة",IF(F462&lt;cfg_VAL_DATE,"✔ منتهية","✈ جارية في تاريخ التقرير"))))))</f>
        <v/>
      </c>
      <c r="Q462" s="79"/>
      <c r="R462" s="57" t="n">
        <f aca="false">IF(OR(OR($B462="",$E462="",$F462=""),L462&lt;&gt;"لا"),0,MAX(0,MIN(F462,cfg_Y_START-1)-E462+1))</f>
        <v>0</v>
      </c>
      <c r="S462" s="57" t="n">
        <f aca="false">IF(OR(OR($B462="",$E462="",$F462=""),L462&lt;&gt;"لا"),0,MAX(0,MIN(F462,cfg_VAL_DATE)-E462+1))</f>
        <v>0</v>
      </c>
      <c r="T462" s="57" t="n">
        <f aca="false">IF(OR(OR($B462="",$E462="",$F462=""),K462&lt;&gt;"نعم"),0,IF(M462="نعم",IF(AND(ISNUMBER(O462),N(O462)&lt;=cfg_VAL_M),G462,0),MAX(0,MIN(F462,cfg_VAL_DATE)-MAX(E462,cfg_Y_START)+1)))</f>
        <v>0</v>
      </c>
      <c r="V462" s="57" t="n">
        <f aca="false">IF(OR($B462="",$E462="",$F462=""),0,MAX(0,MIN($F462,EOMONTH(DATE(cfg_FY,1,1),0))-MAX($E462,DATE(cfg_FY,1,1))+1)*(1-IF($M462="نعم",0,N($J462))))</f>
        <v>0</v>
      </c>
      <c r="W462" s="57" t="n">
        <f aca="false">IF(OR($B462="",$E462="",$F462=""),0,MAX(0,MIN($F462,EOMONTH(DATE(cfg_FY,2,1),0))-MAX($E462,DATE(cfg_FY,2,1))+1)*(1-IF($M462="نعم",0,N($J462))))</f>
        <v>0</v>
      </c>
      <c r="X462" s="57" t="n">
        <f aca="false">IF(OR($B462="",$E462="",$F462=""),0,MAX(0,MIN($F462,EOMONTH(DATE(cfg_FY,3,1),0))-MAX($E462,DATE(cfg_FY,3,1))+1)*(1-IF($M462="نعم",0,N($J462))))</f>
        <v>0</v>
      </c>
      <c r="Y462" s="57" t="n">
        <f aca="false">IF(OR($B462="",$E462="",$F462=""),0,MAX(0,MIN($F462,EOMONTH(DATE(cfg_FY,4,1),0))-MAX($E462,DATE(cfg_FY,4,1))+1)*(1-IF($M462="نعم",0,N($J462))))</f>
        <v>0</v>
      </c>
      <c r="Z462" s="57" t="n">
        <f aca="false">IF(OR($B462="",$E462="",$F462=""),0,MAX(0,MIN($F462,EOMONTH(DATE(cfg_FY,5,1),0))-MAX($E462,DATE(cfg_FY,5,1))+1)*(1-IF($M462="نعم",0,N($J462))))</f>
        <v>0</v>
      </c>
      <c r="AA462" s="57" t="n">
        <f aca="false">IF(OR($B462="",$E462="",$F462=""),0,MAX(0,MIN($F462,EOMONTH(DATE(cfg_FY,6,1),0))-MAX($E462,DATE(cfg_FY,6,1))+1)*(1-IF($M462="نعم",0,N($J462))))</f>
        <v>0</v>
      </c>
      <c r="AB462" s="57" t="n">
        <f aca="false">IF(OR($B462="",$E462="",$F462=""),0,MAX(0,MIN($F462,EOMONTH(DATE(cfg_FY,7,1),0))-MAX($E462,DATE(cfg_FY,7,1))+1)*(1-IF($M462="نعم",0,N($J462))))</f>
        <v>0</v>
      </c>
      <c r="AC462" s="57" t="n">
        <f aca="false">IF(OR($B462="",$E462="",$F462=""),0,MAX(0,MIN($F462,EOMONTH(DATE(cfg_FY,8,1),0))-MAX($E462,DATE(cfg_FY,8,1))+1)*(1-IF($M462="نعم",0,N($J462))))</f>
        <v>0</v>
      </c>
      <c r="AD462" s="57" t="n">
        <f aca="false">IF(OR($B462="",$E462="",$F462=""),0,MAX(0,MIN($F462,EOMONTH(DATE(cfg_FY,9,1),0))-MAX($E462,DATE(cfg_FY,9,1))+1)*(1-IF($M462="نعم",0,N($J462))))</f>
        <v>0</v>
      </c>
      <c r="AE462" s="57" t="n">
        <f aca="false">IF(OR($B462="",$E462="",$F462=""),0,MAX(0,MIN($F462,EOMONTH(DATE(cfg_FY,10,1),0))-MAX($E462,DATE(cfg_FY,10,1))+1)*(1-IF($M462="نعم",0,N($J462))))</f>
        <v>0</v>
      </c>
      <c r="AF462" s="57" t="n">
        <f aca="false">IF(OR($B462="",$E462="",$F462=""),0,MAX(0,MIN($F462,EOMONTH(DATE(cfg_FY,11,1),0))-MAX($E462,DATE(cfg_FY,11,1))+1)*(1-IF($M462="نعم",0,N($J462))))</f>
        <v>0</v>
      </c>
      <c r="AG462" s="57" t="n">
        <f aca="false">IF(OR($B462="",$E462="",$F462=""),0,MAX(0,MIN($F462,EOMONTH(DATE(cfg_FY,12,1),0))-MAX($E462,DATE(cfg_FY,12,1))+1)*(1-IF($M462="نعم",0,N($J462))))</f>
        <v>0</v>
      </c>
      <c r="AH462" s="57" t="n">
        <f aca="false">IF(OR(OR($B462="",$E462="",$F462=""),$L462&lt;&gt;"لا"),0,MAX(0,MIN($F462,EOMONTH(DATE(cfg_FY,1,1),0))-$E462+1))</f>
        <v>0</v>
      </c>
      <c r="AI462" s="57" t="n">
        <f aca="false">IF(OR(OR($B462="",$E462="",$F462=""),$L462&lt;&gt;"لا"),0,MAX(0,MIN($F462,EOMONTH(DATE(cfg_FY,2,1),0))-$E462+1))</f>
        <v>0</v>
      </c>
      <c r="AJ462" s="57" t="n">
        <f aca="false">IF(OR(OR($B462="",$E462="",$F462=""),$L462&lt;&gt;"لا"),0,MAX(0,MIN($F462,EOMONTH(DATE(cfg_FY,3,1),0))-$E462+1))</f>
        <v>0</v>
      </c>
      <c r="AK462" s="57" t="n">
        <f aca="false">IF(OR(OR($B462="",$E462="",$F462=""),$L462&lt;&gt;"لا"),0,MAX(0,MIN($F462,EOMONTH(DATE(cfg_FY,4,1),0))-$E462+1))</f>
        <v>0</v>
      </c>
      <c r="AL462" s="57" t="n">
        <f aca="false">IF(OR(OR($B462="",$E462="",$F462=""),$L462&lt;&gt;"لا"),0,MAX(0,MIN($F462,EOMONTH(DATE(cfg_FY,5,1),0))-$E462+1))</f>
        <v>0</v>
      </c>
      <c r="AM462" s="57" t="n">
        <f aca="false">IF(OR(OR($B462="",$E462="",$F462=""),$L462&lt;&gt;"لا"),0,MAX(0,MIN($F462,EOMONTH(DATE(cfg_FY,6,1),0))-$E462+1))</f>
        <v>0</v>
      </c>
      <c r="AN462" s="57" t="n">
        <f aca="false">IF(OR(OR($B462="",$E462="",$F462=""),$L462&lt;&gt;"لا"),0,MAX(0,MIN($F462,EOMONTH(DATE(cfg_FY,7,1),0))-$E462+1))</f>
        <v>0</v>
      </c>
      <c r="AO462" s="57" t="n">
        <f aca="false">IF(OR(OR($B462="",$E462="",$F462=""),$L462&lt;&gt;"لا"),0,MAX(0,MIN($F462,EOMONTH(DATE(cfg_FY,8,1),0))-$E462+1))</f>
        <v>0</v>
      </c>
      <c r="AP462" s="57" t="n">
        <f aca="false">IF(OR(OR($B462="",$E462="",$F462=""),$L462&lt;&gt;"لا"),0,MAX(0,MIN($F462,EOMONTH(DATE(cfg_FY,9,1),0))-$E462+1))</f>
        <v>0</v>
      </c>
      <c r="AQ462" s="57" t="n">
        <f aca="false">IF(OR(OR($B462="",$E462="",$F462=""),$L462&lt;&gt;"لا"),0,MAX(0,MIN($F462,EOMONTH(DATE(cfg_FY,10,1),0))-$E462+1))</f>
        <v>0</v>
      </c>
      <c r="AR462" s="57" t="n">
        <f aca="false">IF(OR(OR($B462="",$E462="",$F462=""),$L462&lt;&gt;"لا"),0,MAX(0,MIN($F462,EOMONTH(DATE(cfg_FY,11,1),0))-$E462+1))</f>
        <v>0</v>
      </c>
      <c r="AS462" s="57" t="n">
        <f aca="false">IF(OR(OR($B462="",$E462="",$F462=""),$L462&lt;&gt;"لا"),0,MAX(0,MIN($F462,EOMONTH(DATE(cfg_FY,12,1),0))-$E462+1))</f>
        <v>0</v>
      </c>
      <c r="AT462" s="57" t="n">
        <f aca="false">IF(OR(OR($B462="",$E462="",$F462=""),$K462&lt;&gt;"نعم",$M462="نعم"),0,MAX(0,MIN($F462,EOMONTH(DATE(cfg_FY,1,1),0))-MAX($E462,DATE(cfg_FY,1,1))+1))</f>
        <v>0</v>
      </c>
      <c r="AU462" s="57" t="n">
        <f aca="false">IF(OR(OR($B462="",$E462="",$F462=""),$K462&lt;&gt;"نعم",$M462="نعم"),0,MAX(0,MIN($F462,EOMONTH(DATE(cfg_FY,2,1),0))-MAX($E462,DATE(cfg_FY,2,1))+1))</f>
        <v>0</v>
      </c>
      <c r="AV462" s="57" t="n">
        <f aca="false">IF(OR(OR($B462="",$E462="",$F462=""),$K462&lt;&gt;"نعم",$M462="نعم"),0,MAX(0,MIN($F462,EOMONTH(DATE(cfg_FY,3,1),0))-MAX($E462,DATE(cfg_FY,3,1))+1))</f>
        <v>0</v>
      </c>
      <c r="AW462" s="57" t="n">
        <f aca="false">IF(OR(OR($B462="",$E462="",$F462=""),$K462&lt;&gt;"نعم",$M462="نعم"),0,MAX(0,MIN($F462,EOMONTH(DATE(cfg_FY,4,1),0))-MAX($E462,DATE(cfg_FY,4,1))+1))</f>
        <v>0</v>
      </c>
      <c r="AX462" s="57" t="n">
        <f aca="false">IF(OR(OR($B462="",$E462="",$F462=""),$K462&lt;&gt;"نعم",$M462="نعم"),0,MAX(0,MIN($F462,EOMONTH(DATE(cfg_FY,5,1),0))-MAX($E462,DATE(cfg_FY,5,1))+1))</f>
        <v>0</v>
      </c>
      <c r="AY462" s="57" t="n">
        <f aca="false">IF(OR(OR($B462="",$E462="",$F462=""),$K462&lt;&gt;"نعم",$M462="نعم"),0,MAX(0,MIN($F462,EOMONTH(DATE(cfg_FY,6,1),0))-MAX($E462,DATE(cfg_FY,6,1))+1))</f>
        <v>0</v>
      </c>
      <c r="AZ462" s="57" t="n">
        <f aca="false">IF(OR(OR($B462="",$E462="",$F462=""),$K462&lt;&gt;"نعم",$M462="نعم"),0,MAX(0,MIN($F462,EOMONTH(DATE(cfg_FY,7,1),0))-MAX($E462,DATE(cfg_FY,7,1))+1))</f>
        <v>0</v>
      </c>
      <c r="BA462" s="57" t="n">
        <f aca="false">IF(OR(OR($B462="",$E462="",$F462=""),$K462&lt;&gt;"نعم",$M462="نعم"),0,MAX(0,MIN($F462,EOMONTH(DATE(cfg_FY,8,1),0))-MAX($E462,DATE(cfg_FY,8,1))+1))</f>
        <v>0</v>
      </c>
      <c r="BB462" s="57" t="n">
        <f aca="false">IF(OR(OR($B462="",$E462="",$F462=""),$K462&lt;&gt;"نعم",$M462="نعم"),0,MAX(0,MIN($F462,EOMONTH(DATE(cfg_FY,9,1),0))-MAX($E462,DATE(cfg_FY,9,1))+1))</f>
        <v>0</v>
      </c>
      <c r="BC462" s="57" t="n">
        <f aca="false">IF(OR(OR($B462="",$E462="",$F462=""),$K462&lt;&gt;"نعم",$M462="نعم"),0,MAX(0,MIN($F462,EOMONTH(DATE(cfg_FY,10,1),0))-MAX($E462,DATE(cfg_FY,10,1))+1))</f>
        <v>0</v>
      </c>
      <c r="BD462" s="57" t="n">
        <f aca="false">IF(OR(OR($B462="",$E462="",$F462=""),$K462&lt;&gt;"نعم",$M462="نعم"),0,MAX(0,MIN($F462,EOMONTH(DATE(cfg_FY,11,1),0))-MAX($E462,DATE(cfg_FY,11,1))+1))</f>
        <v>0</v>
      </c>
      <c r="BE462" s="57" t="n">
        <f aca="false">IF(OR(OR($B462="",$E462="",$F462=""),$K462&lt;&gt;"نعم",$M462="نعم"),0,MAX(0,MIN($F462,EOMONTH(DATE(cfg_FY,12,1),0))-MAX($E462,DATE(cfg_FY,12,1))+1))</f>
        <v>0</v>
      </c>
    </row>
    <row r="463" customFormat="false" ht="15" hidden="false" customHeight="false" outlineLevel="0" collapsed="false">
      <c r="A463" s="100" t="str">
        <f aca="false">IF(B463="","",ROW()-5)</f>
        <v/>
      </c>
      <c r="B463" s="79"/>
      <c r="C463" s="102" t="str">
        <f aca="false">IF(B463="","",IFERROR(INDEX(الموظفون!$C$6:$C$105,MATCH(B463,الموظفون!$B$6:$B$105,0)),"✖ رقم غير موجود"))</f>
        <v/>
      </c>
      <c r="D463" s="79"/>
      <c r="E463" s="94"/>
      <c r="F463" s="94"/>
      <c r="G463" s="110" t="str">
        <f aca="false">IF(OR($B463="",$E463="",$F463=""),"",MAX(0,F463-E463+1))</f>
        <v/>
      </c>
      <c r="H463" s="111" t="str">
        <f aca="false">IF(D463="","",IFERROR(VLOOKUP(D463,cfg_LT,2,FALSE()),1))</f>
        <v/>
      </c>
      <c r="I463" s="82"/>
      <c r="J463" s="111" t="str">
        <f aca="false">IF(D463="","",IF(I463&lt;&gt;"",I463,H463))</f>
        <v/>
      </c>
      <c r="K463" s="102" t="str">
        <f aca="false">IF(D463="","",IFERROR(VLOOKUP($D463,cfg_LT,3,FALSE()),""))</f>
        <v/>
      </c>
      <c r="L463" s="102" t="str">
        <f aca="false">IF(D463="","",IFERROR(VLOOKUP($D463,cfg_LT,4,FALSE()),""))</f>
        <v/>
      </c>
      <c r="M463" s="102" t="str">
        <f aca="false">IF(D463="","",IFERROR(VLOOKUP($D463,cfg_LT,5,FALSE()),""))</f>
        <v/>
      </c>
      <c r="N463" s="101" t="n">
        <f aca="false">IF(OR(OR($B463="",$E463="",$F463=""),M463&lt;&gt;"نعم"),0,G463*J463*IFERROR(INDEX(الموظفون!$R$6:$R$105,MATCH(B463,الموظفون!$B$6:$B$105,0)),0)/cfg_DAYS_M)</f>
        <v>0</v>
      </c>
      <c r="O463" s="100" t="str">
        <f aca="false">IF(OR(OR($B463="",$E463="",$F463=""),M463&lt;&gt;"نعم"),"",IF(YEAR(E463)=cfg_FY,MONTH(E463),""))</f>
        <v/>
      </c>
      <c r="P463" s="102" t="str">
        <f aca="false">IF(B463="","",IF(OR(D463="",E463="",F463=""),"⚠ أكمل النوع والتواريخ",IF(F463&lt;E463,"✖ النهاية قبل البداية",IF(COUNTIFS($B$6:$B$505,B463,$E$6:$E$505,"&lt;="&amp;F463,$F$6:$F$505,"&gt;="&amp;E463)&gt;1,"⚠ تداخل مع سجل آخر",IF(E463&gt;cfg_VAL_DATE,"⏳ قادمة",IF(F463&lt;cfg_VAL_DATE,"✔ منتهية","✈ جارية في تاريخ التقرير"))))))</f>
        <v/>
      </c>
      <c r="Q463" s="79"/>
      <c r="R463" s="110" t="n">
        <f aca="false">IF(OR(OR($B463="",$E463="",$F463=""),L463&lt;&gt;"لا"),0,MAX(0,MIN(F463,cfg_Y_START-1)-E463+1))</f>
        <v>0</v>
      </c>
      <c r="S463" s="110" t="n">
        <f aca="false">IF(OR(OR($B463="",$E463="",$F463=""),L463&lt;&gt;"لا"),0,MAX(0,MIN(F463,cfg_VAL_DATE)-E463+1))</f>
        <v>0</v>
      </c>
      <c r="T463" s="110" t="n">
        <f aca="false">IF(OR(OR($B463="",$E463="",$F463=""),K463&lt;&gt;"نعم"),0,IF(M463="نعم",IF(AND(ISNUMBER(O463),N(O463)&lt;=cfg_VAL_M),G463,0),MAX(0,MIN(F463,cfg_VAL_DATE)-MAX(E463,cfg_Y_START)+1)))</f>
        <v>0</v>
      </c>
      <c r="V463" s="110" t="n">
        <f aca="false">IF(OR($B463="",$E463="",$F463=""),0,MAX(0,MIN($F463,EOMONTH(DATE(cfg_FY,1,1),0))-MAX($E463,DATE(cfg_FY,1,1))+1)*(1-IF($M463="نعم",0,N($J463))))</f>
        <v>0</v>
      </c>
      <c r="W463" s="110" t="n">
        <f aca="false">IF(OR($B463="",$E463="",$F463=""),0,MAX(0,MIN($F463,EOMONTH(DATE(cfg_FY,2,1),0))-MAX($E463,DATE(cfg_FY,2,1))+1)*(1-IF($M463="نعم",0,N($J463))))</f>
        <v>0</v>
      </c>
      <c r="X463" s="110" t="n">
        <f aca="false">IF(OR($B463="",$E463="",$F463=""),0,MAX(0,MIN($F463,EOMONTH(DATE(cfg_FY,3,1),0))-MAX($E463,DATE(cfg_FY,3,1))+1)*(1-IF($M463="نعم",0,N($J463))))</f>
        <v>0</v>
      </c>
      <c r="Y463" s="110" t="n">
        <f aca="false">IF(OR($B463="",$E463="",$F463=""),0,MAX(0,MIN($F463,EOMONTH(DATE(cfg_FY,4,1),0))-MAX($E463,DATE(cfg_FY,4,1))+1)*(1-IF($M463="نعم",0,N($J463))))</f>
        <v>0</v>
      </c>
      <c r="Z463" s="110" t="n">
        <f aca="false">IF(OR($B463="",$E463="",$F463=""),0,MAX(0,MIN($F463,EOMONTH(DATE(cfg_FY,5,1),0))-MAX($E463,DATE(cfg_FY,5,1))+1)*(1-IF($M463="نعم",0,N($J463))))</f>
        <v>0</v>
      </c>
      <c r="AA463" s="110" t="n">
        <f aca="false">IF(OR($B463="",$E463="",$F463=""),0,MAX(0,MIN($F463,EOMONTH(DATE(cfg_FY,6,1),0))-MAX($E463,DATE(cfg_FY,6,1))+1)*(1-IF($M463="نعم",0,N($J463))))</f>
        <v>0</v>
      </c>
      <c r="AB463" s="110" t="n">
        <f aca="false">IF(OR($B463="",$E463="",$F463=""),0,MAX(0,MIN($F463,EOMONTH(DATE(cfg_FY,7,1),0))-MAX($E463,DATE(cfg_FY,7,1))+1)*(1-IF($M463="نعم",0,N($J463))))</f>
        <v>0</v>
      </c>
      <c r="AC463" s="110" t="n">
        <f aca="false">IF(OR($B463="",$E463="",$F463=""),0,MAX(0,MIN($F463,EOMONTH(DATE(cfg_FY,8,1),0))-MAX($E463,DATE(cfg_FY,8,1))+1)*(1-IF($M463="نعم",0,N($J463))))</f>
        <v>0</v>
      </c>
      <c r="AD463" s="110" t="n">
        <f aca="false">IF(OR($B463="",$E463="",$F463=""),0,MAX(0,MIN($F463,EOMONTH(DATE(cfg_FY,9,1),0))-MAX($E463,DATE(cfg_FY,9,1))+1)*(1-IF($M463="نعم",0,N($J463))))</f>
        <v>0</v>
      </c>
      <c r="AE463" s="110" t="n">
        <f aca="false">IF(OR($B463="",$E463="",$F463=""),0,MAX(0,MIN($F463,EOMONTH(DATE(cfg_FY,10,1),0))-MAX($E463,DATE(cfg_FY,10,1))+1)*(1-IF($M463="نعم",0,N($J463))))</f>
        <v>0</v>
      </c>
      <c r="AF463" s="110" t="n">
        <f aca="false">IF(OR($B463="",$E463="",$F463=""),0,MAX(0,MIN($F463,EOMONTH(DATE(cfg_FY,11,1),0))-MAX($E463,DATE(cfg_FY,11,1))+1)*(1-IF($M463="نعم",0,N($J463))))</f>
        <v>0</v>
      </c>
      <c r="AG463" s="110" t="n">
        <f aca="false">IF(OR($B463="",$E463="",$F463=""),0,MAX(0,MIN($F463,EOMONTH(DATE(cfg_FY,12,1),0))-MAX($E463,DATE(cfg_FY,12,1))+1)*(1-IF($M463="نعم",0,N($J463))))</f>
        <v>0</v>
      </c>
      <c r="AH463" s="110" t="n">
        <f aca="false">IF(OR(OR($B463="",$E463="",$F463=""),$L463&lt;&gt;"لا"),0,MAX(0,MIN($F463,EOMONTH(DATE(cfg_FY,1,1),0))-$E463+1))</f>
        <v>0</v>
      </c>
      <c r="AI463" s="110" t="n">
        <f aca="false">IF(OR(OR($B463="",$E463="",$F463=""),$L463&lt;&gt;"لا"),0,MAX(0,MIN($F463,EOMONTH(DATE(cfg_FY,2,1),0))-$E463+1))</f>
        <v>0</v>
      </c>
      <c r="AJ463" s="110" t="n">
        <f aca="false">IF(OR(OR($B463="",$E463="",$F463=""),$L463&lt;&gt;"لا"),0,MAX(0,MIN($F463,EOMONTH(DATE(cfg_FY,3,1),0))-$E463+1))</f>
        <v>0</v>
      </c>
      <c r="AK463" s="110" t="n">
        <f aca="false">IF(OR(OR($B463="",$E463="",$F463=""),$L463&lt;&gt;"لا"),0,MAX(0,MIN($F463,EOMONTH(DATE(cfg_FY,4,1),0))-$E463+1))</f>
        <v>0</v>
      </c>
      <c r="AL463" s="110" t="n">
        <f aca="false">IF(OR(OR($B463="",$E463="",$F463=""),$L463&lt;&gt;"لا"),0,MAX(0,MIN($F463,EOMONTH(DATE(cfg_FY,5,1),0))-$E463+1))</f>
        <v>0</v>
      </c>
      <c r="AM463" s="110" t="n">
        <f aca="false">IF(OR(OR($B463="",$E463="",$F463=""),$L463&lt;&gt;"لا"),0,MAX(0,MIN($F463,EOMONTH(DATE(cfg_FY,6,1),0))-$E463+1))</f>
        <v>0</v>
      </c>
      <c r="AN463" s="110" t="n">
        <f aca="false">IF(OR(OR($B463="",$E463="",$F463=""),$L463&lt;&gt;"لا"),0,MAX(0,MIN($F463,EOMONTH(DATE(cfg_FY,7,1),0))-$E463+1))</f>
        <v>0</v>
      </c>
      <c r="AO463" s="110" t="n">
        <f aca="false">IF(OR(OR($B463="",$E463="",$F463=""),$L463&lt;&gt;"لا"),0,MAX(0,MIN($F463,EOMONTH(DATE(cfg_FY,8,1),0))-$E463+1))</f>
        <v>0</v>
      </c>
      <c r="AP463" s="110" t="n">
        <f aca="false">IF(OR(OR($B463="",$E463="",$F463=""),$L463&lt;&gt;"لا"),0,MAX(0,MIN($F463,EOMONTH(DATE(cfg_FY,9,1),0))-$E463+1))</f>
        <v>0</v>
      </c>
      <c r="AQ463" s="110" t="n">
        <f aca="false">IF(OR(OR($B463="",$E463="",$F463=""),$L463&lt;&gt;"لا"),0,MAX(0,MIN($F463,EOMONTH(DATE(cfg_FY,10,1),0))-$E463+1))</f>
        <v>0</v>
      </c>
      <c r="AR463" s="110" t="n">
        <f aca="false">IF(OR(OR($B463="",$E463="",$F463=""),$L463&lt;&gt;"لا"),0,MAX(0,MIN($F463,EOMONTH(DATE(cfg_FY,11,1),0))-$E463+1))</f>
        <v>0</v>
      </c>
      <c r="AS463" s="110" t="n">
        <f aca="false">IF(OR(OR($B463="",$E463="",$F463=""),$L463&lt;&gt;"لا"),0,MAX(0,MIN($F463,EOMONTH(DATE(cfg_FY,12,1),0))-$E463+1))</f>
        <v>0</v>
      </c>
      <c r="AT463" s="110" t="n">
        <f aca="false">IF(OR(OR($B463="",$E463="",$F463=""),$K463&lt;&gt;"نعم",$M463="نعم"),0,MAX(0,MIN($F463,EOMONTH(DATE(cfg_FY,1,1),0))-MAX($E463,DATE(cfg_FY,1,1))+1))</f>
        <v>0</v>
      </c>
      <c r="AU463" s="110" t="n">
        <f aca="false">IF(OR(OR($B463="",$E463="",$F463=""),$K463&lt;&gt;"نعم",$M463="نعم"),0,MAX(0,MIN($F463,EOMONTH(DATE(cfg_FY,2,1),0))-MAX($E463,DATE(cfg_FY,2,1))+1))</f>
        <v>0</v>
      </c>
      <c r="AV463" s="110" t="n">
        <f aca="false">IF(OR(OR($B463="",$E463="",$F463=""),$K463&lt;&gt;"نعم",$M463="نعم"),0,MAX(0,MIN($F463,EOMONTH(DATE(cfg_FY,3,1),0))-MAX($E463,DATE(cfg_FY,3,1))+1))</f>
        <v>0</v>
      </c>
      <c r="AW463" s="110" t="n">
        <f aca="false">IF(OR(OR($B463="",$E463="",$F463=""),$K463&lt;&gt;"نعم",$M463="نعم"),0,MAX(0,MIN($F463,EOMONTH(DATE(cfg_FY,4,1),0))-MAX($E463,DATE(cfg_FY,4,1))+1))</f>
        <v>0</v>
      </c>
      <c r="AX463" s="110" t="n">
        <f aca="false">IF(OR(OR($B463="",$E463="",$F463=""),$K463&lt;&gt;"نعم",$M463="نعم"),0,MAX(0,MIN($F463,EOMONTH(DATE(cfg_FY,5,1),0))-MAX($E463,DATE(cfg_FY,5,1))+1))</f>
        <v>0</v>
      </c>
      <c r="AY463" s="110" t="n">
        <f aca="false">IF(OR(OR($B463="",$E463="",$F463=""),$K463&lt;&gt;"نعم",$M463="نعم"),0,MAX(0,MIN($F463,EOMONTH(DATE(cfg_FY,6,1),0))-MAX($E463,DATE(cfg_FY,6,1))+1))</f>
        <v>0</v>
      </c>
      <c r="AZ463" s="110" t="n">
        <f aca="false">IF(OR(OR($B463="",$E463="",$F463=""),$K463&lt;&gt;"نعم",$M463="نعم"),0,MAX(0,MIN($F463,EOMONTH(DATE(cfg_FY,7,1),0))-MAX($E463,DATE(cfg_FY,7,1))+1))</f>
        <v>0</v>
      </c>
      <c r="BA463" s="110" t="n">
        <f aca="false">IF(OR(OR($B463="",$E463="",$F463=""),$K463&lt;&gt;"نعم",$M463="نعم"),0,MAX(0,MIN($F463,EOMONTH(DATE(cfg_FY,8,1),0))-MAX($E463,DATE(cfg_FY,8,1))+1))</f>
        <v>0</v>
      </c>
      <c r="BB463" s="110" t="n">
        <f aca="false">IF(OR(OR($B463="",$E463="",$F463=""),$K463&lt;&gt;"نعم",$M463="نعم"),0,MAX(0,MIN($F463,EOMONTH(DATE(cfg_FY,9,1),0))-MAX($E463,DATE(cfg_FY,9,1))+1))</f>
        <v>0</v>
      </c>
      <c r="BC463" s="110" t="n">
        <f aca="false">IF(OR(OR($B463="",$E463="",$F463=""),$K463&lt;&gt;"نعم",$M463="نعم"),0,MAX(0,MIN($F463,EOMONTH(DATE(cfg_FY,10,1),0))-MAX($E463,DATE(cfg_FY,10,1))+1))</f>
        <v>0</v>
      </c>
      <c r="BD463" s="110" t="n">
        <f aca="false">IF(OR(OR($B463="",$E463="",$F463=""),$K463&lt;&gt;"نعم",$M463="نعم"),0,MAX(0,MIN($F463,EOMONTH(DATE(cfg_FY,11,1),0))-MAX($E463,DATE(cfg_FY,11,1))+1))</f>
        <v>0</v>
      </c>
      <c r="BE463" s="110" t="n">
        <f aca="false">IF(OR(OR($B463="",$E463="",$F463=""),$K463&lt;&gt;"نعم",$M463="نعم"),0,MAX(0,MIN($F463,EOMONTH(DATE(cfg_FY,12,1),0))-MAX($E463,DATE(cfg_FY,12,1))+1))</f>
        <v>0</v>
      </c>
    </row>
    <row r="464" customFormat="false" ht="15" hidden="false" customHeight="false" outlineLevel="0" collapsed="false">
      <c r="A464" s="93" t="str">
        <f aca="false">IF(B464="","",ROW()-5)</f>
        <v/>
      </c>
      <c r="B464" s="79"/>
      <c r="C464" s="80" t="str">
        <f aca="false">IF(B464="","",IFERROR(INDEX(الموظفون!$C$6:$C$105,MATCH(B464,الموظفون!$B$6:$B$105,0)),"✖ رقم غير موجود"))</f>
        <v/>
      </c>
      <c r="D464" s="79"/>
      <c r="E464" s="94"/>
      <c r="F464" s="94"/>
      <c r="G464" s="57" t="str">
        <f aca="false">IF(OR($B464="",$E464="",$F464=""),"",MAX(0,F464-E464+1))</f>
        <v/>
      </c>
      <c r="H464" s="58" t="str">
        <f aca="false">IF(D464="","",IFERROR(VLOOKUP(D464,cfg_LT,2,FALSE()),1))</f>
        <v/>
      </c>
      <c r="I464" s="82"/>
      <c r="J464" s="58" t="str">
        <f aca="false">IF(D464="","",IF(I464&lt;&gt;"",I464,H464))</f>
        <v/>
      </c>
      <c r="K464" s="80" t="str">
        <f aca="false">IF(D464="","",IFERROR(VLOOKUP($D464,cfg_LT,3,FALSE()),""))</f>
        <v/>
      </c>
      <c r="L464" s="80" t="str">
        <f aca="false">IF(D464="","",IFERROR(VLOOKUP($D464,cfg_LT,4,FALSE()),""))</f>
        <v/>
      </c>
      <c r="M464" s="80" t="str">
        <f aca="false">IF(D464="","",IFERROR(VLOOKUP($D464,cfg_LT,5,FALSE()),""))</f>
        <v/>
      </c>
      <c r="N464" s="97" t="n">
        <f aca="false">IF(OR(OR($B464="",$E464="",$F464=""),M464&lt;&gt;"نعم"),0,G464*J464*IFERROR(INDEX(الموظفون!$R$6:$R$105,MATCH(B464,الموظفون!$B$6:$B$105,0)),0)/cfg_DAYS_M)</f>
        <v>0</v>
      </c>
      <c r="O464" s="93" t="str">
        <f aca="false">IF(OR(OR($B464="",$E464="",$F464=""),M464&lt;&gt;"نعم"),"",IF(YEAR(E464)=cfg_FY,MONTH(E464),""))</f>
        <v/>
      </c>
      <c r="P464" s="80" t="str">
        <f aca="false">IF(B464="","",IF(OR(D464="",E464="",F464=""),"⚠ أكمل النوع والتواريخ",IF(F464&lt;E464,"✖ النهاية قبل البداية",IF(COUNTIFS($B$6:$B$505,B464,$E$6:$E$505,"&lt;="&amp;F464,$F$6:$F$505,"&gt;="&amp;E464)&gt;1,"⚠ تداخل مع سجل آخر",IF(E464&gt;cfg_VAL_DATE,"⏳ قادمة",IF(F464&lt;cfg_VAL_DATE,"✔ منتهية","✈ جارية في تاريخ التقرير"))))))</f>
        <v/>
      </c>
      <c r="Q464" s="79"/>
      <c r="R464" s="57" t="n">
        <f aca="false">IF(OR(OR($B464="",$E464="",$F464=""),L464&lt;&gt;"لا"),0,MAX(0,MIN(F464,cfg_Y_START-1)-E464+1))</f>
        <v>0</v>
      </c>
      <c r="S464" s="57" t="n">
        <f aca="false">IF(OR(OR($B464="",$E464="",$F464=""),L464&lt;&gt;"لا"),0,MAX(0,MIN(F464,cfg_VAL_DATE)-E464+1))</f>
        <v>0</v>
      </c>
      <c r="T464" s="57" t="n">
        <f aca="false">IF(OR(OR($B464="",$E464="",$F464=""),K464&lt;&gt;"نعم"),0,IF(M464="نعم",IF(AND(ISNUMBER(O464),N(O464)&lt;=cfg_VAL_M),G464,0),MAX(0,MIN(F464,cfg_VAL_DATE)-MAX(E464,cfg_Y_START)+1)))</f>
        <v>0</v>
      </c>
      <c r="V464" s="57" t="n">
        <f aca="false">IF(OR($B464="",$E464="",$F464=""),0,MAX(0,MIN($F464,EOMONTH(DATE(cfg_FY,1,1),0))-MAX($E464,DATE(cfg_FY,1,1))+1)*(1-IF($M464="نعم",0,N($J464))))</f>
        <v>0</v>
      </c>
      <c r="W464" s="57" t="n">
        <f aca="false">IF(OR($B464="",$E464="",$F464=""),0,MAX(0,MIN($F464,EOMONTH(DATE(cfg_FY,2,1),0))-MAX($E464,DATE(cfg_FY,2,1))+1)*(1-IF($M464="نعم",0,N($J464))))</f>
        <v>0</v>
      </c>
      <c r="X464" s="57" t="n">
        <f aca="false">IF(OR($B464="",$E464="",$F464=""),0,MAX(0,MIN($F464,EOMONTH(DATE(cfg_FY,3,1),0))-MAX($E464,DATE(cfg_FY,3,1))+1)*(1-IF($M464="نعم",0,N($J464))))</f>
        <v>0</v>
      </c>
      <c r="Y464" s="57" t="n">
        <f aca="false">IF(OR($B464="",$E464="",$F464=""),0,MAX(0,MIN($F464,EOMONTH(DATE(cfg_FY,4,1),0))-MAX($E464,DATE(cfg_FY,4,1))+1)*(1-IF($M464="نعم",0,N($J464))))</f>
        <v>0</v>
      </c>
      <c r="Z464" s="57" t="n">
        <f aca="false">IF(OR($B464="",$E464="",$F464=""),0,MAX(0,MIN($F464,EOMONTH(DATE(cfg_FY,5,1),0))-MAX($E464,DATE(cfg_FY,5,1))+1)*(1-IF($M464="نعم",0,N($J464))))</f>
        <v>0</v>
      </c>
      <c r="AA464" s="57" t="n">
        <f aca="false">IF(OR($B464="",$E464="",$F464=""),0,MAX(0,MIN($F464,EOMONTH(DATE(cfg_FY,6,1),0))-MAX($E464,DATE(cfg_FY,6,1))+1)*(1-IF($M464="نعم",0,N($J464))))</f>
        <v>0</v>
      </c>
      <c r="AB464" s="57" t="n">
        <f aca="false">IF(OR($B464="",$E464="",$F464=""),0,MAX(0,MIN($F464,EOMONTH(DATE(cfg_FY,7,1),0))-MAX($E464,DATE(cfg_FY,7,1))+1)*(1-IF($M464="نعم",0,N($J464))))</f>
        <v>0</v>
      </c>
      <c r="AC464" s="57" t="n">
        <f aca="false">IF(OR($B464="",$E464="",$F464=""),0,MAX(0,MIN($F464,EOMONTH(DATE(cfg_FY,8,1),0))-MAX($E464,DATE(cfg_FY,8,1))+1)*(1-IF($M464="نعم",0,N($J464))))</f>
        <v>0</v>
      </c>
      <c r="AD464" s="57" t="n">
        <f aca="false">IF(OR($B464="",$E464="",$F464=""),0,MAX(0,MIN($F464,EOMONTH(DATE(cfg_FY,9,1),0))-MAX($E464,DATE(cfg_FY,9,1))+1)*(1-IF($M464="نعم",0,N($J464))))</f>
        <v>0</v>
      </c>
      <c r="AE464" s="57" t="n">
        <f aca="false">IF(OR($B464="",$E464="",$F464=""),0,MAX(0,MIN($F464,EOMONTH(DATE(cfg_FY,10,1),0))-MAX($E464,DATE(cfg_FY,10,1))+1)*(1-IF($M464="نعم",0,N($J464))))</f>
        <v>0</v>
      </c>
      <c r="AF464" s="57" t="n">
        <f aca="false">IF(OR($B464="",$E464="",$F464=""),0,MAX(0,MIN($F464,EOMONTH(DATE(cfg_FY,11,1),0))-MAX($E464,DATE(cfg_FY,11,1))+1)*(1-IF($M464="نعم",0,N($J464))))</f>
        <v>0</v>
      </c>
      <c r="AG464" s="57" t="n">
        <f aca="false">IF(OR($B464="",$E464="",$F464=""),0,MAX(0,MIN($F464,EOMONTH(DATE(cfg_FY,12,1),0))-MAX($E464,DATE(cfg_FY,12,1))+1)*(1-IF($M464="نعم",0,N($J464))))</f>
        <v>0</v>
      </c>
      <c r="AH464" s="57" t="n">
        <f aca="false">IF(OR(OR($B464="",$E464="",$F464=""),$L464&lt;&gt;"لا"),0,MAX(0,MIN($F464,EOMONTH(DATE(cfg_FY,1,1),0))-$E464+1))</f>
        <v>0</v>
      </c>
      <c r="AI464" s="57" t="n">
        <f aca="false">IF(OR(OR($B464="",$E464="",$F464=""),$L464&lt;&gt;"لا"),0,MAX(0,MIN($F464,EOMONTH(DATE(cfg_FY,2,1),0))-$E464+1))</f>
        <v>0</v>
      </c>
      <c r="AJ464" s="57" t="n">
        <f aca="false">IF(OR(OR($B464="",$E464="",$F464=""),$L464&lt;&gt;"لا"),0,MAX(0,MIN($F464,EOMONTH(DATE(cfg_FY,3,1),0))-$E464+1))</f>
        <v>0</v>
      </c>
      <c r="AK464" s="57" t="n">
        <f aca="false">IF(OR(OR($B464="",$E464="",$F464=""),$L464&lt;&gt;"لا"),0,MAX(0,MIN($F464,EOMONTH(DATE(cfg_FY,4,1),0))-$E464+1))</f>
        <v>0</v>
      </c>
      <c r="AL464" s="57" t="n">
        <f aca="false">IF(OR(OR($B464="",$E464="",$F464=""),$L464&lt;&gt;"لا"),0,MAX(0,MIN($F464,EOMONTH(DATE(cfg_FY,5,1),0))-$E464+1))</f>
        <v>0</v>
      </c>
      <c r="AM464" s="57" t="n">
        <f aca="false">IF(OR(OR($B464="",$E464="",$F464=""),$L464&lt;&gt;"لا"),0,MAX(0,MIN($F464,EOMONTH(DATE(cfg_FY,6,1),0))-$E464+1))</f>
        <v>0</v>
      </c>
      <c r="AN464" s="57" t="n">
        <f aca="false">IF(OR(OR($B464="",$E464="",$F464=""),$L464&lt;&gt;"لا"),0,MAX(0,MIN($F464,EOMONTH(DATE(cfg_FY,7,1),0))-$E464+1))</f>
        <v>0</v>
      </c>
      <c r="AO464" s="57" t="n">
        <f aca="false">IF(OR(OR($B464="",$E464="",$F464=""),$L464&lt;&gt;"لا"),0,MAX(0,MIN($F464,EOMONTH(DATE(cfg_FY,8,1),0))-$E464+1))</f>
        <v>0</v>
      </c>
      <c r="AP464" s="57" t="n">
        <f aca="false">IF(OR(OR($B464="",$E464="",$F464=""),$L464&lt;&gt;"لا"),0,MAX(0,MIN($F464,EOMONTH(DATE(cfg_FY,9,1),0))-$E464+1))</f>
        <v>0</v>
      </c>
      <c r="AQ464" s="57" t="n">
        <f aca="false">IF(OR(OR($B464="",$E464="",$F464=""),$L464&lt;&gt;"لا"),0,MAX(0,MIN($F464,EOMONTH(DATE(cfg_FY,10,1),0))-$E464+1))</f>
        <v>0</v>
      </c>
      <c r="AR464" s="57" t="n">
        <f aca="false">IF(OR(OR($B464="",$E464="",$F464=""),$L464&lt;&gt;"لا"),0,MAX(0,MIN($F464,EOMONTH(DATE(cfg_FY,11,1),0))-$E464+1))</f>
        <v>0</v>
      </c>
      <c r="AS464" s="57" t="n">
        <f aca="false">IF(OR(OR($B464="",$E464="",$F464=""),$L464&lt;&gt;"لا"),0,MAX(0,MIN($F464,EOMONTH(DATE(cfg_FY,12,1),0))-$E464+1))</f>
        <v>0</v>
      </c>
      <c r="AT464" s="57" t="n">
        <f aca="false">IF(OR(OR($B464="",$E464="",$F464=""),$K464&lt;&gt;"نعم",$M464="نعم"),0,MAX(0,MIN($F464,EOMONTH(DATE(cfg_FY,1,1),0))-MAX($E464,DATE(cfg_FY,1,1))+1))</f>
        <v>0</v>
      </c>
      <c r="AU464" s="57" t="n">
        <f aca="false">IF(OR(OR($B464="",$E464="",$F464=""),$K464&lt;&gt;"نعم",$M464="نعم"),0,MAX(0,MIN($F464,EOMONTH(DATE(cfg_FY,2,1),0))-MAX($E464,DATE(cfg_FY,2,1))+1))</f>
        <v>0</v>
      </c>
      <c r="AV464" s="57" t="n">
        <f aca="false">IF(OR(OR($B464="",$E464="",$F464=""),$K464&lt;&gt;"نعم",$M464="نعم"),0,MAX(0,MIN($F464,EOMONTH(DATE(cfg_FY,3,1),0))-MAX($E464,DATE(cfg_FY,3,1))+1))</f>
        <v>0</v>
      </c>
      <c r="AW464" s="57" t="n">
        <f aca="false">IF(OR(OR($B464="",$E464="",$F464=""),$K464&lt;&gt;"نعم",$M464="نعم"),0,MAX(0,MIN($F464,EOMONTH(DATE(cfg_FY,4,1),0))-MAX($E464,DATE(cfg_FY,4,1))+1))</f>
        <v>0</v>
      </c>
      <c r="AX464" s="57" t="n">
        <f aca="false">IF(OR(OR($B464="",$E464="",$F464=""),$K464&lt;&gt;"نعم",$M464="نعم"),0,MAX(0,MIN($F464,EOMONTH(DATE(cfg_FY,5,1),0))-MAX($E464,DATE(cfg_FY,5,1))+1))</f>
        <v>0</v>
      </c>
      <c r="AY464" s="57" t="n">
        <f aca="false">IF(OR(OR($B464="",$E464="",$F464=""),$K464&lt;&gt;"نعم",$M464="نعم"),0,MAX(0,MIN($F464,EOMONTH(DATE(cfg_FY,6,1),0))-MAX($E464,DATE(cfg_FY,6,1))+1))</f>
        <v>0</v>
      </c>
      <c r="AZ464" s="57" t="n">
        <f aca="false">IF(OR(OR($B464="",$E464="",$F464=""),$K464&lt;&gt;"نعم",$M464="نعم"),0,MAX(0,MIN($F464,EOMONTH(DATE(cfg_FY,7,1),0))-MAX($E464,DATE(cfg_FY,7,1))+1))</f>
        <v>0</v>
      </c>
      <c r="BA464" s="57" t="n">
        <f aca="false">IF(OR(OR($B464="",$E464="",$F464=""),$K464&lt;&gt;"نعم",$M464="نعم"),0,MAX(0,MIN($F464,EOMONTH(DATE(cfg_FY,8,1),0))-MAX($E464,DATE(cfg_FY,8,1))+1))</f>
        <v>0</v>
      </c>
      <c r="BB464" s="57" t="n">
        <f aca="false">IF(OR(OR($B464="",$E464="",$F464=""),$K464&lt;&gt;"نعم",$M464="نعم"),0,MAX(0,MIN($F464,EOMONTH(DATE(cfg_FY,9,1),0))-MAX($E464,DATE(cfg_FY,9,1))+1))</f>
        <v>0</v>
      </c>
      <c r="BC464" s="57" t="n">
        <f aca="false">IF(OR(OR($B464="",$E464="",$F464=""),$K464&lt;&gt;"نعم",$M464="نعم"),0,MAX(0,MIN($F464,EOMONTH(DATE(cfg_FY,10,1),0))-MAX($E464,DATE(cfg_FY,10,1))+1))</f>
        <v>0</v>
      </c>
      <c r="BD464" s="57" t="n">
        <f aca="false">IF(OR(OR($B464="",$E464="",$F464=""),$K464&lt;&gt;"نعم",$M464="نعم"),0,MAX(0,MIN($F464,EOMONTH(DATE(cfg_FY,11,1),0))-MAX($E464,DATE(cfg_FY,11,1))+1))</f>
        <v>0</v>
      </c>
      <c r="BE464" s="57" t="n">
        <f aca="false">IF(OR(OR($B464="",$E464="",$F464=""),$K464&lt;&gt;"نعم",$M464="نعم"),0,MAX(0,MIN($F464,EOMONTH(DATE(cfg_FY,12,1),0))-MAX($E464,DATE(cfg_FY,12,1))+1))</f>
        <v>0</v>
      </c>
    </row>
    <row r="465" customFormat="false" ht="15" hidden="false" customHeight="false" outlineLevel="0" collapsed="false">
      <c r="A465" s="100" t="str">
        <f aca="false">IF(B465="","",ROW()-5)</f>
        <v/>
      </c>
      <c r="B465" s="79"/>
      <c r="C465" s="102" t="str">
        <f aca="false">IF(B465="","",IFERROR(INDEX(الموظفون!$C$6:$C$105,MATCH(B465,الموظفون!$B$6:$B$105,0)),"✖ رقم غير موجود"))</f>
        <v/>
      </c>
      <c r="D465" s="79"/>
      <c r="E465" s="94"/>
      <c r="F465" s="94"/>
      <c r="G465" s="110" t="str">
        <f aca="false">IF(OR($B465="",$E465="",$F465=""),"",MAX(0,F465-E465+1))</f>
        <v/>
      </c>
      <c r="H465" s="111" t="str">
        <f aca="false">IF(D465="","",IFERROR(VLOOKUP(D465,cfg_LT,2,FALSE()),1))</f>
        <v/>
      </c>
      <c r="I465" s="82"/>
      <c r="J465" s="111" t="str">
        <f aca="false">IF(D465="","",IF(I465&lt;&gt;"",I465,H465))</f>
        <v/>
      </c>
      <c r="K465" s="102" t="str">
        <f aca="false">IF(D465="","",IFERROR(VLOOKUP($D465,cfg_LT,3,FALSE()),""))</f>
        <v/>
      </c>
      <c r="L465" s="102" t="str">
        <f aca="false">IF(D465="","",IFERROR(VLOOKUP($D465,cfg_LT,4,FALSE()),""))</f>
        <v/>
      </c>
      <c r="M465" s="102" t="str">
        <f aca="false">IF(D465="","",IFERROR(VLOOKUP($D465,cfg_LT,5,FALSE()),""))</f>
        <v/>
      </c>
      <c r="N465" s="101" t="n">
        <f aca="false">IF(OR(OR($B465="",$E465="",$F465=""),M465&lt;&gt;"نعم"),0,G465*J465*IFERROR(INDEX(الموظفون!$R$6:$R$105,MATCH(B465,الموظفون!$B$6:$B$105,0)),0)/cfg_DAYS_M)</f>
        <v>0</v>
      </c>
      <c r="O465" s="100" t="str">
        <f aca="false">IF(OR(OR($B465="",$E465="",$F465=""),M465&lt;&gt;"نعم"),"",IF(YEAR(E465)=cfg_FY,MONTH(E465),""))</f>
        <v/>
      </c>
      <c r="P465" s="102" t="str">
        <f aca="false">IF(B465="","",IF(OR(D465="",E465="",F465=""),"⚠ أكمل النوع والتواريخ",IF(F465&lt;E465,"✖ النهاية قبل البداية",IF(COUNTIFS($B$6:$B$505,B465,$E$6:$E$505,"&lt;="&amp;F465,$F$6:$F$505,"&gt;="&amp;E465)&gt;1,"⚠ تداخل مع سجل آخر",IF(E465&gt;cfg_VAL_DATE,"⏳ قادمة",IF(F465&lt;cfg_VAL_DATE,"✔ منتهية","✈ جارية في تاريخ التقرير"))))))</f>
        <v/>
      </c>
      <c r="Q465" s="79"/>
      <c r="R465" s="110" t="n">
        <f aca="false">IF(OR(OR($B465="",$E465="",$F465=""),L465&lt;&gt;"لا"),0,MAX(0,MIN(F465,cfg_Y_START-1)-E465+1))</f>
        <v>0</v>
      </c>
      <c r="S465" s="110" t="n">
        <f aca="false">IF(OR(OR($B465="",$E465="",$F465=""),L465&lt;&gt;"لا"),0,MAX(0,MIN(F465,cfg_VAL_DATE)-E465+1))</f>
        <v>0</v>
      </c>
      <c r="T465" s="110" t="n">
        <f aca="false">IF(OR(OR($B465="",$E465="",$F465=""),K465&lt;&gt;"نعم"),0,IF(M465="نعم",IF(AND(ISNUMBER(O465),N(O465)&lt;=cfg_VAL_M),G465,0),MAX(0,MIN(F465,cfg_VAL_DATE)-MAX(E465,cfg_Y_START)+1)))</f>
        <v>0</v>
      </c>
      <c r="V465" s="110" t="n">
        <f aca="false">IF(OR($B465="",$E465="",$F465=""),0,MAX(0,MIN($F465,EOMONTH(DATE(cfg_FY,1,1),0))-MAX($E465,DATE(cfg_FY,1,1))+1)*(1-IF($M465="نعم",0,N($J465))))</f>
        <v>0</v>
      </c>
      <c r="W465" s="110" t="n">
        <f aca="false">IF(OR($B465="",$E465="",$F465=""),0,MAX(0,MIN($F465,EOMONTH(DATE(cfg_FY,2,1),0))-MAX($E465,DATE(cfg_FY,2,1))+1)*(1-IF($M465="نعم",0,N($J465))))</f>
        <v>0</v>
      </c>
      <c r="X465" s="110" t="n">
        <f aca="false">IF(OR($B465="",$E465="",$F465=""),0,MAX(0,MIN($F465,EOMONTH(DATE(cfg_FY,3,1),0))-MAX($E465,DATE(cfg_FY,3,1))+1)*(1-IF($M465="نعم",0,N($J465))))</f>
        <v>0</v>
      </c>
      <c r="Y465" s="110" t="n">
        <f aca="false">IF(OR($B465="",$E465="",$F465=""),0,MAX(0,MIN($F465,EOMONTH(DATE(cfg_FY,4,1),0))-MAX($E465,DATE(cfg_FY,4,1))+1)*(1-IF($M465="نعم",0,N($J465))))</f>
        <v>0</v>
      </c>
      <c r="Z465" s="110" t="n">
        <f aca="false">IF(OR($B465="",$E465="",$F465=""),0,MAX(0,MIN($F465,EOMONTH(DATE(cfg_FY,5,1),0))-MAX($E465,DATE(cfg_FY,5,1))+1)*(1-IF($M465="نعم",0,N($J465))))</f>
        <v>0</v>
      </c>
      <c r="AA465" s="110" t="n">
        <f aca="false">IF(OR($B465="",$E465="",$F465=""),0,MAX(0,MIN($F465,EOMONTH(DATE(cfg_FY,6,1),0))-MAX($E465,DATE(cfg_FY,6,1))+1)*(1-IF($M465="نعم",0,N($J465))))</f>
        <v>0</v>
      </c>
      <c r="AB465" s="110" t="n">
        <f aca="false">IF(OR($B465="",$E465="",$F465=""),0,MAX(0,MIN($F465,EOMONTH(DATE(cfg_FY,7,1),0))-MAX($E465,DATE(cfg_FY,7,1))+1)*(1-IF($M465="نعم",0,N($J465))))</f>
        <v>0</v>
      </c>
      <c r="AC465" s="110" t="n">
        <f aca="false">IF(OR($B465="",$E465="",$F465=""),0,MAX(0,MIN($F465,EOMONTH(DATE(cfg_FY,8,1),0))-MAX($E465,DATE(cfg_FY,8,1))+1)*(1-IF($M465="نعم",0,N($J465))))</f>
        <v>0</v>
      </c>
      <c r="AD465" s="110" t="n">
        <f aca="false">IF(OR($B465="",$E465="",$F465=""),0,MAX(0,MIN($F465,EOMONTH(DATE(cfg_FY,9,1),0))-MAX($E465,DATE(cfg_FY,9,1))+1)*(1-IF($M465="نعم",0,N($J465))))</f>
        <v>0</v>
      </c>
      <c r="AE465" s="110" t="n">
        <f aca="false">IF(OR($B465="",$E465="",$F465=""),0,MAX(0,MIN($F465,EOMONTH(DATE(cfg_FY,10,1),0))-MAX($E465,DATE(cfg_FY,10,1))+1)*(1-IF($M465="نعم",0,N($J465))))</f>
        <v>0</v>
      </c>
      <c r="AF465" s="110" t="n">
        <f aca="false">IF(OR($B465="",$E465="",$F465=""),0,MAX(0,MIN($F465,EOMONTH(DATE(cfg_FY,11,1),0))-MAX($E465,DATE(cfg_FY,11,1))+1)*(1-IF($M465="نعم",0,N($J465))))</f>
        <v>0</v>
      </c>
      <c r="AG465" s="110" t="n">
        <f aca="false">IF(OR($B465="",$E465="",$F465=""),0,MAX(0,MIN($F465,EOMONTH(DATE(cfg_FY,12,1),0))-MAX($E465,DATE(cfg_FY,12,1))+1)*(1-IF($M465="نعم",0,N($J465))))</f>
        <v>0</v>
      </c>
      <c r="AH465" s="110" t="n">
        <f aca="false">IF(OR(OR($B465="",$E465="",$F465=""),$L465&lt;&gt;"لا"),0,MAX(0,MIN($F465,EOMONTH(DATE(cfg_FY,1,1),0))-$E465+1))</f>
        <v>0</v>
      </c>
      <c r="AI465" s="110" t="n">
        <f aca="false">IF(OR(OR($B465="",$E465="",$F465=""),$L465&lt;&gt;"لا"),0,MAX(0,MIN($F465,EOMONTH(DATE(cfg_FY,2,1),0))-$E465+1))</f>
        <v>0</v>
      </c>
      <c r="AJ465" s="110" t="n">
        <f aca="false">IF(OR(OR($B465="",$E465="",$F465=""),$L465&lt;&gt;"لا"),0,MAX(0,MIN($F465,EOMONTH(DATE(cfg_FY,3,1),0))-$E465+1))</f>
        <v>0</v>
      </c>
      <c r="AK465" s="110" t="n">
        <f aca="false">IF(OR(OR($B465="",$E465="",$F465=""),$L465&lt;&gt;"لا"),0,MAX(0,MIN($F465,EOMONTH(DATE(cfg_FY,4,1),0))-$E465+1))</f>
        <v>0</v>
      </c>
      <c r="AL465" s="110" t="n">
        <f aca="false">IF(OR(OR($B465="",$E465="",$F465=""),$L465&lt;&gt;"لا"),0,MAX(0,MIN($F465,EOMONTH(DATE(cfg_FY,5,1),0))-$E465+1))</f>
        <v>0</v>
      </c>
      <c r="AM465" s="110" t="n">
        <f aca="false">IF(OR(OR($B465="",$E465="",$F465=""),$L465&lt;&gt;"لا"),0,MAX(0,MIN($F465,EOMONTH(DATE(cfg_FY,6,1),0))-$E465+1))</f>
        <v>0</v>
      </c>
      <c r="AN465" s="110" t="n">
        <f aca="false">IF(OR(OR($B465="",$E465="",$F465=""),$L465&lt;&gt;"لا"),0,MAX(0,MIN($F465,EOMONTH(DATE(cfg_FY,7,1),0))-$E465+1))</f>
        <v>0</v>
      </c>
      <c r="AO465" s="110" t="n">
        <f aca="false">IF(OR(OR($B465="",$E465="",$F465=""),$L465&lt;&gt;"لا"),0,MAX(0,MIN($F465,EOMONTH(DATE(cfg_FY,8,1),0))-$E465+1))</f>
        <v>0</v>
      </c>
      <c r="AP465" s="110" t="n">
        <f aca="false">IF(OR(OR($B465="",$E465="",$F465=""),$L465&lt;&gt;"لا"),0,MAX(0,MIN($F465,EOMONTH(DATE(cfg_FY,9,1),0))-$E465+1))</f>
        <v>0</v>
      </c>
      <c r="AQ465" s="110" t="n">
        <f aca="false">IF(OR(OR($B465="",$E465="",$F465=""),$L465&lt;&gt;"لا"),0,MAX(0,MIN($F465,EOMONTH(DATE(cfg_FY,10,1),0))-$E465+1))</f>
        <v>0</v>
      </c>
      <c r="AR465" s="110" t="n">
        <f aca="false">IF(OR(OR($B465="",$E465="",$F465=""),$L465&lt;&gt;"لا"),0,MAX(0,MIN($F465,EOMONTH(DATE(cfg_FY,11,1),0))-$E465+1))</f>
        <v>0</v>
      </c>
      <c r="AS465" s="110" t="n">
        <f aca="false">IF(OR(OR($B465="",$E465="",$F465=""),$L465&lt;&gt;"لا"),0,MAX(0,MIN($F465,EOMONTH(DATE(cfg_FY,12,1),0))-$E465+1))</f>
        <v>0</v>
      </c>
      <c r="AT465" s="110" t="n">
        <f aca="false">IF(OR(OR($B465="",$E465="",$F465=""),$K465&lt;&gt;"نعم",$M465="نعم"),0,MAX(0,MIN($F465,EOMONTH(DATE(cfg_FY,1,1),0))-MAX($E465,DATE(cfg_FY,1,1))+1))</f>
        <v>0</v>
      </c>
      <c r="AU465" s="110" t="n">
        <f aca="false">IF(OR(OR($B465="",$E465="",$F465=""),$K465&lt;&gt;"نعم",$M465="نعم"),0,MAX(0,MIN($F465,EOMONTH(DATE(cfg_FY,2,1),0))-MAX($E465,DATE(cfg_FY,2,1))+1))</f>
        <v>0</v>
      </c>
      <c r="AV465" s="110" t="n">
        <f aca="false">IF(OR(OR($B465="",$E465="",$F465=""),$K465&lt;&gt;"نعم",$M465="نعم"),0,MAX(0,MIN($F465,EOMONTH(DATE(cfg_FY,3,1),0))-MAX($E465,DATE(cfg_FY,3,1))+1))</f>
        <v>0</v>
      </c>
      <c r="AW465" s="110" t="n">
        <f aca="false">IF(OR(OR($B465="",$E465="",$F465=""),$K465&lt;&gt;"نعم",$M465="نعم"),0,MAX(0,MIN($F465,EOMONTH(DATE(cfg_FY,4,1),0))-MAX($E465,DATE(cfg_FY,4,1))+1))</f>
        <v>0</v>
      </c>
      <c r="AX465" s="110" t="n">
        <f aca="false">IF(OR(OR($B465="",$E465="",$F465=""),$K465&lt;&gt;"نعم",$M465="نعم"),0,MAX(0,MIN($F465,EOMONTH(DATE(cfg_FY,5,1),0))-MAX($E465,DATE(cfg_FY,5,1))+1))</f>
        <v>0</v>
      </c>
      <c r="AY465" s="110" t="n">
        <f aca="false">IF(OR(OR($B465="",$E465="",$F465=""),$K465&lt;&gt;"نعم",$M465="نعم"),0,MAX(0,MIN($F465,EOMONTH(DATE(cfg_FY,6,1),0))-MAX($E465,DATE(cfg_FY,6,1))+1))</f>
        <v>0</v>
      </c>
      <c r="AZ465" s="110" t="n">
        <f aca="false">IF(OR(OR($B465="",$E465="",$F465=""),$K465&lt;&gt;"نعم",$M465="نعم"),0,MAX(0,MIN($F465,EOMONTH(DATE(cfg_FY,7,1),0))-MAX($E465,DATE(cfg_FY,7,1))+1))</f>
        <v>0</v>
      </c>
      <c r="BA465" s="110" t="n">
        <f aca="false">IF(OR(OR($B465="",$E465="",$F465=""),$K465&lt;&gt;"نعم",$M465="نعم"),0,MAX(0,MIN($F465,EOMONTH(DATE(cfg_FY,8,1),0))-MAX($E465,DATE(cfg_FY,8,1))+1))</f>
        <v>0</v>
      </c>
      <c r="BB465" s="110" t="n">
        <f aca="false">IF(OR(OR($B465="",$E465="",$F465=""),$K465&lt;&gt;"نعم",$M465="نعم"),0,MAX(0,MIN($F465,EOMONTH(DATE(cfg_FY,9,1),0))-MAX($E465,DATE(cfg_FY,9,1))+1))</f>
        <v>0</v>
      </c>
      <c r="BC465" s="110" t="n">
        <f aca="false">IF(OR(OR($B465="",$E465="",$F465=""),$K465&lt;&gt;"نعم",$M465="نعم"),0,MAX(0,MIN($F465,EOMONTH(DATE(cfg_FY,10,1),0))-MAX($E465,DATE(cfg_FY,10,1))+1))</f>
        <v>0</v>
      </c>
      <c r="BD465" s="110" t="n">
        <f aca="false">IF(OR(OR($B465="",$E465="",$F465=""),$K465&lt;&gt;"نعم",$M465="نعم"),0,MAX(0,MIN($F465,EOMONTH(DATE(cfg_FY,11,1),0))-MAX($E465,DATE(cfg_FY,11,1))+1))</f>
        <v>0</v>
      </c>
      <c r="BE465" s="110" t="n">
        <f aca="false">IF(OR(OR($B465="",$E465="",$F465=""),$K465&lt;&gt;"نعم",$M465="نعم"),0,MAX(0,MIN($F465,EOMONTH(DATE(cfg_FY,12,1),0))-MAX($E465,DATE(cfg_FY,12,1))+1))</f>
        <v>0</v>
      </c>
    </row>
    <row r="466" customFormat="false" ht="15" hidden="false" customHeight="false" outlineLevel="0" collapsed="false">
      <c r="A466" s="93" t="str">
        <f aca="false">IF(B466="","",ROW()-5)</f>
        <v/>
      </c>
      <c r="B466" s="79"/>
      <c r="C466" s="80" t="str">
        <f aca="false">IF(B466="","",IFERROR(INDEX(الموظفون!$C$6:$C$105,MATCH(B466,الموظفون!$B$6:$B$105,0)),"✖ رقم غير موجود"))</f>
        <v/>
      </c>
      <c r="D466" s="79"/>
      <c r="E466" s="94"/>
      <c r="F466" s="94"/>
      <c r="G466" s="57" t="str">
        <f aca="false">IF(OR($B466="",$E466="",$F466=""),"",MAX(0,F466-E466+1))</f>
        <v/>
      </c>
      <c r="H466" s="58" t="str">
        <f aca="false">IF(D466="","",IFERROR(VLOOKUP(D466,cfg_LT,2,FALSE()),1))</f>
        <v/>
      </c>
      <c r="I466" s="82"/>
      <c r="J466" s="58" t="str">
        <f aca="false">IF(D466="","",IF(I466&lt;&gt;"",I466,H466))</f>
        <v/>
      </c>
      <c r="K466" s="80" t="str">
        <f aca="false">IF(D466="","",IFERROR(VLOOKUP($D466,cfg_LT,3,FALSE()),""))</f>
        <v/>
      </c>
      <c r="L466" s="80" t="str">
        <f aca="false">IF(D466="","",IFERROR(VLOOKUP($D466,cfg_LT,4,FALSE()),""))</f>
        <v/>
      </c>
      <c r="M466" s="80" t="str">
        <f aca="false">IF(D466="","",IFERROR(VLOOKUP($D466,cfg_LT,5,FALSE()),""))</f>
        <v/>
      </c>
      <c r="N466" s="97" t="n">
        <f aca="false">IF(OR(OR($B466="",$E466="",$F466=""),M466&lt;&gt;"نعم"),0,G466*J466*IFERROR(INDEX(الموظفون!$R$6:$R$105,MATCH(B466,الموظفون!$B$6:$B$105,0)),0)/cfg_DAYS_M)</f>
        <v>0</v>
      </c>
      <c r="O466" s="93" t="str">
        <f aca="false">IF(OR(OR($B466="",$E466="",$F466=""),M466&lt;&gt;"نعم"),"",IF(YEAR(E466)=cfg_FY,MONTH(E466),""))</f>
        <v/>
      </c>
      <c r="P466" s="80" t="str">
        <f aca="false">IF(B466="","",IF(OR(D466="",E466="",F466=""),"⚠ أكمل النوع والتواريخ",IF(F466&lt;E466,"✖ النهاية قبل البداية",IF(COUNTIFS($B$6:$B$505,B466,$E$6:$E$505,"&lt;="&amp;F466,$F$6:$F$505,"&gt;="&amp;E466)&gt;1,"⚠ تداخل مع سجل آخر",IF(E466&gt;cfg_VAL_DATE,"⏳ قادمة",IF(F466&lt;cfg_VAL_DATE,"✔ منتهية","✈ جارية في تاريخ التقرير"))))))</f>
        <v/>
      </c>
      <c r="Q466" s="79"/>
      <c r="R466" s="57" t="n">
        <f aca="false">IF(OR(OR($B466="",$E466="",$F466=""),L466&lt;&gt;"لا"),0,MAX(0,MIN(F466,cfg_Y_START-1)-E466+1))</f>
        <v>0</v>
      </c>
      <c r="S466" s="57" t="n">
        <f aca="false">IF(OR(OR($B466="",$E466="",$F466=""),L466&lt;&gt;"لا"),0,MAX(0,MIN(F466,cfg_VAL_DATE)-E466+1))</f>
        <v>0</v>
      </c>
      <c r="T466" s="57" t="n">
        <f aca="false">IF(OR(OR($B466="",$E466="",$F466=""),K466&lt;&gt;"نعم"),0,IF(M466="نعم",IF(AND(ISNUMBER(O466),N(O466)&lt;=cfg_VAL_M),G466,0),MAX(0,MIN(F466,cfg_VAL_DATE)-MAX(E466,cfg_Y_START)+1)))</f>
        <v>0</v>
      </c>
      <c r="V466" s="57" t="n">
        <f aca="false">IF(OR($B466="",$E466="",$F466=""),0,MAX(0,MIN($F466,EOMONTH(DATE(cfg_FY,1,1),0))-MAX($E466,DATE(cfg_FY,1,1))+1)*(1-IF($M466="نعم",0,N($J466))))</f>
        <v>0</v>
      </c>
      <c r="W466" s="57" t="n">
        <f aca="false">IF(OR($B466="",$E466="",$F466=""),0,MAX(0,MIN($F466,EOMONTH(DATE(cfg_FY,2,1),0))-MAX($E466,DATE(cfg_FY,2,1))+1)*(1-IF($M466="نعم",0,N($J466))))</f>
        <v>0</v>
      </c>
      <c r="X466" s="57" t="n">
        <f aca="false">IF(OR($B466="",$E466="",$F466=""),0,MAX(0,MIN($F466,EOMONTH(DATE(cfg_FY,3,1),0))-MAX($E466,DATE(cfg_FY,3,1))+1)*(1-IF($M466="نعم",0,N($J466))))</f>
        <v>0</v>
      </c>
      <c r="Y466" s="57" t="n">
        <f aca="false">IF(OR($B466="",$E466="",$F466=""),0,MAX(0,MIN($F466,EOMONTH(DATE(cfg_FY,4,1),0))-MAX($E466,DATE(cfg_FY,4,1))+1)*(1-IF($M466="نعم",0,N($J466))))</f>
        <v>0</v>
      </c>
      <c r="Z466" s="57" t="n">
        <f aca="false">IF(OR($B466="",$E466="",$F466=""),0,MAX(0,MIN($F466,EOMONTH(DATE(cfg_FY,5,1),0))-MAX($E466,DATE(cfg_FY,5,1))+1)*(1-IF($M466="نعم",0,N($J466))))</f>
        <v>0</v>
      </c>
      <c r="AA466" s="57" t="n">
        <f aca="false">IF(OR($B466="",$E466="",$F466=""),0,MAX(0,MIN($F466,EOMONTH(DATE(cfg_FY,6,1),0))-MAX($E466,DATE(cfg_FY,6,1))+1)*(1-IF($M466="نعم",0,N($J466))))</f>
        <v>0</v>
      </c>
      <c r="AB466" s="57" t="n">
        <f aca="false">IF(OR($B466="",$E466="",$F466=""),0,MAX(0,MIN($F466,EOMONTH(DATE(cfg_FY,7,1),0))-MAX($E466,DATE(cfg_FY,7,1))+1)*(1-IF($M466="نعم",0,N($J466))))</f>
        <v>0</v>
      </c>
      <c r="AC466" s="57" t="n">
        <f aca="false">IF(OR($B466="",$E466="",$F466=""),0,MAX(0,MIN($F466,EOMONTH(DATE(cfg_FY,8,1),0))-MAX($E466,DATE(cfg_FY,8,1))+1)*(1-IF($M466="نعم",0,N($J466))))</f>
        <v>0</v>
      </c>
      <c r="AD466" s="57" t="n">
        <f aca="false">IF(OR($B466="",$E466="",$F466=""),0,MAX(0,MIN($F466,EOMONTH(DATE(cfg_FY,9,1),0))-MAX($E466,DATE(cfg_FY,9,1))+1)*(1-IF($M466="نعم",0,N($J466))))</f>
        <v>0</v>
      </c>
      <c r="AE466" s="57" t="n">
        <f aca="false">IF(OR($B466="",$E466="",$F466=""),0,MAX(0,MIN($F466,EOMONTH(DATE(cfg_FY,10,1),0))-MAX($E466,DATE(cfg_FY,10,1))+1)*(1-IF($M466="نعم",0,N($J466))))</f>
        <v>0</v>
      </c>
      <c r="AF466" s="57" t="n">
        <f aca="false">IF(OR($B466="",$E466="",$F466=""),0,MAX(0,MIN($F466,EOMONTH(DATE(cfg_FY,11,1),0))-MAX($E466,DATE(cfg_FY,11,1))+1)*(1-IF($M466="نعم",0,N($J466))))</f>
        <v>0</v>
      </c>
      <c r="AG466" s="57" t="n">
        <f aca="false">IF(OR($B466="",$E466="",$F466=""),0,MAX(0,MIN($F466,EOMONTH(DATE(cfg_FY,12,1),0))-MAX($E466,DATE(cfg_FY,12,1))+1)*(1-IF($M466="نعم",0,N($J466))))</f>
        <v>0</v>
      </c>
      <c r="AH466" s="57" t="n">
        <f aca="false">IF(OR(OR($B466="",$E466="",$F466=""),$L466&lt;&gt;"لا"),0,MAX(0,MIN($F466,EOMONTH(DATE(cfg_FY,1,1),0))-$E466+1))</f>
        <v>0</v>
      </c>
      <c r="AI466" s="57" t="n">
        <f aca="false">IF(OR(OR($B466="",$E466="",$F466=""),$L466&lt;&gt;"لا"),0,MAX(0,MIN($F466,EOMONTH(DATE(cfg_FY,2,1),0))-$E466+1))</f>
        <v>0</v>
      </c>
      <c r="AJ466" s="57" t="n">
        <f aca="false">IF(OR(OR($B466="",$E466="",$F466=""),$L466&lt;&gt;"لا"),0,MAX(0,MIN($F466,EOMONTH(DATE(cfg_FY,3,1),0))-$E466+1))</f>
        <v>0</v>
      </c>
      <c r="AK466" s="57" t="n">
        <f aca="false">IF(OR(OR($B466="",$E466="",$F466=""),$L466&lt;&gt;"لا"),0,MAX(0,MIN($F466,EOMONTH(DATE(cfg_FY,4,1),0))-$E466+1))</f>
        <v>0</v>
      </c>
      <c r="AL466" s="57" t="n">
        <f aca="false">IF(OR(OR($B466="",$E466="",$F466=""),$L466&lt;&gt;"لا"),0,MAX(0,MIN($F466,EOMONTH(DATE(cfg_FY,5,1),0))-$E466+1))</f>
        <v>0</v>
      </c>
      <c r="AM466" s="57" t="n">
        <f aca="false">IF(OR(OR($B466="",$E466="",$F466=""),$L466&lt;&gt;"لا"),0,MAX(0,MIN($F466,EOMONTH(DATE(cfg_FY,6,1),0))-$E466+1))</f>
        <v>0</v>
      </c>
      <c r="AN466" s="57" t="n">
        <f aca="false">IF(OR(OR($B466="",$E466="",$F466=""),$L466&lt;&gt;"لا"),0,MAX(0,MIN($F466,EOMONTH(DATE(cfg_FY,7,1),0))-$E466+1))</f>
        <v>0</v>
      </c>
      <c r="AO466" s="57" t="n">
        <f aca="false">IF(OR(OR($B466="",$E466="",$F466=""),$L466&lt;&gt;"لا"),0,MAX(0,MIN($F466,EOMONTH(DATE(cfg_FY,8,1),0))-$E466+1))</f>
        <v>0</v>
      </c>
      <c r="AP466" s="57" t="n">
        <f aca="false">IF(OR(OR($B466="",$E466="",$F466=""),$L466&lt;&gt;"لا"),0,MAX(0,MIN($F466,EOMONTH(DATE(cfg_FY,9,1),0))-$E466+1))</f>
        <v>0</v>
      </c>
      <c r="AQ466" s="57" t="n">
        <f aca="false">IF(OR(OR($B466="",$E466="",$F466=""),$L466&lt;&gt;"لا"),0,MAX(0,MIN($F466,EOMONTH(DATE(cfg_FY,10,1),0))-$E466+1))</f>
        <v>0</v>
      </c>
      <c r="AR466" s="57" t="n">
        <f aca="false">IF(OR(OR($B466="",$E466="",$F466=""),$L466&lt;&gt;"لا"),0,MAX(0,MIN($F466,EOMONTH(DATE(cfg_FY,11,1),0))-$E466+1))</f>
        <v>0</v>
      </c>
      <c r="AS466" s="57" t="n">
        <f aca="false">IF(OR(OR($B466="",$E466="",$F466=""),$L466&lt;&gt;"لا"),0,MAX(0,MIN($F466,EOMONTH(DATE(cfg_FY,12,1),0))-$E466+1))</f>
        <v>0</v>
      </c>
      <c r="AT466" s="57" t="n">
        <f aca="false">IF(OR(OR($B466="",$E466="",$F466=""),$K466&lt;&gt;"نعم",$M466="نعم"),0,MAX(0,MIN($F466,EOMONTH(DATE(cfg_FY,1,1),0))-MAX($E466,DATE(cfg_FY,1,1))+1))</f>
        <v>0</v>
      </c>
      <c r="AU466" s="57" t="n">
        <f aca="false">IF(OR(OR($B466="",$E466="",$F466=""),$K466&lt;&gt;"نعم",$M466="نعم"),0,MAX(0,MIN($F466,EOMONTH(DATE(cfg_FY,2,1),0))-MAX($E466,DATE(cfg_FY,2,1))+1))</f>
        <v>0</v>
      </c>
      <c r="AV466" s="57" t="n">
        <f aca="false">IF(OR(OR($B466="",$E466="",$F466=""),$K466&lt;&gt;"نعم",$M466="نعم"),0,MAX(0,MIN($F466,EOMONTH(DATE(cfg_FY,3,1),0))-MAX($E466,DATE(cfg_FY,3,1))+1))</f>
        <v>0</v>
      </c>
      <c r="AW466" s="57" t="n">
        <f aca="false">IF(OR(OR($B466="",$E466="",$F466=""),$K466&lt;&gt;"نعم",$M466="نعم"),0,MAX(0,MIN($F466,EOMONTH(DATE(cfg_FY,4,1),0))-MAX($E466,DATE(cfg_FY,4,1))+1))</f>
        <v>0</v>
      </c>
      <c r="AX466" s="57" t="n">
        <f aca="false">IF(OR(OR($B466="",$E466="",$F466=""),$K466&lt;&gt;"نعم",$M466="نعم"),0,MAX(0,MIN($F466,EOMONTH(DATE(cfg_FY,5,1),0))-MAX($E466,DATE(cfg_FY,5,1))+1))</f>
        <v>0</v>
      </c>
      <c r="AY466" s="57" t="n">
        <f aca="false">IF(OR(OR($B466="",$E466="",$F466=""),$K466&lt;&gt;"نعم",$M466="نعم"),0,MAX(0,MIN($F466,EOMONTH(DATE(cfg_FY,6,1),0))-MAX($E466,DATE(cfg_FY,6,1))+1))</f>
        <v>0</v>
      </c>
      <c r="AZ466" s="57" t="n">
        <f aca="false">IF(OR(OR($B466="",$E466="",$F466=""),$K466&lt;&gt;"نعم",$M466="نعم"),0,MAX(0,MIN($F466,EOMONTH(DATE(cfg_FY,7,1),0))-MAX($E466,DATE(cfg_FY,7,1))+1))</f>
        <v>0</v>
      </c>
      <c r="BA466" s="57" t="n">
        <f aca="false">IF(OR(OR($B466="",$E466="",$F466=""),$K466&lt;&gt;"نعم",$M466="نعم"),0,MAX(0,MIN($F466,EOMONTH(DATE(cfg_FY,8,1),0))-MAX($E466,DATE(cfg_FY,8,1))+1))</f>
        <v>0</v>
      </c>
      <c r="BB466" s="57" t="n">
        <f aca="false">IF(OR(OR($B466="",$E466="",$F466=""),$K466&lt;&gt;"نعم",$M466="نعم"),0,MAX(0,MIN($F466,EOMONTH(DATE(cfg_FY,9,1),0))-MAX($E466,DATE(cfg_FY,9,1))+1))</f>
        <v>0</v>
      </c>
      <c r="BC466" s="57" t="n">
        <f aca="false">IF(OR(OR($B466="",$E466="",$F466=""),$K466&lt;&gt;"نعم",$M466="نعم"),0,MAX(0,MIN($F466,EOMONTH(DATE(cfg_FY,10,1),0))-MAX($E466,DATE(cfg_FY,10,1))+1))</f>
        <v>0</v>
      </c>
      <c r="BD466" s="57" t="n">
        <f aca="false">IF(OR(OR($B466="",$E466="",$F466=""),$K466&lt;&gt;"نعم",$M466="نعم"),0,MAX(0,MIN($F466,EOMONTH(DATE(cfg_FY,11,1),0))-MAX($E466,DATE(cfg_FY,11,1))+1))</f>
        <v>0</v>
      </c>
      <c r="BE466" s="57" t="n">
        <f aca="false">IF(OR(OR($B466="",$E466="",$F466=""),$K466&lt;&gt;"نعم",$M466="نعم"),0,MAX(0,MIN($F466,EOMONTH(DATE(cfg_FY,12,1),0))-MAX($E466,DATE(cfg_FY,12,1))+1))</f>
        <v>0</v>
      </c>
    </row>
    <row r="467" customFormat="false" ht="15" hidden="false" customHeight="false" outlineLevel="0" collapsed="false">
      <c r="A467" s="100" t="str">
        <f aca="false">IF(B467="","",ROW()-5)</f>
        <v/>
      </c>
      <c r="B467" s="79"/>
      <c r="C467" s="102" t="str">
        <f aca="false">IF(B467="","",IFERROR(INDEX(الموظفون!$C$6:$C$105,MATCH(B467,الموظفون!$B$6:$B$105,0)),"✖ رقم غير موجود"))</f>
        <v/>
      </c>
      <c r="D467" s="79"/>
      <c r="E467" s="94"/>
      <c r="F467" s="94"/>
      <c r="G467" s="110" t="str">
        <f aca="false">IF(OR($B467="",$E467="",$F467=""),"",MAX(0,F467-E467+1))</f>
        <v/>
      </c>
      <c r="H467" s="111" t="str">
        <f aca="false">IF(D467="","",IFERROR(VLOOKUP(D467,cfg_LT,2,FALSE()),1))</f>
        <v/>
      </c>
      <c r="I467" s="82"/>
      <c r="J467" s="111" t="str">
        <f aca="false">IF(D467="","",IF(I467&lt;&gt;"",I467,H467))</f>
        <v/>
      </c>
      <c r="K467" s="102" t="str">
        <f aca="false">IF(D467="","",IFERROR(VLOOKUP($D467,cfg_LT,3,FALSE()),""))</f>
        <v/>
      </c>
      <c r="L467" s="102" t="str">
        <f aca="false">IF(D467="","",IFERROR(VLOOKUP($D467,cfg_LT,4,FALSE()),""))</f>
        <v/>
      </c>
      <c r="M467" s="102" t="str">
        <f aca="false">IF(D467="","",IFERROR(VLOOKUP($D467,cfg_LT,5,FALSE()),""))</f>
        <v/>
      </c>
      <c r="N467" s="101" t="n">
        <f aca="false">IF(OR(OR($B467="",$E467="",$F467=""),M467&lt;&gt;"نعم"),0,G467*J467*IFERROR(INDEX(الموظفون!$R$6:$R$105,MATCH(B467,الموظفون!$B$6:$B$105,0)),0)/cfg_DAYS_M)</f>
        <v>0</v>
      </c>
      <c r="O467" s="100" t="str">
        <f aca="false">IF(OR(OR($B467="",$E467="",$F467=""),M467&lt;&gt;"نعم"),"",IF(YEAR(E467)=cfg_FY,MONTH(E467),""))</f>
        <v/>
      </c>
      <c r="P467" s="102" t="str">
        <f aca="false">IF(B467="","",IF(OR(D467="",E467="",F467=""),"⚠ أكمل النوع والتواريخ",IF(F467&lt;E467,"✖ النهاية قبل البداية",IF(COUNTIFS($B$6:$B$505,B467,$E$6:$E$505,"&lt;="&amp;F467,$F$6:$F$505,"&gt;="&amp;E467)&gt;1,"⚠ تداخل مع سجل آخر",IF(E467&gt;cfg_VAL_DATE,"⏳ قادمة",IF(F467&lt;cfg_VAL_DATE,"✔ منتهية","✈ جارية في تاريخ التقرير"))))))</f>
        <v/>
      </c>
      <c r="Q467" s="79"/>
      <c r="R467" s="110" t="n">
        <f aca="false">IF(OR(OR($B467="",$E467="",$F467=""),L467&lt;&gt;"لا"),0,MAX(0,MIN(F467,cfg_Y_START-1)-E467+1))</f>
        <v>0</v>
      </c>
      <c r="S467" s="110" t="n">
        <f aca="false">IF(OR(OR($B467="",$E467="",$F467=""),L467&lt;&gt;"لا"),0,MAX(0,MIN(F467,cfg_VAL_DATE)-E467+1))</f>
        <v>0</v>
      </c>
      <c r="T467" s="110" t="n">
        <f aca="false">IF(OR(OR($B467="",$E467="",$F467=""),K467&lt;&gt;"نعم"),0,IF(M467="نعم",IF(AND(ISNUMBER(O467),N(O467)&lt;=cfg_VAL_M),G467,0),MAX(0,MIN(F467,cfg_VAL_DATE)-MAX(E467,cfg_Y_START)+1)))</f>
        <v>0</v>
      </c>
      <c r="V467" s="110" t="n">
        <f aca="false">IF(OR($B467="",$E467="",$F467=""),0,MAX(0,MIN($F467,EOMONTH(DATE(cfg_FY,1,1),0))-MAX($E467,DATE(cfg_FY,1,1))+1)*(1-IF($M467="نعم",0,N($J467))))</f>
        <v>0</v>
      </c>
      <c r="W467" s="110" t="n">
        <f aca="false">IF(OR($B467="",$E467="",$F467=""),0,MAX(0,MIN($F467,EOMONTH(DATE(cfg_FY,2,1),0))-MAX($E467,DATE(cfg_FY,2,1))+1)*(1-IF($M467="نعم",0,N($J467))))</f>
        <v>0</v>
      </c>
      <c r="X467" s="110" t="n">
        <f aca="false">IF(OR($B467="",$E467="",$F467=""),0,MAX(0,MIN($F467,EOMONTH(DATE(cfg_FY,3,1),0))-MAX($E467,DATE(cfg_FY,3,1))+1)*(1-IF($M467="نعم",0,N($J467))))</f>
        <v>0</v>
      </c>
      <c r="Y467" s="110" t="n">
        <f aca="false">IF(OR($B467="",$E467="",$F467=""),0,MAX(0,MIN($F467,EOMONTH(DATE(cfg_FY,4,1),0))-MAX($E467,DATE(cfg_FY,4,1))+1)*(1-IF($M467="نعم",0,N($J467))))</f>
        <v>0</v>
      </c>
      <c r="Z467" s="110" t="n">
        <f aca="false">IF(OR($B467="",$E467="",$F467=""),0,MAX(0,MIN($F467,EOMONTH(DATE(cfg_FY,5,1),0))-MAX($E467,DATE(cfg_FY,5,1))+1)*(1-IF($M467="نعم",0,N($J467))))</f>
        <v>0</v>
      </c>
      <c r="AA467" s="110" t="n">
        <f aca="false">IF(OR($B467="",$E467="",$F467=""),0,MAX(0,MIN($F467,EOMONTH(DATE(cfg_FY,6,1),0))-MAX($E467,DATE(cfg_FY,6,1))+1)*(1-IF($M467="نعم",0,N($J467))))</f>
        <v>0</v>
      </c>
      <c r="AB467" s="110" t="n">
        <f aca="false">IF(OR($B467="",$E467="",$F467=""),0,MAX(0,MIN($F467,EOMONTH(DATE(cfg_FY,7,1),0))-MAX($E467,DATE(cfg_FY,7,1))+1)*(1-IF($M467="نعم",0,N($J467))))</f>
        <v>0</v>
      </c>
      <c r="AC467" s="110" t="n">
        <f aca="false">IF(OR($B467="",$E467="",$F467=""),0,MAX(0,MIN($F467,EOMONTH(DATE(cfg_FY,8,1),0))-MAX($E467,DATE(cfg_FY,8,1))+1)*(1-IF($M467="نعم",0,N($J467))))</f>
        <v>0</v>
      </c>
      <c r="AD467" s="110" t="n">
        <f aca="false">IF(OR($B467="",$E467="",$F467=""),0,MAX(0,MIN($F467,EOMONTH(DATE(cfg_FY,9,1),0))-MAX($E467,DATE(cfg_FY,9,1))+1)*(1-IF($M467="نعم",0,N($J467))))</f>
        <v>0</v>
      </c>
      <c r="AE467" s="110" t="n">
        <f aca="false">IF(OR($B467="",$E467="",$F467=""),0,MAX(0,MIN($F467,EOMONTH(DATE(cfg_FY,10,1),0))-MAX($E467,DATE(cfg_FY,10,1))+1)*(1-IF($M467="نعم",0,N($J467))))</f>
        <v>0</v>
      </c>
      <c r="AF467" s="110" t="n">
        <f aca="false">IF(OR($B467="",$E467="",$F467=""),0,MAX(0,MIN($F467,EOMONTH(DATE(cfg_FY,11,1),0))-MAX($E467,DATE(cfg_FY,11,1))+1)*(1-IF($M467="نعم",0,N($J467))))</f>
        <v>0</v>
      </c>
      <c r="AG467" s="110" t="n">
        <f aca="false">IF(OR($B467="",$E467="",$F467=""),0,MAX(0,MIN($F467,EOMONTH(DATE(cfg_FY,12,1),0))-MAX($E467,DATE(cfg_FY,12,1))+1)*(1-IF($M467="نعم",0,N($J467))))</f>
        <v>0</v>
      </c>
      <c r="AH467" s="110" t="n">
        <f aca="false">IF(OR(OR($B467="",$E467="",$F467=""),$L467&lt;&gt;"لا"),0,MAX(0,MIN($F467,EOMONTH(DATE(cfg_FY,1,1),0))-$E467+1))</f>
        <v>0</v>
      </c>
      <c r="AI467" s="110" t="n">
        <f aca="false">IF(OR(OR($B467="",$E467="",$F467=""),$L467&lt;&gt;"لا"),0,MAX(0,MIN($F467,EOMONTH(DATE(cfg_FY,2,1),0))-$E467+1))</f>
        <v>0</v>
      </c>
      <c r="AJ467" s="110" t="n">
        <f aca="false">IF(OR(OR($B467="",$E467="",$F467=""),$L467&lt;&gt;"لا"),0,MAX(0,MIN($F467,EOMONTH(DATE(cfg_FY,3,1),0))-$E467+1))</f>
        <v>0</v>
      </c>
      <c r="AK467" s="110" t="n">
        <f aca="false">IF(OR(OR($B467="",$E467="",$F467=""),$L467&lt;&gt;"لا"),0,MAX(0,MIN($F467,EOMONTH(DATE(cfg_FY,4,1),0))-$E467+1))</f>
        <v>0</v>
      </c>
      <c r="AL467" s="110" t="n">
        <f aca="false">IF(OR(OR($B467="",$E467="",$F467=""),$L467&lt;&gt;"لا"),0,MAX(0,MIN($F467,EOMONTH(DATE(cfg_FY,5,1),0))-$E467+1))</f>
        <v>0</v>
      </c>
      <c r="AM467" s="110" t="n">
        <f aca="false">IF(OR(OR($B467="",$E467="",$F467=""),$L467&lt;&gt;"لا"),0,MAX(0,MIN($F467,EOMONTH(DATE(cfg_FY,6,1),0))-$E467+1))</f>
        <v>0</v>
      </c>
      <c r="AN467" s="110" t="n">
        <f aca="false">IF(OR(OR($B467="",$E467="",$F467=""),$L467&lt;&gt;"لا"),0,MAX(0,MIN($F467,EOMONTH(DATE(cfg_FY,7,1),0))-$E467+1))</f>
        <v>0</v>
      </c>
      <c r="AO467" s="110" t="n">
        <f aca="false">IF(OR(OR($B467="",$E467="",$F467=""),$L467&lt;&gt;"لا"),0,MAX(0,MIN($F467,EOMONTH(DATE(cfg_FY,8,1),0))-$E467+1))</f>
        <v>0</v>
      </c>
      <c r="AP467" s="110" t="n">
        <f aca="false">IF(OR(OR($B467="",$E467="",$F467=""),$L467&lt;&gt;"لا"),0,MAX(0,MIN($F467,EOMONTH(DATE(cfg_FY,9,1),0))-$E467+1))</f>
        <v>0</v>
      </c>
      <c r="AQ467" s="110" t="n">
        <f aca="false">IF(OR(OR($B467="",$E467="",$F467=""),$L467&lt;&gt;"لا"),0,MAX(0,MIN($F467,EOMONTH(DATE(cfg_FY,10,1),0))-$E467+1))</f>
        <v>0</v>
      </c>
      <c r="AR467" s="110" t="n">
        <f aca="false">IF(OR(OR($B467="",$E467="",$F467=""),$L467&lt;&gt;"لا"),0,MAX(0,MIN($F467,EOMONTH(DATE(cfg_FY,11,1),0))-$E467+1))</f>
        <v>0</v>
      </c>
      <c r="AS467" s="110" t="n">
        <f aca="false">IF(OR(OR($B467="",$E467="",$F467=""),$L467&lt;&gt;"لا"),0,MAX(0,MIN($F467,EOMONTH(DATE(cfg_FY,12,1),0))-$E467+1))</f>
        <v>0</v>
      </c>
      <c r="AT467" s="110" t="n">
        <f aca="false">IF(OR(OR($B467="",$E467="",$F467=""),$K467&lt;&gt;"نعم",$M467="نعم"),0,MAX(0,MIN($F467,EOMONTH(DATE(cfg_FY,1,1),0))-MAX($E467,DATE(cfg_FY,1,1))+1))</f>
        <v>0</v>
      </c>
      <c r="AU467" s="110" t="n">
        <f aca="false">IF(OR(OR($B467="",$E467="",$F467=""),$K467&lt;&gt;"نعم",$M467="نعم"),0,MAX(0,MIN($F467,EOMONTH(DATE(cfg_FY,2,1),0))-MAX($E467,DATE(cfg_FY,2,1))+1))</f>
        <v>0</v>
      </c>
      <c r="AV467" s="110" t="n">
        <f aca="false">IF(OR(OR($B467="",$E467="",$F467=""),$K467&lt;&gt;"نعم",$M467="نعم"),0,MAX(0,MIN($F467,EOMONTH(DATE(cfg_FY,3,1),0))-MAX($E467,DATE(cfg_FY,3,1))+1))</f>
        <v>0</v>
      </c>
      <c r="AW467" s="110" t="n">
        <f aca="false">IF(OR(OR($B467="",$E467="",$F467=""),$K467&lt;&gt;"نعم",$M467="نعم"),0,MAX(0,MIN($F467,EOMONTH(DATE(cfg_FY,4,1),0))-MAX($E467,DATE(cfg_FY,4,1))+1))</f>
        <v>0</v>
      </c>
      <c r="AX467" s="110" t="n">
        <f aca="false">IF(OR(OR($B467="",$E467="",$F467=""),$K467&lt;&gt;"نعم",$M467="نعم"),0,MAX(0,MIN($F467,EOMONTH(DATE(cfg_FY,5,1),0))-MAX($E467,DATE(cfg_FY,5,1))+1))</f>
        <v>0</v>
      </c>
      <c r="AY467" s="110" t="n">
        <f aca="false">IF(OR(OR($B467="",$E467="",$F467=""),$K467&lt;&gt;"نعم",$M467="نعم"),0,MAX(0,MIN($F467,EOMONTH(DATE(cfg_FY,6,1),0))-MAX($E467,DATE(cfg_FY,6,1))+1))</f>
        <v>0</v>
      </c>
      <c r="AZ467" s="110" t="n">
        <f aca="false">IF(OR(OR($B467="",$E467="",$F467=""),$K467&lt;&gt;"نعم",$M467="نعم"),0,MAX(0,MIN($F467,EOMONTH(DATE(cfg_FY,7,1),0))-MAX($E467,DATE(cfg_FY,7,1))+1))</f>
        <v>0</v>
      </c>
      <c r="BA467" s="110" t="n">
        <f aca="false">IF(OR(OR($B467="",$E467="",$F467=""),$K467&lt;&gt;"نعم",$M467="نعم"),0,MAX(0,MIN($F467,EOMONTH(DATE(cfg_FY,8,1),0))-MAX($E467,DATE(cfg_FY,8,1))+1))</f>
        <v>0</v>
      </c>
      <c r="BB467" s="110" t="n">
        <f aca="false">IF(OR(OR($B467="",$E467="",$F467=""),$K467&lt;&gt;"نعم",$M467="نعم"),0,MAX(0,MIN($F467,EOMONTH(DATE(cfg_FY,9,1),0))-MAX($E467,DATE(cfg_FY,9,1))+1))</f>
        <v>0</v>
      </c>
      <c r="BC467" s="110" t="n">
        <f aca="false">IF(OR(OR($B467="",$E467="",$F467=""),$K467&lt;&gt;"نعم",$M467="نعم"),0,MAX(0,MIN($F467,EOMONTH(DATE(cfg_FY,10,1),0))-MAX($E467,DATE(cfg_FY,10,1))+1))</f>
        <v>0</v>
      </c>
      <c r="BD467" s="110" t="n">
        <f aca="false">IF(OR(OR($B467="",$E467="",$F467=""),$K467&lt;&gt;"نعم",$M467="نعم"),0,MAX(0,MIN($F467,EOMONTH(DATE(cfg_FY,11,1),0))-MAX($E467,DATE(cfg_FY,11,1))+1))</f>
        <v>0</v>
      </c>
      <c r="BE467" s="110" t="n">
        <f aca="false">IF(OR(OR($B467="",$E467="",$F467=""),$K467&lt;&gt;"نعم",$M467="نعم"),0,MAX(0,MIN($F467,EOMONTH(DATE(cfg_FY,12,1),0))-MAX($E467,DATE(cfg_FY,12,1))+1))</f>
        <v>0</v>
      </c>
    </row>
    <row r="468" customFormat="false" ht="15" hidden="false" customHeight="false" outlineLevel="0" collapsed="false">
      <c r="A468" s="93" t="str">
        <f aca="false">IF(B468="","",ROW()-5)</f>
        <v/>
      </c>
      <c r="B468" s="79"/>
      <c r="C468" s="80" t="str">
        <f aca="false">IF(B468="","",IFERROR(INDEX(الموظفون!$C$6:$C$105,MATCH(B468,الموظفون!$B$6:$B$105,0)),"✖ رقم غير موجود"))</f>
        <v/>
      </c>
      <c r="D468" s="79"/>
      <c r="E468" s="94"/>
      <c r="F468" s="94"/>
      <c r="G468" s="57" t="str">
        <f aca="false">IF(OR($B468="",$E468="",$F468=""),"",MAX(0,F468-E468+1))</f>
        <v/>
      </c>
      <c r="H468" s="58" t="str">
        <f aca="false">IF(D468="","",IFERROR(VLOOKUP(D468,cfg_LT,2,FALSE()),1))</f>
        <v/>
      </c>
      <c r="I468" s="82"/>
      <c r="J468" s="58" t="str">
        <f aca="false">IF(D468="","",IF(I468&lt;&gt;"",I468,H468))</f>
        <v/>
      </c>
      <c r="K468" s="80" t="str">
        <f aca="false">IF(D468="","",IFERROR(VLOOKUP($D468,cfg_LT,3,FALSE()),""))</f>
        <v/>
      </c>
      <c r="L468" s="80" t="str">
        <f aca="false">IF(D468="","",IFERROR(VLOOKUP($D468,cfg_LT,4,FALSE()),""))</f>
        <v/>
      </c>
      <c r="M468" s="80" t="str">
        <f aca="false">IF(D468="","",IFERROR(VLOOKUP($D468,cfg_LT,5,FALSE()),""))</f>
        <v/>
      </c>
      <c r="N468" s="97" t="n">
        <f aca="false">IF(OR(OR($B468="",$E468="",$F468=""),M468&lt;&gt;"نعم"),0,G468*J468*IFERROR(INDEX(الموظفون!$R$6:$R$105,MATCH(B468,الموظفون!$B$6:$B$105,0)),0)/cfg_DAYS_M)</f>
        <v>0</v>
      </c>
      <c r="O468" s="93" t="str">
        <f aca="false">IF(OR(OR($B468="",$E468="",$F468=""),M468&lt;&gt;"نعم"),"",IF(YEAR(E468)=cfg_FY,MONTH(E468),""))</f>
        <v/>
      </c>
      <c r="P468" s="80" t="str">
        <f aca="false">IF(B468="","",IF(OR(D468="",E468="",F468=""),"⚠ أكمل النوع والتواريخ",IF(F468&lt;E468,"✖ النهاية قبل البداية",IF(COUNTIFS($B$6:$B$505,B468,$E$6:$E$505,"&lt;="&amp;F468,$F$6:$F$505,"&gt;="&amp;E468)&gt;1,"⚠ تداخل مع سجل آخر",IF(E468&gt;cfg_VAL_DATE,"⏳ قادمة",IF(F468&lt;cfg_VAL_DATE,"✔ منتهية","✈ جارية في تاريخ التقرير"))))))</f>
        <v/>
      </c>
      <c r="Q468" s="79"/>
      <c r="R468" s="57" t="n">
        <f aca="false">IF(OR(OR($B468="",$E468="",$F468=""),L468&lt;&gt;"لا"),0,MAX(0,MIN(F468,cfg_Y_START-1)-E468+1))</f>
        <v>0</v>
      </c>
      <c r="S468" s="57" t="n">
        <f aca="false">IF(OR(OR($B468="",$E468="",$F468=""),L468&lt;&gt;"لا"),0,MAX(0,MIN(F468,cfg_VAL_DATE)-E468+1))</f>
        <v>0</v>
      </c>
      <c r="T468" s="57" t="n">
        <f aca="false">IF(OR(OR($B468="",$E468="",$F468=""),K468&lt;&gt;"نعم"),0,IF(M468="نعم",IF(AND(ISNUMBER(O468),N(O468)&lt;=cfg_VAL_M),G468,0),MAX(0,MIN(F468,cfg_VAL_DATE)-MAX(E468,cfg_Y_START)+1)))</f>
        <v>0</v>
      </c>
      <c r="V468" s="57" t="n">
        <f aca="false">IF(OR($B468="",$E468="",$F468=""),0,MAX(0,MIN($F468,EOMONTH(DATE(cfg_FY,1,1),0))-MAX($E468,DATE(cfg_FY,1,1))+1)*(1-IF($M468="نعم",0,N($J468))))</f>
        <v>0</v>
      </c>
      <c r="W468" s="57" t="n">
        <f aca="false">IF(OR($B468="",$E468="",$F468=""),0,MAX(0,MIN($F468,EOMONTH(DATE(cfg_FY,2,1),0))-MAX($E468,DATE(cfg_FY,2,1))+1)*(1-IF($M468="نعم",0,N($J468))))</f>
        <v>0</v>
      </c>
      <c r="X468" s="57" t="n">
        <f aca="false">IF(OR($B468="",$E468="",$F468=""),0,MAX(0,MIN($F468,EOMONTH(DATE(cfg_FY,3,1),0))-MAX($E468,DATE(cfg_FY,3,1))+1)*(1-IF($M468="نعم",0,N($J468))))</f>
        <v>0</v>
      </c>
      <c r="Y468" s="57" t="n">
        <f aca="false">IF(OR($B468="",$E468="",$F468=""),0,MAX(0,MIN($F468,EOMONTH(DATE(cfg_FY,4,1),0))-MAX($E468,DATE(cfg_FY,4,1))+1)*(1-IF($M468="نعم",0,N($J468))))</f>
        <v>0</v>
      </c>
      <c r="Z468" s="57" t="n">
        <f aca="false">IF(OR($B468="",$E468="",$F468=""),0,MAX(0,MIN($F468,EOMONTH(DATE(cfg_FY,5,1),0))-MAX($E468,DATE(cfg_FY,5,1))+1)*(1-IF($M468="نعم",0,N($J468))))</f>
        <v>0</v>
      </c>
      <c r="AA468" s="57" t="n">
        <f aca="false">IF(OR($B468="",$E468="",$F468=""),0,MAX(0,MIN($F468,EOMONTH(DATE(cfg_FY,6,1),0))-MAX($E468,DATE(cfg_FY,6,1))+1)*(1-IF($M468="نعم",0,N($J468))))</f>
        <v>0</v>
      </c>
      <c r="AB468" s="57" t="n">
        <f aca="false">IF(OR($B468="",$E468="",$F468=""),0,MAX(0,MIN($F468,EOMONTH(DATE(cfg_FY,7,1),0))-MAX($E468,DATE(cfg_FY,7,1))+1)*(1-IF($M468="نعم",0,N($J468))))</f>
        <v>0</v>
      </c>
      <c r="AC468" s="57" t="n">
        <f aca="false">IF(OR($B468="",$E468="",$F468=""),0,MAX(0,MIN($F468,EOMONTH(DATE(cfg_FY,8,1),0))-MAX($E468,DATE(cfg_FY,8,1))+1)*(1-IF($M468="نعم",0,N($J468))))</f>
        <v>0</v>
      </c>
      <c r="AD468" s="57" t="n">
        <f aca="false">IF(OR($B468="",$E468="",$F468=""),0,MAX(0,MIN($F468,EOMONTH(DATE(cfg_FY,9,1),0))-MAX($E468,DATE(cfg_FY,9,1))+1)*(1-IF($M468="نعم",0,N($J468))))</f>
        <v>0</v>
      </c>
      <c r="AE468" s="57" t="n">
        <f aca="false">IF(OR($B468="",$E468="",$F468=""),0,MAX(0,MIN($F468,EOMONTH(DATE(cfg_FY,10,1),0))-MAX($E468,DATE(cfg_FY,10,1))+1)*(1-IF($M468="نعم",0,N($J468))))</f>
        <v>0</v>
      </c>
      <c r="AF468" s="57" t="n">
        <f aca="false">IF(OR($B468="",$E468="",$F468=""),0,MAX(0,MIN($F468,EOMONTH(DATE(cfg_FY,11,1),0))-MAX($E468,DATE(cfg_FY,11,1))+1)*(1-IF($M468="نعم",0,N($J468))))</f>
        <v>0</v>
      </c>
      <c r="AG468" s="57" t="n">
        <f aca="false">IF(OR($B468="",$E468="",$F468=""),0,MAX(0,MIN($F468,EOMONTH(DATE(cfg_FY,12,1),0))-MAX($E468,DATE(cfg_FY,12,1))+1)*(1-IF($M468="نعم",0,N($J468))))</f>
        <v>0</v>
      </c>
      <c r="AH468" s="57" t="n">
        <f aca="false">IF(OR(OR($B468="",$E468="",$F468=""),$L468&lt;&gt;"لا"),0,MAX(0,MIN($F468,EOMONTH(DATE(cfg_FY,1,1),0))-$E468+1))</f>
        <v>0</v>
      </c>
      <c r="AI468" s="57" t="n">
        <f aca="false">IF(OR(OR($B468="",$E468="",$F468=""),$L468&lt;&gt;"لا"),0,MAX(0,MIN($F468,EOMONTH(DATE(cfg_FY,2,1),0))-$E468+1))</f>
        <v>0</v>
      </c>
      <c r="AJ468" s="57" t="n">
        <f aca="false">IF(OR(OR($B468="",$E468="",$F468=""),$L468&lt;&gt;"لا"),0,MAX(0,MIN($F468,EOMONTH(DATE(cfg_FY,3,1),0))-$E468+1))</f>
        <v>0</v>
      </c>
      <c r="AK468" s="57" t="n">
        <f aca="false">IF(OR(OR($B468="",$E468="",$F468=""),$L468&lt;&gt;"لا"),0,MAX(0,MIN($F468,EOMONTH(DATE(cfg_FY,4,1),0))-$E468+1))</f>
        <v>0</v>
      </c>
      <c r="AL468" s="57" t="n">
        <f aca="false">IF(OR(OR($B468="",$E468="",$F468=""),$L468&lt;&gt;"لا"),0,MAX(0,MIN($F468,EOMONTH(DATE(cfg_FY,5,1),0))-$E468+1))</f>
        <v>0</v>
      </c>
      <c r="AM468" s="57" t="n">
        <f aca="false">IF(OR(OR($B468="",$E468="",$F468=""),$L468&lt;&gt;"لا"),0,MAX(0,MIN($F468,EOMONTH(DATE(cfg_FY,6,1),0))-$E468+1))</f>
        <v>0</v>
      </c>
      <c r="AN468" s="57" t="n">
        <f aca="false">IF(OR(OR($B468="",$E468="",$F468=""),$L468&lt;&gt;"لا"),0,MAX(0,MIN($F468,EOMONTH(DATE(cfg_FY,7,1),0))-$E468+1))</f>
        <v>0</v>
      </c>
      <c r="AO468" s="57" t="n">
        <f aca="false">IF(OR(OR($B468="",$E468="",$F468=""),$L468&lt;&gt;"لا"),0,MAX(0,MIN($F468,EOMONTH(DATE(cfg_FY,8,1),0))-$E468+1))</f>
        <v>0</v>
      </c>
      <c r="AP468" s="57" t="n">
        <f aca="false">IF(OR(OR($B468="",$E468="",$F468=""),$L468&lt;&gt;"لا"),0,MAX(0,MIN($F468,EOMONTH(DATE(cfg_FY,9,1),0))-$E468+1))</f>
        <v>0</v>
      </c>
      <c r="AQ468" s="57" t="n">
        <f aca="false">IF(OR(OR($B468="",$E468="",$F468=""),$L468&lt;&gt;"لا"),0,MAX(0,MIN($F468,EOMONTH(DATE(cfg_FY,10,1),0))-$E468+1))</f>
        <v>0</v>
      </c>
      <c r="AR468" s="57" t="n">
        <f aca="false">IF(OR(OR($B468="",$E468="",$F468=""),$L468&lt;&gt;"لا"),0,MAX(0,MIN($F468,EOMONTH(DATE(cfg_FY,11,1),0))-$E468+1))</f>
        <v>0</v>
      </c>
      <c r="AS468" s="57" t="n">
        <f aca="false">IF(OR(OR($B468="",$E468="",$F468=""),$L468&lt;&gt;"لا"),0,MAX(0,MIN($F468,EOMONTH(DATE(cfg_FY,12,1),0))-$E468+1))</f>
        <v>0</v>
      </c>
      <c r="AT468" s="57" t="n">
        <f aca="false">IF(OR(OR($B468="",$E468="",$F468=""),$K468&lt;&gt;"نعم",$M468="نعم"),0,MAX(0,MIN($F468,EOMONTH(DATE(cfg_FY,1,1),0))-MAX($E468,DATE(cfg_FY,1,1))+1))</f>
        <v>0</v>
      </c>
      <c r="AU468" s="57" t="n">
        <f aca="false">IF(OR(OR($B468="",$E468="",$F468=""),$K468&lt;&gt;"نعم",$M468="نعم"),0,MAX(0,MIN($F468,EOMONTH(DATE(cfg_FY,2,1),0))-MAX($E468,DATE(cfg_FY,2,1))+1))</f>
        <v>0</v>
      </c>
      <c r="AV468" s="57" t="n">
        <f aca="false">IF(OR(OR($B468="",$E468="",$F468=""),$K468&lt;&gt;"نعم",$M468="نعم"),0,MAX(0,MIN($F468,EOMONTH(DATE(cfg_FY,3,1),0))-MAX($E468,DATE(cfg_FY,3,1))+1))</f>
        <v>0</v>
      </c>
      <c r="AW468" s="57" t="n">
        <f aca="false">IF(OR(OR($B468="",$E468="",$F468=""),$K468&lt;&gt;"نعم",$M468="نعم"),0,MAX(0,MIN($F468,EOMONTH(DATE(cfg_FY,4,1),0))-MAX($E468,DATE(cfg_FY,4,1))+1))</f>
        <v>0</v>
      </c>
      <c r="AX468" s="57" t="n">
        <f aca="false">IF(OR(OR($B468="",$E468="",$F468=""),$K468&lt;&gt;"نعم",$M468="نعم"),0,MAX(0,MIN($F468,EOMONTH(DATE(cfg_FY,5,1),0))-MAX($E468,DATE(cfg_FY,5,1))+1))</f>
        <v>0</v>
      </c>
      <c r="AY468" s="57" t="n">
        <f aca="false">IF(OR(OR($B468="",$E468="",$F468=""),$K468&lt;&gt;"نعم",$M468="نعم"),0,MAX(0,MIN($F468,EOMONTH(DATE(cfg_FY,6,1),0))-MAX($E468,DATE(cfg_FY,6,1))+1))</f>
        <v>0</v>
      </c>
      <c r="AZ468" s="57" t="n">
        <f aca="false">IF(OR(OR($B468="",$E468="",$F468=""),$K468&lt;&gt;"نعم",$M468="نعم"),0,MAX(0,MIN($F468,EOMONTH(DATE(cfg_FY,7,1),0))-MAX($E468,DATE(cfg_FY,7,1))+1))</f>
        <v>0</v>
      </c>
      <c r="BA468" s="57" t="n">
        <f aca="false">IF(OR(OR($B468="",$E468="",$F468=""),$K468&lt;&gt;"نعم",$M468="نعم"),0,MAX(0,MIN($F468,EOMONTH(DATE(cfg_FY,8,1),0))-MAX($E468,DATE(cfg_FY,8,1))+1))</f>
        <v>0</v>
      </c>
      <c r="BB468" s="57" t="n">
        <f aca="false">IF(OR(OR($B468="",$E468="",$F468=""),$K468&lt;&gt;"نعم",$M468="نعم"),0,MAX(0,MIN($F468,EOMONTH(DATE(cfg_FY,9,1),0))-MAX($E468,DATE(cfg_FY,9,1))+1))</f>
        <v>0</v>
      </c>
      <c r="BC468" s="57" t="n">
        <f aca="false">IF(OR(OR($B468="",$E468="",$F468=""),$K468&lt;&gt;"نعم",$M468="نعم"),0,MAX(0,MIN($F468,EOMONTH(DATE(cfg_FY,10,1),0))-MAX($E468,DATE(cfg_FY,10,1))+1))</f>
        <v>0</v>
      </c>
      <c r="BD468" s="57" t="n">
        <f aca="false">IF(OR(OR($B468="",$E468="",$F468=""),$K468&lt;&gt;"نعم",$M468="نعم"),0,MAX(0,MIN($F468,EOMONTH(DATE(cfg_FY,11,1),0))-MAX($E468,DATE(cfg_FY,11,1))+1))</f>
        <v>0</v>
      </c>
      <c r="BE468" s="57" t="n">
        <f aca="false">IF(OR(OR($B468="",$E468="",$F468=""),$K468&lt;&gt;"نعم",$M468="نعم"),0,MAX(0,MIN($F468,EOMONTH(DATE(cfg_FY,12,1),0))-MAX($E468,DATE(cfg_FY,12,1))+1))</f>
        <v>0</v>
      </c>
    </row>
    <row r="469" customFormat="false" ht="15" hidden="false" customHeight="false" outlineLevel="0" collapsed="false">
      <c r="A469" s="100" t="str">
        <f aca="false">IF(B469="","",ROW()-5)</f>
        <v/>
      </c>
      <c r="B469" s="79"/>
      <c r="C469" s="102" t="str">
        <f aca="false">IF(B469="","",IFERROR(INDEX(الموظفون!$C$6:$C$105,MATCH(B469,الموظفون!$B$6:$B$105,0)),"✖ رقم غير موجود"))</f>
        <v/>
      </c>
      <c r="D469" s="79"/>
      <c r="E469" s="94"/>
      <c r="F469" s="94"/>
      <c r="G469" s="110" t="str">
        <f aca="false">IF(OR($B469="",$E469="",$F469=""),"",MAX(0,F469-E469+1))</f>
        <v/>
      </c>
      <c r="H469" s="111" t="str">
        <f aca="false">IF(D469="","",IFERROR(VLOOKUP(D469,cfg_LT,2,FALSE()),1))</f>
        <v/>
      </c>
      <c r="I469" s="82"/>
      <c r="J469" s="111" t="str">
        <f aca="false">IF(D469="","",IF(I469&lt;&gt;"",I469,H469))</f>
        <v/>
      </c>
      <c r="K469" s="102" t="str">
        <f aca="false">IF(D469="","",IFERROR(VLOOKUP($D469,cfg_LT,3,FALSE()),""))</f>
        <v/>
      </c>
      <c r="L469" s="102" t="str">
        <f aca="false">IF(D469="","",IFERROR(VLOOKUP($D469,cfg_LT,4,FALSE()),""))</f>
        <v/>
      </c>
      <c r="M469" s="102" t="str">
        <f aca="false">IF(D469="","",IFERROR(VLOOKUP($D469,cfg_LT,5,FALSE()),""))</f>
        <v/>
      </c>
      <c r="N469" s="101" t="n">
        <f aca="false">IF(OR(OR($B469="",$E469="",$F469=""),M469&lt;&gt;"نعم"),0,G469*J469*IFERROR(INDEX(الموظفون!$R$6:$R$105,MATCH(B469,الموظفون!$B$6:$B$105,0)),0)/cfg_DAYS_M)</f>
        <v>0</v>
      </c>
      <c r="O469" s="100" t="str">
        <f aca="false">IF(OR(OR($B469="",$E469="",$F469=""),M469&lt;&gt;"نعم"),"",IF(YEAR(E469)=cfg_FY,MONTH(E469),""))</f>
        <v/>
      </c>
      <c r="P469" s="102" t="str">
        <f aca="false">IF(B469="","",IF(OR(D469="",E469="",F469=""),"⚠ أكمل النوع والتواريخ",IF(F469&lt;E469,"✖ النهاية قبل البداية",IF(COUNTIFS($B$6:$B$505,B469,$E$6:$E$505,"&lt;="&amp;F469,$F$6:$F$505,"&gt;="&amp;E469)&gt;1,"⚠ تداخل مع سجل آخر",IF(E469&gt;cfg_VAL_DATE,"⏳ قادمة",IF(F469&lt;cfg_VAL_DATE,"✔ منتهية","✈ جارية في تاريخ التقرير"))))))</f>
        <v/>
      </c>
      <c r="Q469" s="79"/>
      <c r="R469" s="110" t="n">
        <f aca="false">IF(OR(OR($B469="",$E469="",$F469=""),L469&lt;&gt;"لا"),0,MAX(0,MIN(F469,cfg_Y_START-1)-E469+1))</f>
        <v>0</v>
      </c>
      <c r="S469" s="110" t="n">
        <f aca="false">IF(OR(OR($B469="",$E469="",$F469=""),L469&lt;&gt;"لا"),0,MAX(0,MIN(F469,cfg_VAL_DATE)-E469+1))</f>
        <v>0</v>
      </c>
      <c r="T469" s="110" t="n">
        <f aca="false">IF(OR(OR($B469="",$E469="",$F469=""),K469&lt;&gt;"نعم"),0,IF(M469="نعم",IF(AND(ISNUMBER(O469),N(O469)&lt;=cfg_VAL_M),G469,0),MAX(0,MIN(F469,cfg_VAL_DATE)-MAX(E469,cfg_Y_START)+1)))</f>
        <v>0</v>
      </c>
      <c r="V469" s="110" t="n">
        <f aca="false">IF(OR($B469="",$E469="",$F469=""),0,MAX(0,MIN($F469,EOMONTH(DATE(cfg_FY,1,1),0))-MAX($E469,DATE(cfg_FY,1,1))+1)*(1-IF($M469="نعم",0,N($J469))))</f>
        <v>0</v>
      </c>
      <c r="W469" s="110" t="n">
        <f aca="false">IF(OR($B469="",$E469="",$F469=""),0,MAX(0,MIN($F469,EOMONTH(DATE(cfg_FY,2,1),0))-MAX($E469,DATE(cfg_FY,2,1))+1)*(1-IF($M469="نعم",0,N($J469))))</f>
        <v>0</v>
      </c>
      <c r="X469" s="110" t="n">
        <f aca="false">IF(OR($B469="",$E469="",$F469=""),0,MAX(0,MIN($F469,EOMONTH(DATE(cfg_FY,3,1),0))-MAX($E469,DATE(cfg_FY,3,1))+1)*(1-IF($M469="نعم",0,N($J469))))</f>
        <v>0</v>
      </c>
      <c r="Y469" s="110" t="n">
        <f aca="false">IF(OR($B469="",$E469="",$F469=""),0,MAX(0,MIN($F469,EOMONTH(DATE(cfg_FY,4,1),0))-MAX($E469,DATE(cfg_FY,4,1))+1)*(1-IF($M469="نعم",0,N($J469))))</f>
        <v>0</v>
      </c>
      <c r="Z469" s="110" t="n">
        <f aca="false">IF(OR($B469="",$E469="",$F469=""),0,MAX(0,MIN($F469,EOMONTH(DATE(cfg_FY,5,1),0))-MAX($E469,DATE(cfg_FY,5,1))+1)*(1-IF($M469="نعم",0,N($J469))))</f>
        <v>0</v>
      </c>
      <c r="AA469" s="110" t="n">
        <f aca="false">IF(OR($B469="",$E469="",$F469=""),0,MAX(0,MIN($F469,EOMONTH(DATE(cfg_FY,6,1),0))-MAX($E469,DATE(cfg_FY,6,1))+1)*(1-IF($M469="نعم",0,N($J469))))</f>
        <v>0</v>
      </c>
      <c r="AB469" s="110" t="n">
        <f aca="false">IF(OR($B469="",$E469="",$F469=""),0,MAX(0,MIN($F469,EOMONTH(DATE(cfg_FY,7,1),0))-MAX($E469,DATE(cfg_FY,7,1))+1)*(1-IF($M469="نعم",0,N($J469))))</f>
        <v>0</v>
      </c>
      <c r="AC469" s="110" t="n">
        <f aca="false">IF(OR($B469="",$E469="",$F469=""),0,MAX(0,MIN($F469,EOMONTH(DATE(cfg_FY,8,1),0))-MAX($E469,DATE(cfg_FY,8,1))+1)*(1-IF($M469="نعم",0,N($J469))))</f>
        <v>0</v>
      </c>
      <c r="AD469" s="110" t="n">
        <f aca="false">IF(OR($B469="",$E469="",$F469=""),0,MAX(0,MIN($F469,EOMONTH(DATE(cfg_FY,9,1),0))-MAX($E469,DATE(cfg_FY,9,1))+1)*(1-IF($M469="نعم",0,N($J469))))</f>
        <v>0</v>
      </c>
      <c r="AE469" s="110" t="n">
        <f aca="false">IF(OR($B469="",$E469="",$F469=""),0,MAX(0,MIN($F469,EOMONTH(DATE(cfg_FY,10,1),0))-MAX($E469,DATE(cfg_FY,10,1))+1)*(1-IF($M469="نعم",0,N($J469))))</f>
        <v>0</v>
      </c>
      <c r="AF469" s="110" t="n">
        <f aca="false">IF(OR($B469="",$E469="",$F469=""),0,MAX(0,MIN($F469,EOMONTH(DATE(cfg_FY,11,1),0))-MAX($E469,DATE(cfg_FY,11,1))+1)*(1-IF($M469="نعم",0,N($J469))))</f>
        <v>0</v>
      </c>
      <c r="AG469" s="110" t="n">
        <f aca="false">IF(OR($B469="",$E469="",$F469=""),0,MAX(0,MIN($F469,EOMONTH(DATE(cfg_FY,12,1),0))-MAX($E469,DATE(cfg_FY,12,1))+1)*(1-IF($M469="نعم",0,N($J469))))</f>
        <v>0</v>
      </c>
      <c r="AH469" s="110" t="n">
        <f aca="false">IF(OR(OR($B469="",$E469="",$F469=""),$L469&lt;&gt;"لا"),0,MAX(0,MIN($F469,EOMONTH(DATE(cfg_FY,1,1),0))-$E469+1))</f>
        <v>0</v>
      </c>
      <c r="AI469" s="110" t="n">
        <f aca="false">IF(OR(OR($B469="",$E469="",$F469=""),$L469&lt;&gt;"لا"),0,MAX(0,MIN($F469,EOMONTH(DATE(cfg_FY,2,1),0))-$E469+1))</f>
        <v>0</v>
      </c>
      <c r="AJ469" s="110" t="n">
        <f aca="false">IF(OR(OR($B469="",$E469="",$F469=""),$L469&lt;&gt;"لا"),0,MAX(0,MIN($F469,EOMONTH(DATE(cfg_FY,3,1),0))-$E469+1))</f>
        <v>0</v>
      </c>
      <c r="AK469" s="110" t="n">
        <f aca="false">IF(OR(OR($B469="",$E469="",$F469=""),$L469&lt;&gt;"لا"),0,MAX(0,MIN($F469,EOMONTH(DATE(cfg_FY,4,1),0))-$E469+1))</f>
        <v>0</v>
      </c>
      <c r="AL469" s="110" t="n">
        <f aca="false">IF(OR(OR($B469="",$E469="",$F469=""),$L469&lt;&gt;"لا"),0,MAX(0,MIN($F469,EOMONTH(DATE(cfg_FY,5,1),0))-$E469+1))</f>
        <v>0</v>
      </c>
      <c r="AM469" s="110" t="n">
        <f aca="false">IF(OR(OR($B469="",$E469="",$F469=""),$L469&lt;&gt;"لا"),0,MAX(0,MIN($F469,EOMONTH(DATE(cfg_FY,6,1),0))-$E469+1))</f>
        <v>0</v>
      </c>
      <c r="AN469" s="110" t="n">
        <f aca="false">IF(OR(OR($B469="",$E469="",$F469=""),$L469&lt;&gt;"لا"),0,MAX(0,MIN($F469,EOMONTH(DATE(cfg_FY,7,1),0))-$E469+1))</f>
        <v>0</v>
      </c>
      <c r="AO469" s="110" t="n">
        <f aca="false">IF(OR(OR($B469="",$E469="",$F469=""),$L469&lt;&gt;"لا"),0,MAX(0,MIN($F469,EOMONTH(DATE(cfg_FY,8,1),0))-$E469+1))</f>
        <v>0</v>
      </c>
      <c r="AP469" s="110" t="n">
        <f aca="false">IF(OR(OR($B469="",$E469="",$F469=""),$L469&lt;&gt;"لا"),0,MAX(0,MIN($F469,EOMONTH(DATE(cfg_FY,9,1),0))-$E469+1))</f>
        <v>0</v>
      </c>
      <c r="AQ469" s="110" t="n">
        <f aca="false">IF(OR(OR($B469="",$E469="",$F469=""),$L469&lt;&gt;"لا"),0,MAX(0,MIN($F469,EOMONTH(DATE(cfg_FY,10,1),0))-$E469+1))</f>
        <v>0</v>
      </c>
      <c r="AR469" s="110" t="n">
        <f aca="false">IF(OR(OR($B469="",$E469="",$F469=""),$L469&lt;&gt;"لا"),0,MAX(0,MIN($F469,EOMONTH(DATE(cfg_FY,11,1),0))-$E469+1))</f>
        <v>0</v>
      </c>
      <c r="AS469" s="110" t="n">
        <f aca="false">IF(OR(OR($B469="",$E469="",$F469=""),$L469&lt;&gt;"لا"),0,MAX(0,MIN($F469,EOMONTH(DATE(cfg_FY,12,1),0))-$E469+1))</f>
        <v>0</v>
      </c>
      <c r="AT469" s="110" t="n">
        <f aca="false">IF(OR(OR($B469="",$E469="",$F469=""),$K469&lt;&gt;"نعم",$M469="نعم"),0,MAX(0,MIN($F469,EOMONTH(DATE(cfg_FY,1,1),0))-MAX($E469,DATE(cfg_FY,1,1))+1))</f>
        <v>0</v>
      </c>
      <c r="AU469" s="110" t="n">
        <f aca="false">IF(OR(OR($B469="",$E469="",$F469=""),$K469&lt;&gt;"نعم",$M469="نعم"),0,MAX(0,MIN($F469,EOMONTH(DATE(cfg_FY,2,1),0))-MAX($E469,DATE(cfg_FY,2,1))+1))</f>
        <v>0</v>
      </c>
      <c r="AV469" s="110" t="n">
        <f aca="false">IF(OR(OR($B469="",$E469="",$F469=""),$K469&lt;&gt;"نعم",$M469="نعم"),0,MAX(0,MIN($F469,EOMONTH(DATE(cfg_FY,3,1),0))-MAX($E469,DATE(cfg_FY,3,1))+1))</f>
        <v>0</v>
      </c>
      <c r="AW469" s="110" t="n">
        <f aca="false">IF(OR(OR($B469="",$E469="",$F469=""),$K469&lt;&gt;"نعم",$M469="نعم"),0,MAX(0,MIN($F469,EOMONTH(DATE(cfg_FY,4,1),0))-MAX($E469,DATE(cfg_FY,4,1))+1))</f>
        <v>0</v>
      </c>
      <c r="AX469" s="110" t="n">
        <f aca="false">IF(OR(OR($B469="",$E469="",$F469=""),$K469&lt;&gt;"نعم",$M469="نعم"),0,MAX(0,MIN($F469,EOMONTH(DATE(cfg_FY,5,1),0))-MAX($E469,DATE(cfg_FY,5,1))+1))</f>
        <v>0</v>
      </c>
      <c r="AY469" s="110" t="n">
        <f aca="false">IF(OR(OR($B469="",$E469="",$F469=""),$K469&lt;&gt;"نعم",$M469="نعم"),0,MAX(0,MIN($F469,EOMONTH(DATE(cfg_FY,6,1),0))-MAX($E469,DATE(cfg_FY,6,1))+1))</f>
        <v>0</v>
      </c>
      <c r="AZ469" s="110" t="n">
        <f aca="false">IF(OR(OR($B469="",$E469="",$F469=""),$K469&lt;&gt;"نعم",$M469="نعم"),0,MAX(0,MIN($F469,EOMONTH(DATE(cfg_FY,7,1),0))-MAX($E469,DATE(cfg_FY,7,1))+1))</f>
        <v>0</v>
      </c>
      <c r="BA469" s="110" t="n">
        <f aca="false">IF(OR(OR($B469="",$E469="",$F469=""),$K469&lt;&gt;"نعم",$M469="نعم"),0,MAX(0,MIN($F469,EOMONTH(DATE(cfg_FY,8,1),0))-MAX($E469,DATE(cfg_FY,8,1))+1))</f>
        <v>0</v>
      </c>
      <c r="BB469" s="110" t="n">
        <f aca="false">IF(OR(OR($B469="",$E469="",$F469=""),$K469&lt;&gt;"نعم",$M469="نعم"),0,MAX(0,MIN($F469,EOMONTH(DATE(cfg_FY,9,1),0))-MAX($E469,DATE(cfg_FY,9,1))+1))</f>
        <v>0</v>
      </c>
      <c r="BC469" s="110" t="n">
        <f aca="false">IF(OR(OR($B469="",$E469="",$F469=""),$K469&lt;&gt;"نعم",$M469="نعم"),0,MAX(0,MIN($F469,EOMONTH(DATE(cfg_FY,10,1),0))-MAX($E469,DATE(cfg_FY,10,1))+1))</f>
        <v>0</v>
      </c>
      <c r="BD469" s="110" t="n">
        <f aca="false">IF(OR(OR($B469="",$E469="",$F469=""),$K469&lt;&gt;"نعم",$M469="نعم"),0,MAX(0,MIN($F469,EOMONTH(DATE(cfg_FY,11,1),0))-MAX($E469,DATE(cfg_FY,11,1))+1))</f>
        <v>0</v>
      </c>
      <c r="BE469" s="110" t="n">
        <f aca="false">IF(OR(OR($B469="",$E469="",$F469=""),$K469&lt;&gt;"نعم",$M469="نعم"),0,MAX(0,MIN($F469,EOMONTH(DATE(cfg_FY,12,1),0))-MAX($E469,DATE(cfg_FY,12,1))+1))</f>
        <v>0</v>
      </c>
    </row>
    <row r="470" customFormat="false" ht="15" hidden="false" customHeight="false" outlineLevel="0" collapsed="false">
      <c r="A470" s="93" t="str">
        <f aca="false">IF(B470="","",ROW()-5)</f>
        <v/>
      </c>
      <c r="B470" s="79"/>
      <c r="C470" s="80" t="str">
        <f aca="false">IF(B470="","",IFERROR(INDEX(الموظفون!$C$6:$C$105,MATCH(B470,الموظفون!$B$6:$B$105,0)),"✖ رقم غير موجود"))</f>
        <v/>
      </c>
      <c r="D470" s="79"/>
      <c r="E470" s="94"/>
      <c r="F470" s="94"/>
      <c r="G470" s="57" t="str">
        <f aca="false">IF(OR($B470="",$E470="",$F470=""),"",MAX(0,F470-E470+1))</f>
        <v/>
      </c>
      <c r="H470" s="58" t="str">
        <f aca="false">IF(D470="","",IFERROR(VLOOKUP(D470,cfg_LT,2,FALSE()),1))</f>
        <v/>
      </c>
      <c r="I470" s="82"/>
      <c r="J470" s="58" t="str">
        <f aca="false">IF(D470="","",IF(I470&lt;&gt;"",I470,H470))</f>
        <v/>
      </c>
      <c r="K470" s="80" t="str">
        <f aca="false">IF(D470="","",IFERROR(VLOOKUP($D470,cfg_LT,3,FALSE()),""))</f>
        <v/>
      </c>
      <c r="L470" s="80" t="str">
        <f aca="false">IF(D470="","",IFERROR(VLOOKUP($D470,cfg_LT,4,FALSE()),""))</f>
        <v/>
      </c>
      <c r="M470" s="80" t="str">
        <f aca="false">IF(D470="","",IFERROR(VLOOKUP($D470,cfg_LT,5,FALSE()),""))</f>
        <v/>
      </c>
      <c r="N470" s="97" t="n">
        <f aca="false">IF(OR(OR($B470="",$E470="",$F470=""),M470&lt;&gt;"نعم"),0,G470*J470*IFERROR(INDEX(الموظفون!$R$6:$R$105,MATCH(B470,الموظفون!$B$6:$B$105,0)),0)/cfg_DAYS_M)</f>
        <v>0</v>
      </c>
      <c r="O470" s="93" t="str">
        <f aca="false">IF(OR(OR($B470="",$E470="",$F470=""),M470&lt;&gt;"نعم"),"",IF(YEAR(E470)=cfg_FY,MONTH(E470),""))</f>
        <v/>
      </c>
      <c r="P470" s="80" t="str">
        <f aca="false">IF(B470="","",IF(OR(D470="",E470="",F470=""),"⚠ أكمل النوع والتواريخ",IF(F470&lt;E470,"✖ النهاية قبل البداية",IF(COUNTIFS($B$6:$B$505,B470,$E$6:$E$505,"&lt;="&amp;F470,$F$6:$F$505,"&gt;="&amp;E470)&gt;1,"⚠ تداخل مع سجل آخر",IF(E470&gt;cfg_VAL_DATE,"⏳ قادمة",IF(F470&lt;cfg_VAL_DATE,"✔ منتهية","✈ جارية في تاريخ التقرير"))))))</f>
        <v/>
      </c>
      <c r="Q470" s="79"/>
      <c r="R470" s="57" t="n">
        <f aca="false">IF(OR(OR($B470="",$E470="",$F470=""),L470&lt;&gt;"لا"),0,MAX(0,MIN(F470,cfg_Y_START-1)-E470+1))</f>
        <v>0</v>
      </c>
      <c r="S470" s="57" t="n">
        <f aca="false">IF(OR(OR($B470="",$E470="",$F470=""),L470&lt;&gt;"لا"),0,MAX(0,MIN(F470,cfg_VAL_DATE)-E470+1))</f>
        <v>0</v>
      </c>
      <c r="T470" s="57" t="n">
        <f aca="false">IF(OR(OR($B470="",$E470="",$F470=""),K470&lt;&gt;"نعم"),0,IF(M470="نعم",IF(AND(ISNUMBER(O470),N(O470)&lt;=cfg_VAL_M),G470,0),MAX(0,MIN(F470,cfg_VAL_DATE)-MAX(E470,cfg_Y_START)+1)))</f>
        <v>0</v>
      </c>
      <c r="V470" s="57" t="n">
        <f aca="false">IF(OR($B470="",$E470="",$F470=""),0,MAX(0,MIN($F470,EOMONTH(DATE(cfg_FY,1,1),0))-MAX($E470,DATE(cfg_FY,1,1))+1)*(1-IF($M470="نعم",0,N($J470))))</f>
        <v>0</v>
      </c>
      <c r="W470" s="57" t="n">
        <f aca="false">IF(OR($B470="",$E470="",$F470=""),0,MAX(0,MIN($F470,EOMONTH(DATE(cfg_FY,2,1),0))-MAX($E470,DATE(cfg_FY,2,1))+1)*(1-IF($M470="نعم",0,N($J470))))</f>
        <v>0</v>
      </c>
      <c r="X470" s="57" t="n">
        <f aca="false">IF(OR($B470="",$E470="",$F470=""),0,MAX(0,MIN($F470,EOMONTH(DATE(cfg_FY,3,1),0))-MAX($E470,DATE(cfg_FY,3,1))+1)*(1-IF($M470="نعم",0,N($J470))))</f>
        <v>0</v>
      </c>
      <c r="Y470" s="57" t="n">
        <f aca="false">IF(OR($B470="",$E470="",$F470=""),0,MAX(0,MIN($F470,EOMONTH(DATE(cfg_FY,4,1),0))-MAX($E470,DATE(cfg_FY,4,1))+1)*(1-IF($M470="نعم",0,N($J470))))</f>
        <v>0</v>
      </c>
      <c r="Z470" s="57" t="n">
        <f aca="false">IF(OR($B470="",$E470="",$F470=""),0,MAX(0,MIN($F470,EOMONTH(DATE(cfg_FY,5,1),0))-MAX($E470,DATE(cfg_FY,5,1))+1)*(1-IF($M470="نعم",0,N($J470))))</f>
        <v>0</v>
      </c>
      <c r="AA470" s="57" t="n">
        <f aca="false">IF(OR($B470="",$E470="",$F470=""),0,MAX(0,MIN($F470,EOMONTH(DATE(cfg_FY,6,1),0))-MAX($E470,DATE(cfg_FY,6,1))+1)*(1-IF($M470="نعم",0,N($J470))))</f>
        <v>0</v>
      </c>
      <c r="AB470" s="57" t="n">
        <f aca="false">IF(OR($B470="",$E470="",$F470=""),0,MAX(0,MIN($F470,EOMONTH(DATE(cfg_FY,7,1),0))-MAX($E470,DATE(cfg_FY,7,1))+1)*(1-IF($M470="نعم",0,N($J470))))</f>
        <v>0</v>
      </c>
      <c r="AC470" s="57" t="n">
        <f aca="false">IF(OR($B470="",$E470="",$F470=""),0,MAX(0,MIN($F470,EOMONTH(DATE(cfg_FY,8,1),0))-MAX($E470,DATE(cfg_FY,8,1))+1)*(1-IF($M470="نعم",0,N($J470))))</f>
        <v>0</v>
      </c>
      <c r="AD470" s="57" t="n">
        <f aca="false">IF(OR($B470="",$E470="",$F470=""),0,MAX(0,MIN($F470,EOMONTH(DATE(cfg_FY,9,1),0))-MAX($E470,DATE(cfg_FY,9,1))+1)*(1-IF($M470="نعم",0,N($J470))))</f>
        <v>0</v>
      </c>
      <c r="AE470" s="57" t="n">
        <f aca="false">IF(OR($B470="",$E470="",$F470=""),0,MAX(0,MIN($F470,EOMONTH(DATE(cfg_FY,10,1),0))-MAX($E470,DATE(cfg_FY,10,1))+1)*(1-IF($M470="نعم",0,N($J470))))</f>
        <v>0</v>
      </c>
      <c r="AF470" s="57" t="n">
        <f aca="false">IF(OR($B470="",$E470="",$F470=""),0,MAX(0,MIN($F470,EOMONTH(DATE(cfg_FY,11,1),0))-MAX($E470,DATE(cfg_FY,11,1))+1)*(1-IF($M470="نعم",0,N($J470))))</f>
        <v>0</v>
      </c>
      <c r="AG470" s="57" t="n">
        <f aca="false">IF(OR($B470="",$E470="",$F470=""),0,MAX(0,MIN($F470,EOMONTH(DATE(cfg_FY,12,1),0))-MAX($E470,DATE(cfg_FY,12,1))+1)*(1-IF($M470="نعم",0,N($J470))))</f>
        <v>0</v>
      </c>
      <c r="AH470" s="57" t="n">
        <f aca="false">IF(OR(OR($B470="",$E470="",$F470=""),$L470&lt;&gt;"لا"),0,MAX(0,MIN($F470,EOMONTH(DATE(cfg_FY,1,1),0))-$E470+1))</f>
        <v>0</v>
      </c>
      <c r="AI470" s="57" t="n">
        <f aca="false">IF(OR(OR($B470="",$E470="",$F470=""),$L470&lt;&gt;"لا"),0,MAX(0,MIN($F470,EOMONTH(DATE(cfg_FY,2,1),0))-$E470+1))</f>
        <v>0</v>
      </c>
      <c r="AJ470" s="57" t="n">
        <f aca="false">IF(OR(OR($B470="",$E470="",$F470=""),$L470&lt;&gt;"لا"),0,MAX(0,MIN($F470,EOMONTH(DATE(cfg_FY,3,1),0))-$E470+1))</f>
        <v>0</v>
      </c>
      <c r="AK470" s="57" t="n">
        <f aca="false">IF(OR(OR($B470="",$E470="",$F470=""),$L470&lt;&gt;"لا"),0,MAX(0,MIN($F470,EOMONTH(DATE(cfg_FY,4,1),0))-$E470+1))</f>
        <v>0</v>
      </c>
      <c r="AL470" s="57" t="n">
        <f aca="false">IF(OR(OR($B470="",$E470="",$F470=""),$L470&lt;&gt;"لا"),0,MAX(0,MIN($F470,EOMONTH(DATE(cfg_FY,5,1),0))-$E470+1))</f>
        <v>0</v>
      </c>
      <c r="AM470" s="57" t="n">
        <f aca="false">IF(OR(OR($B470="",$E470="",$F470=""),$L470&lt;&gt;"لا"),0,MAX(0,MIN($F470,EOMONTH(DATE(cfg_FY,6,1),0))-$E470+1))</f>
        <v>0</v>
      </c>
      <c r="AN470" s="57" t="n">
        <f aca="false">IF(OR(OR($B470="",$E470="",$F470=""),$L470&lt;&gt;"لا"),0,MAX(0,MIN($F470,EOMONTH(DATE(cfg_FY,7,1),0))-$E470+1))</f>
        <v>0</v>
      </c>
      <c r="AO470" s="57" t="n">
        <f aca="false">IF(OR(OR($B470="",$E470="",$F470=""),$L470&lt;&gt;"لا"),0,MAX(0,MIN($F470,EOMONTH(DATE(cfg_FY,8,1),0))-$E470+1))</f>
        <v>0</v>
      </c>
      <c r="AP470" s="57" t="n">
        <f aca="false">IF(OR(OR($B470="",$E470="",$F470=""),$L470&lt;&gt;"لا"),0,MAX(0,MIN($F470,EOMONTH(DATE(cfg_FY,9,1),0))-$E470+1))</f>
        <v>0</v>
      </c>
      <c r="AQ470" s="57" t="n">
        <f aca="false">IF(OR(OR($B470="",$E470="",$F470=""),$L470&lt;&gt;"لا"),0,MAX(0,MIN($F470,EOMONTH(DATE(cfg_FY,10,1),0))-$E470+1))</f>
        <v>0</v>
      </c>
      <c r="AR470" s="57" t="n">
        <f aca="false">IF(OR(OR($B470="",$E470="",$F470=""),$L470&lt;&gt;"لا"),0,MAX(0,MIN($F470,EOMONTH(DATE(cfg_FY,11,1),0))-$E470+1))</f>
        <v>0</v>
      </c>
      <c r="AS470" s="57" t="n">
        <f aca="false">IF(OR(OR($B470="",$E470="",$F470=""),$L470&lt;&gt;"لا"),0,MAX(0,MIN($F470,EOMONTH(DATE(cfg_FY,12,1),0))-$E470+1))</f>
        <v>0</v>
      </c>
      <c r="AT470" s="57" t="n">
        <f aca="false">IF(OR(OR($B470="",$E470="",$F470=""),$K470&lt;&gt;"نعم",$M470="نعم"),0,MAX(0,MIN($F470,EOMONTH(DATE(cfg_FY,1,1),0))-MAX($E470,DATE(cfg_FY,1,1))+1))</f>
        <v>0</v>
      </c>
      <c r="AU470" s="57" t="n">
        <f aca="false">IF(OR(OR($B470="",$E470="",$F470=""),$K470&lt;&gt;"نعم",$M470="نعم"),0,MAX(0,MIN($F470,EOMONTH(DATE(cfg_FY,2,1),0))-MAX($E470,DATE(cfg_FY,2,1))+1))</f>
        <v>0</v>
      </c>
      <c r="AV470" s="57" t="n">
        <f aca="false">IF(OR(OR($B470="",$E470="",$F470=""),$K470&lt;&gt;"نعم",$M470="نعم"),0,MAX(0,MIN($F470,EOMONTH(DATE(cfg_FY,3,1),0))-MAX($E470,DATE(cfg_FY,3,1))+1))</f>
        <v>0</v>
      </c>
      <c r="AW470" s="57" t="n">
        <f aca="false">IF(OR(OR($B470="",$E470="",$F470=""),$K470&lt;&gt;"نعم",$M470="نعم"),0,MAX(0,MIN($F470,EOMONTH(DATE(cfg_FY,4,1),0))-MAX($E470,DATE(cfg_FY,4,1))+1))</f>
        <v>0</v>
      </c>
      <c r="AX470" s="57" t="n">
        <f aca="false">IF(OR(OR($B470="",$E470="",$F470=""),$K470&lt;&gt;"نعم",$M470="نعم"),0,MAX(0,MIN($F470,EOMONTH(DATE(cfg_FY,5,1),0))-MAX($E470,DATE(cfg_FY,5,1))+1))</f>
        <v>0</v>
      </c>
      <c r="AY470" s="57" t="n">
        <f aca="false">IF(OR(OR($B470="",$E470="",$F470=""),$K470&lt;&gt;"نعم",$M470="نعم"),0,MAX(0,MIN($F470,EOMONTH(DATE(cfg_FY,6,1),0))-MAX($E470,DATE(cfg_FY,6,1))+1))</f>
        <v>0</v>
      </c>
      <c r="AZ470" s="57" t="n">
        <f aca="false">IF(OR(OR($B470="",$E470="",$F470=""),$K470&lt;&gt;"نعم",$M470="نعم"),0,MAX(0,MIN($F470,EOMONTH(DATE(cfg_FY,7,1),0))-MAX($E470,DATE(cfg_FY,7,1))+1))</f>
        <v>0</v>
      </c>
      <c r="BA470" s="57" t="n">
        <f aca="false">IF(OR(OR($B470="",$E470="",$F470=""),$K470&lt;&gt;"نعم",$M470="نعم"),0,MAX(0,MIN($F470,EOMONTH(DATE(cfg_FY,8,1),0))-MAX($E470,DATE(cfg_FY,8,1))+1))</f>
        <v>0</v>
      </c>
      <c r="BB470" s="57" t="n">
        <f aca="false">IF(OR(OR($B470="",$E470="",$F470=""),$K470&lt;&gt;"نعم",$M470="نعم"),0,MAX(0,MIN($F470,EOMONTH(DATE(cfg_FY,9,1),0))-MAX($E470,DATE(cfg_FY,9,1))+1))</f>
        <v>0</v>
      </c>
      <c r="BC470" s="57" t="n">
        <f aca="false">IF(OR(OR($B470="",$E470="",$F470=""),$K470&lt;&gt;"نعم",$M470="نعم"),0,MAX(0,MIN($F470,EOMONTH(DATE(cfg_FY,10,1),0))-MAX($E470,DATE(cfg_FY,10,1))+1))</f>
        <v>0</v>
      </c>
      <c r="BD470" s="57" t="n">
        <f aca="false">IF(OR(OR($B470="",$E470="",$F470=""),$K470&lt;&gt;"نعم",$M470="نعم"),0,MAX(0,MIN($F470,EOMONTH(DATE(cfg_FY,11,1),0))-MAX($E470,DATE(cfg_FY,11,1))+1))</f>
        <v>0</v>
      </c>
      <c r="BE470" s="57" t="n">
        <f aca="false">IF(OR(OR($B470="",$E470="",$F470=""),$K470&lt;&gt;"نعم",$M470="نعم"),0,MAX(0,MIN($F470,EOMONTH(DATE(cfg_FY,12,1),0))-MAX($E470,DATE(cfg_FY,12,1))+1))</f>
        <v>0</v>
      </c>
    </row>
    <row r="471" customFormat="false" ht="15" hidden="false" customHeight="false" outlineLevel="0" collapsed="false">
      <c r="A471" s="100" t="str">
        <f aca="false">IF(B471="","",ROW()-5)</f>
        <v/>
      </c>
      <c r="B471" s="79"/>
      <c r="C471" s="102" t="str">
        <f aca="false">IF(B471="","",IFERROR(INDEX(الموظفون!$C$6:$C$105,MATCH(B471,الموظفون!$B$6:$B$105,0)),"✖ رقم غير موجود"))</f>
        <v/>
      </c>
      <c r="D471" s="79"/>
      <c r="E471" s="94"/>
      <c r="F471" s="94"/>
      <c r="G471" s="110" t="str">
        <f aca="false">IF(OR($B471="",$E471="",$F471=""),"",MAX(0,F471-E471+1))</f>
        <v/>
      </c>
      <c r="H471" s="111" t="str">
        <f aca="false">IF(D471="","",IFERROR(VLOOKUP(D471,cfg_LT,2,FALSE()),1))</f>
        <v/>
      </c>
      <c r="I471" s="82"/>
      <c r="J471" s="111" t="str">
        <f aca="false">IF(D471="","",IF(I471&lt;&gt;"",I471,H471))</f>
        <v/>
      </c>
      <c r="K471" s="102" t="str">
        <f aca="false">IF(D471="","",IFERROR(VLOOKUP($D471,cfg_LT,3,FALSE()),""))</f>
        <v/>
      </c>
      <c r="L471" s="102" t="str">
        <f aca="false">IF(D471="","",IFERROR(VLOOKUP($D471,cfg_LT,4,FALSE()),""))</f>
        <v/>
      </c>
      <c r="M471" s="102" t="str">
        <f aca="false">IF(D471="","",IFERROR(VLOOKUP($D471,cfg_LT,5,FALSE()),""))</f>
        <v/>
      </c>
      <c r="N471" s="101" t="n">
        <f aca="false">IF(OR(OR($B471="",$E471="",$F471=""),M471&lt;&gt;"نعم"),0,G471*J471*IFERROR(INDEX(الموظفون!$R$6:$R$105,MATCH(B471,الموظفون!$B$6:$B$105,0)),0)/cfg_DAYS_M)</f>
        <v>0</v>
      </c>
      <c r="O471" s="100" t="str">
        <f aca="false">IF(OR(OR($B471="",$E471="",$F471=""),M471&lt;&gt;"نعم"),"",IF(YEAR(E471)=cfg_FY,MONTH(E471),""))</f>
        <v/>
      </c>
      <c r="P471" s="102" t="str">
        <f aca="false">IF(B471="","",IF(OR(D471="",E471="",F471=""),"⚠ أكمل النوع والتواريخ",IF(F471&lt;E471,"✖ النهاية قبل البداية",IF(COUNTIFS($B$6:$B$505,B471,$E$6:$E$505,"&lt;="&amp;F471,$F$6:$F$505,"&gt;="&amp;E471)&gt;1,"⚠ تداخل مع سجل آخر",IF(E471&gt;cfg_VAL_DATE,"⏳ قادمة",IF(F471&lt;cfg_VAL_DATE,"✔ منتهية","✈ جارية في تاريخ التقرير"))))))</f>
        <v/>
      </c>
      <c r="Q471" s="79"/>
      <c r="R471" s="110" t="n">
        <f aca="false">IF(OR(OR($B471="",$E471="",$F471=""),L471&lt;&gt;"لا"),0,MAX(0,MIN(F471,cfg_Y_START-1)-E471+1))</f>
        <v>0</v>
      </c>
      <c r="S471" s="110" t="n">
        <f aca="false">IF(OR(OR($B471="",$E471="",$F471=""),L471&lt;&gt;"لا"),0,MAX(0,MIN(F471,cfg_VAL_DATE)-E471+1))</f>
        <v>0</v>
      </c>
      <c r="T471" s="110" t="n">
        <f aca="false">IF(OR(OR($B471="",$E471="",$F471=""),K471&lt;&gt;"نعم"),0,IF(M471="نعم",IF(AND(ISNUMBER(O471),N(O471)&lt;=cfg_VAL_M),G471,0),MAX(0,MIN(F471,cfg_VAL_DATE)-MAX(E471,cfg_Y_START)+1)))</f>
        <v>0</v>
      </c>
      <c r="V471" s="110" t="n">
        <f aca="false">IF(OR($B471="",$E471="",$F471=""),0,MAX(0,MIN($F471,EOMONTH(DATE(cfg_FY,1,1),0))-MAX($E471,DATE(cfg_FY,1,1))+1)*(1-IF($M471="نعم",0,N($J471))))</f>
        <v>0</v>
      </c>
      <c r="W471" s="110" t="n">
        <f aca="false">IF(OR($B471="",$E471="",$F471=""),0,MAX(0,MIN($F471,EOMONTH(DATE(cfg_FY,2,1),0))-MAX($E471,DATE(cfg_FY,2,1))+1)*(1-IF($M471="نعم",0,N($J471))))</f>
        <v>0</v>
      </c>
      <c r="X471" s="110" t="n">
        <f aca="false">IF(OR($B471="",$E471="",$F471=""),0,MAX(0,MIN($F471,EOMONTH(DATE(cfg_FY,3,1),0))-MAX($E471,DATE(cfg_FY,3,1))+1)*(1-IF($M471="نعم",0,N($J471))))</f>
        <v>0</v>
      </c>
      <c r="Y471" s="110" t="n">
        <f aca="false">IF(OR($B471="",$E471="",$F471=""),0,MAX(0,MIN($F471,EOMONTH(DATE(cfg_FY,4,1),0))-MAX($E471,DATE(cfg_FY,4,1))+1)*(1-IF($M471="نعم",0,N($J471))))</f>
        <v>0</v>
      </c>
      <c r="Z471" s="110" t="n">
        <f aca="false">IF(OR($B471="",$E471="",$F471=""),0,MAX(0,MIN($F471,EOMONTH(DATE(cfg_FY,5,1),0))-MAX($E471,DATE(cfg_FY,5,1))+1)*(1-IF($M471="نعم",0,N($J471))))</f>
        <v>0</v>
      </c>
      <c r="AA471" s="110" t="n">
        <f aca="false">IF(OR($B471="",$E471="",$F471=""),0,MAX(0,MIN($F471,EOMONTH(DATE(cfg_FY,6,1),0))-MAX($E471,DATE(cfg_FY,6,1))+1)*(1-IF($M471="نعم",0,N($J471))))</f>
        <v>0</v>
      </c>
      <c r="AB471" s="110" t="n">
        <f aca="false">IF(OR($B471="",$E471="",$F471=""),0,MAX(0,MIN($F471,EOMONTH(DATE(cfg_FY,7,1),0))-MAX($E471,DATE(cfg_FY,7,1))+1)*(1-IF($M471="نعم",0,N($J471))))</f>
        <v>0</v>
      </c>
      <c r="AC471" s="110" t="n">
        <f aca="false">IF(OR($B471="",$E471="",$F471=""),0,MAX(0,MIN($F471,EOMONTH(DATE(cfg_FY,8,1),0))-MAX($E471,DATE(cfg_FY,8,1))+1)*(1-IF($M471="نعم",0,N($J471))))</f>
        <v>0</v>
      </c>
      <c r="AD471" s="110" t="n">
        <f aca="false">IF(OR($B471="",$E471="",$F471=""),0,MAX(0,MIN($F471,EOMONTH(DATE(cfg_FY,9,1),0))-MAX($E471,DATE(cfg_FY,9,1))+1)*(1-IF($M471="نعم",0,N($J471))))</f>
        <v>0</v>
      </c>
      <c r="AE471" s="110" t="n">
        <f aca="false">IF(OR($B471="",$E471="",$F471=""),0,MAX(0,MIN($F471,EOMONTH(DATE(cfg_FY,10,1),0))-MAX($E471,DATE(cfg_FY,10,1))+1)*(1-IF($M471="نعم",0,N($J471))))</f>
        <v>0</v>
      </c>
      <c r="AF471" s="110" t="n">
        <f aca="false">IF(OR($B471="",$E471="",$F471=""),0,MAX(0,MIN($F471,EOMONTH(DATE(cfg_FY,11,1),0))-MAX($E471,DATE(cfg_FY,11,1))+1)*(1-IF($M471="نعم",0,N($J471))))</f>
        <v>0</v>
      </c>
      <c r="AG471" s="110" t="n">
        <f aca="false">IF(OR($B471="",$E471="",$F471=""),0,MAX(0,MIN($F471,EOMONTH(DATE(cfg_FY,12,1),0))-MAX($E471,DATE(cfg_FY,12,1))+1)*(1-IF($M471="نعم",0,N($J471))))</f>
        <v>0</v>
      </c>
      <c r="AH471" s="110" t="n">
        <f aca="false">IF(OR(OR($B471="",$E471="",$F471=""),$L471&lt;&gt;"لا"),0,MAX(0,MIN($F471,EOMONTH(DATE(cfg_FY,1,1),0))-$E471+1))</f>
        <v>0</v>
      </c>
      <c r="AI471" s="110" t="n">
        <f aca="false">IF(OR(OR($B471="",$E471="",$F471=""),$L471&lt;&gt;"لا"),0,MAX(0,MIN($F471,EOMONTH(DATE(cfg_FY,2,1),0))-$E471+1))</f>
        <v>0</v>
      </c>
      <c r="AJ471" s="110" t="n">
        <f aca="false">IF(OR(OR($B471="",$E471="",$F471=""),$L471&lt;&gt;"لا"),0,MAX(0,MIN($F471,EOMONTH(DATE(cfg_FY,3,1),0))-$E471+1))</f>
        <v>0</v>
      </c>
      <c r="AK471" s="110" t="n">
        <f aca="false">IF(OR(OR($B471="",$E471="",$F471=""),$L471&lt;&gt;"لا"),0,MAX(0,MIN($F471,EOMONTH(DATE(cfg_FY,4,1),0))-$E471+1))</f>
        <v>0</v>
      </c>
      <c r="AL471" s="110" t="n">
        <f aca="false">IF(OR(OR($B471="",$E471="",$F471=""),$L471&lt;&gt;"لا"),0,MAX(0,MIN($F471,EOMONTH(DATE(cfg_FY,5,1),0))-$E471+1))</f>
        <v>0</v>
      </c>
      <c r="AM471" s="110" t="n">
        <f aca="false">IF(OR(OR($B471="",$E471="",$F471=""),$L471&lt;&gt;"لا"),0,MAX(0,MIN($F471,EOMONTH(DATE(cfg_FY,6,1),0))-$E471+1))</f>
        <v>0</v>
      </c>
      <c r="AN471" s="110" t="n">
        <f aca="false">IF(OR(OR($B471="",$E471="",$F471=""),$L471&lt;&gt;"لا"),0,MAX(0,MIN($F471,EOMONTH(DATE(cfg_FY,7,1),0))-$E471+1))</f>
        <v>0</v>
      </c>
      <c r="AO471" s="110" t="n">
        <f aca="false">IF(OR(OR($B471="",$E471="",$F471=""),$L471&lt;&gt;"لا"),0,MAX(0,MIN($F471,EOMONTH(DATE(cfg_FY,8,1),0))-$E471+1))</f>
        <v>0</v>
      </c>
      <c r="AP471" s="110" t="n">
        <f aca="false">IF(OR(OR($B471="",$E471="",$F471=""),$L471&lt;&gt;"لا"),0,MAX(0,MIN($F471,EOMONTH(DATE(cfg_FY,9,1),0))-$E471+1))</f>
        <v>0</v>
      </c>
      <c r="AQ471" s="110" t="n">
        <f aca="false">IF(OR(OR($B471="",$E471="",$F471=""),$L471&lt;&gt;"لا"),0,MAX(0,MIN($F471,EOMONTH(DATE(cfg_FY,10,1),0))-$E471+1))</f>
        <v>0</v>
      </c>
      <c r="AR471" s="110" t="n">
        <f aca="false">IF(OR(OR($B471="",$E471="",$F471=""),$L471&lt;&gt;"لا"),0,MAX(0,MIN($F471,EOMONTH(DATE(cfg_FY,11,1),0))-$E471+1))</f>
        <v>0</v>
      </c>
      <c r="AS471" s="110" t="n">
        <f aca="false">IF(OR(OR($B471="",$E471="",$F471=""),$L471&lt;&gt;"لا"),0,MAX(0,MIN($F471,EOMONTH(DATE(cfg_FY,12,1),0))-$E471+1))</f>
        <v>0</v>
      </c>
      <c r="AT471" s="110" t="n">
        <f aca="false">IF(OR(OR($B471="",$E471="",$F471=""),$K471&lt;&gt;"نعم",$M471="نعم"),0,MAX(0,MIN($F471,EOMONTH(DATE(cfg_FY,1,1),0))-MAX($E471,DATE(cfg_FY,1,1))+1))</f>
        <v>0</v>
      </c>
      <c r="AU471" s="110" t="n">
        <f aca="false">IF(OR(OR($B471="",$E471="",$F471=""),$K471&lt;&gt;"نعم",$M471="نعم"),0,MAX(0,MIN($F471,EOMONTH(DATE(cfg_FY,2,1),0))-MAX($E471,DATE(cfg_FY,2,1))+1))</f>
        <v>0</v>
      </c>
      <c r="AV471" s="110" t="n">
        <f aca="false">IF(OR(OR($B471="",$E471="",$F471=""),$K471&lt;&gt;"نعم",$M471="نعم"),0,MAX(0,MIN($F471,EOMONTH(DATE(cfg_FY,3,1),0))-MAX($E471,DATE(cfg_FY,3,1))+1))</f>
        <v>0</v>
      </c>
      <c r="AW471" s="110" t="n">
        <f aca="false">IF(OR(OR($B471="",$E471="",$F471=""),$K471&lt;&gt;"نعم",$M471="نعم"),0,MAX(0,MIN($F471,EOMONTH(DATE(cfg_FY,4,1),0))-MAX($E471,DATE(cfg_FY,4,1))+1))</f>
        <v>0</v>
      </c>
      <c r="AX471" s="110" t="n">
        <f aca="false">IF(OR(OR($B471="",$E471="",$F471=""),$K471&lt;&gt;"نعم",$M471="نعم"),0,MAX(0,MIN($F471,EOMONTH(DATE(cfg_FY,5,1),0))-MAX($E471,DATE(cfg_FY,5,1))+1))</f>
        <v>0</v>
      </c>
      <c r="AY471" s="110" t="n">
        <f aca="false">IF(OR(OR($B471="",$E471="",$F471=""),$K471&lt;&gt;"نعم",$M471="نعم"),0,MAX(0,MIN($F471,EOMONTH(DATE(cfg_FY,6,1),0))-MAX($E471,DATE(cfg_FY,6,1))+1))</f>
        <v>0</v>
      </c>
      <c r="AZ471" s="110" t="n">
        <f aca="false">IF(OR(OR($B471="",$E471="",$F471=""),$K471&lt;&gt;"نعم",$M471="نعم"),0,MAX(0,MIN($F471,EOMONTH(DATE(cfg_FY,7,1),0))-MAX($E471,DATE(cfg_FY,7,1))+1))</f>
        <v>0</v>
      </c>
      <c r="BA471" s="110" t="n">
        <f aca="false">IF(OR(OR($B471="",$E471="",$F471=""),$K471&lt;&gt;"نعم",$M471="نعم"),0,MAX(0,MIN($F471,EOMONTH(DATE(cfg_FY,8,1),0))-MAX($E471,DATE(cfg_FY,8,1))+1))</f>
        <v>0</v>
      </c>
      <c r="BB471" s="110" t="n">
        <f aca="false">IF(OR(OR($B471="",$E471="",$F471=""),$K471&lt;&gt;"نعم",$M471="نعم"),0,MAX(0,MIN($F471,EOMONTH(DATE(cfg_FY,9,1),0))-MAX($E471,DATE(cfg_FY,9,1))+1))</f>
        <v>0</v>
      </c>
      <c r="BC471" s="110" t="n">
        <f aca="false">IF(OR(OR($B471="",$E471="",$F471=""),$K471&lt;&gt;"نعم",$M471="نعم"),0,MAX(0,MIN($F471,EOMONTH(DATE(cfg_FY,10,1),0))-MAX($E471,DATE(cfg_FY,10,1))+1))</f>
        <v>0</v>
      </c>
      <c r="BD471" s="110" t="n">
        <f aca="false">IF(OR(OR($B471="",$E471="",$F471=""),$K471&lt;&gt;"نعم",$M471="نعم"),0,MAX(0,MIN($F471,EOMONTH(DATE(cfg_FY,11,1),0))-MAX($E471,DATE(cfg_FY,11,1))+1))</f>
        <v>0</v>
      </c>
      <c r="BE471" s="110" t="n">
        <f aca="false">IF(OR(OR($B471="",$E471="",$F471=""),$K471&lt;&gt;"نعم",$M471="نعم"),0,MAX(0,MIN($F471,EOMONTH(DATE(cfg_FY,12,1),0))-MAX($E471,DATE(cfg_FY,12,1))+1))</f>
        <v>0</v>
      </c>
    </row>
    <row r="472" customFormat="false" ht="15" hidden="false" customHeight="false" outlineLevel="0" collapsed="false">
      <c r="A472" s="93" t="str">
        <f aca="false">IF(B472="","",ROW()-5)</f>
        <v/>
      </c>
      <c r="B472" s="79"/>
      <c r="C472" s="80" t="str">
        <f aca="false">IF(B472="","",IFERROR(INDEX(الموظفون!$C$6:$C$105,MATCH(B472,الموظفون!$B$6:$B$105,0)),"✖ رقم غير موجود"))</f>
        <v/>
      </c>
      <c r="D472" s="79"/>
      <c r="E472" s="94"/>
      <c r="F472" s="94"/>
      <c r="G472" s="57" t="str">
        <f aca="false">IF(OR($B472="",$E472="",$F472=""),"",MAX(0,F472-E472+1))</f>
        <v/>
      </c>
      <c r="H472" s="58" t="str">
        <f aca="false">IF(D472="","",IFERROR(VLOOKUP(D472,cfg_LT,2,FALSE()),1))</f>
        <v/>
      </c>
      <c r="I472" s="82"/>
      <c r="J472" s="58" t="str">
        <f aca="false">IF(D472="","",IF(I472&lt;&gt;"",I472,H472))</f>
        <v/>
      </c>
      <c r="K472" s="80" t="str">
        <f aca="false">IF(D472="","",IFERROR(VLOOKUP($D472,cfg_LT,3,FALSE()),""))</f>
        <v/>
      </c>
      <c r="L472" s="80" t="str">
        <f aca="false">IF(D472="","",IFERROR(VLOOKUP($D472,cfg_LT,4,FALSE()),""))</f>
        <v/>
      </c>
      <c r="M472" s="80" t="str">
        <f aca="false">IF(D472="","",IFERROR(VLOOKUP($D472,cfg_LT,5,FALSE()),""))</f>
        <v/>
      </c>
      <c r="N472" s="97" t="n">
        <f aca="false">IF(OR(OR($B472="",$E472="",$F472=""),M472&lt;&gt;"نعم"),0,G472*J472*IFERROR(INDEX(الموظفون!$R$6:$R$105,MATCH(B472,الموظفون!$B$6:$B$105,0)),0)/cfg_DAYS_M)</f>
        <v>0</v>
      </c>
      <c r="O472" s="93" t="str">
        <f aca="false">IF(OR(OR($B472="",$E472="",$F472=""),M472&lt;&gt;"نعم"),"",IF(YEAR(E472)=cfg_FY,MONTH(E472),""))</f>
        <v/>
      </c>
      <c r="P472" s="80" t="str">
        <f aca="false">IF(B472="","",IF(OR(D472="",E472="",F472=""),"⚠ أكمل النوع والتواريخ",IF(F472&lt;E472,"✖ النهاية قبل البداية",IF(COUNTIFS($B$6:$B$505,B472,$E$6:$E$505,"&lt;="&amp;F472,$F$6:$F$505,"&gt;="&amp;E472)&gt;1,"⚠ تداخل مع سجل آخر",IF(E472&gt;cfg_VAL_DATE,"⏳ قادمة",IF(F472&lt;cfg_VAL_DATE,"✔ منتهية","✈ جارية في تاريخ التقرير"))))))</f>
        <v/>
      </c>
      <c r="Q472" s="79"/>
      <c r="R472" s="57" t="n">
        <f aca="false">IF(OR(OR($B472="",$E472="",$F472=""),L472&lt;&gt;"لا"),0,MAX(0,MIN(F472,cfg_Y_START-1)-E472+1))</f>
        <v>0</v>
      </c>
      <c r="S472" s="57" t="n">
        <f aca="false">IF(OR(OR($B472="",$E472="",$F472=""),L472&lt;&gt;"لا"),0,MAX(0,MIN(F472,cfg_VAL_DATE)-E472+1))</f>
        <v>0</v>
      </c>
      <c r="T472" s="57" t="n">
        <f aca="false">IF(OR(OR($B472="",$E472="",$F472=""),K472&lt;&gt;"نعم"),0,IF(M472="نعم",IF(AND(ISNUMBER(O472),N(O472)&lt;=cfg_VAL_M),G472,0),MAX(0,MIN(F472,cfg_VAL_DATE)-MAX(E472,cfg_Y_START)+1)))</f>
        <v>0</v>
      </c>
      <c r="V472" s="57" t="n">
        <f aca="false">IF(OR($B472="",$E472="",$F472=""),0,MAX(0,MIN($F472,EOMONTH(DATE(cfg_FY,1,1),0))-MAX($E472,DATE(cfg_FY,1,1))+1)*(1-IF($M472="نعم",0,N($J472))))</f>
        <v>0</v>
      </c>
      <c r="W472" s="57" t="n">
        <f aca="false">IF(OR($B472="",$E472="",$F472=""),0,MAX(0,MIN($F472,EOMONTH(DATE(cfg_FY,2,1),0))-MAX($E472,DATE(cfg_FY,2,1))+1)*(1-IF($M472="نعم",0,N($J472))))</f>
        <v>0</v>
      </c>
      <c r="X472" s="57" t="n">
        <f aca="false">IF(OR($B472="",$E472="",$F472=""),0,MAX(0,MIN($F472,EOMONTH(DATE(cfg_FY,3,1),0))-MAX($E472,DATE(cfg_FY,3,1))+1)*(1-IF($M472="نعم",0,N($J472))))</f>
        <v>0</v>
      </c>
      <c r="Y472" s="57" t="n">
        <f aca="false">IF(OR($B472="",$E472="",$F472=""),0,MAX(0,MIN($F472,EOMONTH(DATE(cfg_FY,4,1),0))-MAX($E472,DATE(cfg_FY,4,1))+1)*(1-IF($M472="نعم",0,N($J472))))</f>
        <v>0</v>
      </c>
      <c r="Z472" s="57" t="n">
        <f aca="false">IF(OR($B472="",$E472="",$F472=""),0,MAX(0,MIN($F472,EOMONTH(DATE(cfg_FY,5,1),0))-MAX($E472,DATE(cfg_FY,5,1))+1)*(1-IF($M472="نعم",0,N($J472))))</f>
        <v>0</v>
      </c>
      <c r="AA472" s="57" t="n">
        <f aca="false">IF(OR($B472="",$E472="",$F472=""),0,MAX(0,MIN($F472,EOMONTH(DATE(cfg_FY,6,1),0))-MAX($E472,DATE(cfg_FY,6,1))+1)*(1-IF($M472="نعم",0,N($J472))))</f>
        <v>0</v>
      </c>
      <c r="AB472" s="57" t="n">
        <f aca="false">IF(OR($B472="",$E472="",$F472=""),0,MAX(0,MIN($F472,EOMONTH(DATE(cfg_FY,7,1),0))-MAX($E472,DATE(cfg_FY,7,1))+1)*(1-IF($M472="نعم",0,N($J472))))</f>
        <v>0</v>
      </c>
      <c r="AC472" s="57" t="n">
        <f aca="false">IF(OR($B472="",$E472="",$F472=""),0,MAX(0,MIN($F472,EOMONTH(DATE(cfg_FY,8,1),0))-MAX($E472,DATE(cfg_FY,8,1))+1)*(1-IF($M472="نعم",0,N($J472))))</f>
        <v>0</v>
      </c>
      <c r="AD472" s="57" t="n">
        <f aca="false">IF(OR($B472="",$E472="",$F472=""),0,MAX(0,MIN($F472,EOMONTH(DATE(cfg_FY,9,1),0))-MAX($E472,DATE(cfg_FY,9,1))+1)*(1-IF($M472="نعم",0,N($J472))))</f>
        <v>0</v>
      </c>
      <c r="AE472" s="57" t="n">
        <f aca="false">IF(OR($B472="",$E472="",$F472=""),0,MAX(0,MIN($F472,EOMONTH(DATE(cfg_FY,10,1),0))-MAX($E472,DATE(cfg_FY,10,1))+1)*(1-IF($M472="نعم",0,N($J472))))</f>
        <v>0</v>
      </c>
      <c r="AF472" s="57" t="n">
        <f aca="false">IF(OR($B472="",$E472="",$F472=""),0,MAX(0,MIN($F472,EOMONTH(DATE(cfg_FY,11,1),0))-MAX($E472,DATE(cfg_FY,11,1))+1)*(1-IF($M472="نعم",0,N($J472))))</f>
        <v>0</v>
      </c>
      <c r="AG472" s="57" t="n">
        <f aca="false">IF(OR($B472="",$E472="",$F472=""),0,MAX(0,MIN($F472,EOMONTH(DATE(cfg_FY,12,1),0))-MAX($E472,DATE(cfg_FY,12,1))+1)*(1-IF($M472="نعم",0,N($J472))))</f>
        <v>0</v>
      </c>
      <c r="AH472" s="57" t="n">
        <f aca="false">IF(OR(OR($B472="",$E472="",$F472=""),$L472&lt;&gt;"لا"),0,MAX(0,MIN($F472,EOMONTH(DATE(cfg_FY,1,1),0))-$E472+1))</f>
        <v>0</v>
      </c>
      <c r="AI472" s="57" t="n">
        <f aca="false">IF(OR(OR($B472="",$E472="",$F472=""),$L472&lt;&gt;"لا"),0,MAX(0,MIN($F472,EOMONTH(DATE(cfg_FY,2,1),0))-$E472+1))</f>
        <v>0</v>
      </c>
      <c r="AJ472" s="57" t="n">
        <f aca="false">IF(OR(OR($B472="",$E472="",$F472=""),$L472&lt;&gt;"لا"),0,MAX(0,MIN($F472,EOMONTH(DATE(cfg_FY,3,1),0))-$E472+1))</f>
        <v>0</v>
      </c>
      <c r="AK472" s="57" t="n">
        <f aca="false">IF(OR(OR($B472="",$E472="",$F472=""),$L472&lt;&gt;"لا"),0,MAX(0,MIN($F472,EOMONTH(DATE(cfg_FY,4,1),0))-$E472+1))</f>
        <v>0</v>
      </c>
      <c r="AL472" s="57" t="n">
        <f aca="false">IF(OR(OR($B472="",$E472="",$F472=""),$L472&lt;&gt;"لا"),0,MAX(0,MIN($F472,EOMONTH(DATE(cfg_FY,5,1),0))-$E472+1))</f>
        <v>0</v>
      </c>
      <c r="AM472" s="57" t="n">
        <f aca="false">IF(OR(OR($B472="",$E472="",$F472=""),$L472&lt;&gt;"لا"),0,MAX(0,MIN($F472,EOMONTH(DATE(cfg_FY,6,1),0))-$E472+1))</f>
        <v>0</v>
      </c>
      <c r="AN472" s="57" t="n">
        <f aca="false">IF(OR(OR($B472="",$E472="",$F472=""),$L472&lt;&gt;"لا"),0,MAX(0,MIN($F472,EOMONTH(DATE(cfg_FY,7,1),0))-$E472+1))</f>
        <v>0</v>
      </c>
      <c r="AO472" s="57" t="n">
        <f aca="false">IF(OR(OR($B472="",$E472="",$F472=""),$L472&lt;&gt;"لا"),0,MAX(0,MIN($F472,EOMONTH(DATE(cfg_FY,8,1),0))-$E472+1))</f>
        <v>0</v>
      </c>
      <c r="AP472" s="57" t="n">
        <f aca="false">IF(OR(OR($B472="",$E472="",$F472=""),$L472&lt;&gt;"لا"),0,MAX(0,MIN($F472,EOMONTH(DATE(cfg_FY,9,1),0))-$E472+1))</f>
        <v>0</v>
      </c>
      <c r="AQ472" s="57" t="n">
        <f aca="false">IF(OR(OR($B472="",$E472="",$F472=""),$L472&lt;&gt;"لا"),0,MAX(0,MIN($F472,EOMONTH(DATE(cfg_FY,10,1),0))-$E472+1))</f>
        <v>0</v>
      </c>
      <c r="AR472" s="57" t="n">
        <f aca="false">IF(OR(OR($B472="",$E472="",$F472=""),$L472&lt;&gt;"لا"),0,MAX(0,MIN($F472,EOMONTH(DATE(cfg_FY,11,1),0))-$E472+1))</f>
        <v>0</v>
      </c>
      <c r="AS472" s="57" t="n">
        <f aca="false">IF(OR(OR($B472="",$E472="",$F472=""),$L472&lt;&gt;"لا"),0,MAX(0,MIN($F472,EOMONTH(DATE(cfg_FY,12,1),0))-$E472+1))</f>
        <v>0</v>
      </c>
      <c r="AT472" s="57" t="n">
        <f aca="false">IF(OR(OR($B472="",$E472="",$F472=""),$K472&lt;&gt;"نعم",$M472="نعم"),0,MAX(0,MIN($F472,EOMONTH(DATE(cfg_FY,1,1),0))-MAX($E472,DATE(cfg_FY,1,1))+1))</f>
        <v>0</v>
      </c>
      <c r="AU472" s="57" t="n">
        <f aca="false">IF(OR(OR($B472="",$E472="",$F472=""),$K472&lt;&gt;"نعم",$M472="نعم"),0,MAX(0,MIN($F472,EOMONTH(DATE(cfg_FY,2,1),0))-MAX($E472,DATE(cfg_FY,2,1))+1))</f>
        <v>0</v>
      </c>
      <c r="AV472" s="57" t="n">
        <f aca="false">IF(OR(OR($B472="",$E472="",$F472=""),$K472&lt;&gt;"نعم",$M472="نعم"),0,MAX(0,MIN($F472,EOMONTH(DATE(cfg_FY,3,1),0))-MAX($E472,DATE(cfg_FY,3,1))+1))</f>
        <v>0</v>
      </c>
      <c r="AW472" s="57" t="n">
        <f aca="false">IF(OR(OR($B472="",$E472="",$F472=""),$K472&lt;&gt;"نعم",$M472="نعم"),0,MAX(0,MIN($F472,EOMONTH(DATE(cfg_FY,4,1),0))-MAX($E472,DATE(cfg_FY,4,1))+1))</f>
        <v>0</v>
      </c>
      <c r="AX472" s="57" t="n">
        <f aca="false">IF(OR(OR($B472="",$E472="",$F472=""),$K472&lt;&gt;"نعم",$M472="نعم"),0,MAX(0,MIN($F472,EOMONTH(DATE(cfg_FY,5,1),0))-MAX($E472,DATE(cfg_FY,5,1))+1))</f>
        <v>0</v>
      </c>
      <c r="AY472" s="57" t="n">
        <f aca="false">IF(OR(OR($B472="",$E472="",$F472=""),$K472&lt;&gt;"نعم",$M472="نعم"),0,MAX(0,MIN($F472,EOMONTH(DATE(cfg_FY,6,1),0))-MAX($E472,DATE(cfg_FY,6,1))+1))</f>
        <v>0</v>
      </c>
      <c r="AZ472" s="57" t="n">
        <f aca="false">IF(OR(OR($B472="",$E472="",$F472=""),$K472&lt;&gt;"نعم",$M472="نعم"),0,MAX(0,MIN($F472,EOMONTH(DATE(cfg_FY,7,1),0))-MAX($E472,DATE(cfg_FY,7,1))+1))</f>
        <v>0</v>
      </c>
      <c r="BA472" s="57" t="n">
        <f aca="false">IF(OR(OR($B472="",$E472="",$F472=""),$K472&lt;&gt;"نعم",$M472="نعم"),0,MAX(0,MIN($F472,EOMONTH(DATE(cfg_FY,8,1),0))-MAX($E472,DATE(cfg_FY,8,1))+1))</f>
        <v>0</v>
      </c>
      <c r="BB472" s="57" t="n">
        <f aca="false">IF(OR(OR($B472="",$E472="",$F472=""),$K472&lt;&gt;"نعم",$M472="نعم"),0,MAX(0,MIN($F472,EOMONTH(DATE(cfg_FY,9,1),0))-MAX($E472,DATE(cfg_FY,9,1))+1))</f>
        <v>0</v>
      </c>
      <c r="BC472" s="57" t="n">
        <f aca="false">IF(OR(OR($B472="",$E472="",$F472=""),$K472&lt;&gt;"نعم",$M472="نعم"),0,MAX(0,MIN($F472,EOMONTH(DATE(cfg_FY,10,1),0))-MAX($E472,DATE(cfg_FY,10,1))+1))</f>
        <v>0</v>
      </c>
      <c r="BD472" s="57" t="n">
        <f aca="false">IF(OR(OR($B472="",$E472="",$F472=""),$K472&lt;&gt;"نعم",$M472="نعم"),0,MAX(0,MIN($F472,EOMONTH(DATE(cfg_FY,11,1),0))-MAX($E472,DATE(cfg_FY,11,1))+1))</f>
        <v>0</v>
      </c>
      <c r="BE472" s="57" t="n">
        <f aca="false">IF(OR(OR($B472="",$E472="",$F472=""),$K472&lt;&gt;"نعم",$M472="نعم"),0,MAX(0,MIN($F472,EOMONTH(DATE(cfg_FY,12,1),0))-MAX($E472,DATE(cfg_FY,12,1))+1))</f>
        <v>0</v>
      </c>
    </row>
    <row r="473" customFormat="false" ht="15" hidden="false" customHeight="false" outlineLevel="0" collapsed="false">
      <c r="A473" s="100" t="str">
        <f aca="false">IF(B473="","",ROW()-5)</f>
        <v/>
      </c>
      <c r="B473" s="79"/>
      <c r="C473" s="102" t="str">
        <f aca="false">IF(B473="","",IFERROR(INDEX(الموظفون!$C$6:$C$105,MATCH(B473,الموظفون!$B$6:$B$105,0)),"✖ رقم غير موجود"))</f>
        <v/>
      </c>
      <c r="D473" s="79"/>
      <c r="E473" s="94"/>
      <c r="F473" s="94"/>
      <c r="G473" s="110" t="str">
        <f aca="false">IF(OR($B473="",$E473="",$F473=""),"",MAX(0,F473-E473+1))</f>
        <v/>
      </c>
      <c r="H473" s="111" t="str">
        <f aca="false">IF(D473="","",IFERROR(VLOOKUP(D473,cfg_LT,2,FALSE()),1))</f>
        <v/>
      </c>
      <c r="I473" s="82"/>
      <c r="J473" s="111" t="str">
        <f aca="false">IF(D473="","",IF(I473&lt;&gt;"",I473,H473))</f>
        <v/>
      </c>
      <c r="K473" s="102" t="str">
        <f aca="false">IF(D473="","",IFERROR(VLOOKUP($D473,cfg_LT,3,FALSE()),""))</f>
        <v/>
      </c>
      <c r="L473" s="102" t="str">
        <f aca="false">IF(D473="","",IFERROR(VLOOKUP($D473,cfg_LT,4,FALSE()),""))</f>
        <v/>
      </c>
      <c r="M473" s="102" t="str">
        <f aca="false">IF(D473="","",IFERROR(VLOOKUP($D473,cfg_LT,5,FALSE()),""))</f>
        <v/>
      </c>
      <c r="N473" s="101" t="n">
        <f aca="false">IF(OR(OR($B473="",$E473="",$F473=""),M473&lt;&gt;"نعم"),0,G473*J473*IFERROR(INDEX(الموظفون!$R$6:$R$105,MATCH(B473,الموظفون!$B$6:$B$105,0)),0)/cfg_DAYS_M)</f>
        <v>0</v>
      </c>
      <c r="O473" s="100" t="str">
        <f aca="false">IF(OR(OR($B473="",$E473="",$F473=""),M473&lt;&gt;"نعم"),"",IF(YEAR(E473)=cfg_FY,MONTH(E473),""))</f>
        <v/>
      </c>
      <c r="P473" s="102" t="str">
        <f aca="false">IF(B473="","",IF(OR(D473="",E473="",F473=""),"⚠ أكمل النوع والتواريخ",IF(F473&lt;E473,"✖ النهاية قبل البداية",IF(COUNTIFS($B$6:$B$505,B473,$E$6:$E$505,"&lt;="&amp;F473,$F$6:$F$505,"&gt;="&amp;E473)&gt;1,"⚠ تداخل مع سجل آخر",IF(E473&gt;cfg_VAL_DATE,"⏳ قادمة",IF(F473&lt;cfg_VAL_DATE,"✔ منتهية","✈ جارية في تاريخ التقرير"))))))</f>
        <v/>
      </c>
      <c r="Q473" s="79"/>
      <c r="R473" s="110" t="n">
        <f aca="false">IF(OR(OR($B473="",$E473="",$F473=""),L473&lt;&gt;"لا"),0,MAX(0,MIN(F473,cfg_Y_START-1)-E473+1))</f>
        <v>0</v>
      </c>
      <c r="S473" s="110" t="n">
        <f aca="false">IF(OR(OR($B473="",$E473="",$F473=""),L473&lt;&gt;"لا"),0,MAX(0,MIN(F473,cfg_VAL_DATE)-E473+1))</f>
        <v>0</v>
      </c>
      <c r="T473" s="110" t="n">
        <f aca="false">IF(OR(OR($B473="",$E473="",$F473=""),K473&lt;&gt;"نعم"),0,IF(M473="نعم",IF(AND(ISNUMBER(O473),N(O473)&lt;=cfg_VAL_M),G473,0),MAX(0,MIN(F473,cfg_VAL_DATE)-MAX(E473,cfg_Y_START)+1)))</f>
        <v>0</v>
      </c>
      <c r="V473" s="110" t="n">
        <f aca="false">IF(OR($B473="",$E473="",$F473=""),0,MAX(0,MIN($F473,EOMONTH(DATE(cfg_FY,1,1),0))-MAX($E473,DATE(cfg_FY,1,1))+1)*(1-IF($M473="نعم",0,N($J473))))</f>
        <v>0</v>
      </c>
      <c r="W473" s="110" t="n">
        <f aca="false">IF(OR($B473="",$E473="",$F473=""),0,MAX(0,MIN($F473,EOMONTH(DATE(cfg_FY,2,1),0))-MAX($E473,DATE(cfg_FY,2,1))+1)*(1-IF($M473="نعم",0,N($J473))))</f>
        <v>0</v>
      </c>
      <c r="X473" s="110" t="n">
        <f aca="false">IF(OR($B473="",$E473="",$F473=""),0,MAX(0,MIN($F473,EOMONTH(DATE(cfg_FY,3,1),0))-MAX($E473,DATE(cfg_FY,3,1))+1)*(1-IF($M473="نعم",0,N($J473))))</f>
        <v>0</v>
      </c>
      <c r="Y473" s="110" t="n">
        <f aca="false">IF(OR($B473="",$E473="",$F473=""),0,MAX(0,MIN($F473,EOMONTH(DATE(cfg_FY,4,1),0))-MAX($E473,DATE(cfg_FY,4,1))+1)*(1-IF($M473="نعم",0,N($J473))))</f>
        <v>0</v>
      </c>
      <c r="Z473" s="110" t="n">
        <f aca="false">IF(OR($B473="",$E473="",$F473=""),0,MAX(0,MIN($F473,EOMONTH(DATE(cfg_FY,5,1),0))-MAX($E473,DATE(cfg_FY,5,1))+1)*(1-IF($M473="نعم",0,N($J473))))</f>
        <v>0</v>
      </c>
      <c r="AA473" s="110" t="n">
        <f aca="false">IF(OR($B473="",$E473="",$F473=""),0,MAX(0,MIN($F473,EOMONTH(DATE(cfg_FY,6,1),0))-MAX($E473,DATE(cfg_FY,6,1))+1)*(1-IF($M473="نعم",0,N($J473))))</f>
        <v>0</v>
      </c>
      <c r="AB473" s="110" t="n">
        <f aca="false">IF(OR($B473="",$E473="",$F473=""),0,MAX(0,MIN($F473,EOMONTH(DATE(cfg_FY,7,1),0))-MAX($E473,DATE(cfg_FY,7,1))+1)*(1-IF($M473="نعم",0,N($J473))))</f>
        <v>0</v>
      </c>
      <c r="AC473" s="110" t="n">
        <f aca="false">IF(OR($B473="",$E473="",$F473=""),0,MAX(0,MIN($F473,EOMONTH(DATE(cfg_FY,8,1),0))-MAX($E473,DATE(cfg_FY,8,1))+1)*(1-IF($M473="نعم",0,N($J473))))</f>
        <v>0</v>
      </c>
      <c r="AD473" s="110" t="n">
        <f aca="false">IF(OR($B473="",$E473="",$F473=""),0,MAX(0,MIN($F473,EOMONTH(DATE(cfg_FY,9,1),0))-MAX($E473,DATE(cfg_FY,9,1))+1)*(1-IF($M473="نعم",0,N($J473))))</f>
        <v>0</v>
      </c>
      <c r="AE473" s="110" t="n">
        <f aca="false">IF(OR($B473="",$E473="",$F473=""),0,MAX(0,MIN($F473,EOMONTH(DATE(cfg_FY,10,1),0))-MAX($E473,DATE(cfg_FY,10,1))+1)*(1-IF($M473="نعم",0,N($J473))))</f>
        <v>0</v>
      </c>
      <c r="AF473" s="110" t="n">
        <f aca="false">IF(OR($B473="",$E473="",$F473=""),0,MAX(0,MIN($F473,EOMONTH(DATE(cfg_FY,11,1),0))-MAX($E473,DATE(cfg_FY,11,1))+1)*(1-IF($M473="نعم",0,N($J473))))</f>
        <v>0</v>
      </c>
      <c r="AG473" s="110" t="n">
        <f aca="false">IF(OR($B473="",$E473="",$F473=""),0,MAX(0,MIN($F473,EOMONTH(DATE(cfg_FY,12,1),0))-MAX($E473,DATE(cfg_FY,12,1))+1)*(1-IF($M473="نعم",0,N($J473))))</f>
        <v>0</v>
      </c>
      <c r="AH473" s="110" t="n">
        <f aca="false">IF(OR(OR($B473="",$E473="",$F473=""),$L473&lt;&gt;"لا"),0,MAX(0,MIN($F473,EOMONTH(DATE(cfg_FY,1,1),0))-$E473+1))</f>
        <v>0</v>
      </c>
      <c r="AI473" s="110" t="n">
        <f aca="false">IF(OR(OR($B473="",$E473="",$F473=""),$L473&lt;&gt;"لا"),0,MAX(0,MIN($F473,EOMONTH(DATE(cfg_FY,2,1),0))-$E473+1))</f>
        <v>0</v>
      </c>
      <c r="AJ473" s="110" t="n">
        <f aca="false">IF(OR(OR($B473="",$E473="",$F473=""),$L473&lt;&gt;"لا"),0,MAX(0,MIN($F473,EOMONTH(DATE(cfg_FY,3,1),0))-$E473+1))</f>
        <v>0</v>
      </c>
      <c r="AK473" s="110" t="n">
        <f aca="false">IF(OR(OR($B473="",$E473="",$F473=""),$L473&lt;&gt;"لا"),0,MAX(0,MIN($F473,EOMONTH(DATE(cfg_FY,4,1),0))-$E473+1))</f>
        <v>0</v>
      </c>
      <c r="AL473" s="110" t="n">
        <f aca="false">IF(OR(OR($B473="",$E473="",$F473=""),$L473&lt;&gt;"لا"),0,MAX(0,MIN($F473,EOMONTH(DATE(cfg_FY,5,1),0))-$E473+1))</f>
        <v>0</v>
      </c>
      <c r="AM473" s="110" t="n">
        <f aca="false">IF(OR(OR($B473="",$E473="",$F473=""),$L473&lt;&gt;"لا"),0,MAX(0,MIN($F473,EOMONTH(DATE(cfg_FY,6,1),0))-$E473+1))</f>
        <v>0</v>
      </c>
      <c r="AN473" s="110" t="n">
        <f aca="false">IF(OR(OR($B473="",$E473="",$F473=""),$L473&lt;&gt;"لا"),0,MAX(0,MIN($F473,EOMONTH(DATE(cfg_FY,7,1),0))-$E473+1))</f>
        <v>0</v>
      </c>
      <c r="AO473" s="110" t="n">
        <f aca="false">IF(OR(OR($B473="",$E473="",$F473=""),$L473&lt;&gt;"لا"),0,MAX(0,MIN($F473,EOMONTH(DATE(cfg_FY,8,1),0))-$E473+1))</f>
        <v>0</v>
      </c>
      <c r="AP473" s="110" t="n">
        <f aca="false">IF(OR(OR($B473="",$E473="",$F473=""),$L473&lt;&gt;"لا"),0,MAX(0,MIN($F473,EOMONTH(DATE(cfg_FY,9,1),0))-$E473+1))</f>
        <v>0</v>
      </c>
      <c r="AQ473" s="110" t="n">
        <f aca="false">IF(OR(OR($B473="",$E473="",$F473=""),$L473&lt;&gt;"لا"),0,MAX(0,MIN($F473,EOMONTH(DATE(cfg_FY,10,1),0))-$E473+1))</f>
        <v>0</v>
      </c>
      <c r="AR473" s="110" t="n">
        <f aca="false">IF(OR(OR($B473="",$E473="",$F473=""),$L473&lt;&gt;"لا"),0,MAX(0,MIN($F473,EOMONTH(DATE(cfg_FY,11,1),0))-$E473+1))</f>
        <v>0</v>
      </c>
      <c r="AS473" s="110" t="n">
        <f aca="false">IF(OR(OR($B473="",$E473="",$F473=""),$L473&lt;&gt;"لا"),0,MAX(0,MIN($F473,EOMONTH(DATE(cfg_FY,12,1),0))-$E473+1))</f>
        <v>0</v>
      </c>
      <c r="AT473" s="110" t="n">
        <f aca="false">IF(OR(OR($B473="",$E473="",$F473=""),$K473&lt;&gt;"نعم",$M473="نعم"),0,MAX(0,MIN($F473,EOMONTH(DATE(cfg_FY,1,1),0))-MAX($E473,DATE(cfg_FY,1,1))+1))</f>
        <v>0</v>
      </c>
      <c r="AU473" s="110" t="n">
        <f aca="false">IF(OR(OR($B473="",$E473="",$F473=""),$K473&lt;&gt;"نعم",$M473="نعم"),0,MAX(0,MIN($F473,EOMONTH(DATE(cfg_FY,2,1),0))-MAX($E473,DATE(cfg_FY,2,1))+1))</f>
        <v>0</v>
      </c>
      <c r="AV473" s="110" t="n">
        <f aca="false">IF(OR(OR($B473="",$E473="",$F473=""),$K473&lt;&gt;"نعم",$M473="نعم"),0,MAX(0,MIN($F473,EOMONTH(DATE(cfg_FY,3,1),0))-MAX($E473,DATE(cfg_FY,3,1))+1))</f>
        <v>0</v>
      </c>
      <c r="AW473" s="110" t="n">
        <f aca="false">IF(OR(OR($B473="",$E473="",$F473=""),$K473&lt;&gt;"نعم",$M473="نعم"),0,MAX(0,MIN($F473,EOMONTH(DATE(cfg_FY,4,1),0))-MAX($E473,DATE(cfg_FY,4,1))+1))</f>
        <v>0</v>
      </c>
      <c r="AX473" s="110" t="n">
        <f aca="false">IF(OR(OR($B473="",$E473="",$F473=""),$K473&lt;&gt;"نعم",$M473="نعم"),0,MAX(0,MIN($F473,EOMONTH(DATE(cfg_FY,5,1),0))-MAX($E473,DATE(cfg_FY,5,1))+1))</f>
        <v>0</v>
      </c>
      <c r="AY473" s="110" t="n">
        <f aca="false">IF(OR(OR($B473="",$E473="",$F473=""),$K473&lt;&gt;"نعم",$M473="نعم"),0,MAX(0,MIN($F473,EOMONTH(DATE(cfg_FY,6,1),0))-MAX($E473,DATE(cfg_FY,6,1))+1))</f>
        <v>0</v>
      </c>
      <c r="AZ473" s="110" t="n">
        <f aca="false">IF(OR(OR($B473="",$E473="",$F473=""),$K473&lt;&gt;"نعم",$M473="نعم"),0,MAX(0,MIN($F473,EOMONTH(DATE(cfg_FY,7,1),0))-MAX($E473,DATE(cfg_FY,7,1))+1))</f>
        <v>0</v>
      </c>
      <c r="BA473" s="110" t="n">
        <f aca="false">IF(OR(OR($B473="",$E473="",$F473=""),$K473&lt;&gt;"نعم",$M473="نعم"),0,MAX(0,MIN($F473,EOMONTH(DATE(cfg_FY,8,1),0))-MAX($E473,DATE(cfg_FY,8,1))+1))</f>
        <v>0</v>
      </c>
      <c r="BB473" s="110" t="n">
        <f aca="false">IF(OR(OR($B473="",$E473="",$F473=""),$K473&lt;&gt;"نعم",$M473="نعم"),0,MAX(0,MIN($F473,EOMONTH(DATE(cfg_FY,9,1),0))-MAX($E473,DATE(cfg_FY,9,1))+1))</f>
        <v>0</v>
      </c>
      <c r="BC473" s="110" t="n">
        <f aca="false">IF(OR(OR($B473="",$E473="",$F473=""),$K473&lt;&gt;"نعم",$M473="نعم"),0,MAX(0,MIN($F473,EOMONTH(DATE(cfg_FY,10,1),0))-MAX($E473,DATE(cfg_FY,10,1))+1))</f>
        <v>0</v>
      </c>
      <c r="BD473" s="110" t="n">
        <f aca="false">IF(OR(OR($B473="",$E473="",$F473=""),$K473&lt;&gt;"نعم",$M473="نعم"),0,MAX(0,MIN($F473,EOMONTH(DATE(cfg_FY,11,1),0))-MAX($E473,DATE(cfg_FY,11,1))+1))</f>
        <v>0</v>
      </c>
      <c r="BE473" s="110" t="n">
        <f aca="false">IF(OR(OR($B473="",$E473="",$F473=""),$K473&lt;&gt;"نعم",$M473="نعم"),0,MAX(0,MIN($F473,EOMONTH(DATE(cfg_FY,12,1),0))-MAX($E473,DATE(cfg_FY,12,1))+1))</f>
        <v>0</v>
      </c>
    </row>
    <row r="474" customFormat="false" ht="15" hidden="false" customHeight="false" outlineLevel="0" collapsed="false">
      <c r="A474" s="93" t="str">
        <f aca="false">IF(B474="","",ROW()-5)</f>
        <v/>
      </c>
      <c r="B474" s="79"/>
      <c r="C474" s="80" t="str">
        <f aca="false">IF(B474="","",IFERROR(INDEX(الموظفون!$C$6:$C$105,MATCH(B474,الموظفون!$B$6:$B$105,0)),"✖ رقم غير موجود"))</f>
        <v/>
      </c>
      <c r="D474" s="79"/>
      <c r="E474" s="94"/>
      <c r="F474" s="94"/>
      <c r="G474" s="57" t="str">
        <f aca="false">IF(OR($B474="",$E474="",$F474=""),"",MAX(0,F474-E474+1))</f>
        <v/>
      </c>
      <c r="H474" s="58" t="str">
        <f aca="false">IF(D474="","",IFERROR(VLOOKUP(D474,cfg_LT,2,FALSE()),1))</f>
        <v/>
      </c>
      <c r="I474" s="82"/>
      <c r="J474" s="58" t="str">
        <f aca="false">IF(D474="","",IF(I474&lt;&gt;"",I474,H474))</f>
        <v/>
      </c>
      <c r="K474" s="80" t="str">
        <f aca="false">IF(D474="","",IFERROR(VLOOKUP($D474,cfg_LT,3,FALSE()),""))</f>
        <v/>
      </c>
      <c r="L474" s="80" t="str">
        <f aca="false">IF(D474="","",IFERROR(VLOOKUP($D474,cfg_LT,4,FALSE()),""))</f>
        <v/>
      </c>
      <c r="M474" s="80" t="str">
        <f aca="false">IF(D474="","",IFERROR(VLOOKUP($D474,cfg_LT,5,FALSE()),""))</f>
        <v/>
      </c>
      <c r="N474" s="97" t="n">
        <f aca="false">IF(OR(OR($B474="",$E474="",$F474=""),M474&lt;&gt;"نعم"),0,G474*J474*IFERROR(INDEX(الموظفون!$R$6:$R$105,MATCH(B474,الموظفون!$B$6:$B$105,0)),0)/cfg_DAYS_M)</f>
        <v>0</v>
      </c>
      <c r="O474" s="93" t="str">
        <f aca="false">IF(OR(OR($B474="",$E474="",$F474=""),M474&lt;&gt;"نعم"),"",IF(YEAR(E474)=cfg_FY,MONTH(E474),""))</f>
        <v/>
      </c>
      <c r="P474" s="80" t="str">
        <f aca="false">IF(B474="","",IF(OR(D474="",E474="",F474=""),"⚠ أكمل النوع والتواريخ",IF(F474&lt;E474,"✖ النهاية قبل البداية",IF(COUNTIFS($B$6:$B$505,B474,$E$6:$E$505,"&lt;="&amp;F474,$F$6:$F$505,"&gt;="&amp;E474)&gt;1,"⚠ تداخل مع سجل آخر",IF(E474&gt;cfg_VAL_DATE,"⏳ قادمة",IF(F474&lt;cfg_VAL_DATE,"✔ منتهية","✈ جارية في تاريخ التقرير"))))))</f>
        <v/>
      </c>
      <c r="Q474" s="79"/>
      <c r="R474" s="57" t="n">
        <f aca="false">IF(OR(OR($B474="",$E474="",$F474=""),L474&lt;&gt;"لا"),0,MAX(0,MIN(F474,cfg_Y_START-1)-E474+1))</f>
        <v>0</v>
      </c>
      <c r="S474" s="57" t="n">
        <f aca="false">IF(OR(OR($B474="",$E474="",$F474=""),L474&lt;&gt;"لا"),0,MAX(0,MIN(F474,cfg_VAL_DATE)-E474+1))</f>
        <v>0</v>
      </c>
      <c r="T474" s="57" t="n">
        <f aca="false">IF(OR(OR($B474="",$E474="",$F474=""),K474&lt;&gt;"نعم"),0,IF(M474="نعم",IF(AND(ISNUMBER(O474),N(O474)&lt;=cfg_VAL_M),G474,0),MAX(0,MIN(F474,cfg_VAL_DATE)-MAX(E474,cfg_Y_START)+1)))</f>
        <v>0</v>
      </c>
      <c r="V474" s="57" t="n">
        <f aca="false">IF(OR($B474="",$E474="",$F474=""),0,MAX(0,MIN($F474,EOMONTH(DATE(cfg_FY,1,1),0))-MAX($E474,DATE(cfg_FY,1,1))+1)*(1-IF($M474="نعم",0,N($J474))))</f>
        <v>0</v>
      </c>
      <c r="W474" s="57" t="n">
        <f aca="false">IF(OR($B474="",$E474="",$F474=""),0,MAX(0,MIN($F474,EOMONTH(DATE(cfg_FY,2,1),0))-MAX($E474,DATE(cfg_FY,2,1))+1)*(1-IF($M474="نعم",0,N($J474))))</f>
        <v>0</v>
      </c>
      <c r="X474" s="57" t="n">
        <f aca="false">IF(OR($B474="",$E474="",$F474=""),0,MAX(0,MIN($F474,EOMONTH(DATE(cfg_FY,3,1),0))-MAX($E474,DATE(cfg_FY,3,1))+1)*(1-IF($M474="نعم",0,N($J474))))</f>
        <v>0</v>
      </c>
      <c r="Y474" s="57" t="n">
        <f aca="false">IF(OR($B474="",$E474="",$F474=""),0,MAX(0,MIN($F474,EOMONTH(DATE(cfg_FY,4,1),0))-MAX($E474,DATE(cfg_FY,4,1))+1)*(1-IF($M474="نعم",0,N($J474))))</f>
        <v>0</v>
      </c>
      <c r="Z474" s="57" t="n">
        <f aca="false">IF(OR($B474="",$E474="",$F474=""),0,MAX(0,MIN($F474,EOMONTH(DATE(cfg_FY,5,1),0))-MAX($E474,DATE(cfg_FY,5,1))+1)*(1-IF($M474="نعم",0,N($J474))))</f>
        <v>0</v>
      </c>
      <c r="AA474" s="57" t="n">
        <f aca="false">IF(OR($B474="",$E474="",$F474=""),0,MAX(0,MIN($F474,EOMONTH(DATE(cfg_FY,6,1),0))-MAX($E474,DATE(cfg_FY,6,1))+1)*(1-IF($M474="نعم",0,N($J474))))</f>
        <v>0</v>
      </c>
      <c r="AB474" s="57" t="n">
        <f aca="false">IF(OR($B474="",$E474="",$F474=""),0,MAX(0,MIN($F474,EOMONTH(DATE(cfg_FY,7,1),0))-MAX($E474,DATE(cfg_FY,7,1))+1)*(1-IF($M474="نعم",0,N($J474))))</f>
        <v>0</v>
      </c>
      <c r="AC474" s="57" t="n">
        <f aca="false">IF(OR($B474="",$E474="",$F474=""),0,MAX(0,MIN($F474,EOMONTH(DATE(cfg_FY,8,1),0))-MAX($E474,DATE(cfg_FY,8,1))+1)*(1-IF($M474="نعم",0,N($J474))))</f>
        <v>0</v>
      </c>
      <c r="AD474" s="57" t="n">
        <f aca="false">IF(OR($B474="",$E474="",$F474=""),0,MAX(0,MIN($F474,EOMONTH(DATE(cfg_FY,9,1),0))-MAX($E474,DATE(cfg_FY,9,1))+1)*(1-IF($M474="نعم",0,N($J474))))</f>
        <v>0</v>
      </c>
      <c r="AE474" s="57" t="n">
        <f aca="false">IF(OR($B474="",$E474="",$F474=""),0,MAX(0,MIN($F474,EOMONTH(DATE(cfg_FY,10,1),0))-MAX($E474,DATE(cfg_FY,10,1))+1)*(1-IF($M474="نعم",0,N($J474))))</f>
        <v>0</v>
      </c>
      <c r="AF474" s="57" t="n">
        <f aca="false">IF(OR($B474="",$E474="",$F474=""),0,MAX(0,MIN($F474,EOMONTH(DATE(cfg_FY,11,1),0))-MAX($E474,DATE(cfg_FY,11,1))+1)*(1-IF($M474="نعم",0,N($J474))))</f>
        <v>0</v>
      </c>
      <c r="AG474" s="57" t="n">
        <f aca="false">IF(OR($B474="",$E474="",$F474=""),0,MAX(0,MIN($F474,EOMONTH(DATE(cfg_FY,12,1),0))-MAX($E474,DATE(cfg_FY,12,1))+1)*(1-IF($M474="نعم",0,N($J474))))</f>
        <v>0</v>
      </c>
      <c r="AH474" s="57" t="n">
        <f aca="false">IF(OR(OR($B474="",$E474="",$F474=""),$L474&lt;&gt;"لا"),0,MAX(0,MIN($F474,EOMONTH(DATE(cfg_FY,1,1),0))-$E474+1))</f>
        <v>0</v>
      </c>
      <c r="AI474" s="57" t="n">
        <f aca="false">IF(OR(OR($B474="",$E474="",$F474=""),$L474&lt;&gt;"لا"),0,MAX(0,MIN($F474,EOMONTH(DATE(cfg_FY,2,1),0))-$E474+1))</f>
        <v>0</v>
      </c>
      <c r="AJ474" s="57" t="n">
        <f aca="false">IF(OR(OR($B474="",$E474="",$F474=""),$L474&lt;&gt;"لا"),0,MAX(0,MIN($F474,EOMONTH(DATE(cfg_FY,3,1),0))-$E474+1))</f>
        <v>0</v>
      </c>
      <c r="AK474" s="57" t="n">
        <f aca="false">IF(OR(OR($B474="",$E474="",$F474=""),$L474&lt;&gt;"لا"),0,MAX(0,MIN($F474,EOMONTH(DATE(cfg_FY,4,1),0))-$E474+1))</f>
        <v>0</v>
      </c>
      <c r="AL474" s="57" t="n">
        <f aca="false">IF(OR(OR($B474="",$E474="",$F474=""),$L474&lt;&gt;"لا"),0,MAX(0,MIN($F474,EOMONTH(DATE(cfg_FY,5,1),0))-$E474+1))</f>
        <v>0</v>
      </c>
      <c r="AM474" s="57" t="n">
        <f aca="false">IF(OR(OR($B474="",$E474="",$F474=""),$L474&lt;&gt;"لا"),0,MAX(0,MIN($F474,EOMONTH(DATE(cfg_FY,6,1),0))-$E474+1))</f>
        <v>0</v>
      </c>
      <c r="AN474" s="57" t="n">
        <f aca="false">IF(OR(OR($B474="",$E474="",$F474=""),$L474&lt;&gt;"لا"),0,MAX(0,MIN($F474,EOMONTH(DATE(cfg_FY,7,1),0))-$E474+1))</f>
        <v>0</v>
      </c>
      <c r="AO474" s="57" t="n">
        <f aca="false">IF(OR(OR($B474="",$E474="",$F474=""),$L474&lt;&gt;"لا"),0,MAX(0,MIN($F474,EOMONTH(DATE(cfg_FY,8,1),0))-$E474+1))</f>
        <v>0</v>
      </c>
      <c r="AP474" s="57" t="n">
        <f aca="false">IF(OR(OR($B474="",$E474="",$F474=""),$L474&lt;&gt;"لا"),0,MAX(0,MIN($F474,EOMONTH(DATE(cfg_FY,9,1),0))-$E474+1))</f>
        <v>0</v>
      </c>
      <c r="AQ474" s="57" t="n">
        <f aca="false">IF(OR(OR($B474="",$E474="",$F474=""),$L474&lt;&gt;"لا"),0,MAX(0,MIN($F474,EOMONTH(DATE(cfg_FY,10,1),0))-$E474+1))</f>
        <v>0</v>
      </c>
      <c r="AR474" s="57" t="n">
        <f aca="false">IF(OR(OR($B474="",$E474="",$F474=""),$L474&lt;&gt;"لا"),0,MAX(0,MIN($F474,EOMONTH(DATE(cfg_FY,11,1),0))-$E474+1))</f>
        <v>0</v>
      </c>
      <c r="AS474" s="57" t="n">
        <f aca="false">IF(OR(OR($B474="",$E474="",$F474=""),$L474&lt;&gt;"لا"),0,MAX(0,MIN($F474,EOMONTH(DATE(cfg_FY,12,1),0))-$E474+1))</f>
        <v>0</v>
      </c>
      <c r="AT474" s="57" t="n">
        <f aca="false">IF(OR(OR($B474="",$E474="",$F474=""),$K474&lt;&gt;"نعم",$M474="نعم"),0,MAX(0,MIN($F474,EOMONTH(DATE(cfg_FY,1,1),0))-MAX($E474,DATE(cfg_FY,1,1))+1))</f>
        <v>0</v>
      </c>
      <c r="AU474" s="57" t="n">
        <f aca="false">IF(OR(OR($B474="",$E474="",$F474=""),$K474&lt;&gt;"نعم",$M474="نعم"),0,MAX(0,MIN($F474,EOMONTH(DATE(cfg_FY,2,1),0))-MAX($E474,DATE(cfg_FY,2,1))+1))</f>
        <v>0</v>
      </c>
      <c r="AV474" s="57" t="n">
        <f aca="false">IF(OR(OR($B474="",$E474="",$F474=""),$K474&lt;&gt;"نعم",$M474="نعم"),0,MAX(0,MIN($F474,EOMONTH(DATE(cfg_FY,3,1),0))-MAX($E474,DATE(cfg_FY,3,1))+1))</f>
        <v>0</v>
      </c>
      <c r="AW474" s="57" t="n">
        <f aca="false">IF(OR(OR($B474="",$E474="",$F474=""),$K474&lt;&gt;"نعم",$M474="نعم"),0,MAX(0,MIN($F474,EOMONTH(DATE(cfg_FY,4,1),0))-MAX($E474,DATE(cfg_FY,4,1))+1))</f>
        <v>0</v>
      </c>
      <c r="AX474" s="57" t="n">
        <f aca="false">IF(OR(OR($B474="",$E474="",$F474=""),$K474&lt;&gt;"نعم",$M474="نعم"),0,MAX(0,MIN($F474,EOMONTH(DATE(cfg_FY,5,1),0))-MAX($E474,DATE(cfg_FY,5,1))+1))</f>
        <v>0</v>
      </c>
      <c r="AY474" s="57" t="n">
        <f aca="false">IF(OR(OR($B474="",$E474="",$F474=""),$K474&lt;&gt;"نعم",$M474="نعم"),0,MAX(0,MIN($F474,EOMONTH(DATE(cfg_FY,6,1),0))-MAX($E474,DATE(cfg_FY,6,1))+1))</f>
        <v>0</v>
      </c>
      <c r="AZ474" s="57" t="n">
        <f aca="false">IF(OR(OR($B474="",$E474="",$F474=""),$K474&lt;&gt;"نعم",$M474="نعم"),0,MAX(0,MIN($F474,EOMONTH(DATE(cfg_FY,7,1),0))-MAX($E474,DATE(cfg_FY,7,1))+1))</f>
        <v>0</v>
      </c>
      <c r="BA474" s="57" t="n">
        <f aca="false">IF(OR(OR($B474="",$E474="",$F474=""),$K474&lt;&gt;"نعم",$M474="نعم"),0,MAX(0,MIN($F474,EOMONTH(DATE(cfg_FY,8,1),0))-MAX($E474,DATE(cfg_FY,8,1))+1))</f>
        <v>0</v>
      </c>
      <c r="BB474" s="57" t="n">
        <f aca="false">IF(OR(OR($B474="",$E474="",$F474=""),$K474&lt;&gt;"نعم",$M474="نعم"),0,MAX(0,MIN($F474,EOMONTH(DATE(cfg_FY,9,1),0))-MAX($E474,DATE(cfg_FY,9,1))+1))</f>
        <v>0</v>
      </c>
      <c r="BC474" s="57" t="n">
        <f aca="false">IF(OR(OR($B474="",$E474="",$F474=""),$K474&lt;&gt;"نعم",$M474="نعم"),0,MAX(0,MIN($F474,EOMONTH(DATE(cfg_FY,10,1),0))-MAX($E474,DATE(cfg_FY,10,1))+1))</f>
        <v>0</v>
      </c>
      <c r="BD474" s="57" t="n">
        <f aca="false">IF(OR(OR($B474="",$E474="",$F474=""),$K474&lt;&gt;"نعم",$M474="نعم"),0,MAX(0,MIN($F474,EOMONTH(DATE(cfg_FY,11,1),0))-MAX($E474,DATE(cfg_FY,11,1))+1))</f>
        <v>0</v>
      </c>
      <c r="BE474" s="57" t="n">
        <f aca="false">IF(OR(OR($B474="",$E474="",$F474=""),$K474&lt;&gt;"نعم",$M474="نعم"),0,MAX(0,MIN($F474,EOMONTH(DATE(cfg_FY,12,1),0))-MAX($E474,DATE(cfg_FY,12,1))+1))</f>
        <v>0</v>
      </c>
    </row>
    <row r="475" customFormat="false" ht="15" hidden="false" customHeight="false" outlineLevel="0" collapsed="false">
      <c r="A475" s="100" t="str">
        <f aca="false">IF(B475="","",ROW()-5)</f>
        <v/>
      </c>
      <c r="B475" s="79"/>
      <c r="C475" s="102" t="str">
        <f aca="false">IF(B475="","",IFERROR(INDEX(الموظفون!$C$6:$C$105,MATCH(B475,الموظفون!$B$6:$B$105,0)),"✖ رقم غير موجود"))</f>
        <v/>
      </c>
      <c r="D475" s="79"/>
      <c r="E475" s="94"/>
      <c r="F475" s="94"/>
      <c r="G475" s="110" t="str">
        <f aca="false">IF(OR($B475="",$E475="",$F475=""),"",MAX(0,F475-E475+1))</f>
        <v/>
      </c>
      <c r="H475" s="111" t="str">
        <f aca="false">IF(D475="","",IFERROR(VLOOKUP(D475,cfg_LT,2,FALSE()),1))</f>
        <v/>
      </c>
      <c r="I475" s="82"/>
      <c r="J475" s="111" t="str">
        <f aca="false">IF(D475="","",IF(I475&lt;&gt;"",I475,H475))</f>
        <v/>
      </c>
      <c r="K475" s="102" t="str">
        <f aca="false">IF(D475="","",IFERROR(VLOOKUP($D475,cfg_LT,3,FALSE()),""))</f>
        <v/>
      </c>
      <c r="L475" s="102" t="str">
        <f aca="false">IF(D475="","",IFERROR(VLOOKUP($D475,cfg_LT,4,FALSE()),""))</f>
        <v/>
      </c>
      <c r="M475" s="102" t="str">
        <f aca="false">IF(D475="","",IFERROR(VLOOKUP($D475,cfg_LT,5,FALSE()),""))</f>
        <v/>
      </c>
      <c r="N475" s="101" t="n">
        <f aca="false">IF(OR(OR($B475="",$E475="",$F475=""),M475&lt;&gt;"نعم"),0,G475*J475*IFERROR(INDEX(الموظفون!$R$6:$R$105,MATCH(B475,الموظفون!$B$6:$B$105,0)),0)/cfg_DAYS_M)</f>
        <v>0</v>
      </c>
      <c r="O475" s="100" t="str">
        <f aca="false">IF(OR(OR($B475="",$E475="",$F475=""),M475&lt;&gt;"نعم"),"",IF(YEAR(E475)=cfg_FY,MONTH(E475),""))</f>
        <v/>
      </c>
      <c r="P475" s="102" t="str">
        <f aca="false">IF(B475="","",IF(OR(D475="",E475="",F475=""),"⚠ أكمل النوع والتواريخ",IF(F475&lt;E475,"✖ النهاية قبل البداية",IF(COUNTIFS($B$6:$B$505,B475,$E$6:$E$505,"&lt;="&amp;F475,$F$6:$F$505,"&gt;="&amp;E475)&gt;1,"⚠ تداخل مع سجل آخر",IF(E475&gt;cfg_VAL_DATE,"⏳ قادمة",IF(F475&lt;cfg_VAL_DATE,"✔ منتهية","✈ جارية في تاريخ التقرير"))))))</f>
        <v/>
      </c>
      <c r="Q475" s="79"/>
      <c r="R475" s="110" t="n">
        <f aca="false">IF(OR(OR($B475="",$E475="",$F475=""),L475&lt;&gt;"لا"),0,MAX(0,MIN(F475,cfg_Y_START-1)-E475+1))</f>
        <v>0</v>
      </c>
      <c r="S475" s="110" t="n">
        <f aca="false">IF(OR(OR($B475="",$E475="",$F475=""),L475&lt;&gt;"لا"),0,MAX(0,MIN(F475,cfg_VAL_DATE)-E475+1))</f>
        <v>0</v>
      </c>
      <c r="T475" s="110" t="n">
        <f aca="false">IF(OR(OR($B475="",$E475="",$F475=""),K475&lt;&gt;"نعم"),0,IF(M475="نعم",IF(AND(ISNUMBER(O475),N(O475)&lt;=cfg_VAL_M),G475,0),MAX(0,MIN(F475,cfg_VAL_DATE)-MAX(E475,cfg_Y_START)+1)))</f>
        <v>0</v>
      </c>
      <c r="V475" s="110" t="n">
        <f aca="false">IF(OR($B475="",$E475="",$F475=""),0,MAX(0,MIN($F475,EOMONTH(DATE(cfg_FY,1,1),0))-MAX($E475,DATE(cfg_FY,1,1))+1)*(1-IF($M475="نعم",0,N($J475))))</f>
        <v>0</v>
      </c>
      <c r="W475" s="110" t="n">
        <f aca="false">IF(OR($B475="",$E475="",$F475=""),0,MAX(0,MIN($F475,EOMONTH(DATE(cfg_FY,2,1),0))-MAX($E475,DATE(cfg_FY,2,1))+1)*(1-IF($M475="نعم",0,N($J475))))</f>
        <v>0</v>
      </c>
      <c r="X475" s="110" t="n">
        <f aca="false">IF(OR($B475="",$E475="",$F475=""),0,MAX(0,MIN($F475,EOMONTH(DATE(cfg_FY,3,1),0))-MAX($E475,DATE(cfg_FY,3,1))+1)*(1-IF($M475="نعم",0,N($J475))))</f>
        <v>0</v>
      </c>
      <c r="Y475" s="110" t="n">
        <f aca="false">IF(OR($B475="",$E475="",$F475=""),0,MAX(0,MIN($F475,EOMONTH(DATE(cfg_FY,4,1),0))-MAX($E475,DATE(cfg_FY,4,1))+1)*(1-IF($M475="نعم",0,N($J475))))</f>
        <v>0</v>
      </c>
      <c r="Z475" s="110" t="n">
        <f aca="false">IF(OR($B475="",$E475="",$F475=""),0,MAX(0,MIN($F475,EOMONTH(DATE(cfg_FY,5,1),0))-MAX($E475,DATE(cfg_FY,5,1))+1)*(1-IF($M475="نعم",0,N($J475))))</f>
        <v>0</v>
      </c>
      <c r="AA475" s="110" t="n">
        <f aca="false">IF(OR($B475="",$E475="",$F475=""),0,MAX(0,MIN($F475,EOMONTH(DATE(cfg_FY,6,1),0))-MAX($E475,DATE(cfg_FY,6,1))+1)*(1-IF($M475="نعم",0,N($J475))))</f>
        <v>0</v>
      </c>
      <c r="AB475" s="110" t="n">
        <f aca="false">IF(OR($B475="",$E475="",$F475=""),0,MAX(0,MIN($F475,EOMONTH(DATE(cfg_FY,7,1),0))-MAX($E475,DATE(cfg_FY,7,1))+1)*(1-IF($M475="نعم",0,N($J475))))</f>
        <v>0</v>
      </c>
      <c r="AC475" s="110" t="n">
        <f aca="false">IF(OR($B475="",$E475="",$F475=""),0,MAX(0,MIN($F475,EOMONTH(DATE(cfg_FY,8,1),0))-MAX($E475,DATE(cfg_FY,8,1))+1)*(1-IF($M475="نعم",0,N($J475))))</f>
        <v>0</v>
      </c>
      <c r="AD475" s="110" t="n">
        <f aca="false">IF(OR($B475="",$E475="",$F475=""),0,MAX(0,MIN($F475,EOMONTH(DATE(cfg_FY,9,1),0))-MAX($E475,DATE(cfg_FY,9,1))+1)*(1-IF($M475="نعم",0,N($J475))))</f>
        <v>0</v>
      </c>
      <c r="AE475" s="110" t="n">
        <f aca="false">IF(OR($B475="",$E475="",$F475=""),0,MAX(0,MIN($F475,EOMONTH(DATE(cfg_FY,10,1),0))-MAX($E475,DATE(cfg_FY,10,1))+1)*(1-IF($M475="نعم",0,N($J475))))</f>
        <v>0</v>
      </c>
      <c r="AF475" s="110" t="n">
        <f aca="false">IF(OR($B475="",$E475="",$F475=""),0,MAX(0,MIN($F475,EOMONTH(DATE(cfg_FY,11,1),0))-MAX($E475,DATE(cfg_FY,11,1))+1)*(1-IF($M475="نعم",0,N($J475))))</f>
        <v>0</v>
      </c>
      <c r="AG475" s="110" t="n">
        <f aca="false">IF(OR($B475="",$E475="",$F475=""),0,MAX(0,MIN($F475,EOMONTH(DATE(cfg_FY,12,1),0))-MAX($E475,DATE(cfg_FY,12,1))+1)*(1-IF($M475="نعم",0,N($J475))))</f>
        <v>0</v>
      </c>
      <c r="AH475" s="110" t="n">
        <f aca="false">IF(OR(OR($B475="",$E475="",$F475=""),$L475&lt;&gt;"لا"),0,MAX(0,MIN($F475,EOMONTH(DATE(cfg_FY,1,1),0))-$E475+1))</f>
        <v>0</v>
      </c>
      <c r="AI475" s="110" t="n">
        <f aca="false">IF(OR(OR($B475="",$E475="",$F475=""),$L475&lt;&gt;"لا"),0,MAX(0,MIN($F475,EOMONTH(DATE(cfg_FY,2,1),0))-$E475+1))</f>
        <v>0</v>
      </c>
      <c r="AJ475" s="110" t="n">
        <f aca="false">IF(OR(OR($B475="",$E475="",$F475=""),$L475&lt;&gt;"لا"),0,MAX(0,MIN($F475,EOMONTH(DATE(cfg_FY,3,1),0))-$E475+1))</f>
        <v>0</v>
      </c>
      <c r="AK475" s="110" t="n">
        <f aca="false">IF(OR(OR($B475="",$E475="",$F475=""),$L475&lt;&gt;"لا"),0,MAX(0,MIN($F475,EOMONTH(DATE(cfg_FY,4,1),0))-$E475+1))</f>
        <v>0</v>
      </c>
      <c r="AL475" s="110" t="n">
        <f aca="false">IF(OR(OR($B475="",$E475="",$F475=""),$L475&lt;&gt;"لا"),0,MAX(0,MIN($F475,EOMONTH(DATE(cfg_FY,5,1),0))-$E475+1))</f>
        <v>0</v>
      </c>
      <c r="AM475" s="110" t="n">
        <f aca="false">IF(OR(OR($B475="",$E475="",$F475=""),$L475&lt;&gt;"لا"),0,MAX(0,MIN($F475,EOMONTH(DATE(cfg_FY,6,1),0))-$E475+1))</f>
        <v>0</v>
      </c>
      <c r="AN475" s="110" t="n">
        <f aca="false">IF(OR(OR($B475="",$E475="",$F475=""),$L475&lt;&gt;"لا"),0,MAX(0,MIN($F475,EOMONTH(DATE(cfg_FY,7,1),0))-$E475+1))</f>
        <v>0</v>
      </c>
      <c r="AO475" s="110" t="n">
        <f aca="false">IF(OR(OR($B475="",$E475="",$F475=""),$L475&lt;&gt;"لا"),0,MAX(0,MIN($F475,EOMONTH(DATE(cfg_FY,8,1),0))-$E475+1))</f>
        <v>0</v>
      </c>
      <c r="AP475" s="110" t="n">
        <f aca="false">IF(OR(OR($B475="",$E475="",$F475=""),$L475&lt;&gt;"لا"),0,MAX(0,MIN($F475,EOMONTH(DATE(cfg_FY,9,1),0))-$E475+1))</f>
        <v>0</v>
      </c>
      <c r="AQ475" s="110" t="n">
        <f aca="false">IF(OR(OR($B475="",$E475="",$F475=""),$L475&lt;&gt;"لا"),0,MAX(0,MIN($F475,EOMONTH(DATE(cfg_FY,10,1),0))-$E475+1))</f>
        <v>0</v>
      </c>
      <c r="AR475" s="110" t="n">
        <f aca="false">IF(OR(OR($B475="",$E475="",$F475=""),$L475&lt;&gt;"لا"),0,MAX(0,MIN($F475,EOMONTH(DATE(cfg_FY,11,1),0))-$E475+1))</f>
        <v>0</v>
      </c>
      <c r="AS475" s="110" t="n">
        <f aca="false">IF(OR(OR($B475="",$E475="",$F475=""),$L475&lt;&gt;"لا"),0,MAX(0,MIN($F475,EOMONTH(DATE(cfg_FY,12,1),0))-$E475+1))</f>
        <v>0</v>
      </c>
      <c r="AT475" s="110" t="n">
        <f aca="false">IF(OR(OR($B475="",$E475="",$F475=""),$K475&lt;&gt;"نعم",$M475="نعم"),0,MAX(0,MIN($F475,EOMONTH(DATE(cfg_FY,1,1),0))-MAX($E475,DATE(cfg_FY,1,1))+1))</f>
        <v>0</v>
      </c>
      <c r="AU475" s="110" t="n">
        <f aca="false">IF(OR(OR($B475="",$E475="",$F475=""),$K475&lt;&gt;"نعم",$M475="نعم"),0,MAX(0,MIN($F475,EOMONTH(DATE(cfg_FY,2,1),0))-MAX($E475,DATE(cfg_FY,2,1))+1))</f>
        <v>0</v>
      </c>
      <c r="AV475" s="110" t="n">
        <f aca="false">IF(OR(OR($B475="",$E475="",$F475=""),$K475&lt;&gt;"نعم",$M475="نعم"),0,MAX(0,MIN($F475,EOMONTH(DATE(cfg_FY,3,1),0))-MAX($E475,DATE(cfg_FY,3,1))+1))</f>
        <v>0</v>
      </c>
      <c r="AW475" s="110" t="n">
        <f aca="false">IF(OR(OR($B475="",$E475="",$F475=""),$K475&lt;&gt;"نعم",$M475="نعم"),0,MAX(0,MIN($F475,EOMONTH(DATE(cfg_FY,4,1),0))-MAX($E475,DATE(cfg_FY,4,1))+1))</f>
        <v>0</v>
      </c>
      <c r="AX475" s="110" t="n">
        <f aca="false">IF(OR(OR($B475="",$E475="",$F475=""),$K475&lt;&gt;"نعم",$M475="نعم"),0,MAX(0,MIN($F475,EOMONTH(DATE(cfg_FY,5,1),0))-MAX($E475,DATE(cfg_FY,5,1))+1))</f>
        <v>0</v>
      </c>
      <c r="AY475" s="110" t="n">
        <f aca="false">IF(OR(OR($B475="",$E475="",$F475=""),$K475&lt;&gt;"نعم",$M475="نعم"),0,MAX(0,MIN($F475,EOMONTH(DATE(cfg_FY,6,1),0))-MAX($E475,DATE(cfg_FY,6,1))+1))</f>
        <v>0</v>
      </c>
      <c r="AZ475" s="110" t="n">
        <f aca="false">IF(OR(OR($B475="",$E475="",$F475=""),$K475&lt;&gt;"نعم",$M475="نعم"),0,MAX(0,MIN($F475,EOMONTH(DATE(cfg_FY,7,1),0))-MAX($E475,DATE(cfg_FY,7,1))+1))</f>
        <v>0</v>
      </c>
      <c r="BA475" s="110" t="n">
        <f aca="false">IF(OR(OR($B475="",$E475="",$F475=""),$K475&lt;&gt;"نعم",$M475="نعم"),0,MAX(0,MIN($F475,EOMONTH(DATE(cfg_FY,8,1),0))-MAX($E475,DATE(cfg_FY,8,1))+1))</f>
        <v>0</v>
      </c>
      <c r="BB475" s="110" t="n">
        <f aca="false">IF(OR(OR($B475="",$E475="",$F475=""),$K475&lt;&gt;"نعم",$M475="نعم"),0,MAX(0,MIN($F475,EOMONTH(DATE(cfg_FY,9,1),0))-MAX($E475,DATE(cfg_FY,9,1))+1))</f>
        <v>0</v>
      </c>
      <c r="BC475" s="110" t="n">
        <f aca="false">IF(OR(OR($B475="",$E475="",$F475=""),$K475&lt;&gt;"نعم",$M475="نعم"),0,MAX(0,MIN($F475,EOMONTH(DATE(cfg_FY,10,1),0))-MAX($E475,DATE(cfg_FY,10,1))+1))</f>
        <v>0</v>
      </c>
      <c r="BD475" s="110" t="n">
        <f aca="false">IF(OR(OR($B475="",$E475="",$F475=""),$K475&lt;&gt;"نعم",$M475="نعم"),0,MAX(0,MIN($F475,EOMONTH(DATE(cfg_FY,11,1),0))-MAX($E475,DATE(cfg_FY,11,1))+1))</f>
        <v>0</v>
      </c>
      <c r="BE475" s="110" t="n">
        <f aca="false">IF(OR(OR($B475="",$E475="",$F475=""),$K475&lt;&gt;"نعم",$M475="نعم"),0,MAX(0,MIN($F475,EOMONTH(DATE(cfg_FY,12,1),0))-MAX($E475,DATE(cfg_FY,12,1))+1))</f>
        <v>0</v>
      </c>
    </row>
    <row r="476" customFormat="false" ht="15" hidden="false" customHeight="false" outlineLevel="0" collapsed="false">
      <c r="A476" s="93" t="str">
        <f aca="false">IF(B476="","",ROW()-5)</f>
        <v/>
      </c>
      <c r="B476" s="79"/>
      <c r="C476" s="80" t="str">
        <f aca="false">IF(B476="","",IFERROR(INDEX(الموظفون!$C$6:$C$105,MATCH(B476,الموظفون!$B$6:$B$105,0)),"✖ رقم غير موجود"))</f>
        <v/>
      </c>
      <c r="D476" s="79"/>
      <c r="E476" s="94"/>
      <c r="F476" s="94"/>
      <c r="G476" s="57" t="str">
        <f aca="false">IF(OR($B476="",$E476="",$F476=""),"",MAX(0,F476-E476+1))</f>
        <v/>
      </c>
      <c r="H476" s="58" t="str">
        <f aca="false">IF(D476="","",IFERROR(VLOOKUP(D476,cfg_LT,2,FALSE()),1))</f>
        <v/>
      </c>
      <c r="I476" s="82"/>
      <c r="J476" s="58" t="str">
        <f aca="false">IF(D476="","",IF(I476&lt;&gt;"",I476,H476))</f>
        <v/>
      </c>
      <c r="K476" s="80" t="str">
        <f aca="false">IF(D476="","",IFERROR(VLOOKUP($D476,cfg_LT,3,FALSE()),""))</f>
        <v/>
      </c>
      <c r="L476" s="80" t="str">
        <f aca="false">IF(D476="","",IFERROR(VLOOKUP($D476,cfg_LT,4,FALSE()),""))</f>
        <v/>
      </c>
      <c r="M476" s="80" t="str">
        <f aca="false">IF(D476="","",IFERROR(VLOOKUP($D476,cfg_LT,5,FALSE()),""))</f>
        <v/>
      </c>
      <c r="N476" s="97" t="n">
        <f aca="false">IF(OR(OR($B476="",$E476="",$F476=""),M476&lt;&gt;"نعم"),0,G476*J476*IFERROR(INDEX(الموظفون!$R$6:$R$105,MATCH(B476,الموظفون!$B$6:$B$105,0)),0)/cfg_DAYS_M)</f>
        <v>0</v>
      </c>
      <c r="O476" s="93" t="str">
        <f aca="false">IF(OR(OR($B476="",$E476="",$F476=""),M476&lt;&gt;"نعم"),"",IF(YEAR(E476)=cfg_FY,MONTH(E476),""))</f>
        <v/>
      </c>
      <c r="P476" s="80" t="str">
        <f aca="false">IF(B476="","",IF(OR(D476="",E476="",F476=""),"⚠ أكمل النوع والتواريخ",IF(F476&lt;E476,"✖ النهاية قبل البداية",IF(COUNTIFS($B$6:$B$505,B476,$E$6:$E$505,"&lt;="&amp;F476,$F$6:$F$505,"&gt;="&amp;E476)&gt;1,"⚠ تداخل مع سجل آخر",IF(E476&gt;cfg_VAL_DATE,"⏳ قادمة",IF(F476&lt;cfg_VAL_DATE,"✔ منتهية","✈ جارية في تاريخ التقرير"))))))</f>
        <v/>
      </c>
      <c r="Q476" s="79"/>
      <c r="R476" s="57" t="n">
        <f aca="false">IF(OR(OR($B476="",$E476="",$F476=""),L476&lt;&gt;"لا"),0,MAX(0,MIN(F476,cfg_Y_START-1)-E476+1))</f>
        <v>0</v>
      </c>
      <c r="S476" s="57" t="n">
        <f aca="false">IF(OR(OR($B476="",$E476="",$F476=""),L476&lt;&gt;"لا"),0,MAX(0,MIN(F476,cfg_VAL_DATE)-E476+1))</f>
        <v>0</v>
      </c>
      <c r="T476" s="57" t="n">
        <f aca="false">IF(OR(OR($B476="",$E476="",$F476=""),K476&lt;&gt;"نعم"),0,IF(M476="نعم",IF(AND(ISNUMBER(O476),N(O476)&lt;=cfg_VAL_M),G476,0),MAX(0,MIN(F476,cfg_VAL_DATE)-MAX(E476,cfg_Y_START)+1)))</f>
        <v>0</v>
      </c>
      <c r="V476" s="57" t="n">
        <f aca="false">IF(OR($B476="",$E476="",$F476=""),0,MAX(0,MIN($F476,EOMONTH(DATE(cfg_FY,1,1),0))-MAX($E476,DATE(cfg_FY,1,1))+1)*(1-IF($M476="نعم",0,N($J476))))</f>
        <v>0</v>
      </c>
      <c r="W476" s="57" t="n">
        <f aca="false">IF(OR($B476="",$E476="",$F476=""),0,MAX(0,MIN($F476,EOMONTH(DATE(cfg_FY,2,1),0))-MAX($E476,DATE(cfg_FY,2,1))+1)*(1-IF($M476="نعم",0,N($J476))))</f>
        <v>0</v>
      </c>
      <c r="X476" s="57" t="n">
        <f aca="false">IF(OR($B476="",$E476="",$F476=""),0,MAX(0,MIN($F476,EOMONTH(DATE(cfg_FY,3,1),0))-MAX($E476,DATE(cfg_FY,3,1))+1)*(1-IF($M476="نعم",0,N($J476))))</f>
        <v>0</v>
      </c>
      <c r="Y476" s="57" t="n">
        <f aca="false">IF(OR($B476="",$E476="",$F476=""),0,MAX(0,MIN($F476,EOMONTH(DATE(cfg_FY,4,1),0))-MAX($E476,DATE(cfg_FY,4,1))+1)*(1-IF($M476="نعم",0,N($J476))))</f>
        <v>0</v>
      </c>
      <c r="Z476" s="57" t="n">
        <f aca="false">IF(OR($B476="",$E476="",$F476=""),0,MAX(0,MIN($F476,EOMONTH(DATE(cfg_FY,5,1),0))-MAX($E476,DATE(cfg_FY,5,1))+1)*(1-IF($M476="نعم",0,N($J476))))</f>
        <v>0</v>
      </c>
      <c r="AA476" s="57" t="n">
        <f aca="false">IF(OR($B476="",$E476="",$F476=""),0,MAX(0,MIN($F476,EOMONTH(DATE(cfg_FY,6,1),0))-MAX($E476,DATE(cfg_FY,6,1))+1)*(1-IF($M476="نعم",0,N($J476))))</f>
        <v>0</v>
      </c>
      <c r="AB476" s="57" t="n">
        <f aca="false">IF(OR($B476="",$E476="",$F476=""),0,MAX(0,MIN($F476,EOMONTH(DATE(cfg_FY,7,1),0))-MAX($E476,DATE(cfg_FY,7,1))+1)*(1-IF($M476="نعم",0,N($J476))))</f>
        <v>0</v>
      </c>
      <c r="AC476" s="57" t="n">
        <f aca="false">IF(OR($B476="",$E476="",$F476=""),0,MAX(0,MIN($F476,EOMONTH(DATE(cfg_FY,8,1),0))-MAX($E476,DATE(cfg_FY,8,1))+1)*(1-IF($M476="نعم",0,N($J476))))</f>
        <v>0</v>
      </c>
      <c r="AD476" s="57" t="n">
        <f aca="false">IF(OR($B476="",$E476="",$F476=""),0,MAX(0,MIN($F476,EOMONTH(DATE(cfg_FY,9,1),0))-MAX($E476,DATE(cfg_FY,9,1))+1)*(1-IF($M476="نعم",0,N($J476))))</f>
        <v>0</v>
      </c>
      <c r="AE476" s="57" t="n">
        <f aca="false">IF(OR($B476="",$E476="",$F476=""),0,MAX(0,MIN($F476,EOMONTH(DATE(cfg_FY,10,1),0))-MAX($E476,DATE(cfg_FY,10,1))+1)*(1-IF($M476="نعم",0,N($J476))))</f>
        <v>0</v>
      </c>
      <c r="AF476" s="57" t="n">
        <f aca="false">IF(OR($B476="",$E476="",$F476=""),0,MAX(0,MIN($F476,EOMONTH(DATE(cfg_FY,11,1),0))-MAX($E476,DATE(cfg_FY,11,1))+1)*(1-IF($M476="نعم",0,N($J476))))</f>
        <v>0</v>
      </c>
      <c r="AG476" s="57" t="n">
        <f aca="false">IF(OR($B476="",$E476="",$F476=""),0,MAX(0,MIN($F476,EOMONTH(DATE(cfg_FY,12,1),0))-MAX($E476,DATE(cfg_FY,12,1))+1)*(1-IF($M476="نعم",0,N($J476))))</f>
        <v>0</v>
      </c>
      <c r="AH476" s="57" t="n">
        <f aca="false">IF(OR(OR($B476="",$E476="",$F476=""),$L476&lt;&gt;"لا"),0,MAX(0,MIN($F476,EOMONTH(DATE(cfg_FY,1,1),0))-$E476+1))</f>
        <v>0</v>
      </c>
      <c r="AI476" s="57" t="n">
        <f aca="false">IF(OR(OR($B476="",$E476="",$F476=""),$L476&lt;&gt;"لا"),0,MAX(0,MIN($F476,EOMONTH(DATE(cfg_FY,2,1),0))-$E476+1))</f>
        <v>0</v>
      </c>
      <c r="AJ476" s="57" t="n">
        <f aca="false">IF(OR(OR($B476="",$E476="",$F476=""),$L476&lt;&gt;"لا"),0,MAX(0,MIN($F476,EOMONTH(DATE(cfg_FY,3,1),0))-$E476+1))</f>
        <v>0</v>
      </c>
      <c r="AK476" s="57" t="n">
        <f aca="false">IF(OR(OR($B476="",$E476="",$F476=""),$L476&lt;&gt;"لا"),0,MAX(0,MIN($F476,EOMONTH(DATE(cfg_FY,4,1),0))-$E476+1))</f>
        <v>0</v>
      </c>
      <c r="AL476" s="57" t="n">
        <f aca="false">IF(OR(OR($B476="",$E476="",$F476=""),$L476&lt;&gt;"لا"),0,MAX(0,MIN($F476,EOMONTH(DATE(cfg_FY,5,1),0))-$E476+1))</f>
        <v>0</v>
      </c>
      <c r="AM476" s="57" t="n">
        <f aca="false">IF(OR(OR($B476="",$E476="",$F476=""),$L476&lt;&gt;"لا"),0,MAX(0,MIN($F476,EOMONTH(DATE(cfg_FY,6,1),0))-$E476+1))</f>
        <v>0</v>
      </c>
      <c r="AN476" s="57" t="n">
        <f aca="false">IF(OR(OR($B476="",$E476="",$F476=""),$L476&lt;&gt;"لا"),0,MAX(0,MIN($F476,EOMONTH(DATE(cfg_FY,7,1),0))-$E476+1))</f>
        <v>0</v>
      </c>
      <c r="AO476" s="57" t="n">
        <f aca="false">IF(OR(OR($B476="",$E476="",$F476=""),$L476&lt;&gt;"لا"),0,MAX(0,MIN($F476,EOMONTH(DATE(cfg_FY,8,1),0))-$E476+1))</f>
        <v>0</v>
      </c>
      <c r="AP476" s="57" t="n">
        <f aca="false">IF(OR(OR($B476="",$E476="",$F476=""),$L476&lt;&gt;"لا"),0,MAX(0,MIN($F476,EOMONTH(DATE(cfg_FY,9,1),0))-$E476+1))</f>
        <v>0</v>
      </c>
      <c r="AQ476" s="57" t="n">
        <f aca="false">IF(OR(OR($B476="",$E476="",$F476=""),$L476&lt;&gt;"لا"),0,MAX(0,MIN($F476,EOMONTH(DATE(cfg_FY,10,1),0))-$E476+1))</f>
        <v>0</v>
      </c>
      <c r="AR476" s="57" t="n">
        <f aca="false">IF(OR(OR($B476="",$E476="",$F476=""),$L476&lt;&gt;"لا"),0,MAX(0,MIN($F476,EOMONTH(DATE(cfg_FY,11,1),0))-$E476+1))</f>
        <v>0</v>
      </c>
      <c r="AS476" s="57" t="n">
        <f aca="false">IF(OR(OR($B476="",$E476="",$F476=""),$L476&lt;&gt;"لا"),0,MAX(0,MIN($F476,EOMONTH(DATE(cfg_FY,12,1),0))-$E476+1))</f>
        <v>0</v>
      </c>
      <c r="AT476" s="57" t="n">
        <f aca="false">IF(OR(OR($B476="",$E476="",$F476=""),$K476&lt;&gt;"نعم",$M476="نعم"),0,MAX(0,MIN($F476,EOMONTH(DATE(cfg_FY,1,1),0))-MAX($E476,DATE(cfg_FY,1,1))+1))</f>
        <v>0</v>
      </c>
      <c r="AU476" s="57" t="n">
        <f aca="false">IF(OR(OR($B476="",$E476="",$F476=""),$K476&lt;&gt;"نعم",$M476="نعم"),0,MAX(0,MIN($F476,EOMONTH(DATE(cfg_FY,2,1),0))-MAX($E476,DATE(cfg_FY,2,1))+1))</f>
        <v>0</v>
      </c>
      <c r="AV476" s="57" t="n">
        <f aca="false">IF(OR(OR($B476="",$E476="",$F476=""),$K476&lt;&gt;"نعم",$M476="نعم"),0,MAX(0,MIN($F476,EOMONTH(DATE(cfg_FY,3,1),0))-MAX($E476,DATE(cfg_FY,3,1))+1))</f>
        <v>0</v>
      </c>
      <c r="AW476" s="57" t="n">
        <f aca="false">IF(OR(OR($B476="",$E476="",$F476=""),$K476&lt;&gt;"نعم",$M476="نعم"),0,MAX(0,MIN($F476,EOMONTH(DATE(cfg_FY,4,1),0))-MAX($E476,DATE(cfg_FY,4,1))+1))</f>
        <v>0</v>
      </c>
      <c r="AX476" s="57" t="n">
        <f aca="false">IF(OR(OR($B476="",$E476="",$F476=""),$K476&lt;&gt;"نعم",$M476="نعم"),0,MAX(0,MIN($F476,EOMONTH(DATE(cfg_FY,5,1),0))-MAX($E476,DATE(cfg_FY,5,1))+1))</f>
        <v>0</v>
      </c>
      <c r="AY476" s="57" t="n">
        <f aca="false">IF(OR(OR($B476="",$E476="",$F476=""),$K476&lt;&gt;"نعم",$M476="نعم"),0,MAX(0,MIN($F476,EOMONTH(DATE(cfg_FY,6,1),0))-MAX($E476,DATE(cfg_FY,6,1))+1))</f>
        <v>0</v>
      </c>
      <c r="AZ476" s="57" t="n">
        <f aca="false">IF(OR(OR($B476="",$E476="",$F476=""),$K476&lt;&gt;"نعم",$M476="نعم"),0,MAX(0,MIN($F476,EOMONTH(DATE(cfg_FY,7,1),0))-MAX($E476,DATE(cfg_FY,7,1))+1))</f>
        <v>0</v>
      </c>
      <c r="BA476" s="57" t="n">
        <f aca="false">IF(OR(OR($B476="",$E476="",$F476=""),$K476&lt;&gt;"نعم",$M476="نعم"),0,MAX(0,MIN($F476,EOMONTH(DATE(cfg_FY,8,1),0))-MAX($E476,DATE(cfg_FY,8,1))+1))</f>
        <v>0</v>
      </c>
      <c r="BB476" s="57" t="n">
        <f aca="false">IF(OR(OR($B476="",$E476="",$F476=""),$K476&lt;&gt;"نعم",$M476="نعم"),0,MAX(0,MIN($F476,EOMONTH(DATE(cfg_FY,9,1),0))-MAX($E476,DATE(cfg_FY,9,1))+1))</f>
        <v>0</v>
      </c>
      <c r="BC476" s="57" t="n">
        <f aca="false">IF(OR(OR($B476="",$E476="",$F476=""),$K476&lt;&gt;"نعم",$M476="نعم"),0,MAX(0,MIN($F476,EOMONTH(DATE(cfg_FY,10,1),0))-MAX($E476,DATE(cfg_FY,10,1))+1))</f>
        <v>0</v>
      </c>
      <c r="BD476" s="57" t="n">
        <f aca="false">IF(OR(OR($B476="",$E476="",$F476=""),$K476&lt;&gt;"نعم",$M476="نعم"),0,MAX(0,MIN($F476,EOMONTH(DATE(cfg_FY,11,1),0))-MAX($E476,DATE(cfg_FY,11,1))+1))</f>
        <v>0</v>
      </c>
      <c r="BE476" s="57" t="n">
        <f aca="false">IF(OR(OR($B476="",$E476="",$F476=""),$K476&lt;&gt;"نعم",$M476="نعم"),0,MAX(0,MIN($F476,EOMONTH(DATE(cfg_FY,12,1),0))-MAX($E476,DATE(cfg_FY,12,1))+1))</f>
        <v>0</v>
      </c>
    </row>
    <row r="477" customFormat="false" ht="15" hidden="false" customHeight="false" outlineLevel="0" collapsed="false">
      <c r="A477" s="100" t="str">
        <f aca="false">IF(B477="","",ROW()-5)</f>
        <v/>
      </c>
      <c r="B477" s="79"/>
      <c r="C477" s="102" t="str">
        <f aca="false">IF(B477="","",IFERROR(INDEX(الموظفون!$C$6:$C$105,MATCH(B477,الموظفون!$B$6:$B$105,0)),"✖ رقم غير موجود"))</f>
        <v/>
      </c>
      <c r="D477" s="79"/>
      <c r="E477" s="94"/>
      <c r="F477" s="94"/>
      <c r="G477" s="110" t="str">
        <f aca="false">IF(OR($B477="",$E477="",$F477=""),"",MAX(0,F477-E477+1))</f>
        <v/>
      </c>
      <c r="H477" s="111" t="str">
        <f aca="false">IF(D477="","",IFERROR(VLOOKUP(D477,cfg_LT,2,FALSE()),1))</f>
        <v/>
      </c>
      <c r="I477" s="82"/>
      <c r="J477" s="111" t="str">
        <f aca="false">IF(D477="","",IF(I477&lt;&gt;"",I477,H477))</f>
        <v/>
      </c>
      <c r="K477" s="102" t="str">
        <f aca="false">IF(D477="","",IFERROR(VLOOKUP($D477,cfg_LT,3,FALSE()),""))</f>
        <v/>
      </c>
      <c r="L477" s="102" t="str">
        <f aca="false">IF(D477="","",IFERROR(VLOOKUP($D477,cfg_LT,4,FALSE()),""))</f>
        <v/>
      </c>
      <c r="M477" s="102" t="str">
        <f aca="false">IF(D477="","",IFERROR(VLOOKUP($D477,cfg_LT,5,FALSE()),""))</f>
        <v/>
      </c>
      <c r="N477" s="101" t="n">
        <f aca="false">IF(OR(OR($B477="",$E477="",$F477=""),M477&lt;&gt;"نعم"),0,G477*J477*IFERROR(INDEX(الموظفون!$R$6:$R$105,MATCH(B477,الموظفون!$B$6:$B$105,0)),0)/cfg_DAYS_M)</f>
        <v>0</v>
      </c>
      <c r="O477" s="100" t="str">
        <f aca="false">IF(OR(OR($B477="",$E477="",$F477=""),M477&lt;&gt;"نعم"),"",IF(YEAR(E477)=cfg_FY,MONTH(E477),""))</f>
        <v/>
      </c>
      <c r="P477" s="102" t="str">
        <f aca="false">IF(B477="","",IF(OR(D477="",E477="",F477=""),"⚠ أكمل النوع والتواريخ",IF(F477&lt;E477,"✖ النهاية قبل البداية",IF(COUNTIFS($B$6:$B$505,B477,$E$6:$E$505,"&lt;="&amp;F477,$F$6:$F$505,"&gt;="&amp;E477)&gt;1,"⚠ تداخل مع سجل آخر",IF(E477&gt;cfg_VAL_DATE,"⏳ قادمة",IF(F477&lt;cfg_VAL_DATE,"✔ منتهية","✈ جارية في تاريخ التقرير"))))))</f>
        <v/>
      </c>
      <c r="Q477" s="79"/>
      <c r="R477" s="110" t="n">
        <f aca="false">IF(OR(OR($B477="",$E477="",$F477=""),L477&lt;&gt;"لا"),0,MAX(0,MIN(F477,cfg_Y_START-1)-E477+1))</f>
        <v>0</v>
      </c>
      <c r="S477" s="110" t="n">
        <f aca="false">IF(OR(OR($B477="",$E477="",$F477=""),L477&lt;&gt;"لا"),0,MAX(0,MIN(F477,cfg_VAL_DATE)-E477+1))</f>
        <v>0</v>
      </c>
      <c r="T477" s="110" t="n">
        <f aca="false">IF(OR(OR($B477="",$E477="",$F477=""),K477&lt;&gt;"نعم"),0,IF(M477="نعم",IF(AND(ISNUMBER(O477),N(O477)&lt;=cfg_VAL_M),G477,0),MAX(0,MIN(F477,cfg_VAL_DATE)-MAX(E477,cfg_Y_START)+1)))</f>
        <v>0</v>
      </c>
      <c r="V477" s="110" t="n">
        <f aca="false">IF(OR($B477="",$E477="",$F477=""),0,MAX(0,MIN($F477,EOMONTH(DATE(cfg_FY,1,1),0))-MAX($E477,DATE(cfg_FY,1,1))+1)*(1-IF($M477="نعم",0,N($J477))))</f>
        <v>0</v>
      </c>
      <c r="W477" s="110" t="n">
        <f aca="false">IF(OR($B477="",$E477="",$F477=""),0,MAX(0,MIN($F477,EOMONTH(DATE(cfg_FY,2,1),0))-MAX($E477,DATE(cfg_FY,2,1))+1)*(1-IF($M477="نعم",0,N($J477))))</f>
        <v>0</v>
      </c>
      <c r="X477" s="110" t="n">
        <f aca="false">IF(OR($B477="",$E477="",$F477=""),0,MAX(0,MIN($F477,EOMONTH(DATE(cfg_FY,3,1),0))-MAX($E477,DATE(cfg_FY,3,1))+1)*(1-IF($M477="نعم",0,N($J477))))</f>
        <v>0</v>
      </c>
      <c r="Y477" s="110" t="n">
        <f aca="false">IF(OR($B477="",$E477="",$F477=""),0,MAX(0,MIN($F477,EOMONTH(DATE(cfg_FY,4,1),0))-MAX($E477,DATE(cfg_FY,4,1))+1)*(1-IF($M477="نعم",0,N($J477))))</f>
        <v>0</v>
      </c>
      <c r="Z477" s="110" t="n">
        <f aca="false">IF(OR($B477="",$E477="",$F477=""),0,MAX(0,MIN($F477,EOMONTH(DATE(cfg_FY,5,1),0))-MAX($E477,DATE(cfg_FY,5,1))+1)*(1-IF($M477="نعم",0,N($J477))))</f>
        <v>0</v>
      </c>
      <c r="AA477" s="110" t="n">
        <f aca="false">IF(OR($B477="",$E477="",$F477=""),0,MAX(0,MIN($F477,EOMONTH(DATE(cfg_FY,6,1),0))-MAX($E477,DATE(cfg_FY,6,1))+1)*(1-IF($M477="نعم",0,N($J477))))</f>
        <v>0</v>
      </c>
      <c r="AB477" s="110" t="n">
        <f aca="false">IF(OR($B477="",$E477="",$F477=""),0,MAX(0,MIN($F477,EOMONTH(DATE(cfg_FY,7,1),0))-MAX($E477,DATE(cfg_FY,7,1))+1)*(1-IF($M477="نعم",0,N($J477))))</f>
        <v>0</v>
      </c>
      <c r="AC477" s="110" t="n">
        <f aca="false">IF(OR($B477="",$E477="",$F477=""),0,MAX(0,MIN($F477,EOMONTH(DATE(cfg_FY,8,1),0))-MAX($E477,DATE(cfg_FY,8,1))+1)*(1-IF($M477="نعم",0,N($J477))))</f>
        <v>0</v>
      </c>
      <c r="AD477" s="110" t="n">
        <f aca="false">IF(OR($B477="",$E477="",$F477=""),0,MAX(0,MIN($F477,EOMONTH(DATE(cfg_FY,9,1),0))-MAX($E477,DATE(cfg_FY,9,1))+1)*(1-IF($M477="نعم",0,N($J477))))</f>
        <v>0</v>
      </c>
      <c r="AE477" s="110" t="n">
        <f aca="false">IF(OR($B477="",$E477="",$F477=""),0,MAX(0,MIN($F477,EOMONTH(DATE(cfg_FY,10,1),0))-MAX($E477,DATE(cfg_FY,10,1))+1)*(1-IF($M477="نعم",0,N($J477))))</f>
        <v>0</v>
      </c>
      <c r="AF477" s="110" t="n">
        <f aca="false">IF(OR($B477="",$E477="",$F477=""),0,MAX(0,MIN($F477,EOMONTH(DATE(cfg_FY,11,1),0))-MAX($E477,DATE(cfg_FY,11,1))+1)*(1-IF($M477="نعم",0,N($J477))))</f>
        <v>0</v>
      </c>
      <c r="AG477" s="110" t="n">
        <f aca="false">IF(OR($B477="",$E477="",$F477=""),0,MAX(0,MIN($F477,EOMONTH(DATE(cfg_FY,12,1),0))-MAX($E477,DATE(cfg_FY,12,1))+1)*(1-IF($M477="نعم",0,N($J477))))</f>
        <v>0</v>
      </c>
      <c r="AH477" s="110" t="n">
        <f aca="false">IF(OR(OR($B477="",$E477="",$F477=""),$L477&lt;&gt;"لا"),0,MAX(0,MIN($F477,EOMONTH(DATE(cfg_FY,1,1),0))-$E477+1))</f>
        <v>0</v>
      </c>
      <c r="AI477" s="110" t="n">
        <f aca="false">IF(OR(OR($B477="",$E477="",$F477=""),$L477&lt;&gt;"لا"),0,MAX(0,MIN($F477,EOMONTH(DATE(cfg_FY,2,1),0))-$E477+1))</f>
        <v>0</v>
      </c>
      <c r="AJ477" s="110" t="n">
        <f aca="false">IF(OR(OR($B477="",$E477="",$F477=""),$L477&lt;&gt;"لا"),0,MAX(0,MIN($F477,EOMONTH(DATE(cfg_FY,3,1),0))-$E477+1))</f>
        <v>0</v>
      </c>
      <c r="AK477" s="110" t="n">
        <f aca="false">IF(OR(OR($B477="",$E477="",$F477=""),$L477&lt;&gt;"لا"),0,MAX(0,MIN($F477,EOMONTH(DATE(cfg_FY,4,1),0))-$E477+1))</f>
        <v>0</v>
      </c>
      <c r="AL477" s="110" t="n">
        <f aca="false">IF(OR(OR($B477="",$E477="",$F477=""),$L477&lt;&gt;"لا"),0,MAX(0,MIN($F477,EOMONTH(DATE(cfg_FY,5,1),0))-$E477+1))</f>
        <v>0</v>
      </c>
      <c r="AM477" s="110" t="n">
        <f aca="false">IF(OR(OR($B477="",$E477="",$F477=""),$L477&lt;&gt;"لا"),0,MAX(0,MIN($F477,EOMONTH(DATE(cfg_FY,6,1),0))-$E477+1))</f>
        <v>0</v>
      </c>
      <c r="AN477" s="110" t="n">
        <f aca="false">IF(OR(OR($B477="",$E477="",$F477=""),$L477&lt;&gt;"لا"),0,MAX(0,MIN($F477,EOMONTH(DATE(cfg_FY,7,1),0))-$E477+1))</f>
        <v>0</v>
      </c>
      <c r="AO477" s="110" t="n">
        <f aca="false">IF(OR(OR($B477="",$E477="",$F477=""),$L477&lt;&gt;"لا"),0,MAX(0,MIN($F477,EOMONTH(DATE(cfg_FY,8,1),0))-$E477+1))</f>
        <v>0</v>
      </c>
      <c r="AP477" s="110" t="n">
        <f aca="false">IF(OR(OR($B477="",$E477="",$F477=""),$L477&lt;&gt;"لا"),0,MAX(0,MIN($F477,EOMONTH(DATE(cfg_FY,9,1),0))-$E477+1))</f>
        <v>0</v>
      </c>
      <c r="AQ477" s="110" t="n">
        <f aca="false">IF(OR(OR($B477="",$E477="",$F477=""),$L477&lt;&gt;"لا"),0,MAX(0,MIN($F477,EOMONTH(DATE(cfg_FY,10,1),0))-$E477+1))</f>
        <v>0</v>
      </c>
      <c r="AR477" s="110" t="n">
        <f aca="false">IF(OR(OR($B477="",$E477="",$F477=""),$L477&lt;&gt;"لا"),0,MAX(0,MIN($F477,EOMONTH(DATE(cfg_FY,11,1),0))-$E477+1))</f>
        <v>0</v>
      </c>
      <c r="AS477" s="110" t="n">
        <f aca="false">IF(OR(OR($B477="",$E477="",$F477=""),$L477&lt;&gt;"لا"),0,MAX(0,MIN($F477,EOMONTH(DATE(cfg_FY,12,1),0))-$E477+1))</f>
        <v>0</v>
      </c>
      <c r="AT477" s="110" t="n">
        <f aca="false">IF(OR(OR($B477="",$E477="",$F477=""),$K477&lt;&gt;"نعم",$M477="نعم"),0,MAX(0,MIN($F477,EOMONTH(DATE(cfg_FY,1,1),0))-MAX($E477,DATE(cfg_FY,1,1))+1))</f>
        <v>0</v>
      </c>
      <c r="AU477" s="110" t="n">
        <f aca="false">IF(OR(OR($B477="",$E477="",$F477=""),$K477&lt;&gt;"نعم",$M477="نعم"),0,MAX(0,MIN($F477,EOMONTH(DATE(cfg_FY,2,1),0))-MAX($E477,DATE(cfg_FY,2,1))+1))</f>
        <v>0</v>
      </c>
      <c r="AV477" s="110" t="n">
        <f aca="false">IF(OR(OR($B477="",$E477="",$F477=""),$K477&lt;&gt;"نعم",$M477="نعم"),0,MAX(0,MIN($F477,EOMONTH(DATE(cfg_FY,3,1),0))-MAX($E477,DATE(cfg_FY,3,1))+1))</f>
        <v>0</v>
      </c>
      <c r="AW477" s="110" t="n">
        <f aca="false">IF(OR(OR($B477="",$E477="",$F477=""),$K477&lt;&gt;"نعم",$M477="نعم"),0,MAX(0,MIN($F477,EOMONTH(DATE(cfg_FY,4,1),0))-MAX($E477,DATE(cfg_FY,4,1))+1))</f>
        <v>0</v>
      </c>
      <c r="AX477" s="110" t="n">
        <f aca="false">IF(OR(OR($B477="",$E477="",$F477=""),$K477&lt;&gt;"نعم",$M477="نعم"),0,MAX(0,MIN($F477,EOMONTH(DATE(cfg_FY,5,1),0))-MAX($E477,DATE(cfg_FY,5,1))+1))</f>
        <v>0</v>
      </c>
      <c r="AY477" s="110" t="n">
        <f aca="false">IF(OR(OR($B477="",$E477="",$F477=""),$K477&lt;&gt;"نعم",$M477="نعم"),0,MAX(0,MIN($F477,EOMONTH(DATE(cfg_FY,6,1),0))-MAX($E477,DATE(cfg_FY,6,1))+1))</f>
        <v>0</v>
      </c>
      <c r="AZ477" s="110" t="n">
        <f aca="false">IF(OR(OR($B477="",$E477="",$F477=""),$K477&lt;&gt;"نعم",$M477="نعم"),0,MAX(0,MIN($F477,EOMONTH(DATE(cfg_FY,7,1),0))-MAX($E477,DATE(cfg_FY,7,1))+1))</f>
        <v>0</v>
      </c>
      <c r="BA477" s="110" t="n">
        <f aca="false">IF(OR(OR($B477="",$E477="",$F477=""),$K477&lt;&gt;"نعم",$M477="نعم"),0,MAX(0,MIN($F477,EOMONTH(DATE(cfg_FY,8,1),0))-MAX($E477,DATE(cfg_FY,8,1))+1))</f>
        <v>0</v>
      </c>
      <c r="BB477" s="110" t="n">
        <f aca="false">IF(OR(OR($B477="",$E477="",$F477=""),$K477&lt;&gt;"نعم",$M477="نعم"),0,MAX(0,MIN($F477,EOMONTH(DATE(cfg_FY,9,1),0))-MAX($E477,DATE(cfg_FY,9,1))+1))</f>
        <v>0</v>
      </c>
      <c r="BC477" s="110" t="n">
        <f aca="false">IF(OR(OR($B477="",$E477="",$F477=""),$K477&lt;&gt;"نعم",$M477="نعم"),0,MAX(0,MIN($F477,EOMONTH(DATE(cfg_FY,10,1),0))-MAX($E477,DATE(cfg_FY,10,1))+1))</f>
        <v>0</v>
      </c>
      <c r="BD477" s="110" t="n">
        <f aca="false">IF(OR(OR($B477="",$E477="",$F477=""),$K477&lt;&gt;"نعم",$M477="نعم"),0,MAX(0,MIN($F477,EOMONTH(DATE(cfg_FY,11,1),0))-MAX($E477,DATE(cfg_FY,11,1))+1))</f>
        <v>0</v>
      </c>
      <c r="BE477" s="110" t="n">
        <f aca="false">IF(OR(OR($B477="",$E477="",$F477=""),$K477&lt;&gt;"نعم",$M477="نعم"),0,MAX(0,MIN($F477,EOMONTH(DATE(cfg_FY,12,1),0))-MAX($E477,DATE(cfg_FY,12,1))+1))</f>
        <v>0</v>
      </c>
    </row>
    <row r="478" customFormat="false" ht="15" hidden="false" customHeight="false" outlineLevel="0" collapsed="false">
      <c r="A478" s="93" t="str">
        <f aca="false">IF(B478="","",ROW()-5)</f>
        <v/>
      </c>
      <c r="B478" s="79"/>
      <c r="C478" s="80" t="str">
        <f aca="false">IF(B478="","",IFERROR(INDEX(الموظفون!$C$6:$C$105,MATCH(B478,الموظفون!$B$6:$B$105,0)),"✖ رقم غير موجود"))</f>
        <v/>
      </c>
      <c r="D478" s="79"/>
      <c r="E478" s="94"/>
      <c r="F478" s="94"/>
      <c r="G478" s="57" t="str">
        <f aca="false">IF(OR($B478="",$E478="",$F478=""),"",MAX(0,F478-E478+1))</f>
        <v/>
      </c>
      <c r="H478" s="58" t="str">
        <f aca="false">IF(D478="","",IFERROR(VLOOKUP(D478,cfg_LT,2,FALSE()),1))</f>
        <v/>
      </c>
      <c r="I478" s="82"/>
      <c r="J478" s="58" t="str">
        <f aca="false">IF(D478="","",IF(I478&lt;&gt;"",I478,H478))</f>
        <v/>
      </c>
      <c r="K478" s="80" t="str">
        <f aca="false">IF(D478="","",IFERROR(VLOOKUP($D478,cfg_LT,3,FALSE()),""))</f>
        <v/>
      </c>
      <c r="L478" s="80" t="str">
        <f aca="false">IF(D478="","",IFERROR(VLOOKUP($D478,cfg_LT,4,FALSE()),""))</f>
        <v/>
      </c>
      <c r="M478" s="80" t="str">
        <f aca="false">IF(D478="","",IFERROR(VLOOKUP($D478,cfg_LT,5,FALSE()),""))</f>
        <v/>
      </c>
      <c r="N478" s="97" t="n">
        <f aca="false">IF(OR(OR($B478="",$E478="",$F478=""),M478&lt;&gt;"نعم"),0,G478*J478*IFERROR(INDEX(الموظفون!$R$6:$R$105,MATCH(B478,الموظفون!$B$6:$B$105,0)),0)/cfg_DAYS_M)</f>
        <v>0</v>
      </c>
      <c r="O478" s="93" t="str">
        <f aca="false">IF(OR(OR($B478="",$E478="",$F478=""),M478&lt;&gt;"نعم"),"",IF(YEAR(E478)=cfg_FY,MONTH(E478),""))</f>
        <v/>
      </c>
      <c r="P478" s="80" t="str">
        <f aca="false">IF(B478="","",IF(OR(D478="",E478="",F478=""),"⚠ أكمل النوع والتواريخ",IF(F478&lt;E478,"✖ النهاية قبل البداية",IF(COUNTIFS($B$6:$B$505,B478,$E$6:$E$505,"&lt;="&amp;F478,$F$6:$F$505,"&gt;="&amp;E478)&gt;1,"⚠ تداخل مع سجل آخر",IF(E478&gt;cfg_VAL_DATE,"⏳ قادمة",IF(F478&lt;cfg_VAL_DATE,"✔ منتهية","✈ جارية في تاريخ التقرير"))))))</f>
        <v/>
      </c>
      <c r="Q478" s="79"/>
      <c r="R478" s="57" t="n">
        <f aca="false">IF(OR(OR($B478="",$E478="",$F478=""),L478&lt;&gt;"لا"),0,MAX(0,MIN(F478,cfg_Y_START-1)-E478+1))</f>
        <v>0</v>
      </c>
      <c r="S478" s="57" t="n">
        <f aca="false">IF(OR(OR($B478="",$E478="",$F478=""),L478&lt;&gt;"لا"),0,MAX(0,MIN(F478,cfg_VAL_DATE)-E478+1))</f>
        <v>0</v>
      </c>
      <c r="T478" s="57" t="n">
        <f aca="false">IF(OR(OR($B478="",$E478="",$F478=""),K478&lt;&gt;"نعم"),0,IF(M478="نعم",IF(AND(ISNUMBER(O478),N(O478)&lt;=cfg_VAL_M),G478,0),MAX(0,MIN(F478,cfg_VAL_DATE)-MAX(E478,cfg_Y_START)+1)))</f>
        <v>0</v>
      </c>
      <c r="V478" s="57" t="n">
        <f aca="false">IF(OR($B478="",$E478="",$F478=""),0,MAX(0,MIN($F478,EOMONTH(DATE(cfg_FY,1,1),0))-MAX($E478,DATE(cfg_FY,1,1))+1)*(1-IF($M478="نعم",0,N($J478))))</f>
        <v>0</v>
      </c>
      <c r="W478" s="57" t="n">
        <f aca="false">IF(OR($B478="",$E478="",$F478=""),0,MAX(0,MIN($F478,EOMONTH(DATE(cfg_FY,2,1),0))-MAX($E478,DATE(cfg_FY,2,1))+1)*(1-IF($M478="نعم",0,N($J478))))</f>
        <v>0</v>
      </c>
      <c r="X478" s="57" t="n">
        <f aca="false">IF(OR($B478="",$E478="",$F478=""),0,MAX(0,MIN($F478,EOMONTH(DATE(cfg_FY,3,1),0))-MAX($E478,DATE(cfg_FY,3,1))+1)*(1-IF($M478="نعم",0,N($J478))))</f>
        <v>0</v>
      </c>
      <c r="Y478" s="57" t="n">
        <f aca="false">IF(OR($B478="",$E478="",$F478=""),0,MAX(0,MIN($F478,EOMONTH(DATE(cfg_FY,4,1),0))-MAX($E478,DATE(cfg_FY,4,1))+1)*(1-IF($M478="نعم",0,N($J478))))</f>
        <v>0</v>
      </c>
      <c r="Z478" s="57" t="n">
        <f aca="false">IF(OR($B478="",$E478="",$F478=""),0,MAX(0,MIN($F478,EOMONTH(DATE(cfg_FY,5,1),0))-MAX($E478,DATE(cfg_FY,5,1))+1)*(1-IF($M478="نعم",0,N($J478))))</f>
        <v>0</v>
      </c>
      <c r="AA478" s="57" t="n">
        <f aca="false">IF(OR($B478="",$E478="",$F478=""),0,MAX(0,MIN($F478,EOMONTH(DATE(cfg_FY,6,1),0))-MAX($E478,DATE(cfg_FY,6,1))+1)*(1-IF($M478="نعم",0,N($J478))))</f>
        <v>0</v>
      </c>
      <c r="AB478" s="57" t="n">
        <f aca="false">IF(OR($B478="",$E478="",$F478=""),0,MAX(0,MIN($F478,EOMONTH(DATE(cfg_FY,7,1),0))-MAX($E478,DATE(cfg_FY,7,1))+1)*(1-IF($M478="نعم",0,N($J478))))</f>
        <v>0</v>
      </c>
      <c r="AC478" s="57" t="n">
        <f aca="false">IF(OR($B478="",$E478="",$F478=""),0,MAX(0,MIN($F478,EOMONTH(DATE(cfg_FY,8,1),0))-MAX($E478,DATE(cfg_FY,8,1))+1)*(1-IF($M478="نعم",0,N($J478))))</f>
        <v>0</v>
      </c>
      <c r="AD478" s="57" t="n">
        <f aca="false">IF(OR($B478="",$E478="",$F478=""),0,MAX(0,MIN($F478,EOMONTH(DATE(cfg_FY,9,1),0))-MAX($E478,DATE(cfg_FY,9,1))+1)*(1-IF($M478="نعم",0,N($J478))))</f>
        <v>0</v>
      </c>
      <c r="AE478" s="57" t="n">
        <f aca="false">IF(OR($B478="",$E478="",$F478=""),0,MAX(0,MIN($F478,EOMONTH(DATE(cfg_FY,10,1),0))-MAX($E478,DATE(cfg_FY,10,1))+1)*(1-IF($M478="نعم",0,N($J478))))</f>
        <v>0</v>
      </c>
      <c r="AF478" s="57" t="n">
        <f aca="false">IF(OR($B478="",$E478="",$F478=""),0,MAX(0,MIN($F478,EOMONTH(DATE(cfg_FY,11,1),0))-MAX($E478,DATE(cfg_FY,11,1))+1)*(1-IF($M478="نعم",0,N($J478))))</f>
        <v>0</v>
      </c>
      <c r="AG478" s="57" t="n">
        <f aca="false">IF(OR($B478="",$E478="",$F478=""),0,MAX(0,MIN($F478,EOMONTH(DATE(cfg_FY,12,1),0))-MAX($E478,DATE(cfg_FY,12,1))+1)*(1-IF($M478="نعم",0,N($J478))))</f>
        <v>0</v>
      </c>
      <c r="AH478" s="57" t="n">
        <f aca="false">IF(OR(OR($B478="",$E478="",$F478=""),$L478&lt;&gt;"لا"),0,MAX(0,MIN($F478,EOMONTH(DATE(cfg_FY,1,1),0))-$E478+1))</f>
        <v>0</v>
      </c>
      <c r="AI478" s="57" t="n">
        <f aca="false">IF(OR(OR($B478="",$E478="",$F478=""),$L478&lt;&gt;"لا"),0,MAX(0,MIN($F478,EOMONTH(DATE(cfg_FY,2,1),0))-$E478+1))</f>
        <v>0</v>
      </c>
      <c r="AJ478" s="57" t="n">
        <f aca="false">IF(OR(OR($B478="",$E478="",$F478=""),$L478&lt;&gt;"لا"),0,MAX(0,MIN($F478,EOMONTH(DATE(cfg_FY,3,1),0))-$E478+1))</f>
        <v>0</v>
      </c>
      <c r="AK478" s="57" t="n">
        <f aca="false">IF(OR(OR($B478="",$E478="",$F478=""),$L478&lt;&gt;"لا"),0,MAX(0,MIN($F478,EOMONTH(DATE(cfg_FY,4,1),0))-$E478+1))</f>
        <v>0</v>
      </c>
      <c r="AL478" s="57" t="n">
        <f aca="false">IF(OR(OR($B478="",$E478="",$F478=""),$L478&lt;&gt;"لا"),0,MAX(0,MIN($F478,EOMONTH(DATE(cfg_FY,5,1),0))-$E478+1))</f>
        <v>0</v>
      </c>
      <c r="AM478" s="57" t="n">
        <f aca="false">IF(OR(OR($B478="",$E478="",$F478=""),$L478&lt;&gt;"لا"),0,MAX(0,MIN($F478,EOMONTH(DATE(cfg_FY,6,1),0))-$E478+1))</f>
        <v>0</v>
      </c>
      <c r="AN478" s="57" t="n">
        <f aca="false">IF(OR(OR($B478="",$E478="",$F478=""),$L478&lt;&gt;"لا"),0,MAX(0,MIN($F478,EOMONTH(DATE(cfg_FY,7,1),0))-$E478+1))</f>
        <v>0</v>
      </c>
      <c r="AO478" s="57" t="n">
        <f aca="false">IF(OR(OR($B478="",$E478="",$F478=""),$L478&lt;&gt;"لا"),0,MAX(0,MIN($F478,EOMONTH(DATE(cfg_FY,8,1),0))-$E478+1))</f>
        <v>0</v>
      </c>
      <c r="AP478" s="57" t="n">
        <f aca="false">IF(OR(OR($B478="",$E478="",$F478=""),$L478&lt;&gt;"لا"),0,MAX(0,MIN($F478,EOMONTH(DATE(cfg_FY,9,1),0))-$E478+1))</f>
        <v>0</v>
      </c>
      <c r="AQ478" s="57" t="n">
        <f aca="false">IF(OR(OR($B478="",$E478="",$F478=""),$L478&lt;&gt;"لا"),0,MAX(0,MIN($F478,EOMONTH(DATE(cfg_FY,10,1),0))-$E478+1))</f>
        <v>0</v>
      </c>
      <c r="AR478" s="57" t="n">
        <f aca="false">IF(OR(OR($B478="",$E478="",$F478=""),$L478&lt;&gt;"لا"),0,MAX(0,MIN($F478,EOMONTH(DATE(cfg_FY,11,1),0))-$E478+1))</f>
        <v>0</v>
      </c>
      <c r="AS478" s="57" t="n">
        <f aca="false">IF(OR(OR($B478="",$E478="",$F478=""),$L478&lt;&gt;"لا"),0,MAX(0,MIN($F478,EOMONTH(DATE(cfg_FY,12,1),0))-$E478+1))</f>
        <v>0</v>
      </c>
      <c r="AT478" s="57" t="n">
        <f aca="false">IF(OR(OR($B478="",$E478="",$F478=""),$K478&lt;&gt;"نعم",$M478="نعم"),0,MAX(0,MIN($F478,EOMONTH(DATE(cfg_FY,1,1),0))-MAX($E478,DATE(cfg_FY,1,1))+1))</f>
        <v>0</v>
      </c>
      <c r="AU478" s="57" t="n">
        <f aca="false">IF(OR(OR($B478="",$E478="",$F478=""),$K478&lt;&gt;"نعم",$M478="نعم"),0,MAX(0,MIN($F478,EOMONTH(DATE(cfg_FY,2,1),0))-MAX($E478,DATE(cfg_FY,2,1))+1))</f>
        <v>0</v>
      </c>
      <c r="AV478" s="57" t="n">
        <f aca="false">IF(OR(OR($B478="",$E478="",$F478=""),$K478&lt;&gt;"نعم",$M478="نعم"),0,MAX(0,MIN($F478,EOMONTH(DATE(cfg_FY,3,1),0))-MAX($E478,DATE(cfg_FY,3,1))+1))</f>
        <v>0</v>
      </c>
      <c r="AW478" s="57" t="n">
        <f aca="false">IF(OR(OR($B478="",$E478="",$F478=""),$K478&lt;&gt;"نعم",$M478="نعم"),0,MAX(0,MIN($F478,EOMONTH(DATE(cfg_FY,4,1),0))-MAX($E478,DATE(cfg_FY,4,1))+1))</f>
        <v>0</v>
      </c>
      <c r="AX478" s="57" t="n">
        <f aca="false">IF(OR(OR($B478="",$E478="",$F478=""),$K478&lt;&gt;"نعم",$M478="نعم"),0,MAX(0,MIN($F478,EOMONTH(DATE(cfg_FY,5,1),0))-MAX($E478,DATE(cfg_FY,5,1))+1))</f>
        <v>0</v>
      </c>
      <c r="AY478" s="57" t="n">
        <f aca="false">IF(OR(OR($B478="",$E478="",$F478=""),$K478&lt;&gt;"نعم",$M478="نعم"),0,MAX(0,MIN($F478,EOMONTH(DATE(cfg_FY,6,1),0))-MAX($E478,DATE(cfg_FY,6,1))+1))</f>
        <v>0</v>
      </c>
      <c r="AZ478" s="57" t="n">
        <f aca="false">IF(OR(OR($B478="",$E478="",$F478=""),$K478&lt;&gt;"نعم",$M478="نعم"),0,MAX(0,MIN($F478,EOMONTH(DATE(cfg_FY,7,1),0))-MAX($E478,DATE(cfg_FY,7,1))+1))</f>
        <v>0</v>
      </c>
      <c r="BA478" s="57" t="n">
        <f aca="false">IF(OR(OR($B478="",$E478="",$F478=""),$K478&lt;&gt;"نعم",$M478="نعم"),0,MAX(0,MIN($F478,EOMONTH(DATE(cfg_FY,8,1),0))-MAX($E478,DATE(cfg_FY,8,1))+1))</f>
        <v>0</v>
      </c>
      <c r="BB478" s="57" t="n">
        <f aca="false">IF(OR(OR($B478="",$E478="",$F478=""),$K478&lt;&gt;"نعم",$M478="نعم"),0,MAX(0,MIN($F478,EOMONTH(DATE(cfg_FY,9,1),0))-MAX($E478,DATE(cfg_FY,9,1))+1))</f>
        <v>0</v>
      </c>
      <c r="BC478" s="57" t="n">
        <f aca="false">IF(OR(OR($B478="",$E478="",$F478=""),$K478&lt;&gt;"نعم",$M478="نعم"),0,MAX(0,MIN($F478,EOMONTH(DATE(cfg_FY,10,1),0))-MAX($E478,DATE(cfg_FY,10,1))+1))</f>
        <v>0</v>
      </c>
      <c r="BD478" s="57" t="n">
        <f aca="false">IF(OR(OR($B478="",$E478="",$F478=""),$K478&lt;&gt;"نعم",$M478="نعم"),0,MAX(0,MIN($F478,EOMONTH(DATE(cfg_FY,11,1),0))-MAX($E478,DATE(cfg_FY,11,1))+1))</f>
        <v>0</v>
      </c>
      <c r="BE478" s="57" t="n">
        <f aca="false">IF(OR(OR($B478="",$E478="",$F478=""),$K478&lt;&gt;"نعم",$M478="نعم"),0,MAX(0,MIN($F478,EOMONTH(DATE(cfg_FY,12,1),0))-MAX($E478,DATE(cfg_FY,12,1))+1))</f>
        <v>0</v>
      </c>
    </row>
    <row r="479" customFormat="false" ht="15" hidden="false" customHeight="false" outlineLevel="0" collapsed="false">
      <c r="A479" s="100" t="str">
        <f aca="false">IF(B479="","",ROW()-5)</f>
        <v/>
      </c>
      <c r="B479" s="79"/>
      <c r="C479" s="102" t="str">
        <f aca="false">IF(B479="","",IFERROR(INDEX(الموظفون!$C$6:$C$105,MATCH(B479,الموظفون!$B$6:$B$105,0)),"✖ رقم غير موجود"))</f>
        <v/>
      </c>
      <c r="D479" s="79"/>
      <c r="E479" s="94"/>
      <c r="F479" s="94"/>
      <c r="G479" s="110" t="str">
        <f aca="false">IF(OR($B479="",$E479="",$F479=""),"",MAX(0,F479-E479+1))</f>
        <v/>
      </c>
      <c r="H479" s="111" t="str">
        <f aca="false">IF(D479="","",IFERROR(VLOOKUP(D479,cfg_LT,2,FALSE()),1))</f>
        <v/>
      </c>
      <c r="I479" s="82"/>
      <c r="J479" s="111" t="str">
        <f aca="false">IF(D479="","",IF(I479&lt;&gt;"",I479,H479))</f>
        <v/>
      </c>
      <c r="K479" s="102" t="str">
        <f aca="false">IF(D479="","",IFERROR(VLOOKUP($D479,cfg_LT,3,FALSE()),""))</f>
        <v/>
      </c>
      <c r="L479" s="102" t="str">
        <f aca="false">IF(D479="","",IFERROR(VLOOKUP($D479,cfg_LT,4,FALSE()),""))</f>
        <v/>
      </c>
      <c r="M479" s="102" t="str">
        <f aca="false">IF(D479="","",IFERROR(VLOOKUP($D479,cfg_LT,5,FALSE()),""))</f>
        <v/>
      </c>
      <c r="N479" s="101" t="n">
        <f aca="false">IF(OR(OR($B479="",$E479="",$F479=""),M479&lt;&gt;"نعم"),0,G479*J479*IFERROR(INDEX(الموظفون!$R$6:$R$105,MATCH(B479,الموظفون!$B$6:$B$105,0)),0)/cfg_DAYS_M)</f>
        <v>0</v>
      </c>
      <c r="O479" s="100" t="str">
        <f aca="false">IF(OR(OR($B479="",$E479="",$F479=""),M479&lt;&gt;"نعم"),"",IF(YEAR(E479)=cfg_FY,MONTH(E479),""))</f>
        <v/>
      </c>
      <c r="P479" s="102" t="str">
        <f aca="false">IF(B479="","",IF(OR(D479="",E479="",F479=""),"⚠ أكمل النوع والتواريخ",IF(F479&lt;E479,"✖ النهاية قبل البداية",IF(COUNTIFS($B$6:$B$505,B479,$E$6:$E$505,"&lt;="&amp;F479,$F$6:$F$505,"&gt;="&amp;E479)&gt;1,"⚠ تداخل مع سجل آخر",IF(E479&gt;cfg_VAL_DATE,"⏳ قادمة",IF(F479&lt;cfg_VAL_DATE,"✔ منتهية","✈ جارية في تاريخ التقرير"))))))</f>
        <v/>
      </c>
      <c r="Q479" s="79"/>
      <c r="R479" s="110" t="n">
        <f aca="false">IF(OR(OR($B479="",$E479="",$F479=""),L479&lt;&gt;"لا"),0,MAX(0,MIN(F479,cfg_Y_START-1)-E479+1))</f>
        <v>0</v>
      </c>
      <c r="S479" s="110" t="n">
        <f aca="false">IF(OR(OR($B479="",$E479="",$F479=""),L479&lt;&gt;"لا"),0,MAX(0,MIN(F479,cfg_VAL_DATE)-E479+1))</f>
        <v>0</v>
      </c>
      <c r="T479" s="110" t="n">
        <f aca="false">IF(OR(OR($B479="",$E479="",$F479=""),K479&lt;&gt;"نعم"),0,IF(M479="نعم",IF(AND(ISNUMBER(O479),N(O479)&lt;=cfg_VAL_M),G479,0),MAX(0,MIN(F479,cfg_VAL_DATE)-MAX(E479,cfg_Y_START)+1)))</f>
        <v>0</v>
      </c>
      <c r="V479" s="110" t="n">
        <f aca="false">IF(OR($B479="",$E479="",$F479=""),0,MAX(0,MIN($F479,EOMONTH(DATE(cfg_FY,1,1),0))-MAX($E479,DATE(cfg_FY,1,1))+1)*(1-IF($M479="نعم",0,N($J479))))</f>
        <v>0</v>
      </c>
      <c r="W479" s="110" t="n">
        <f aca="false">IF(OR($B479="",$E479="",$F479=""),0,MAX(0,MIN($F479,EOMONTH(DATE(cfg_FY,2,1),0))-MAX($E479,DATE(cfg_FY,2,1))+1)*(1-IF($M479="نعم",0,N($J479))))</f>
        <v>0</v>
      </c>
      <c r="X479" s="110" t="n">
        <f aca="false">IF(OR($B479="",$E479="",$F479=""),0,MAX(0,MIN($F479,EOMONTH(DATE(cfg_FY,3,1),0))-MAX($E479,DATE(cfg_FY,3,1))+1)*(1-IF($M479="نعم",0,N($J479))))</f>
        <v>0</v>
      </c>
      <c r="Y479" s="110" t="n">
        <f aca="false">IF(OR($B479="",$E479="",$F479=""),0,MAX(0,MIN($F479,EOMONTH(DATE(cfg_FY,4,1),0))-MAX($E479,DATE(cfg_FY,4,1))+1)*(1-IF($M479="نعم",0,N($J479))))</f>
        <v>0</v>
      </c>
      <c r="Z479" s="110" t="n">
        <f aca="false">IF(OR($B479="",$E479="",$F479=""),0,MAX(0,MIN($F479,EOMONTH(DATE(cfg_FY,5,1),0))-MAX($E479,DATE(cfg_FY,5,1))+1)*(1-IF($M479="نعم",0,N($J479))))</f>
        <v>0</v>
      </c>
      <c r="AA479" s="110" t="n">
        <f aca="false">IF(OR($B479="",$E479="",$F479=""),0,MAX(0,MIN($F479,EOMONTH(DATE(cfg_FY,6,1),0))-MAX($E479,DATE(cfg_FY,6,1))+1)*(1-IF($M479="نعم",0,N($J479))))</f>
        <v>0</v>
      </c>
      <c r="AB479" s="110" t="n">
        <f aca="false">IF(OR($B479="",$E479="",$F479=""),0,MAX(0,MIN($F479,EOMONTH(DATE(cfg_FY,7,1),0))-MAX($E479,DATE(cfg_FY,7,1))+1)*(1-IF($M479="نعم",0,N($J479))))</f>
        <v>0</v>
      </c>
      <c r="AC479" s="110" t="n">
        <f aca="false">IF(OR($B479="",$E479="",$F479=""),0,MAX(0,MIN($F479,EOMONTH(DATE(cfg_FY,8,1),0))-MAX($E479,DATE(cfg_FY,8,1))+1)*(1-IF($M479="نعم",0,N($J479))))</f>
        <v>0</v>
      </c>
      <c r="AD479" s="110" t="n">
        <f aca="false">IF(OR($B479="",$E479="",$F479=""),0,MAX(0,MIN($F479,EOMONTH(DATE(cfg_FY,9,1),0))-MAX($E479,DATE(cfg_FY,9,1))+1)*(1-IF($M479="نعم",0,N($J479))))</f>
        <v>0</v>
      </c>
      <c r="AE479" s="110" t="n">
        <f aca="false">IF(OR($B479="",$E479="",$F479=""),0,MAX(0,MIN($F479,EOMONTH(DATE(cfg_FY,10,1),0))-MAX($E479,DATE(cfg_FY,10,1))+1)*(1-IF($M479="نعم",0,N($J479))))</f>
        <v>0</v>
      </c>
      <c r="AF479" s="110" t="n">
        <f aca="false">IF(OR($B479="",$E479="",$F479=""),0,MAX(0,MIN($F479,EOMONTH(DATE(cfg_FY,11,1),0))-MAX($E479,DATE(cfg_FY,11,1))+1)*(1-IF($M479="نعم",0,N($J479))))</f>
        <v>0</v>
      </c>
      <c r="AG479" s="110" t="n">
        <f aca="false">IF(OR($B479="",$E479="",$F479=""),0,MAX(0,MIN($F479,EOMONTH(DATE(cfg_FY,12,1),0))-MAX($E479,DATE(cfg_FY,12,1))+1)*(1-IF($M479="نعم",0,N($J479))))</f>
        <v>0</v>
      </c>
      <c r="AH479" s="110" t="n">
        <f aca="false">IF(OR(OR($B479="",$E479="",$F479=""),$L479&lt;&gt;"لا"),0,MAX(0,MIN($F479,EOMONTH(DATE(cfg_FY,1,1),0))-$E479+1))</f>
        <v>0</v>
      </c>
      <c r="AI479" s="110" t="n">
        <f aca="false">IF(OR(OR($B479="",$E479="",$F479=""),$L479&lt;&gt;"لا"),0,MAX(0,MIN($F479,EOMONTH(DATE(cfg_FY,2,1),0))-$E479+1))</f>
        <v>0</v>
      </c>
      <c r="AJ479" s="110" t="n">
        <f aca="false">IF(OR(OR($B479="",$E479="",$F479=""),$L479&lt;&gt;"لا"),0,MAX(0,MIN($F479,EOMONTH(DATE(cfg_FY,3,1),0))-$E479+1))</f>
        <v>0</v>
      </c>
      <c r="AK479" s="110" t="n">
        <f aca="false">IF(OR(OR($B479="",$E479="",$F479=""),$L479&lt;&gt;"لا"),0,MAX(0,MIN($F479,EOMONTH(DATE(cfg_FY,4,1),0))-$E479+1))</f>
        <v>0</v>
      </c>
      <c r="AL479" s="110" t="n">
        <f aca="false">IF(OR(OR($B479="",$E479="",$F479=""),$L479&lt;&gt;"لا"),0,MAX(0,MIN($F479,EOMONTH(DATE(cfg_FY,5,1),0))-$E479+1))</f>
        <v>0</v>
      </c>
      <c r="AM479" s="110" t="n">
        <f aca="false">IF(OR(OR($B479="",$E479="",$F479=""),$L479&lt;&gt;"لا"),0,MAX(0,MIN($F479,EOMONTH(DATE(cfg_FY,6,1),0))-$E479+1))</f>
        <v>0</v>
      </c>
      <c r="AN479" s="110" t="n">
        <f aca="false">IF(OR(OR($B479="",$E479="",$F479=""),$L479&lt;&gt;"لا"),0,MAX(0,MIN($F479,EOMONTH(DATE(cfg_FY,7,1),0))-$E479+1))</f>
        <v>0</v>
      </c>
      <c r="AO479" s="110" t="n">
        <f aca="false">IF(OR(OR($B479="",$E479="",$F479=""),$L479&lt;&gt;"لا"),0,MAX(0,MIN($F479,EOMONTH(DATE(cfg_FY,8,1),0))-$E479+1))</f>
        <v>0</v>
      </c>
      <c r="AP479" s="110" t="n">
        <f aca="false">IF(OR(OR($B479="",$E479="",$F479=""),$L479&lt;&gt;"لا"),0,MAX(0,MIN($F479,EOMONTH(DATE(cfg_FY,9,1),0))-$E479+1))</f>
        <v>0</v>
      </c>
      <c r="AQ479" s="110" t="n">
        <f aca="false">IF(OR(OR($B479="",$E479="",$F479=""),$L479&lt;&gt;"لا"),0,MAX(0,MIN($F479,EOMONTH(DATE(cfg_FY,10,1),0))-$E479+1))</f>
        <v>0</v>
      </c>
      <c r="AR479" s="110" t="n">
        <f aca="false">IF(OR(OR($B479="",$E479="",$F479=""),$L479&lt;&gt;"لا"),0,MAX(0,MIN($F479,EOMONTH(DATE(cfg_FY,11,1),0))-$E479+1))</f>
        <v>0</v>
      </c>
      <c r="AS479" s="110" t="n">
        <f aca="false">IF(OR(OR($B479="",$E479="",$F479=""),$L479&lt;&gt;"لا"),0,MAX(0,MIN($F479,EOMONTH(DATE(cfg_FY,12,1),0))-$E479+1))</f>
        <v>0</v>
      </c>
      <c r="AT479" s="110" t="n">
        <f aca="false">IF(OR(OR($B479="",$E479="",$F479=""),$K479&lt;&gt;"نعم",$M479="نعم"),0,MAX(0,MIN($F479,EOMONTH(DATE(cfg_FY,1,1),0))-MAX($E479,DATE(cfg_FY,1,1))+1))</f>
        <v>0</v>
      </c>
      <c r="AU479" s="110" t="n">
        <f aca="false">IF(OR(OR($B479="",$E479="",$F479=""),$K479&lt;&gt;"نعم",$M479="نعم"),0,MAX(0,MIN($F479,EOMONTH(DATE(cfg_FY,2,1),0))-MAX($E479,DATE(cfg_FY,2,1))+1))</f>
        <v>0</v>
      </c>
      <c r="AV479" s="110" t="n">
        <f aca="false">IF(OR(OR($B479="",$E479="",$F479=""),$K479&lt;&gt;"نعم",$M479="نعم"),0,MAX(0,MIN($F479,EOMONTH(DATE(cfg_FY,3,1),0))-MAX($E479,DATE(cfg_FY,3,1))+1))</f>
        <v>0</v>
      </c>
      <c r="AW479" s="110" t="n">
        <f aca="false">IF(OR(OR($B479="",$E479="",$F479=""),$K479&lt;&gt;"نعم",$M479="نعم"),0,MAX(0,MIN($F479,EOMONTH(DATE(cfg_FY,4,1),0))-MAX($E479,DATE(cfg_FY,4,1))+1))</f>
        <v>0</v>
      </c>
      <c r="AX479" s="110" t="n">
        <f aca="false">IF(OR(OR($B479="",$E479="",$F479=""),$K479&lt;&gt;"نعم",$M479="نعم"),0,MAX(0,MIN($F479,EOMONTH(DATE(cfg_FY,5,1),0))-MAX($E479,DATE(cfg_FY,5,1))+1))</f>
        <v>0</v>
      </c>
      <c r="AY479" s="110" t="n">
        <f aca="false">IF(OR(OR($B479="",$E479="",$F479=""),$K479&lt;&gt;"نعم",$M479="نعم"),0,MAX(0,MIN($F479,EOMONTH(DATE(cfg_FY,6,1),0))-MAX($E479,DATE(cfg_FY,6,1))+1))</f>
        <v>0</v>
      </c>
      <c r="AZ479" s="110" t="n">
        <f aca="false">IF(OR(OR($B479="",$E479="",$F479=""),$K479&lt;&gt;"نعم",$M479="نعم"),0,MAX(0,MIN($F479,EOMONTH(DATE(cfg_FY,7,1),0))-MAX($E479,DATE(cfg_FY,7,1))+1))</f>
        <v>0</v>
      </c>
      <c r="BA479" s="110" t="n">
        <f aca="false">IF(OR(OR($B479="",$E479="",$F479=""),$K479&lt;&gt;"نعم",$M479="نعم"),0,MAX(0,MIN($F479,EOMONTH(DATE(cfg_FY,8,1),0))-MAX($E479,DATE(cfg_FY,8,1))+1))</f>
        <v>0</v>
      </c>
      <c r="BB479" s="110" t="n">
        <f aca="false">IF(OR(OR($B479="",$E479="",$F479=""),$K479&lt;&gt;"نعم",$M479="نعم"),0,MAX(0,MIN($F479,EOMONTH(DATE(cfg_FY,9,1),0))-MAX($E479,DATE(cfg_FY,9,1))+1))</f>
        <v>0</v>
      </c>
      <c r="BC479" s="110" t="n">
        <f aca="false">IF(OR(OR($B479="",$E479="",$F479=""),$K479&lt;&gt;"نعم",$M479="نعم"),0,MAX(0,MIN($F479,EOMONTH(DATE(cfg_FY,10,1),0))-MAX($E479,DATE(cfg_FY,10,1))+1))</f>
        <v>0</v>
      </c>
      <c r="BD479" s="110" t="n">
        <f aca="false">IF(OR(OR($B479="",$E479="",$F479=""),$K479&lt;&gt;"نعم",$M479="نعم"),0,MAX(0,MIN($F479,EOMONTH(DATE(cfg_FY,11,1),0))-MAX($E479,DATE(cfg_FY,11,1))+1))</f>
        <v>0</v>
      </c>
      <c r="BE479" s="110" t="n">
        <f aca="false">IF(OR(OR($B479="",$E479="",$F479=""),$K479&lt;&gt;"نعم",$M479="نعم"),0,MAX(0,MIN($F479,EOMONTH(DATE(cfg_FY,12,1),0))-MAX($E479,DATE(cfg_FY,12,1))+1))</f>
        <v>0</v>
      </c>
    </row>
    <row r="480" customFormat="false" ht="15" hidden="false" customHeight="false" outlineLevel="0" collapsed="false">
      <c r="A480" s="93" t="str">
        <f aca="false">IF(B480="","",ROW()-5)</f>
        <v/>
      </c>
      <c r="B480" s="79"/>
      <c r="C480" s="80" t="str">
        <f aca="false">IF(B480="","",IFERROR(INDEX(الموظفون!$C$6:$C$105,MATCH(B480,الموظفون!$B$6:$B$105,0)),"✖ رقم غير موجود"))</f>
        <v/>
      </c>
      <c r="D480" s="79"/>
      <c r="E480" s="94"/>
      <c r="F480" s="94"/>
      <c r="G480" s="57" t="str">
        <f aca="false">IF(OR($B480="",$E480="",$F480=""),"",MAX(0,F480-E480+1))</f>
        <v/>
      </c>
      <c r="H480" s="58" t="str">
        <f aca="false">IF(D480="","",IFERROR(VLOOKUP(D480,cfg_LT,2,FALSE()),1))</f>
        <v/>
      </c>
      <c r="I480" s="82"/>
      <c r="J480" s="58" t="str">
        <f aca="false">IF(D480="","",IF(I480&lt;&gt;"",I480,H480))</f>
        <v/>
      </c>
      <c r="K480" s="80" t="str">
        <f aca="false">IF(D480="","",IFERROR(VLOOKUP($D480,cfg_LT,3,FALSE()),""))</f>
        <v/>
      </c>
      <c r="L480" s="80" t="str">
        <f aca="false">IF(D480="","",IFERROR(VLOOKUP($D480,cfg_LT,4,FALSE()),""))</f>
        <v/>
      </c>
      <c r="M480" s="80" t="str">
        <f aca="false">IF(D480="","",IFERROR(VLOOKUP($D480,cfg_LT,5,FALSE()),""))</f>
        <v/>
      </c>
      <c r="N480" s="97" t="n">
        <f aca="false">IF(OR(OR($B480="",$E480="",$F480=""),M480&lt;&gt;"نعم"),0,G480*J480*IFERROR(INDEX(الموظفون!$R$6:$R$105,MATCH(B480,الموظفون!$B$6:$B$105,0)),0)/cfg_DAYS_M)</f>
        <v>0</v>
      </c>
      <c r="O480" s="93" t="str">
        <f aca="false">IF(OR(OR($B480="",$E480="",$F480=""),M480&lt;&gt;"نعم"),"",IF(YEAR(E480)=cfg_FY,MONTH(E480),""))</f>
        <v/>
      </c>
      <c r="P480" s="80" t="str">
        <f aca="false">IF(B480="","",IF(OR(D480="",E480="",F480=""),"⚠ أكمل النوع والتواريخ",IF(F480&lt;E480,"✖ النهاية قبل البداية",IF(COUNTIFS($B$6:$B$505,B480,$E$6:$E$505,"&lt;="&amp;F480,$F$6:$F$505,"&gt;="&amp;E480)&gt;1,"⚠ تداخل مع سجل آخر",IF(E480&gt;cfg_VAL_DATE,"⏳ قادمة",IF(F480&lt;cfg_VAL_DATE,"✔ منتهية","✈ جارية في تاريخ التقرير"))))))</f>
        <v/>
      </c>
      <c r="Q480" s="79"/>
      <c r="R480" s="57" t="n">
        <f aca="false">IF(OR(OR($B480="",$E480="",$F480=""),L480&lt;&gt;"لا"),0,MAX(0,MIN(F480,cfg_Y_START-1)-E480+1))</f>
        <v>0</v>
      </c>
      <c r="S480" s="57" t="n">
        <f aca="false">IF(OR(OR($B480="",$E480="",$F480=""),L480&lt;&gt;"لا"),0,MAX(0,MIN(F480,cfg_VAL_DATE)-E480+1))</f>
        <v>0</v>
      </c>
      <c r="T480" s="57" t="n">
        <f aca="false">IF(OR(OR($B480="",$E480="",$F480=""),K480&lt;&gt;"نعم"),0,IF(M480="نعم",IF(AND(ISNUMBER(O480),N(O480)&lt;=cfg_VAL_M),G480,0),MAX(0,MIN(F480,cfg_VAL_DATE)-MAX(E480,cfg_Y_START)+1)))</f>
        <v>0</v>
      </c>
      <c r="V480" s="57" t="n">
        <f aca="false">IF(OR($B480="",$E480="",$F480=""),0,MAX(0,MIN($F480,EOMONTH(DATE(cfg_FY,1,1),0))-MAX($E480,DATE(cfg_FY,1,1))+1)*(1-IF($M480="نعم",0,N($J480))))</f>
        <v>0</v>
      </c>
      <c r="W480" s="57" t="n">
        <f aca="false">IF(OR($B480="",$E480="",$F480=""),0,MAX(0,MIN($F480,EOMONTH(DATE(cfg_FY,2,1),0))-MAX($E480,DATE(cfg_FY,2,1))+1)*(1-IF($M480="نعم",0,N($J480))))</f>
        <v>0</v>
      </c>
      <c r="X480" s="57" t="n">
        <f aca="false">IF(OR($B480="",$E480="",$F480=""),0,MAX(0,MIN($F480,EOMONTH(DATE(cfg_FY,3,1),0))-MAX($E480,DATE(cfg_FY,3,1))+1)*(1-IF($M480="نعم",0,N($J480))))</f>
        <v>0</v>
      </c>
      <c r="Y480" s="57" t="n">
        <f aca="false">IF(OR($B480="",$E480="",$F480=""),0,MAX(0,MIN($F480,EOMONTH(DATE(cfg_FY,4,1),0))-MAX($E480,DATE(cfg_FY,4,1))+1)*(1-IF($M480="نعم",0,N($J480))))</f>
        <v>0</v>
      </c>
      <c r="Z480" s="57" t="n">
        <f aca="false">IF(OR($B480="",$E480="",$F480=""),0,MAX(0,MIN($F480,EOMONTH(DATE(cfg_FY,5,1),0))-MAX($E480,DATE(cfg_FY,5,1))+1)*(1-IF($M480="نعم",0,N($J480))))</f>
        <v>0</v>
      </c>
      <c r="AA480" s="57" t="n">
        <f aca="false">IF(OR($B480="",$E480="",$F480=""),0,MAX(0,MIN($F480,EOMONTH(DATE(cfg_FY,6,1),0))-MAX($E480,DATE(cfg_FY,6,1))+1)*(1-IF($M480="نعم",0,N($J480))))</f>
        <v>0</v>
      </c>
      <c r="AB480" s="57" t="n">
        <f aca="false">IF(OR($B480="",$E480="",$F480=""),0,MAX(0,MIN($F480,EOMONTH(DATE(cfg_FY,7,1),0))-MAX($E480,DATE(cfg_FY,7,1))+1)*(1-IF($M480="نعم",0,N($J480))))</f>
        <v>0</v>
      </c>
      <c r="AC480" s="57" t="n">
        <f aca="false">IF(OR($B480="",$E480="",$F480=""),0,MAX(0,MIN($F480,EOMONTH(DATE(cfg_FY,8,1),0))-MAX($E480,DATE(cfg_FY,8,1))+1)*(1-IF($M480="نعم",0,N($J480))))</f>
        <v>0</v>
      </c>
      <c r="AD480" s="57" t="n">
        <f aca="false">IF(OR($B480="",$E480="",$F480=""),0,MAX(0,MIN($F480,EOMONTH(DATE(cfg_FY,9,1),0))-MAX($E480,DATE(cfg_FY,9,1))+1)*(1-IF($M480="نعم",0,N($J480))))</f>
        <v>0</v>
      </c>
      <c r="AE480" s="57" t="n">
        <f aca="false">IF(OR($B480="",$E480="",$F480=""),0,MAX(0,MIN($F480,EOMONTH(DATE(cfg_FY,10,1),0))-MAX($E480,DATE(cfg_FY,10,1))+1)*(1-IF($M480="نعم",0,N($J480))))</f>
        <v>0</v>
      </c>
      <c r="AF480" s="57" t="n">
        <f aca="false">IF(OR($B480="",$E480="",$F480=""),0,MAX(0,MIN($F480,EOMONTH(DATE(cfg_FY,11,1),0))-MAX($E480,DATE(cfg_FY,11,1))+1)*(1-IF($M480="نعم",0,N($J480))))</f>
        <v>0</v>
      </c>
      <c r="AG480" s="57" t="n">
        <f aca="false">IF(OR($B480="",$E480="",$F480=""),0,MAX(0,MIN($F480,EOMONTH(DATE(cfg_FY,12,1),0))-MAX($E480,DATE(cfg_FY,12,1))+1)*(1-IF($M480="نعم",0,N($J480))))</f>
        <v>0</v>
      </c>
      <c r="AH480" s="57" t="n">
        <f aca="false">IF(OR(OR($B480="",$E480="",$F480=""),$L480&lt;&gt;"لا"),0,MAX(0,MIN($F480,EOMONTH(DATE(cfg_FY,1,1),0))-$E480+1))</f>
        <v>0</v>
      </c>
      <c r="AI480" s="57" t="n">
        <f aca="false">IF(OR(OR($B480="",$E480="",$F480=""),$L480&lt;&gt;"لا"),0,MAX(0,MIN($F480,EOMONTH(DATE(cfg_FY,2,1),0))-$E480+1))</f>
        <v>0</v>
      </c>
      <c r="AJ480" s="57" t="n">
        <f aca="false">IF(OR(OR($B480="",$E480="",$F480=""),$L480&lt;&gt;"لا"),0,MAX(0,MIN($F480,EOMONTH(DATE(cfg_FY,3,1),0))-$E480+1))</f>
        <v>0</v>
      </c>
      <c r="AK480" s="57" t="n">
        <f aca="false">IF(OR(OR($B480="",$E480="",$F480=""),$L480&lt;&gt;"لا"),0,MAX(0,MIN($F480,EOMONTH(DATE(cfg_FY,4,1),0))-$E480+1))</f>
        <v>0</v>
      </c>
      <c r="AL480" s="57" t="n">
        <f aca="false">IF(OR(OR($B480="",$E480="",$F480=""),$L480&lt;&gt;"لا"),0,MAX(0,MIN($F480,EOMONTH(DATE(cfg_FY,5,1),0))-$E480+1))</f>
        <v>0</v>
      </c>
      <c r="AM480" s="57" t="n">
        <f aca="false">IF(OR(OR($B480="",$E480="",$F480=""),$L480&lt;&gt;"لا"),0,MAX(0,MIN($F480,EOMONTH(DATE(cfg_FY,6,1),0))-$E480+1))</f>
        <v>0</v>
      </c>
      <c r="AN480" s="57" t="n">
        <f aca="false">IF(OR(OR($B480="",$E480="",$F480=""),$L480&lt;&gt;"لا"),0,MAX(0,MIN($F480,EOMONTH(DATE(cfg_FY,7,1),0))-$E480+1))</f>
        <v>0</v>
      </c>
      <c r="AO480" s="57" t="n">
        <f aca="false">IF(OR(OR($B480="",$E480="",$F480=""),$L480&lt;&gt;"لا"),0,MAX(0,MIN($F480,EOMONTH(DATE(cfg_FY,8,1),0))-$E480+1))</f>
        <v>0</v>
      </c>
      <c r="AP480" s="57" t="n">
        <f aca="false">IF(OR(OR($B480="",$E480="",$F480=""),$L480&lt;&gt;"لا"),0,MAX(0,MIN($F480,EOMONTH(DATE(cfg_FY,9,1),0))-$E480+1))</f>
        <v>0</v>
      </c>
      <c r="AQ480" s="57" t="n">
        <f aca="false">IF(OR(OR($B480="",$E480="",$F480=""),$L480&lt;&gt;"لا"),0,MAX(0,MIN($F480,EOMONTH(DATE(cfg_FY,10,1),0))-$E480+1))</f>
        <v>0</v>
      </c>
      <c r="AR480" s="57" t="n">
        <f aca="false">IF(OR(OR($B480="",$E480="",$F480=""),$L480&lt;&gt;"لا"),0,MAX(0,MIN($F480,EOMONTH(DATE(cfg_FY,11,1),0))-$E480+1))</f>
        <v>0</v>
      </c>
      <c r="AS480" s="57" t="n">
        <f aca="false">IF(OR(OR($B480="",$E480="",$F480=""),$L480&lt;&gt;"لا"),0,MAX(0,MIN($F480,EOMONTH(DATE(cfg_FY,12,1),0))-$E480+1))</f>
        <v>0</v>
      </c>
      <c r="AT480" s="57" t="n">
        <f aca="false">IF(OR(OR($B480="",$E480="",$F480=""),$K480&lt;&gt;"نعم",$M480="نعم"),0,MAX(0,MIN($F480,EOMONTH(DATE(cfg_FY,1,1),0))-MAX($E480,DATE(cfg_FY,1,1))+1))</f>
        <v>0</v>
      </c>
      <c r="AU480" s="57" t="n">
        <f aca="false">IF(OR(OR($B480="",$E480="",$F480=""),$K480&lt;&gt;"نعم",$M480="نعم"),0,MAX(0,MIN($F480,EOMONTH(DATE(cfg_FY,2,1),0))-MAX($E480,DATE(cfg_FY,2,1))+1))</f>
        <v>0</v>
      </c>
      <c r="AV480" s="57" t="n">
        <f aca="false">IF(OR(OR($B480="",$E480="",$F480=""),$K480&lt;&gt;"نعم",$M480="نعم"),0,MAX(0,MIN($F480,EOMONTH(DATE(cfg_FY,3,1),0))-MAX($E480,DATE(cfg_FY,3,1))+1))</f>
        <v>0</v>
      </c>
      <c r="AW480" s="57" t="n">
        <f aca="false">IF(OR(OR($B480="",$E480="",$F480=""),$K480&lt;&gt;"نعم",$M480="نعم"),0,MAX(0,MIN($F480,EOMONTH(DATE(cfg_FY,4,1),0))-MAX($E480,DATE(cfg_FY,4,1))+1))</f>
        <v>0</v>
      </c>
      <c r="AX480" s="57" t="n">
        <f aca="false">IF(OR(OR($B480="",$E480="",$F480=""),$K480&lt;&gt;"نعم",$M480="نعم"),0,MAX(0,MIN($F480,EOMONTH(DATE(cfg_FY,5,1),0))-MAX($E480,DATE(cfg_FY,5,1))+1))</f>
        <v>0</v>
      </c>
      <c r="AY480" s="57" t="n">
        <f aca="false">IF(OR(OR($B480="",$E480="",$F480=""),$K480&lt;&gt;"نعم",$M480="نعم"),0,MAX(0,MIN($F480,EOMONTH(DATE(cfg_FY,6,1),0))-MAX($E480,DATE(cfg_FY,6,1))+1))</f>
        <v>0</v>
      </c>
      <c r="AZ480" s="57" t="n">
        <f aca="false">IF(OR(OR($B480="",$E480="",$F480=""),$K480&lt;&gt;"نعم",$M480="نعم"),0,MAX(0,MIN($F480,EOMONTH(DATE(cfg_FY,7,1),0))-MAX($E480,DATE(cfg_FY,7,1))+1))</f>
        <v>0</v>
      </c>
      <c r="BA480" s="57" t="n">
        <f aca="false">IF(OR(OR($B480="",$E480="",$F480=""),$K480&lt;&gt;"نعم",$M480="نعم"),0,MAX(0,MIN($F480,EOMONTH(DATE(cfg_FY,8,1),0))-MAX($E480,DATE(cfg_FY,8,1))+1))</f>
        <v>0</v>
      </c>
      <c r="BB480" s="57" t="n">
        <f aca="false">IF(OR(OR($B480="",$E480="",$F480=""),$K480&lt;&gt;"نعم",$M480="نعم"),0,MAX(0,MIN($F480,EOMONTH(DATE(cfg_FY,9,1),0))-MAX($E480,DATE(cfg_FY,9,1))+1))</f>
        <v>0</v>
      </c>
      <c r="BC480" s="57" t="n">
        <f aca="false">IF(OR(OR($B480="",$E480="",$F480=""),$K480&lt;&gt;"نعم",$M480="نعم"),0,MAX(0,MIN($F480,EOMONTH(DATE(cfg_FY,10,1),0))-MAX($E480,DATE(cfg_FY,10,1))+1))</f>
        <v>0</v>
      </c>
      <c r="BD480" s="57" t="n">
        <f aca="false">IF(OR(OR($B480="",$E480="",$F480=""),$K480&lt;&gt;"نعم",$M480="نعم"),0,MAX(0,MIN($F480,EOMONTH(DATE(cfg_FY,11,1),0))-MAX($E480,DATE(cfg_FY,11,1))+1))</f>
        <v>0</v>
      </c>
      <c r="BE480" s="57" t="n">
        <f aca="false">IF(OR(OR($B480="",$E480="",$F480=""),$K480&lt;&gt;"نعم",$M480="نعم"),0,MAX(0,MIN($F480,EOMONTH(DATE(cfg_FY,12,1),0))-MAX($E480,DATE(cfg_FY,12,1))+1))</f>
        <v>0</v>
      </c>
    </row>
    <row r="481" customFormat="false" ht="15" hidden="false" customHeight="false" outlineLevel="0" collapsed="false">
      <c r="A481" s="100" t="str">
        <f aca="false">IF(B481="","",ROW()-5)</f>
        <v/>
      </c>
      <c r="B481" s="79"/>
      <c r="C481" s="102" t="str">
        <f aca="false">IF(B481="","",IFERROR(INDEX(الموظفون!$C$6:$C$105,MATCH(B481,الموظفون!$B$6:$B$105,0)),"✖ رقم غير موجود"))</f>
        <v/>
      </c>
      <c r="D481" s="79"/>
      <c r="E481" s="94"/>
      <c r="F481" s="94"/>
      <c r="G481" s="110" t="str">
        <f aca="false">IF(OR($B481="",$E481="",$F481=""),"",MAX(0,F481-E481+1))</f>
        <v/>
      </c>
      <c r="H481" s="111" t="str">
        <f aca="false">IF(D481="","",IFERROR(VLOOKUP(D481,cfg_LT,2,FALSE()),1))</f>
        <v/>
      </c>
      <c r="I481" s="82"/>
      <c r="J481" s="111" t="str">
        <f aca="false">IF(D481="","",IF(I481&lt;&gt;"",I481,H481))</f>
        <v/>
      </c>
      <c r="K481" s="102" t="str">
        <f aca="false">IF(D481="","",IFERROR(VLOOKUP($D481,cfg_LT,3,FALSE()),""))</f>
        <v/>
      </c>
      <c r="L481" s="102" t="str">
        <f aca="false">IF(D481="","",IFERROR(VLOOKUP($D481,cfg_LT,4,FALSE()),""))</f>
        <v/>
      </c>
      <c r="M481" s="102" t="str">
        <f aca="false">IF(D481="","",IFERROR(VLOOKUP($D481,cfg_LT,5,FALSE()),""))</f>
        <v/>
      </c>
      <c r="N481" s="101" t="n">
        <f aca="false">IF(OR(OR($B481="",$E481="",$F481=""),M481&lt;&gt;"نعم"),0,G481*J481*IFERROR(INDEX(الموظفون!$R$6:$R$105,MATCH(B481,الموظفون!$B$6:$B$105,0)),0)/cfg_DAYS_M)</f>
        <v>0</v>
      </c>
      <c r="O481" s="100" t="str">
        <f aca="false">IF(OR(OR($B481="",$E481="",$F481=""),M481&lt;&gt;"نعم"),"",IF(YEAR(E481)=cfg_FY,MONTH(E481),""))</f>
        <v/>
      </c>
      <c r="P481" s="102" t="str">
        <f aca="false">IF(B481="","",IF(OR(D481="",E481="",F481=""),"⚠ أكمل النوع والتواريخ",IF(F481&lt;E481,"✖ النهاية قبل البداية",IF(COUNTIFS($B$6:$B$505,B481,$E$6:$E$505,"&lt;="&amp;F481,$F$6:$F$505,"&gt;="&amp;E481)&gt;1,"⚠ تداخل مع سجل آخر",IF(E481&gt;cfg_VAL_DATE,"⏳ قادمة",IF(F481&lt;cfg_VAL_DATE,"✔ منتهية","✈ جارية في تاريخ التقرير"))))))</f>
        <v/>
      </c>
      <c r="Q481" s="79"/>
      <c r="R481" s="110" t="n">
        <f aca="false">IF(OR(OR($B481="",$E481="",$F481=""),L481&lt;&gt;"لا"),0,MAX(0,MIN(F481,cfg_Y_START-1)-E481+1))</f>
        <v>0</v>
      </c>
      <c r="S481" s="110" t="n">
        <f aca="false">IF(OR(OR($B481="",$E481="",$F481=""),L481&lt;&gt;"لا"),0,MAX(0,MIN(F481,cfg_VAL_DATE)-E481+1))</f>
        <v>0</v>
      </c>
      <c r="T481" s="110" t="n">
        <f aca="false">IF(OR(OR($B481="",$E481="",$F481=""),K481&lt;&gt;"نعم"),0,IF(M481="نعم",IF(AND(ISNUMBER(O481),N(O481)&lt;=cfg_VAL_M),G481,0),MAX(0,MIN(F481,cfg_VAL_DATE)-MAX(E481,cfg_Y_START)+1)))</f>
        <v>0</v>
      </c>
      <c r="V481" s="110" t="n">
        <f aca="false">IF(OR($B481="",$E481="",$F481=""),0,MAX(0,MIN($F481,EOMONTH(DATE(cfg_FY,1,1),0))-MAX($E481,DATE(cfg_FY,1,1))+1)*(1-IF($M481="نعم",0,N($J481))))</f>
        <v>0</v>
      </c>
      <c r="W481" s="110" t="n">
        <f aca="false">IF(OR($B481="",$E481="",$F481=""),0,MAX(0,MIN($F481,EOMONTH(DATE(cfg_FY,2,1),0))-MAX($E481,DATE(cfg_FY,2,1))+1)*(1-IF($M481="نعم",0,N($J481))))</f>
        <v>0</v>
      </c>
      <c r="X481" s="110" t="n">
        <f aca="false">IF(OR($B481="",$E481="",$F481=""),0,MAX(0,MIN($F481,EOMONTH(DATE(cfg_FY,3,1),0))-MAX($E481,DATE(cfg_FY,3,1))+1)*(1-IF($M481="نعم",0,N($J481))))</f>
        <v>0</v>
      </c>
      <c r="Y481" s="110" t="n">
        <f aca="false">IF(OR($B481="",$E481="",$F481=""),0,MAX(0,MIN($F481,EOMONTH(DATE(cfg_FY,4,1),0))-MAX($E481,DATE(cfg_FY,4,1))+1)*(1-IF($M481="نعم",0,N($J481))))</f>
        <v>0</v>
      </c>
      <c r="Z481" s="110" t="n">
        <f aca="false">IF(OR($B481="",$E481="",$F481=""),0,MAX(0,MIN($F481,EOMONTH(DATE(cfg_FY,5,1),0))-MAX($E481,DATE(cfg_FY,5,1))+1)*(1-IF($M481="نعم",0,N($J481))))</f>
        <v>0</v>
      </c>
      <c r="AA481" s="110" t="n">
        <f aca="false">IF(OR($B481="",$E481="",$F481=""),0,MAX(0,MIN($F481,EOMONTH(DATE(cfg_FY,6,1),0))-MAX($E481,DATE(cfg_FY,6,1))+1)*(1-IF($M481="نعم",0,N($J481))))</f>
        <v>0</v>
      </c>
      <c r="AB481" s="110" t="n">
        <f aca="false">IF(OR($B481="",$E481="",$F481=""),0,MAX(0,MIN($F481,EOMONTH(DATE(cfg_FY,7,1),0))-MAX($E481,DATE(cfg_FY,7,1))+1)*(1-IF($M481="نعم",0,N($J481))))</f>
        <v>0</v>
      </c>
      <c r="AC481" s="110" t="n">
        <f aca="false">IF(OR($B481="",$E481="",$F481=""),0,MAX(0,MIN($F481,EOMONTH(DATE(cfg_FY,8,1),0))-MAX($E481,DATE(cfg_FY,8,1))+1)*(1-IF($M481="نعم",0,N($J481))))</f>
        <v>0</v>
      </c>
      <c r="AD481" s="110" t="n">
        <f aca="false">IF(OR($B481="",$E481="",$F481=""),0,MAX(0,MIN($F481,EOMONTH(DATE(cfg_FY,9,1),0))-MAX($E481,DATE(cfg_FY,9,1))+1)*(1-IF($M481="نعم",0,N($J481))))</f>
        <v>0</v>
      </c>
      <c r="AE481" s="110" t="n">
        <f aca="false">IF(OR($B481="",$E481="",$F481=""),0,MAX(0,MIN($F481,EOMONTH(DATE(cfg_FY,10,1),0))-MAX($E481,DATE(cfg_FY,10,1))+1)*(1-IF($M481="نعم",0,N($J481))))</f>
        <v>0</v>
      </c>
      <c r="AF481" s="110" t="n">
        <f aca="false">IF(OR($B481="",$E481="",$F481=""),0,MAX(0,MIN($F481,EOMONTH(DATE(cfg_FY,11,1),0))-MAX($E481,DATE(cfg_FY,11,1))+1)*(1-IF($M481="نعم",0,N($J481))))</f>
        <v>0</v>
      </c>
      <c r="AG481" s="110" t="n">
        <f aca="false">IF(OR($B481="",$E481="",$F481=""),0,MAX(0,MIN($F481,EOMONTH(DATE(cfg_FY,12,1),0))-MAX($E481,DATE(cfg_FY,12,1))+1)*(1-IF($M481="نعم",0,N($J481))))</f>
        <v>0</v>
      </c>
      <c r="AH481" s="110" t="n">
        <f aca="false">IF(OR(OR($B481="",$E481="",$F481=""),$L481&lt;&gt;"لا"),0,MAX(0,MIN($F481,EOMONTH(DATE(cfg_FY,1,1),0))-$E481+1))</f>
        <v>0</v>
      </c>
      <c r="AI481" s="110" t="n">
        <f aca="false">IF(OR(OR($B481="",$E481="",$F481=""),$L481&lt;&gt;"لا"),0,MAX(0,MIN($F481,EOMONTH(DATE(cfg_FY,2,1),0))-$E481+1))</f>
        <v>0</v>
      </c>
      <c r="AJ481" s="110" t="n">
        <f aca="false">IF(OR(OR($B481="",$E481="",$F481=""),$L481&lt;&gt;"لا"),0,MAX(0,MIN($F481,EOMONTH(DATE(cfg_FY,3,1),0))-$E481+1))</f>
        <v>0</v>
      </c>
      <c r="AK481" s="110" t="n">
        <f aca="false">IF(OR(OR($B481="",$E481="",$F481=""),$L481&lt;&gt;"لا"),0,MAX(0,MIN($F481,EOMONTH(DATE(cfg_FY,4,1),0))-$E481+1))</f>
        <v>0</v>
      </c>
      <c r="AL481" s="110" t="n">
        <f aca="false">IF(OR(OR($B481="",$E481="",$F481=""),$L481&lt;&gt;"لا"),0,MAX(0,MIN($F481,EOMONTH(DATE(cfg_FY,5,1),0))-$E481+1))</f>
        <v>0</v>
      </c>
      <c r="AM481" s="110" t="n">
        <f aca="false">IF(OR(OR($B481="",$E481="",$F481=""),$L481&lt;&gt;"لا"),0,MAX(0,MIN($F481,EOMONTH(DATE(cfg_FY,6,1),0))-$E481+1))</f>
        <v>0</v>
      </c>
      <c r="AN481" s="110" t="n">
        <f aca="false">IF(OR(OR($B481="",$E481="",$F481=""),$L481&lt;&gt;"لا"),0,MAX(0,MIN($F481,EOMONTH(DATE(cfg_FY,7,1),0))-$E481+1))</f>
        <v>0</v>
      </c>
      <c r="AO481" s="110" t="n">
        <f aca="false">IF(OR(OR($B481="",$E481="",$F481=""),$L481&lt;&gt;"لا"),0,MAX(0,MIN($F481,EOMONTH(DATE(cfg_FY,8,1),0))-$E481+1))</f>
        <v>0</v>
      </c>
      <c r="AP481" s="110" t="n">
        <f aca="false">IF(OR(OR($B481="",$E481="",$F481=""),$L481&lt;&gt;"لا"),0,MAX(0,MIN($F481,EOMONTH(DATE(cfg_FY,9,1),0))-$E481+1))</f>
        <v>0</v>
      </c>
      <c r="AQ481" s="110" t="n">
        <f aca="false">IF(OR(OR($B481="",$E481="",$F481=""),$L481&lt;&gt;"لا"),0,MAX(0,MIN($F481,EOMONTH(DATE(cfg_FY,10,1),0))-$E481+1))</f>
        <v>0</v>
      </c>
      <c r="AR481" s="110" t="n">
        <f aca="false">IF(OR(OR($B481="",$E481="",$F481=""),$L481&lt;&gt;"لا"),0,MAX(0,MIN($F481,EOMONTH(DATE(cfg_FY,11,1),0))-$E481+1))</f>
        <v>0</v>
      </c>
      <c r="AS481" s="110" t="n">
        <f aca="false">IF(OR(OR($B481="",$E481="",$F481=""),$L481&lt;&gt;"لا"),0,MAX(0,MIN($F481,EOMONTH(DATE(cfg_FY,12,1),0))-$E481+1))</f>
        <v>0</v>
      </c>
      <c r="AT481" s="110" t="n">
        <f aca="false">IF(OR(OR($B481="",$E481="",$F481=""),$K481&lt;&gt;"نعم",$M481="نعم"),0,MAX(0,MIN($F481,EOMONTH(DATE(cfg_FY,1,1),0))-MAX($E481,DATE(cfg_FY,1,1))+1))</f>
        <v>0</v>
      </c>
      <c r="AU481" s="110" t="n">
        <f aca="false">IF(OR(OR($B481="",$E481="",$F481=""),$K481&lt;&gt;"نعم",$M481="نعم"),0,MAX(0,MIN($F481,EOMONTH(DATE(cfg_FY,2,1),0))-MAX($E481,DATE(cfg_FY,2,1))+1))</f>
        <v>0</v>
      </c>
      <c r="AV481" s="110" t="n">
        <f aca="false">IF(OR(OR($B481="",$E481="",$F481=""),$K481&lt;&gt;"نعم",$M481="نعم"),0,MAX(0,MIN($F481,EOMONTH(DATE(cfg_FY,3,1),0))-MAX($E481,DATE(cfg_FY,3,1))+1))</f>
        <v>0</v>
      </c>
      <c r="AW481" s="110" t="n">
        <f aca="false">IF(OR(OR($B481="",$E481="",$F481=""),$K481&lt;&gt;"نعم",$M481="نعم"),0,MAX(0,MIN($F481,EOMONTH(DATE(cfg_FY,4,1),0))-MAX($E481,DATE(cfg_FY,4,1))+1))</f>
        <v>0</v>
      </c>
      <c r="AX481" s="110" t="n">
        <f aca="false">IF(OR(OR($B481="",$E481="",$F481=""),$K481&lt;&gt;"نعم",$M481="نعم"),0,MAX(0,MIN($F481,EOMONTH(DATE(cfg_FY,5,1),0))-MAX($E481,DATE(cfg_FY,5,1))+1))</f>
        <v>0</v>
      </c>
      <c r="AY481" s="110" t="n">
        <f aca="false">IF(OR(OR($B481="",$E481="",$F481=""),$K481&lt;&gt;"نعم",$M481="نعم"),0,MAX(0,MIN($F481,EOMONTH(DATE(cfg_FY,6,1),0))-MAX($E481,DATE(cfg_FY,6,1))+1))</f>
        <v>0</v>
      </c>
      <c r="AZ481" s="110" t="n">
        <f aca="false">IF(OR(OR($B481="",$E481="",$F481=""),$K481&lt;&gt;"نعم",$M481="نعم"),0,MAX(0,MIN($F481,EOMONTH(DATE(cfg_FY,7,1),0))-MAX($E481,DATE(cfg_FY,7,1))+1))</f>
        <v>0</v>
      </c>
      <c r="BA481" s="110" t="n">
        <f aca="false">IF(OR(OR($B481="",$E481="",$F481=""),$K481&lt;&gt;"نعم",$M481="نعم"),0,MAX(0,MIN($F481,EOMONTH(DATE(cfg_FY,8,1),0))-MAX($E481,DATE(cfg_FY,8,1))+1))</f>
        <v>0</v>
      </c>
      <c r="BB481" s="110" t="n">
        <f aca="false">IF(OR(OR($B481="",$E481="",$F481=""),$K481&lt;&gt;"نعم",$M481="نعم"),0,MAX(0,MIN($F481,EOMONTH(DATE(cfg_FY,9,1),0))-MAX($E481,DATE(cfg_FY,9,1))+1))</f>
        <v>0</v>
      </c>
      <c r="BC481" s="110" t="n">
        <f aca="false">IF(OR(OR($B481="",$E481="",$F481=""),$K481&lt;&gt;"نعم",$M481="نعم"),0,MAX(0,MIN($F481,EOMONTH(DATE(cfg_FY,10,1),0))-MAX($E481,DATE(cfg_FY,10,1))+1))</f>
        <v>0</v>
      </c>
      <c r="BD481" s="110" t="n">
        <f aca="false">IF(OR(OR($B481="",$E481="",$F481=""),$K481&lt;&gt;"نعم",$M481="نعم"),0,MAX(0,MIN($F481,EOMONTH(DATE(cfg_FY,11,1),0))-MAX($E481,DATE(cfg_FY,11,1))+1))</f>
        <v>0</v>
      </c>
      <c r="BE481" s="110" t="n">
        <f aca="false">IF(OR(OR($B481="",$E481="",$F481=""),$K481&lt;&gt;"نعم",$M481="نعم"),0,MAX(0,MIN($F481,EOMONTH(DATE(cfg_FY,12,1),0))-MAX($E481,DATE(cfg_FY,12,1))+1))</f>
        <v>0</v>
      </c>
    </row>
    <row r="482" customFormat="false" ht="15" hidden="false" customHeight="false" outlineLevel="0" collapsed="false">
      <c r="A482" s="93" t="str">
        <f aca="false">IF(B482="","",ROW()-5)</f>
        <v/>
      </c>
      <c r="B482" s="79"/>
      <c r="C482" s="80" t="str">
        <f aca="false">IF(B482="","",IFERROR(INDEX(الموظفون!$C$6:$C$105,MATCH(B482,الموظفون!$B$6:$B$105,0)),"✖ رقم غير موجود"))</f>
        <v/>
      </c>
      <c r="D482" s="79"/>
      <c r="E482" s="94"/>
      <c r="F482" s="94"/>
      <c r="G482" s="57" t="str">
        <f aca="false">IF(OR($B482="",$E482="",$F482=""),"",MAX(0,F482-E482+1))</f>
        <v/>
      </c>
      <c r="H482" s="58" t="str">
        <f aca="false">IF(D482="","",IFERROR(VLOOKUP(D482,cfg_LT,2,FALSE()),1))</f>
        <v/>
      </c>
      <c r="I482" s="82"/>
      <c r="J482" s="58" t="str">
        <f aca="false">IF(D482="","",IF(I482&lt;&gt;"",I482,H482))</f>
        <v/>
      </c>
      <c r="K482" s="80" t="str">
        <f aca="false">IF(D482="","",IFERROR(VLOOKUP($D482,cfg_LT,3,FALSE()),""))</f>
        <v/>
      </c>
      <c r="L482" s="80" t="str">
        <f aca="false">IF(D482="","",IFERROR(VLOOKUP($D482,cfg_LT,4,FALSE()),""))</f>
        <v/>
      </c>
      <c r="M482" s="80" t="str">
        <f aca="false">IF(D482="","",IFERROR(VLOOKUP($D482,cfg_LT,5,FALSE()),""))</f>
        <v/>
      </c>
      <c r="N482" s="97" t="n">
        <f aca="false">IF(OR(OR($B482="",$E482="",$F482=""),M482&lt;&gt;"نعم"),0,G482*J482*IFERROR(INDEX(الموظفون!$R$6:$R$105,MATCH(B482,الموظفون!$B$6:$B$105,0)),0)/cfg_DAYS_M)</f>
        <v>0</v>
      </c>
      <c r="O482" s="93" t="str">
        <f aca="false">IF(OR(OR($B482="",$E482="",$F482=""),M482&lt;&gt;"نعم"),"",IF(YEAR(E482)=cfg_FY,MONTH(E482),""))</f>
        <v/>
      </c>
      <c r="P482" s="80" t="str">
        <f aca="false">IF(B482="","",IF(OR(D482="",E482="",F482=""),"⚠ أكمل النوع والتواريخ",IF(F482&lt;E482,"✖ النهاية قبل البداية",IF(COUNTIFS($B$6:$B$505,B482,$E$6:$E$505,"&lt;="&amp;F482,$F$6:$F$505,"&gt;="&amp;E482)&gt;1,"⚠ تداخل مع سجل آخر",IF(E482&gt;cfg_VAL_DATE,"⏳ قادمة",IF(F482&lt;cfg_VAL_DATE,"✔ منتهية","✈ جارية في تاريخ التقرير"))))))</f>
        <v/>
      </c>
      <c r="Q482" s="79"/>
      <c r="R482" s="57" t="n">
        <f aca="false">IF(OR(OR($B482="",$E482="",$F482=""),L482&lt;&gt;"لا"),0,MAX(0,MIN(F482,cfg_Y_START-1)-E482+1))</f>
        <v>0</v>
      </c>
      <c r="S482" s="57" t="n">
        <f aca="false">IF(OR(OR($B482="",$E482="",$F482=""),L482&lt;&gt;"لا"),0,MAX(0,MIN(F482,cfg_VAL_DATE)-E482+1))</f>
        <v>0</v>
      </c>
      <c r="T482" s="57" t="n">
        <f aca="false">IF(OR(OR($B482="",$E482="",$F482=""),K482&lt;&gt;"نعم"),0,IF(M482="نعم",IF(AND(ISNUMBER(O482),N(O482)&lt;=cfg_VAL_M),G482,0),MAX(0,MIN(F482,cfg_VAL_DATE)-MAX(E482,cfg_Y_START)+1)))</f>
        <v>0</v>
      </c>
      <c r="V482" s="57" t="n">
        <f aca="false">IF(OR($B482="",$E482="",$F482=""),0,MAX(0,MIN($F482,EOMONTH(DATE(cfg_FY,1,1),0))-MAX($E482,DATE(cfg_FY,1,1))+1)*(1-IF($M482="نعم",0,N($J482))))</f>
        <v>0</v>
      </c>
      <c r="W482" s="57" t="n">
        <f aca="false">IF(OR($B482="",$E482="",$F482=""),0,MAX(0,MIN($F482,EOMONTH(DATE(cfg_FY,2,1),0))-MAX($E482,DATE(cfg_FY,2,1))+1)*(1-IF($M482="نعم",0,N($J482))))</f>
        <v>0</v>
      </c>
      <c r="X482" s="57" t="n">
        <f aca="false">IF(OR($B482="",$E482="",$F482=""),0,MAX(0,MIN($F482,EOMONTH(DATE(cfg_FY,3,1),0))-MAX($E482,DATE(cfg_FY,3,1))+1)*(1-IF($M482="نعم",0,N($J482))))</f>
        <v>0</v>
      </c>
      <c r="Y482" s="57" t="n">
        <f aca="false">IF(OR($B482="",$E482="",$F482=""),0,MAX(0,MIN($F482,EOMONTH(DATE(cfg_FY,4,1),0))-MAX($E482,DATE(cfg_FY,4,1))+1)*(1-IF($M482="نعم",0,N($J482))))</f>
        <v>0</v>
      </c>
      <c r="Z482" s="57" t="n">
        <f aca="false">IF(OR($B482="",$E482="",$F482=""),0,MAX(0,MIN($F482,EOMONTH(DATE(cfg_FY,5,1),0))-MAX($E482,DATE(cfg_FY,5,1))+1)*(1-IF($M482="نعم",0,N($J482))))</f>
        <v>0</v>
      </c>
      <c r="AA482" s="57" t="n">
        <f aca="false">IF(OR($B482="",$E482="",$F482=""),0,MAX(0,MIN($F482,EOMONTH(DATE(cfg_FY,6,1),0))-MAX($E482,DATE(cfg_FY,6,1))+1)*(1-IF($M482="نعم",0,N($J482))))</f>
        <v>0</v>
      </c>
      <c r="AB482" s="57" t="n">
        <f aca="false">IF(OR($B482="",$E482="",$F482=""),0,MAX(0,MIN($F482,EOMONTH(DATE(cfg_FY,7,1),0))-MAX($E482,DATE(cfg_FY,7,1))+1)*(1-IF($M482="نعم",0,N($J482))))</f>
        <v>0</v>
      </c>
      <c r="AC482" s="57" t="n">
        <f aca="false">IF(OR($B482="",$E482="",$F482=""),0,MAX(0,MIN($F482,EOMONTH(DATE(cfg_FY,8,1),0))-MAX($E482,DATE(cfg_FY,8,1))+1)*(1-IF($M482="نعم",0,N($J482))))</f>
        <v>0</v>
      </c>
      <c r="AD482" s="57" t="n">
        <f aca="false">IF(OR($B482="",$E482="",$F482=""),0,MAX(0,MIN($F482,EOMONTH(DATE(cfg_FY,9,1),0))-MAX($E482,DATE(cfg_FY,9,1))+1)*(1-IF($M482="نعم",0,N($J482))))</f>
        <v>0</v>
      </c>
      <c r="AE482" s="57" t="n">
        <f aca="false">IF(OR($B482="",$E482="",$F482=""),0,MAX(0,MIN($F482,EOMONTH(DATE(cfg_FY,10,1),0))-MAX($E482,DATE(cfg_FY,10,1))+1)*(1-IF($M482="نعم",0,N($J482))))</f>
        <v>0</v>
      </c>
      <c r="AF482" s="57" t="n">
        <f aca="false">IF(OR($B482="",$E482="",$F482=""),0,MAX(0,MIN($F482,EOMONTH(DATE(cfg_FY,11,1),0))-MAX($E482,DATE(cfg_FY,11,1))+1)*(1-IF($M482="نعم",0,N($J482))))</f>
        <v>0</v>
      </c>
      <c r="AG482" s="57" t="n">
        <f aca="false">IF(OR($B482="",$E482="",$F482=""),0,MAX(0,MIN($F482,EOMONTH(DATE(cfg_FY,12,1),0))-MAX($E482,DATE(cfg_FY,12,1))+1)*(1-IF($M482="نعم",0,N($J482))))</f>
        <v>0</v>
      </c>
      <c r="AH482" s="57" t="n">
        <f aca="false">IF(OR(OR($B482="",$E482="",$F482=""),$L482&lt;&gt;"لا"),0,MAX(0,MIN($F482,EOMONTH(DATE(cfg_FY,1,1),0))-$E482+1))</f>
        <v>0</v>
      </c>
      <c r="AI482" s="57" t="n">
        <f aca="false">IF(OR(OR($B482="",$E482="",$F482=""),$L482&lt;&gt;"لا"),0,MAX(0,MIN($F482,EOMONTH(DATE(cfg_FY,2,1),0))-$E482+1))</f>
        <v>0</v>
      </c>
      <c r="AJ482" s="57" t="n">
        <f aca="false">IF(OR(OR($B482="",$E482="",$F482=""),$L482&lt;&gt;"لا"),0,MAX(0,MIN($F482,EOMONTH(DATE(cfg_FY,3,1),0))-$E482+1))</f>
        <v>0</v>
      </c>
      <c r="AK482" s="57" t="n">
        <f aca="false">IF(OR(OR($B482="",$E482="",$F482=""),$L482&lt;&gt;"لا"),0,MAX(0,MIN($F482,EOMONTH(DATE(cfg_FY,4,1),0))-$E482+1))</f>
        <v>0</v>
      </c>
      <c r="AL482" s="57" t="n">
        <f aca="false">IF(OR(OR($B482="",$E482="",$F482=""),$L482&lt;&gt;"لا"),0,MAX(0,MIN($F482,EOMONTH(DATE(cfg_FY,5,1),0))-$E482+1))</f>
        <v>0</v>
      </c>
      <c r="AM482" s="57" t="n">
        <f aca="false">IF(OR(OR($B482="",$E482="",$F482=""),$L482&lt;&gt;"لا"),0,MAX(0,MIN($F482,EOMONTH(DATE(cfg_FY,6,1),0))-$E482+1))</f>
        <v>0</v>
      </c>
      <c r="AN482" s="57" t="n">
        <f aca="false">IF(OR(OR($B482="",$E482="",$F482=""),$L482&lt;&gt;"لا"),0,MAX(0,MIN($F482,EOMONTH(DATE(cfg_FY,7,1),0))-$E482+1))</f>
        <v>0</v>
      </c>
      <c r="AO482" s="57" t="n">
        <f aca="false">IF(OR(OR($B482="",$E482="",$F482=""),$L482&lt;&gt;"لا"),0,MAX(0,MIN($F482,EOMONTH(DATE(cfg_FY,8,1),0))-$E482+1))</f>
        <v>0</v>
      </c>
      <c r="AP482" s="57" t="n">
        <f aca="false">IF(OR(OR($B482="",$E482="",$F482=""),$L482&lt;&gt;"لا"),0,MAX(0,MIN($F482,EOMONTH(DATE(cfg_FY,9,1),0))-$E482+1))</f>
        <v>0</v>
      </c>
      <c r="AQ482" s="57" t="n">
        <f aca="false">IF(OR(OR($B482="",$E482="",$F482=""),$L482&lt;&gt;"لا"),0,MAX(0,MIN($F482,EOMONTH(DATE(cfg_FY,10,1),0))-$E482+1))</f>
        <v>0</v>
      </c>
      <c r="AR482" s="57" t="n">
        <f aca="false">IF(OR(OR($B482="",$E482="",$F482=""),$L482&lt;&gt;"لا"),0,MAX(0,MIN($F482,EOMONTH(DATE(cfg_FY,11,1),0))-$E482+1))</f>
        <v>0</v>
      </c>
      <c r="AS482" s="57" t="n">
        <f aca="false">IF(OR(OR($B482="",$E482="",$F482=""),$L482&lt;&gt;"لا"),0,MAX(0,MIN($F482,EOMONTH(DATE(cfg_FY,12,1),0))-$E482+1))</f>
        <v>0</v>
      </c>
      <c r="AT482" s="57" t="n">
        <f aca="false">IF(OR(OR($B482="",$E482="",$F482=""),$K482&lt;&gt;"نعم",$M482="نعم"),0,MAX(0,MIN($F482,EOMONTH(DATE(cfg_FY,1,1),0))-MAX($E482,DATE(cfg_FY,1,1))+1))</f>
        <v>0</v>
      </c>
      <c r="AU482" s="57" t="n">
        <f aca="false">IF(OR(OR($B482="",$E482="",$F482=""),$K482&lt;&gt;"نعم",$M482="نعم"),0,MAX(0,MIN($F482,EOMONTH(DATE(cfg_FY,2,1),0))-MAX($E482,DATE(cfg_FY,2,1))+1))</f>
        <v>0</v>
      </c>
      <c r="AV482" s="57" t="n">
        <f aca="false">IF(OR(OR($B482="",$E482="",$F482=""),$K482&lt;&gt;"نعم",$M482="نعم"),0,MAX(0,MIN($F482,EOMONTH(DATE(cfg_FY,3,1),0))-MAX($E482,DATE(cfg_FY,3,1))+1))</f>
        <v>0</v>
      </c>
      <c r="AW482" s="57" t="n">
        <f aca="false">IF(OR(OR($B482="",$E482="",$F482=""),$K482&lt;&gt;"نعم",$M482="نعم"),0,MAX(0,MIN($F482,EOMONTH(DATE(cfg_FY,4,1),0))-MAX($E482,DATE(cfg_FY,4,1))+1))</f>
        <v>0</v>
      </c>
      <c r="AX482" s="57" t="n">
        <f aca="false">IF(OR(OR($B482="",$E482="",$F482=""),$K482&lt;&gt;"نعم",$M482="نعم"),0,MAX(0,MIN($F482,EOMONTH(DATE(cfg_FY,5,1),0))-MAX($E482,DATE(cfg_FY,5,1))+1))</f>
        <v>0</v>
      </c>
      <c r="AY482" s="57" t="n">
        <f aca="false">IF(OR(OR($B482="",$E482="",$F482=""),$K482&lt;&gt;"نعم",$M482="نعم"),0,MAX(0,MIN($F482,EOMONTH(DATE(cfg_FY,6,1),0))-MAX($E482,DATE(cfg_FY,6,1))+1))</f>
        <v>0</v>
      </c>
      <c r="AZ482" s="57" t="n">
        <f aca="false">IF(OR(OR($B482="",$E482="",$F482=""),$K482&lt;&gt;"نعم",$M482="نعم"),0,MAX(0,MIN($F482,EOMONTH(DATE(cfg_FY,7,1),0))-MAX($E482,DATE(cfg_FY,7,1))+1))</f>
        <v>0</v>
      </c>
      <c r="BA482" s="57" t="n">
        <f aca="false">IF(OR(OR($B482="",$E482="",$F482=""),$K482&lt;&gt;"نعم",$M482="نعم"),0,MAX(0,MIN($F482,EOMONTH(DATE(cfg_FY,8,1),0))-MAX($E482,DATE(cfg_FY,8,1))+1))</f>
        <v>0</v>
      </c>
      <c r="BB482" s="57" t="n">
        <f aca="false">IF(OR(OR($B482="",$E482="",$F482=""),$K482&lt;&gt;"نعم",$M482="نعم"),0,MAX(0,MIN($F482,EOMONTH(DATE(cfg_FY,9,1),0))-MAX($E482,DATE(cfg_FY,9,1))+1))</f>
        <v>0</v>
      </c>
      <c r="BC482" s="57" t="n">
        <f aca="false">IF(OR(OR($B482="",$E482="",$F482=""),$K482&lt;&gt;"نعم",$M482="نعم"),0,MAX(0,MIN($F482,EOMONTH(DATE(cfg_FY,10,1),0))-MAX($E482,DATE(cfg_FY,10,1))+1))</f>
        <v>0</v>
      </c>
      <c r="BD482" s="57" t="n">
        <f aca="false">IF(OR(OR($B482="",$E482="",$F482=""),$K482&lt;&gt;"نعم",$M482="نعم"),0,MAX(0,MIN($F482,EOMONTH(DATE(cfg_FY,11,1),0))-MAX($E482,DATE(cfg_FY,11,1))+1))</f>
        <v>0</v>
      </c>
      <c r="BE482" s="57" t="n">
        <f aca="false">IF(OR(OR($B482="",$E482="",$F482=""),$K482&lt;&gt;"نعم",$M482="نعم"),0,MAX(0,MIN($F482,EOMONTH(DATE(cfg_FY,12,1),0))-MAX($E482,DATE(cfg_FY,12,1))+1))</f>
        <v>0</v>
      </c>
    </row>
    <row r="483" customFormat="false" ht="15" hidden="false" customHeight="false" outlineLevel="0" collapsed="false">
      <c r="A483" s="100" t="str">
        <f aca="false">IF(B483="","",ROW()-5)</f>
        <v/>
      </c>
      <c r="B483" s="79"/>
      <c r="C483" s="102" t="str">
        <f aca="false">IF(B483="","",IFERROR(INDEX(الموظفون!$C$6:$C$105,MATCH(B483,الموظفون!$B$6:$B$105,0)),"✖ رقم غير موجود"))</f>
        <v/>
      </c>
      <c r="D483" s="79"/>
      <c r="E483" s="94"/>
      <c r="F483" s="94"/>
      <c r="G483" s="110" t="str">
        <f aca="false">IF(OR($B483="",$E483="",$F483=""),"",MAX(0,F483-E483+1))</f>
        <v/>
      </c>
      <c r="H483" s="111" t="str">
        <f aca="false">IF(D483="","",IFERROR(VLOOKUP(D483,cfg_LT,2,FALSE()),1))</f>
        <v/>
      </c>
      <c r="I483" s="82"/>
      <c r="J483" s="111" t="str">
        <f aca="false">IF(D483="","",IF(I483&lt;&gt;"",I483,H483))</f>
        <v/>
      </c>
      <c r="K483" s="102" t="str">
        <f aca="false">IF(D483="","",IFERROR(VLOOKUP($D483,cfg_LT,3,FALSE()),""))</f>
        <v/>
      </c>
      <c r="L483" s="102" t="str">
        <f aca="false">IF(D483="","",IFERROR(VLOOKUP($D483,cfg_LT,4,FALSE()),""))</f>
        <v/>
      </c>
      <c r="M483" s="102" t="str">
        <f aca="false">IF(D483="","",IFERROR(VLOOKUP($D483,cfg_LT,5,FALSE()),""))</f>
        <v/>
      </c>
      <c r="N483" s="101" t="n">
        <f aca="false">IF(OR(OR($B483="",$E483="",$F483=""),M483&lt;&gt;"نعم"),0,G483*J483*IFERROR(INDEX(الموظفون!$R$6:$R$105,MATCH(B483,الموظفون!$B$6:$B$105,0)),0)/cfg_DAYS_M)</f>
        <v>0</v>
      </c>
      <c r="O483" s="100" t="str">
        <f aca="false">IF(OR(OR($B483="",$E483="",$F483=""),M483&lt;&gt;"نعم"),"",IF(YEAR(E483)=cfg_FY,MONTH(E483),""))</f>
        <v/>
      </c>
      <c r="P483" s="102" t="str">
        <f aca="false">IF(B483="","",IF(OR(D483="",E483="",F483=""),"⚠ أكمل النوع والتواريخ",IF(F483&lt;E483,"✖ النهاية قبل البداية",IF(COUNTIFS($B$6:$B$505,B483,$E$6:$E$505,"&lt;="&amp;F483,$F$6:$F$505,"&gt;="&amp;E483)&gt;1,"⚠ تداخل مع سجل آخر",IF(E483&gt;cfg_VAL_DATE,"⏳ قادمة",IF(F483&lt;cfg_VAL_DATE,"✔ منتهية","✈ جارية في تاريخ التقرير"))))))</f>
        <v/>
      </c>
      <c r="Q483" s="79"/>
      <c r="R483" s="110" t="n">
        <f aca="false">IF(OR(OR($B483="",$E483="",$F483=""),L483&lt;&gt;"لا"),0,MAX(0,MIN(F483,cfg_Y_START-1)-E483+1))</f>
        <v>0</v>
      </c>
      <c r="S483" s="110" t="n">
        <f aca="false">IF(OR(OR($B483="",$E483="",$F483=""),L483&lt;&gt;"لا"),0,MAX(0,MIN(F483,cfg_VAL_DATE)-E483+1))</f>
        <v>0</v>
      </c>
      <c r="T483" s="110" t="n">
        <f aca="false">IF(OR(OR($B483="",$E483="",$F483=""),K483&lt;&gt;"نعم"),0,IF(M483="نعم",IF(AND(ISNUMBER(O483),N(O483)&lt;=cfg_VAL_M),G483,0),MAX(0,MIN(F483,cfg_VAL_DATE)-MAX(E483,cfg_Y_START)+1)))</f>
        <v>0</v>
      </c>
      <c r="V483" s="110" t="n">
        <f aca="false">IF(OR($B483="",$E483="",$F483=""),0,MAX(0,MIN($F483,EOMONTH(DATE(cfg_FY,1,1),0))-MAX($E483,DATE(cfg_FY,1,1))+1)*(1-IF($M483="نعم",0,N($J483))))</f>
        <v>0</v>
      </c>
      <c r="W483" s="110" t="n">
        <f aca="false">IF(OR($B483="",$E483="",$F483=""),0,MAX(0,MIN($F483,EOMONTH(DATE(cfg_FY,2,1),0))-MAX($E483,DATE(cfg_FY,2,1))+1)*(1-IF($M483="نعم",0,N($J483))))</f>
        <v>0</v>
      </c>
      <c r="X483" s="110" t="n">
        <f aca="false">IF(OR($B483="",$E483="",$F483=""),0,MAX(0,MIN($F483,EOMONTH(DATE(cfg_FY,3,1),0))-MAX($E483,DATE(cfg_FY,3,1))+1)*(1-IF($M483="نعم",0,N($J483))))</f>
        <v>0</v>
      </c>
      <c r="Y483" s="110" t="n">
        <f aca="false">IF(OR($B483="",$E483="",$F483=""),0,MAX(0,MIN($F483,EOMONTH(DATE(cfg_FY,4,1),0))-MAX($E483,DATE(cfg_FY,4,1))+1)*(1-IF($M483="نعم",0,N($J483))))</f>
        <v>0</v>
      </c>
      <c r="Z483" s="110" t="n">
        <f aca="false">IF(OR($B483="",$E483="",$F483=""),0,MAX(0,MIN($F483,EOMONTH(DATE(cfg_FY,5,1),0))-MAX($E483,DATE(cfg_FY,5,1))+1)*(1-IF($M483="نعم",0,N($J483))))</f>
        <v>0</v>
      </c>
      <c r="AA483" s="110" t="n">
        <f aca="false">IF(OR($B483="",$E483="",$F483=""),0,MAX(0,MIN($F483,EOMONTH(DATE(cfg_FY,6,1),0))-MAX($E483,DATE(cfg_FY,6,1))+1)*(1-IF($M483="نعم",0,N($J483))))</f>
        <v>0</v>
      </c>
      <c r="AB483" s="110" t="n">
        <f aca="false">IF(OR($B483="",$E483="",$F483=""),0,MAX(0,MIN($F483,EOMONTH(DATE(cfg_FY,7,1),0))-MAX($E483,DATE(cfg_FY,7,1))+1)*(1-IF($M483="نعم",0,N($J483))))</f>
        <v>0</v>
      </c>
      <c r="AC483" s="110" t="n">
        <f aca="false">IF(OR($B483="",$E483="",$F483=""),0,MAX(0,MIN($F483,EOMONTH(DATE(cfg_FY,8,1),0))-MAX($E483,DATE(cfg_FY,8,1))+1)*(1-IF($M483="نعم",0,N($J483))))</f>
        <v>0</v>
      </c>
      <c r="AD483" s="110" t="n">
        <f aca="false">IF(OR($B483="",$E483="",$F483=""),0,MAX(0,MIN($F483,EOMONTH(DATE(cfg_FY,9,1),0))-MAX($E483,DATE(cfg_FY,9,1))+1)*(1-IF($M483="نعم",0,N($J483))))</f>
        <v>0</v>
      </c>
      <c r="AE483" s="110" t="n">
        <f aca="false">IF(OR($B483="",$E483="",$F483=""),0,MAX(0,MIN($F483,EOMONTH(DATE(cfg_FY,10,1),0))-MAX($E483,DATE(cfg_FY,10,1))+1)*(1-IF($M483="نعم",0,N($J483))))</f>
        <v>0</v>
      </c>
      <c r="AF483" s="110" t="n">
        <f aca="false">IF(OR($B483="",$E483="",$F483=""),0,MAX(0,MIN($F483,EOMONTH(DATE(cfg_FY,11,1),0))-MAX($E483,DATE(cfg_FY,11,1))+1)*(1-IF($M483="نعم",0,N($J483))))</f>
        <v>0</v>
      </c>
      <c r="AG483" s="110" t="n">
        <f aca="false">IF(OR($B483="",$E483="",$F483=""),0,MAX(0,MIN($F483,EOMONTH(DATE(cfg_FY,12,1),0))-MAX($E483,DATE(cfg_FY,12,1))+1)*(1-IF($M483="نعم",0,N($J483))))</f>
        <v>0</v>
      </c>
      <c r="AH483" s="110" t="n">
        <f aca="false">IF(OR(OR($B483="",$E483="",$F483=""),$L483&lt;&gt;"لا"),0,MAX(0,MIN($F483,EOMONTH(DATE(cfg_FY,1,1),0))-$E483+1))</f>
        <v>0</v>
      </c>
      <c r="AI483" s="110" t="n">
        <f aca="false">IF(OR(OR($B483="",$E483="",$F483=""),$L483&lt;&gt;"لا"),0,MAX(0,MIN($F483,EOMONTH(DATE(cfg_FY,2,1),0))-$E483+1))</f>
        <v>0</v>
      </c>
      <c r="AJ483" s="110" t="n">
        <f aca="false">IF(OR(OR($B483="",$E483="",$F483=""),$L483&lt;&gt;"لا"),0,MAX(0,MIN($F483,EOMONTH(DATE(cfg_FY,3,1),0))-$E483+1))</f>
        <v>0</v>
      </c>
      <c r="AK483" s="110" t="n">
        <f aca="false">IF(OR(OR($B483="",$E483="",$F483=""),$L483&lt;&gt;"لا"),0,MAX(0,MIN($F483,EOMONTH(DATE(cfg_FY,4,1),0))-$E483+1))</f>
        <v>0</v>
      </c>
      <c r="AL483" s="110" t="n">
        <f aca="false">IF(OR(OR($B483="",$E483="",$F483=""),$L483&lt;&gt;"لا"),0,MAX(0,MIN($F483,EOMONTH(DATE(cfg_FY,5,1),0))-$E483+1))</f>
        <v>0</v>
      </c>
      <c r="AM483" s="110" t="n">
        <f aca="false">IF(OR(OR($B483="",$E483="",$F483=""),$L483&lt;&gt;"لا"),0,MAX(0,MIN($F483,EOMONTH(DATE(cfg_FY,6,1),0))-$E483+1))</f>
        <v>0</v>
      </c>
      <c r="AN483" s="110" t="n">
        <f aca="false">IF(OR(OR($B483="",$E483="",$F483=""),$L483&lt;&gt;"لا"),0,MAX(0,MIN($F483,EOMONTH(DATE(cfg_FY,7,1),0))-$E483+1))</f>
        <v>0</v>
      </c>
      <c r="AO483" s="110" t="n">
        <f aca="false">IF(OR(OR($B483="",$E483="",$F483=""),$L483&lt;&gt;"لا"),0,MAX(0,MIN($F483,EOMONTH(DATE(cfg_FY,8,1),0))-$E483+1))</f>
        <v>0</v>
      </c>
      <c r="AP483" s="110" t="n">
        <f aca="false">IF(OR(OR($B483="",$E483="",$F483=""),$L483&lt;&gt;"لا"),0,MAX(0,MIN($F483,EOMONTH(DATE(cfg_FY,9,1),0))-$E483+1))</f>
        <v>0</v>
      </c>
      <c r="AQ483" s="110" t="n">
        <f aca="false">IF(OR(OR($B483="",$E483="",$F483=""),$L483&lt;&gt;"لا"),0,MAX(0,MIN($F483,EOMONTH(DATE(cfg_FY,10,1),0))-$E483+1))</f>
        <v>0</v>
      </c>
      <c r="AR483" s="110" t="n">
        <f aca="false">IF(OR(OR($B483="",$E483="",$F483=""),$L483&lt;&gt;"لا"),0,MAX(0,MIN($F483,EOMONTH(DATE(cfg_FY,11,1),0))-$E483+1))</f>
        <v>0</v>
      </c>
      <c r="AS483" s="110" t="n">
        <f aca="false">IF(OR(OR($B483="",$E483="",$F483=""),$L483&lt;&gt;"لا"),0,MAX(0,MIN($F483,EOMONTH(DATE(cfg_FY,12,1),0))-$E483+1))</f>
        <v>0</v>
      </c>
      <c r="AT483" s="110" t="n">
        <f aca="false">IF(OR(OR($B483="",$E483="",$F483=""),$K483&lt;&gt;"نعم",$M483="نعم"),0,MAX(0,MIN($F483,EOMONTH(DATE(cfg_FY,1,1),0))-MAX($E483,DATE(cfg_FY,1,1))+1))</f>
        <v>0</v>
      </c>
      <c r="AU483" s="110" t="n">
        <f aca="false">IF(OR(OR($B483="",$E483="",$F483=""),$K483&lt;&gt;"نعم",$M483="نعم"),0,MAX(0,MIN($F483,EOMONTH(DATE(cfg_FY,2,1),0))-MAX($E483,DATE(cfg_FY,2,1))+1))</f>
        <v>0</v>
      </c>
      <c r="AV483" s="110" t="n">
        <f aca="false">IF(OR(OR($B483="",$E483="",$F483=""),$K483&lt;&gt;"نعم",$M483="نعم"),0,MAX(0,MIN($F483,EOMONTH(DATE(cfg_FY,3,1),0))-MAX($E483,DATE(cfg_FY,3,1))+1))</f>
        <v>0</v>
      </c>
      <c r="AW483" s="110" t="n">
        <f aca="false">IF(OR(OR($B483="",$E483="",$F483=""),$K483&lt;&gt;"نعم",$M483="نعم"),0,MAX(0,MIN($F483,EOMONTH(DATE(cfg_FY,4,1),0))-MAX($E483,DATE(cfg_FY,4,1))+1))</f>
        <v>0</v>
      </c>
      <c r="AX483" s="110" t="n">
        <f aca="false">IF(OR(OR($B483="",$E483="",$F483=""),$K483&lt;&gt;"نعم",$M483="نعم"),0,MAX(0,MIN($F483,EOMONTH(DATE(cfg_FY,5,1),0))-MAX($E483,DATE(cfg_FY,5,1))+1))</f>
        <v>0</v>
      </c>
      <c r="AY483" s="110" t="n">
        <f aca="false">IF(OR(OR($B483="",$E483="",$F483=""),$K483&lt;&gt;"نعم",$M483="نعم"),0,MAX(0,MIN($F483,EOMONTH(DATE(cfg_FY,6,1),0))-MAX($E483,DATE(cfg_FY,6,1))+1))</f>
        <v>0</v>
      </c>
      <c r="AZ483" s="110" t="n">
        <f aca="false">IF(OR(OR($B483="",$E483="",$F483=""),$K483&lt;&gt;"نعم",$M483="نعم"),0,MAX(0,MIN($F483,EOMONTH(DATE(cfg_FY,7,1),0))-MAX($E483,DATE(cfg_FY,7,1))+1))</f>
        <v>0</v>
      </c>
      <c r="BA483" s="110" t="n">
        <f aca="false">IF(OR(OR($B483="",$E483="",$F483=""),$K483&lt;&gt;"نعم",$M483="نعم"),0,MAX(0,MIN($F483,EOMONTH(DATE(cfg_FY,8,1),0))-MAX($E483,DATE(cfg_FY,8,1))+1))</f>
        <v>0</v>
      </c>
      <c r="BB483" s="110" t="n">
        <f aca="false">IF(OR(OR($B483="",$E483="",$F483=""),$K483&lt;&gt;"نعم",$M483="نعم"),0,MAX(0,MIN($F483,EOMONTH(DATE(cfg_FY,9,1),0))-MAX($E483,DATE(cfg_FY,9,1))+1))</f>
        <v>0</v>
      </c>
      <c r="BC483" s="110" t="n">
        <f aca="false">IF(OR(OR($B483="",$E483="",$F483=""),$K483&lt;&gt;"نعم",$M483="نعم"),0,MAX(0,MIN($F483,EOMONTH(DATE(cfg_FY,10,1),0))-MAX($E483,DATE(cfg_FY,10,1))+1))</f>
        <v>0</v>
      </c>
      <c r="BD483" s="110" t="n">
        <f aca="false">IF(OR(OR($B483="",$E483="",$F483=""),$K483&lt;&gt;"نعم",$M483="نعم"),0,MAX(0,MIN($F483,EOMONTH(DATE(cfg_FY,11,1),0))-MAX($E483,DATE(cfg_FY,11,1))+1))</f>
        <v>0</v>
      </c>
      <c r="BE483" s="110" t="n">
        <f aca="false">IF(OR(OR($B483="",$E483="",$F483=""),$K483&lt;&gt;"نعم",$M483="نعم"),0,MAX(0,MIN($F483,EOMONTH(DATE(cfg_FY,12,1),0))-MAX($E483,DATE(cfg_FY,12,1))+1))</f>
        <v>0</v>
      </c>
    </row>
    <row r="484" customFormat="false" ht="15" hidden="false" customHeight="false" outlineLevel="0" collapsed="false">
      <c r="A484" s="93" t="str">
        <f aca="false">IF(B484="","",ROW()-5)</f>
        <v/>
      </c>
      <c r="B484" s="79"/>
      <c r="C484" s="80" t="str">
        <f aca="false">IF(B484="","",IFERROR(INDEX(الموظفون!$C$6:$C$105,MATCH(B484,الموظفون!$B$6:$B$105,0)),"✖ رقم غير موجود"))</f>
        <v/>
      </c>
      <c r="D484" s="79"/>
      <c r="E484" s="94"/>
      <c r="F484" s="94"/>
      <c r="G484" s="57" t="str">
        <f aca="false">IF(OR($B484="",$E484="",$F484=""),"",MAX(0,F484-E484+1))</f>
        <v/>
      </c>
      <c r="H484" s="58" t="str">
        <f aca="false">IF(D484="","",IFERROR(VLOOKUP(D484,cfg_LT,2,FALSE()),1))</f>
        <v/>
      </c>
      <c r="I484" s="82"/>
      <c r="J484" s="58" t="str">
        <f aca="false">IF(D484="","",IF(I484&lt;&gt;"",I484,H484))</f>
        <v/>
      </c>
      <c r="K484" s="80" t="str">
        <f aca="false">IF(D484="","",IFERROR(VLOOKUP($D484,cfg_LT,3,FALSE()),""))</f>
        <v/>
      </c>
      <c r="L484" s="80" t="str">
        <f aca="false">IF(D484="","",IFERROR(VLOOKUP($D484,cfg_LT,4,FALSE()),""))</f>
        <v/>
      </c>
      <c r="M484" s="80" t="str">
        <f aca="false">IF(D484="","",IFERROR(VLOOKUP($D484,cfg_LT,5,FALSE()),""))</f>
        <v/>
      </c>
      <c r="N484" s="97" t="n">
        <f aca="false">IF(OR(OR($B484="",$E484="",$F484=""),M484&lt;&gt;"نعم"),0,G484*J484*IFERROR(INDEX(الموظفون!$R$6:$R$105,MATCH(B484,الموظفون!$B$6:$B$105,0)),0)/cfg_DAYS_M)</f>
        <v>0</v>
      </c>
      <c r="O484" s="93" t="str">
        <f aca="false">IF(OR(OR($B484="",$E484="",$F484=""),M484&lt;&gt;"نعم"),"",IF(YEAR(E484)=cfg_FY,MONTH(E484),""))</f>
        <v/>
      </c>
      <c r="P484" s="80" t="str">
        <f aca="false">IF(B484="","",IF(OR(D484="",E484="",F484=""),"⚠ أكمل النوع والتواريخ",IF(F484&lt;E484,"✖ النهاية قبل البداية",IF(COUNTIFS($B$6:$B$505,B484,$E$6:$E$505,"&lt;="&amp;F484,$F$6:$F$505,"&gt;="&amp;E484)&gt;1,"⚠ تداخل مع سجل آخر",IF(E484&gt;cfg_VAL_DATE,"⏳ قادمة",IF(F484&lt;cfg_VAL_DATE,"✔ منتهية","✈ جارية في تاريخ التقرير"))))))</f>
        <v/>
      </c>
      <c r="Q484" s="79"/>
      <c r="R484" s="57" t="n">
        <f aca="false">IF(OR(OR($B484="",$E484="",$F484=""),L484&lt;&gt;"لا"),0,MAX(0,MIN(F484,cfg_Y_START-1)-E484+1))</f>
        <v>0</v>
      </c>
      <c r="S484" s="57" t="n">
        <f aca="false">IF(OR(OR($B484="",$E484="",$F484=""),L484&lt;&gt;"لا"),0,MAX(0,MIN(F484,cfg_VAL_DATE)-E484+1))</f>
        <v>0</v>
      </c>
      <c r="T484" s="57" t="n">
        <f aca="false">IF(OR(OR($B484="",$E484="",$F484=""),K484&lt;&gt;"نعم"),0,IF(M484="نعم",IF(AND(ISNUMBER(O484),N(O484)&lt;=cfg_VAL_M),G484,0),MAX(0,MIN(F484,cfg_VAL_DATE)-MAX(E484,cfg_Y_START)+1)))</f>
        <v>0</v>
      </c>
      <c r="V484" s="57" t="n">
        <f aca="false">IF(OR($B484="",$E484="",$F484=""),0,MAX(0,MIN($F484,EOMONTH(DATE(cfg_FY,1,1),0))-MAX($E484,DATE(cfg_FY,1,1))+1)*(1-IF($M484="نعم",0,N($J484))))</f>
        <v>0</v>
      </c>
      <c r="W484" s="57" t="n">
        <f aca="false">IF(OR($B484="",$E484="",$F484=""),0,MAX(0,MIN($F484,EOMONTH(DATE(cfg_FY,2,1),0))-MAX($E484,DATE(cfg_FY,2,1))+1)*(1-IF($M484="نعم",0,N($J484))))</f>
        <v>0</v>
      </c>
      <c r="X484" s="57" t="n">
        <f aca="false">IF(OR($B484="",$E484="",$F484=""),0,MAX(0,MIN($F484,EOMONTH(DATE(cfg_FY,3,1),0))-MAX($E484,DATE(cfg_FY,3,1))+1)*(1-IF($M484="نعم",0,N($J484))))</f>
        <v>0</v>
      </c>
      <c r="Y484" s="57" t="n">
        <f aca="false">IF(OR($B484="",$E484="",$F484=""),0,MAX(0,MIN($F484,EOMONTH(DATE(cfg_FY,4,1),0))-MAX($E484,DATE(cfg_FY,4,1))+1)*(1-IF($M484="نعم",0,N($J484))))</f>
        <v>0</v>
      </c>
      <c r="Z484" s="57" t="n">
        <f aca="false">IF(OR($B484="",$E484="",$F484=""),0,MAX(0,MIN($F484,EOMONTH(DATE(cfg_FY,5,1),0))-MAX($E484,DATE(cfg_FY,5,1))+1)*(1-IF($M484="نعم",0,N($J484))))</f>
        <v>0</v>
      </c>
      <c r="AA484" s="57" t="n">
        <f aca="false">IF(OR($B484="",$E484="",$F484=""),0,MAX(0,MIN($F484,EOMONTH(DATE(cfg_FY,6,1),0))-MAX($E484,DATE(cfg_FY,6,1))+1)*(1-IF($M484="نعم",0,N($J484))))</f>
        <v>0</v>
      </c>
      <c r="AB484" s="57" t="n">
        <f aca="false">IF(OR($B484="",$E484="",$F484=""),0,MAX(0,MIN($F484,EOMONTH(DATE(cfg_FY,7,1),0))-MAX($E484,DATE(cfg_FY,7,1))+1)*(1-IF($M484="نعم",0,N($J484))))</f>
        <v>0</v>
      </c>
      <c r="AC484" s="57" t="n">
        <f aca="false">IF(OR($B484="",$E484="",$F484=""),0,MAX(0,MIN($F484,EOMONTH(DATE(cfg_FY,8,1),0))-MAX($E484,DATE(cfg_FY,8,1))+1)*(1-IF($M484="نعم",0,N($J484))))</f>
        <v>0</v>
      </c>
      <c r="AD484" s="57" t="n">
        <f aca="false">IF(OR($B484="",$E484="",$F484=""),0,MAX(0,MIN($F484,EOMONTH(DATE(cfg_FY,9,1),0))-MAX($E484,DATE(cfg_FY,9,1))+1)*(1-IF($M484="نعم",0,N($J484))))</f>
        <v>0</v>
      </c>
      <c r="AE484" s="57" t="n">
        <f aca="false">IF(OR($B484="",$E484="",$F484=""),0,MAX(0,MIN($F484,EOMONTH(DATE(cfg_FY,10,1),0))-MAX($E484,DATE(cfg_FY,10,1))+1)*(1-IF($M484="نعم",0,N($J484))))</f>
        <v>0</v>
      </c>
      <c r="AF484" s="57" t="n">
        <f aca="false">IF(OR($B484="",$E484="",$F484=""),0,MAX(0,MIN($F484,EOMONTH(DATE(cfg_FY,11,1),0))-MAX($E484,DATE(cfg_FY,11,1))+1)*(1-IF($M484="نعم",0,N($J484))))</f>
        <v>0</v>
      </c>
      <c r="AG484" s="57" t="n">
        <f aca="false">IF(OR($B484="",$E484="",$F484=""),0,MAX(0,MIN($F484,EOMONTH(DATE(cfg_FY,12,1),0))-MAX($E484,DATE(cfg_FY,12,1))+1)*(1-IF($M484="نعم",0,N($J484))))</f>
        <v>0</v>
      </c>
      <c r="AH484" s="57" t="n">
        <f aca="false">IF(OR(OR($B484="",$E484="",$F484=""),$L484&lt;&gt;"لا"),0,MAX(0,MIN($F484,EOMONTH(DATE(cfg_FY,1,1),0))-$E484+1))</f>
        <v>0</v>
      </c>
      <c r="AI484" s="57" t="n">
        <f aca="false">IF(OR(OR($B484="",$E484="",$F484=""),$L484&lt;&gt;"لا"),0,MAX(0,MIN($F484,EOMONTH(DATE(cfg_FY,2,1),0))-$E484+1))</f>
        <v>0</v>
      </c>
      <c r="AJ484" s="57" t="n">
        <f aca="false">IF(OR(OR($B484="",$E484="",$F484=""),$L484&lt;&gt;"لا"),0,MAX(0,MIN($F484,EOMONTH(DATE(cfg_FY,3,1),0))-$E484+1))</f>
        <v>0</v>
      </c>
      <c r="AK484" s="57" t="n">
        <f aca="false">IF(OR(OR($B484="",$E484="",$F484=""),$L484&lt;&gt;"لا"),0,MAX(0,MIN($F484,EOMONTH(DATE(cfg_FY,4,1),0))-$E484+1))</f>
        <v>0</v>
      </c>
      <c r="AL484" s="57" t="n">
        <f aca="false">IF(OR(OR($B484="",$E484="",$F484=""),$L484&lt;&gt;"لا"),0,MAX(0,MIN($F484,EOMONTH(DATE(cfg_FY,5,1),0))-$E484+1))</f>
        <v>0</v>
      </c>
      <c r="AM484" s="57" t="n">
        <f aca="false">IF(OR(OR($B484="",$E484="",$F484=""),$L484&lt;&gt;"لا"),0,MAX(0,MIN($F484,EOMONTH(DATE(cfg_FY,6,1),0))-$E484+1))</f>
        <v>0</v>
      </c>
      <c r="AN484" s="57" t="n">
        <f aca="false">IF(OR(OR($B484="",$E484="",$F484=""),$L484&lt;&gt;"لا"),0,MAX(0,MIN($F484,EOMONTH(DATE(cfg_FY,7,1),0))-$E484+1))</f>
        <v>0</v>
      </c>
      <c r="AO484" s="57" t="n">
        <f aca="false">IF(OR(OR($B484="",$E484="",$F484=""),$L484&lt;&gt;"لا"),0,MAX(0,MIN($F484,EOMONTH(DATE(cfg_FY,8,1),0))-$E484+1))</f>
        <v>0</v>
      </c>
      <c r="AP484" s="57" t="n">
        <f aca="false">IF(OR(OR($B484="",$E484="",$F484=""),$L484&lt;&gt;"لا"),0,MAX(0,MIN($F484,EOMONTH(DATE(cfg_FY,9,1),0))-$E484+1))</f>
        <v>0</v>
      </c>
      <c r="AQ484" s="57" t="n">
        <f aca="false">IF(OR(OR($B484="",$E484="",$F484=""),$L484&lt;&gt;"لا"),0,MAX(0,MIN($F484,EOMONTH(DATE(cfg_FY,10,1),0))-$E484+1))</f>
        <v>0</v>
      </c>
      <c r="AR484" s="57" t="n">
        <f aca="false">IF(OR(OR($B484="",$E484="",$F484=""),$L484&lt;&gt;"لا"),0,MAX(0,MIN($F484,EOMONTH(DATE(cfg_FY,11,1),0))-$E484+1))</f>
        <v>0</v>
      </c>
      <c r="AS484" s="57" t="n">
        <f aca="false">IF(OR(OR($B484="",$E484="",$F484=""),$L484&lt;&gt;"لا"),0,MAX(0,MIN($F484,EOMONTH(DATE(cfg_FY,12,1),0))-$E484+1))</f>
        <v>0</v>
      </c>
      <c r="AT484" s="57" t="n">
        <f aca="false">IF(OR(OR($B484="",$E484="",$F484=""),$K484&lt;&gt;"نعم",$M484="نعم"),0,MAX(0,MIN($F484,EOMONTH(DATE(cfg_FY,1,1),0))-MAX($E484,DATE(cfg_FY,1,1))+1))</f>
        <v>0</v>
      </c>
      <c r="AU484" s="57" t="n">
        <f aca="false">IF(OR(OR($B484="",$E484="",$F484=""),$K484&lt;&gt;"نعم",$M484="نعم"),0,MAX(0,MIN($F484,EOMONTH(DATE(cfg_FY,2,1),0))-MAX($E484,DATE(cfg_FY,2,1))+1))</f>
        <v>0</v>
      </c>
      <c r="AV484" s="57" t="n">
        <f aca="false">IF(OR(OR($B484="",$E484="",$F484=""),$K484&lt;&gt;"نعم",$M484="نعم"),0,MAX(0,MIN($F484,EOMONTH(DATE(cfg_FY,3,1),0))-MAX($E484,DATE(cfg_FY,3,1))+1))</f>
        <v>0</v>
      </c>
      <c r="AW484" s="57" t="n">
        <f aca="false">IF(OR(OR($B484="",$E484="",$F484=""),$K484&lt;&gt;"نعم",$M484="نعم"),0,MAX(0,MIN($F484,EOMONTH(DATE(cfg_FY,4,1),0))-MAX($E484,DATE(cfg_FY,4,1))+1))</f>
        <v>0</v>
      </c>
      <c r="AX484" s="57" t="n">
        <f aca="false">IF(OR(OR($B484="",$E484="",$F484=""),$K484&lt;&gt;"نعم",$M484="نعم"),0,MAX(0,MIN($F484,EOMONTH(DATE(cfg_FY,5,1),0))-MAX($E484,DATE(cfg_FY,5,1))+1))</f>
        <v>0</v>
      </c>
      <c r="AY484" s="57" t="n">
        <f aca="false">IF(OR(OR($B484="",$E484="",$F484=""),$K484&lt;&gt;"نعم",$M484="نعم"),0,MAX(0,MIN($F484,EOMONTH(DATE(cfg_FY,6,1),0))-MAX($E484,DATE(cfg_FY,6,1))+1))</f>
        <v>0</v>
      </c>
      <c r="AZ484" s="57" t="n">
        <f aca="false">IF(OR(OR($B484="",$E484="",$F484=""),$K484&lt;&gt;"نعم",$M484="نعم"),0,MAX(0,MIN($F484,EOMONTH(DATE(cfg_FY,7,1),0))-MAX($E484,DATE(cfg_FY,7,1))+1))</f>
        <v>0</v>
      </c>
      <c r="BA484" s="57" t="n">
        <f aca="false">IF(OR(OR($B484="",$E484="",$F484=""),$K484&lt;&gt;"نعم",$M484="نعم"),0,MAX(0,MIN($F484,EOMONTH(DATE(cfg_FY,8,1),0))-MAX($E484,DATE(cfg_FY,8,1))+1))</f>
        <v>0</v>
      </c>
      <c r="BB484" s="57" t="n">
        <f aca="false">IF(OR(OR($B484="",$E484="",$F484=""),$K484&lt;&gt;"نعم",$M484="نعم"),0,MAX(0,MIN($F484,EOMONTH(DATE(cfg_FY,9,1),0))-MAX($E484,DATE(cfg_FY,9,1))+1))</f>
        <v>0</v>
      </c>
      <c r="BC484" s="57" t="n">
        <f aca="false">IF(OR(OR($B484="",$E484="",$F484=""),$K484&lt;&gt;"نعم",$M484="نعم"),0,MAX(0,MIN($F484,EOMONTH(DATE(cfg_FY,10,1),0))-MAX($E484,DATE(cfg_FY,10,1))+1))</f>
        <v>0</v>
      </c>
      <c r="BD484" s="57" t="n">
        <f aca="false">IF(OR(OR($B484="",$E484="",$F484=""),$K484&lt;&gt;"نعم",$M484="نعم"),0,MAX(0,MIN($F484,EOMONTH(DATE(cfg_FY,11,1),0))-MAX($E484,DATE(cfg_FY,11,1))+1))</f>
        <v>0</v>
      </c>
      <c r="BE484" s="57" t="n">
        <f aca="false">IF(OR(OR($B484="",$E484="",$F484=""),$K484&lt;&gt;"نعم",$M484="نعم"),0,MAX(0,MIN($F484,EOMONTH(DATE(cfg_FY,12,1),0))-MAX($E484,DATE(cfg_FY,12,1))+1))</f>
        <v>0</v>
      </c>
    </row>
    <row r="485" customFormat="false" ht="15" hidden="false" customHeight="false" outlineLevel="0" collapsed="false">
      <c r="A485" s="100" t="str">
        <f aca="false">IF(B485="","",ROW()-5)</f>
        <v/>
      </c>
      <c r="B485" s="79"/>
      <c r="C485" s="102" t="str">
        <f aca="false">IF(B485="","",IFERROR(INDEX(الموظفون!$C$6:$C$105,MATCH(B485,الموظفون!$B$6:$B$105,0)),"✖ رقم غير موجود"))</f>
        <v/>
      </c>
      <c r="D485" s="79"/>
      <c r="E485" s="94"/>
      <c r="F485" s="94"/>
      <c r="G485" s="110" t="str">
        <f aca="false">IF(OR($B485="",$E485="",$F485=""),"",MAX(0,F485-E485+1))</f>
        <v/>
      </c>
      <c r="H485" s="111" t="str">
        <f aca="false">IF(D485="","",IFERROR(VLOOKUP(D485,cfg_LT,2,FALSE()),1))</f>
        <v/>
      </c>
      <c r="I485" s="82"/>
      <c r="J485" s="111" t="str">
        <f aca="false">IF(D485="","",IF(I485&lt;&gt;"",I485,H485))</f>
        <v/>
      </c>
      <c r="K485" s="102" t="str">
        <f aca="false">IF(D485="","",IFERROR(VLOOKUP($D485,cfg_LT,3,FALSE()),""))</f>
        <v/>
      </c>
      <c r="L485" s="102" t="str">
        <f aca="false">IF(D485="","",IFERROR(VLOOKUP($D485,cfg_LT,4,FALSE()),""))</f>
        <v/>
      </c>
      <c r="M485" s="102" t="str">
        <f aca="false">IF(D485="","",IFERROR(VLOOKUP($D485,cfg_LT,5,FALSE()),""))</f>
        <v/>
      </c>
      <c r="N485" s="101" t="n">
        <f aca="false">IF(OR(OR($B485="",$E485="",$F485=""),M485&lt;&gt;"نعم"),0,G485*J485*IFERROR(INDEX(الموظفون!$R$6:$R$105,MATCH(B485,الموظفون!$B$6:$B$105,0)),0)/cfg_DAYS_M)</f>
        <v>0</v>
      </c>
      <c r="O485" s="100" t="str">
        <f aca="false">IF(OR(OR($B485="",$E485="",$F485=""),M485&lt;&gt;"نعم"),"",IF(YEAR(E485)=cfg_FY,MONTH(E485),""))</f>
        <v/>
      </c>
      <c r="P485" s="102" t="str">
        <f aca="false">IF(B485="","",IF(OR(D485="",E485="",F485=""),"⚠ أكمل النوع والتواريخ",IF(F485&lt;E485,"✖ النهاية قبل البداية",IF(COUNTIFS($B$6:$B$505,B485,$E$6:$E$505,"&lt;="&amp;F485,$F$6:$F$505,"&gt;="&amp;E485)&gt;1,"⚠ تداخل مع سجل آخر",IF(E485&gt;cfg_VAL_DATE,"⏳ قادمة",IF(F485&lt;cfg_VAL_DATE,"✔ منتهية","✈ جارية في تاريخ التقرير"))))))</f>
        <v/>
      </c>
      <c r="Q485" s="79"/>
      <c r="R485" s="110" t="n">
        <f aca="false">IF(OR(OR($B485="",$E485="",$F485=""),L485&lt;&gt;"لا"),0,MAX(0,MIN(F485,cfg_Y_START-1)-E485+1))</f>
        <v>0</v>
      </c>
      <c r="S485" s="110" t="n">
        <f aca="false">IF(OR(OR($B485="",$E485="",$F485=""),L485&lt;&gt;"لا"),0,MAX(0,MIN(F485,cfg_VAL_DATE)-E485+1))</f>
        <v>0</v>
      </c>
      <c r="T485" s="110" t="n">
        <f aca="false">IF(OR(OR($B485="",$E485="",$F485=""),K485&lt;&gt;"نعم"),0,IF(M485="نعم",IF(AND(ISNUMBER(O485),N(O485)&lt;=cfg_VAL_M),G485,0),MAX(0,MIN(F485,cfg_VAL_DATE)-MAX(E485,cfg_Y_START)+1)))</f>
        <v>0</v>
      </c>
      <c r="V485" s="110" t="n">
        <f aca="false">IF(OR($B485="",$E485="",$F485=""),0,MAX(0,MIN($F485,EOMONTH(DATE(cfg_FY,1,1),0))-MAX($E485,DATE(cfg_FY,1,1))+1)*(1-IF($M485="نعم",0,N($J485))))</f>
        <v>0</v>
      </c>
      <c r="W485" s="110" t="n">
        <f aca="false">IF(OR($B485="",$E485="",$F485=""),0,MAX(0,MIN($F485,EOMONTH(DATE(cfg_FY,2,1),0))-MAX($E485,DATE(cfg_FY,2,1))+1)*(1-IF($M485="نعم",0,N($J485))))</f>
        <v>0</v>
      </c>
      <c r="X485" s="110" t="n">
        <f aca="false">IF(OR($B485="",$E485="",$F485=""),0,MAX(0,MIN($F485,EOMONTH(DATE(cfg_FY,3,1),0))-MAX($E485,DATE(cfg_FY,3,1))+1)*(1-IF($M485="نعم",0,N($J485))))</f>
        <v>0</v>
      </c>
      <c r="Y485" s="110" t="n">
        <f aca="false">IF(OR($B485="",$E485="",$F485=""),0,MAX(0,MIN($F485,EOMONTH(DATE(cfg_FY,4,1),0))-MAX($E485,DATE(cfg_FY,4,1))+1)*(1-IF($M485="نعم",0,N($J485))))</f>
        <v>0</v>
      </c>
      <c r="Z485" s="110" t="n">
        <f aca="false">IF(OR($B485="",$E485="",$F485=""),0,MAX(0,MIN($F485,EOMONTH(DATE(cfg_FY,5,1),0))-MAX($E485,DATE(cfg_FY,5,1))+1)*(1-IF($M485="نعم",0,N($J485))))</f>
        <v>0</v>
      </c>
      <c r="AA485" s="110" t="n">
        <f aca="false">IF(OR($B485="",$E485="",$F485=""),0,MAX(0,MIN($F485,EOMONTH(DATE(cfg_FY,6,1),0))-MAX($E485,DATE(cfg_FY,6,1))+1)*(1-IF($M485="نعم",0,N($J485))))</f>
        <v>0</v>
      </c>
      <c r="AB485" s="110" t="n">
        <f aca="false">IF(OR($B485="",$E485="",$F485=""),0,MAX(0,MIN($F485,EOMONTH(DATE(cfg_FY,7,1),0))-MAX($E485,DATE(cfg_FY,7,1))+1)*(1-IF($M485="نعم",0,N($J485))))</f>
        <v>0</v>
      </c>
      <c r="AC485" s="110" t="n">
        <f aca="false">IF(OR($B485="",$E485="",$F485=""),0,MAX(0,MIN($F485,EOMONTH(DATE(cfg_FY,8,1),0))-MAX($E485,DATE(cfg_FY,8,1))+1)*(1-IF($M485="نعم",0,N($J485))))</f>
        <v>0</v>
      </c>
      <c r="AD485" s="110" t="n">
        <f aca="false">IF(OR($B485="",$E485="",$F485=""),0,MAX(0,MIN($F485,EOMONTH(DATE(cfg_FY,9,1),0))-MAX($E485,DATE(cfg_FY,9,1))+1)*(1-IF($M485="نعم",0,N($J485))))</f>
        <v>0</v>
      </c>
      <c r="AE485" s="110" t="n">
        <f aca="false">IF(OR($B485="",$E485="",$F485=""),0,MAX(0,MIN($F485,EOMONTH(DATE(cfg_FY,10,1),0))-MAX($E485,DATE(cfg_FY,10,1))+1)*(1-IF($M485="نعم",0,N($J485))))</f>
        <v>0</v>
      </c>
      <c r="AF485" s="110" t="n">
        <f aca="false">IF(OR($B485="",$E485="",$F485=""),0,MAX(0,MIN($F485,EOMONTH(DATE(cfg_FY,11,1),0))-MAX($E485,DATE(cfg_FY,11,1))+1)*(1-IF($M485="نعم",0,N($J485))))</f>
        <v>0</v>
      </c>
      <c r="AG485" s="110" t="n">
        <f aca="false">IF(OR($B485="",$E485="",$F485=""),0,MAX(0,MIN($F485,EOMONTH(DATE(cfg_FY,12,1),0))-MAX($E485,DATE(cfg_FY,12,1))+1)*(1-IF($M485="نعم",0,N($J485))))</f>
        <v>0</v>
      </c>
      <c r="AH485" s="110" t="n">
        <f aca="false">IF(OR(OR($B485="",$E485="",$F485=""),$L485&lt;&gt;"لا"),0,MAX(0,MIN($F485,EOMONTH(DATE(cfg_FY,1,1),0))-$E485+1))</f>
        <v>0</v>
      </c>
      <c r="AI485" s="110" t="n">
        <f aca="false">IF(OR(OR($B485="",$E485="",$F485=""),$L485&lt;&gt;"لا"),0,MAX(0,MIN($F485,EOMONTH(DATE(cfg_FY,2,1),0))-$E485+1))</f>
        <v>0</v>
      </c>
      <c r="AJ485" s="110" t="n">
        <f aca="false">IF(OR(OR($B485="",$E485="",$F485=""),$L485&lt;&gt;"لا"),0,MAX(0,MIN($F485,EOMONTH(DATE(cfg_FY,3,1),0))-$E485+1))</f>
        <v>0</v>
      </c>
      <c r="AK485" s="110" t="n">
        <f aca="false">IF(OR(OR($B485="",$E485="",$F485=""),$L485&lt;&gt;"لا"),0,MAX(0,MIN($F485,EOMONTH(DATE(cfg_FY,4,1),0))-$E485+1))</f>
        <v>0</v>
      </c>
      <c r="AL485" s="110" t="n">
        <f aca="false">IF(OR(OR($B485="",$E485="",$F485=""),$L485&lt;&gt;"لا"),0,MAX(0,MIN($F485,EOMONTH(DATE(cfg_FY,5,1),0))-$E485+1))</f>
        <v>0</v>
      </c>
      <c r="AM485" s="110" t="n">
        <f aca="false">IF(OR(OR($B485="",$E485="",$F485=""),$L485&lt;&gt;"لا"),0,MAX(0,MIN($F485,EOMONTH(DATE(cfg_FY,6,1),0))-$E485+1))</f>
        <v>0</v>
      </c>
      <c r="AN485" s="110" t="n">
        <f aca="false">IF(OR(OR($B485="",$E485="",$F485=""),$L485&lt;&gt;"لا"),0,MAX(0,MIN($F485,EOMONTH(DATE(cfg_FY,7,1),0))-$E485+1))</f>
        <v>0</v>
      </c>
      <c r="AO485" s="110" t="n">
        <f aca="false">IF(OR(OR($B485="",$E485="",$F485=""),$L485&lt;&gt;"لا"),0,MAX(0,MIN($F485,EOMONTH(DATE(cfg_FY,8,1),0))-$E485+1))</f>
        <v>0</v>
      </c>
      <c r="AP485" s="110" t="n">
        <f aca="false">IF(OR(OR($B485="",$E485="",$F485=""),$L485&lt;&gt;"لا"),0,MAX(0,MIN($F485,EOMONTH(DATE(cfg_FY,9,1),0))-$E485+1))</f>
        <v>0</v>
      </c>
      <c r="AQ485" s="110" t="n">
        <f aca="false">IF(OR(OR($B485="",$E485="",$F485=""),$L485&lt;&gt;"لا"),0,MAX(0,MIN($F485,EOMONTH(DATE(cfg_FY,10,1),0))-$E485+1))</f>
        <v>0</v>
      </c>
      <c r="AR485" s="110" t="n">
        <f aca="false">IF(OR(OR($B485="",$E485="",$F485=""),$L485&lt;&gt;"لا"),0,MAX(0,MIN($F485,EOMONTH(DATE(cfg_FY,11,1),0))-$E485+1))</f>
        <v>0</v>
      </c>
      <c r="AS485" s="110" t="n">
        <f aca="false">IF(OR(OR($B485="",$E485="",$F485=""),$L485&lt;&gt;"لا"),0,MAX(0,MIN($F485,EOMONTH(DATE(cfg_FY,12,1),0))-$E485+1))</f>
        <v>0</v>
      </c>
      <c r="AT485" s="110" t="n">
        <f aca="false">IF(OR(OR($B485="",$E485="",$F485=""),$K485&lt;&gt;"نعم",$M485="نعم"),0,MAX(0,MIN($F485,EOMONTH(DATE(cfg_FY,1,1),0))-MAX($E485,DATE(cfg_FY,1,1))+1))</f>
        <v>0</v>
      </c>
      <c r="AU485" s="110" t="n">
        <f aca="false">IF(OR(OR($B485="",$E485="",$F485=""),$K485&lt;&gt;"نعم",$M485="نعم"),0,MAX(0,MIN($F485,EOMONTH(DATE(cfg_FY,2,1),0))-MAX($E485,DATE(cfg_FY,2,1))+1))</f>
        <v>0</v>
      </c>
      <c r="AV485" s="110" t="n">
        <f aca="false">IF(OR(OR($B485="",$E485="",$F485=""),$K485&lt;&gt;"نعم",$M485="نعم"),0,MAX(0,MIN($F485,EOMONTH(DATE(cfg_FY,3,1),0))-MAX($E485,DATE(cfg_FY,3,1))+1))</f>
        <v>0</v>
      </c>
      <c r="AW485" s="110" t="n">
        <f aca="false">IF(OR(OR($B485="",$E485="",$F485=""),$K485&lt;&gt;"نعم",$M485="نعم"),0,MAX(0,MIN($F485,EOMONTH(DATE(cfg_FY,4,1),0))-MAX($E485,DATE(cfg_FY,4,1))+1))</f>
        <v>0</v>
      </c>
      <c r="AX485" s="110" t="n">
        <f aca="false">IF(OR(OR($B485="",$E485="",$F485=""),$K485&lt;&gt;"نعم",$M485="نعم"),0,MAX(0,MIN($F485,EOMONTH(DATE(cfg_FY,5,1),0))-MAX($E485,DATE(cfg_FY,5,1))+1))</f>
        <v>0</v>
      </c>
      <c r="AY485" s="110" t="n">
        <f aca="false">IF(OR(OR($B485="",$E485="",$F485=""),$K485&lt;&gt;"نعم",$M485="نعم"),0,MAX(0,MIN($F485,EOMONTH(DATE(cfg_FY,6,1),0))-MAX($E485,DATE(cfg_FY,6,1))+1))</f>
        <v>0</v>
      </c>
      <c r="AZ485" s="110" t="n">
        <f aca="false">IF(OR(OR($B485="",$E485="",$F485=""),$K485&lt;&gt;"نعم",$M485="نعم"),0,MAX(0,MIN($F485,EOMONTH(DATE(cfg_FY,7,1),0))-MAX($E485,DATE(cfg_FY,7,1))+1))</f>
        <v>0</v>
      </c>
      <c r="BA485" s="110" t="n">
        <f aca="false">IF(OR(OR($B485="",$E485="",$F485=""),$K485&lt;&gt;"نعم",$M485="نعم"),0,MAX(0,MIN($F485,EOMONTH(DATE(cfg_FY,8,1),0))-MAX($E485,DATE(cfg_FY,8,1))+1))</f>
        <v>0</v>
      </c>
      <c r="BB485" s="110" t="n">
        <f aca="false">IF(OR(OR($B485="",$E485="",$F485=""),$K485&lt;&gt;"نعم",$M485="نعم"),0,MAX(0,MIN($F485,EOMONTH(DATE(cfg_FY,9,1),0))-MAX($E485,DATE(cfg_FY,9,1))+1))</f>
        <v>0</v>
      </c>
      <c r="BC485" s="110" t="n">
        <f aca="false">IF(OR(OR($B485="",$E485="",$F485=""),$K485&lt;&gt;"نعم",$M485="نعم"),0,MAX(0,MIN($F485,EOMONTH(DATE(cfg_FY,10,1),0))-MAX($E485,DATE(cfg_FY,10,1))+1))</f>
        <v>0</v>
      </c>
      <c r="BD485" s="110" t="n">
        <f aca="false">IF(OR(OR($B485="",$E485="",$F485=""),$K485&lt;&gt;"نعم",$M485="نعم"),0,MAX(0,MIN($F485,EOMONTH(DATE(cfg_FY,11,1),0))-MAX($E485,DATE(cfg_FY,11,1))+1))</f>
        <v>0</v>
      </c>
      <c r="BE485" s="110" t="n">
        <f aca="false">IF(OR(OR($B485="",$E485="",$F485=""),$K485&lt;&gt;"نعم",$M485="نعم"),0,MAX(0,MIN($F485,EOMONTH(DATE(cfg_FY,12,1),0))-MAX($E485,DATE(cfg_FY,12,1))+1))</f>
        <v>0</v>
      </c>
    </row>
    <row r="486" customFormat="false" ht="15" hidden="false" customHeight="false" outlineLevel="0" collapsed="false">
      <c r="A486" s="93" t="str">
        <f aca="false">IF(B486="","",ROW()-5)</f>
        <v/>
      </c>
      <c r="B486" s="79"/>
      <c r="C486" s="80" t="str">
        <f aca="false">IF(B486="","",IFERROR(INDEX(الموظفون!$C$6:$C$105,MATCH(B486,الموظفون!$B$6:$B$105,0)),"✖ رقم غير موجود"))</f>
        <v/>
      </c>
      <c r="D486" s="79"/>
      <c r="E486" s="94"/>
      <c r="F486" s="94"/>
      <c r="G486" s="57" t="str">
        <f aca="false">IF(OR($B486="",$E486="",$F486=""),"",MAX(0,F486-E486+1))</f>
        <v/>
      </c>
      <c r="H486" s="58" t="str">
        <f aca="false">IF(D486="","",IFERROR(VLOOKUP(D486,cfg_LT,2,FALSE()),1))</f>
        <v/>
      </c>
      <c r="I486" s="82"/>
      <c r="J486" s="58" t="str">
        <f aca="false">IF(D486="","",IF(I486&lt;&gt;"",I486,H486))</f>
        <v/>
      </c>
      <c r="K486" s="80" t="str">
        <f aca="false">IF(D486="","",IFERROR(VLOOKUP($D486,cfg_LT,3,FALSE()),""))</f>
        <v/>
      </c>
      <c r="L486" s="80" t="str">
        <f aca="false">IF(D486="","",IFERROR(VLOOKUP($D486,cfg_LT,4,FALSE()),""))</f>
        <v/>
      </c>
      <c r="M486" s="80" t="str">
        <f aca="false">IF(D486="","",IFERROR(VLOOKUP($D486,cfg_LT,5,FALSE()),""))</f>
        <v/>
      </c>
      <c r="N486" s="97" t="n">
        <f aca="false">IF(OR(OR($B486="",$E486="",$F486=""),M486&lt;&gt;"نعم"),0,G486*J486*IFERROR(INDEX(الموظفون!$R$6:$R$105,MATCH(B486,الموظفون!$B$6:$B$105,0)),0)/cfg_DAYS_M)</f>
        <v>0</v>
      </c>
      <c r="O486" s="93" t="str">
        <f aca="false">IF(OR(OR($B486="",$E486="",$F486=""),M486&lt;&gt;"نعم"),"",IF(YEAR(E486)=cfg_FY,MONTH(E486),""))</f>
        <v/>
      </c>
      <c r="P486" s="80" t="str">
        <f aca="false">IF(B486="","",IF(OR(D486="",E486="",F486=""),"⚠ أكمل النوع والتواريخ",IF(F486&lt;E486,"✖ النهاية قبل البداية",IF(COUNTIFS($B$6:$B$505,B486,$E$6:$E$505,"&lt;="&amp;F486,$F$6:$F$505,"&gt;="&amp;E486)&gt;1,"⚠ تداخل مع سجل آخر",IF(E486&gt;cfg_VAL_DATE,"⏳ قادمة",IF(F486&lt;cfg_VAL_DATE,"✔ منتهية","✈ جارية في تاريخ التقرير"))))))</f>
        <v/>
      </c>
      <c r="Q486" s="79"/>
      <c r="R486" s="57" t="n">
        <f aca="false">IF(OR(OR($B486="",$E486="",$F486=""),L486&lt;&gt;"لا"),0,MAX(0,MIN(F486,cfg_Y_START-1)-E486+1))</f>
        <v>0</v>
      </c>
      <c r="S486" s="57" t="n">
        <f aca="false">IF(OR(OR($B486="",$E486="",$F486=""),L486&lt;&gt;"لا"),0,MAX(0,MIN(F486,cfg_VAL_DATE)-E486+1))</f>
        <v>0</v>
      </c>
      <c r="T486" s="57" t="n">
        <f aca="false">IF(OR(OR($B486="",$E486="",$F486=""),K486&lt;&gt;"نعم"),0,IF(M486="نعم",IF(AND(ISNUMBER(O486),N(O486)&lt;=cfg_VAL_M),G486,0),MAX(0,MIN(F486,cfg_VAL_DATE)-MAX(E486,cfg_Y_START)+1)))</f>
        <v>0</v>
      </c>
      <c r="V486" s="57" t="n">
        <f aca="false">IF(OR($B486="",$E486="",$F486=""),0,MAX(0,MIN($F486,EOMONTH(DATE(cfg_FY,1,1),0))-MAX($E486,DATE(cfg_FY,1,1))+1)*(1-IF($M486="نعم",0,N($J486))))</f>
        <v>0</v>
      </c>
      <c r="W486" s="57" t="n">
        <f aca="false">IF(OR($B486="",$E486="",$F486=""),0,MAX(0,MIN($F486,EOMONTH(DATE(cfg_FY,2,1),0))-MAX($E486,DATE(cfg_FY,2,1))+1)*(1-IF($M486="نعم",0,N($J486))))</f>
        <v>0</v>
      </c>
      <c r="X486" s="57" t="n">
        <f aca="false">IF(OR($B486="",$E486="",$F486=""),0,MAX(0,MIN($F486,EOMONTH(DATE(cfg_FY,3,1),0))-MAX($E486,DATE(cfg_FY,3,1))+1)*(1-IF($M486="نعم",0,N($J486))))</f>
        <v>0</v>
      </c>
      <c r="Y486" s="57" t="n">
        <f aca="false">IF(OR($B486="",$E486="",$F486=""),0,MAX(0,MIN($F486,EOMONTH(DATE(cfg_FY,4,1),0))-MAX($E486,DATE(cfg_FY,4,1))+1)*(1-IF($M486="نعم",0,N($J486))))</f>
        <v>0</v>
      </c>
      <c r="Z486" s="57" t="n">
        <f aca="false">IF(OR($B486="",$E486="",$F486=""),0,MAX(0,MIN($F486,EOMONTH(DATE(cfg_FY,5,1),0))-MAX($E486,DATE(cfg_FY,5,1))+1)*(1-IF($M486="نعم",0,N($J486))))</f>
        <v>0</v>
      </c>
      <c r="AA486" s="57" t="n">
        <f aca="false">IF(OR($B486="",$E486="",$F486=""),0,MAX(0,MIN($F486,EOMONTH(DATE(cfg_FY,6,1),0))-MAX($E486,DATE(cfg_FY,6,1))+1)*(1-IF($M486="نعم",0,N($J486))))</f>
        <v>0</v>
      </c>
      <c r="AB486" s="57" t="n">
        <f aca="false">IF(OR($B486="",$E486="",$F486=""),0,MAX(0,MIN($F486,EOMONTH(DATE(cfg_FY,7,1),0))-MAX($E486,DATE(cfg_FY,7,1))+1)*(1-IF($M486="نعم",0,N($J486))))</f>
        <v>0</v>
      </c>
      <c r="AC486" s="57" t="n">
        <f aca="false">IF(OR($B486="",$E486="",$F486=""),0,MAX(0,MIN($F486,EOMONTH(DATE(cfg_FY,8,1),0))-MAX($E486,DATE(cfg_FY,8,1))+1)*(1-IF($M486="نعم",0,N($J486))))</f>
        <v>0</v>
      </c>
      <c r="AD486" s="57" t="n">
        <f aca="false">IF(OR($B486="",$E486="",$F486=""),0,MAX(0,MIN($F486,EOMONTH(DATE(cfg_FY,9,1),0))-MAX($E486,DATE(cfg_FY,9,1))+1)*(1-IF($M486="نعم",0,N($J486))))</f>
        <v>0</v>
      </c>
      <c r="AE486" s="57" t="n">
        <f aca="false">IF(OR($B486="",$E486="",$F486=""),0,MAX(0,MIN($F486,EOMONTH(DATE(cfg_FY,10,1),0))-MAX($E486,DATE(cfg_FY,10,1))+1)*(1-IF($M486="نعم",0,N($J486))))</f>
        <v>0</v>
      </c>
      <c r="AF486" s="57" t="n">
        <f aca="false">IF(OR($B486="",$E486="",$F486=""),0,MAX(0,MIN($F486,EOMONTH(DATE(cfg_FY,11,1),0))-MAX($E486,DATE(cfg_FY,11,1))+1)*(1-IF($M486="نعم",0,N($J486))))</f>
        <v>0</v>
      </c>
      <c r="AG486" s="57" t="n">
        <f aca="false">IF(OR($B486="",$E486="",$F486=""),0,MAX(0,MIN($F486,EOMONTH(DATE(cfg_FY,12,1),0))-MAX($E486,DATE(cfg_FY,12,1))+1)*(1-IF($M486="نعم",0,N($J486))))</f>
        <v>0</v>
      </c>
      <c r="AH486" s="57" t="n">
        <f aca="false">IF(OR(OR($B486="",$E486="",$F486=""),$L486&lt;&gt;"لا"),0,MAX(0,MIN($F486,EOMONTH(DATE(cfg_FY,1,1),0))-$E486+1))</f>
        <v>0</v>
      </c>
      <c r="AI486" s="57" t="n">
        <f aca="false">IF(OR(OR($B486="",$E486="",$F486=""),$L486&lt;&gt;"لا"),0,MAX(0,MIN($F486,EOMONTH(DATE(cfg_FY,2,1),0))-$E486+1))</f>
        <v>0</v>
      </c>
      <c r="AJ486" s="57" t="n">
        <f aca="false">IF(OR(OR($B486="",$E486="",$F486=""),$L486&lt;&gt;"لا"),0,MAX(0,MIN($F486,EOMONTH(DATE(cfg_FY,3,1),0))-$E486+1))</f>
        <v>0</v>
      </c>
      <c r="AK486" s="57" t="n">
        <f aca="false">IF(OR(OR($B486="",$E486="",$F486=""),$L486&lt;&gt;"لا"),0,MAX(0,MIN($F486,EOMONTH(DATE(cfg_FY,4,1),0))-$E486+1))</f>
        <v>0</v>
      </c>
      <c r="AL486" s="57" t="n">
        <f aca="false">IF(OR(OR($B486="",$E486="",$F486=""),$L486&lt;&gt;"لا"),0,MAX(0,MIN($F486,EOMONTH(DATE(cfg_FY,5,1),0))-$E486+1))</f>
        <v>0</v>
      </c>
      <c r="AM486" s="57" t="n">
        <f aca="false">IF(OR(OR($B486="",$E486="",$F486=""),$L486&lt;&gt;"لا"),0,MAX(0,MIN($F486,EOMONTH(DATE(cfg_FY,6,1),0))-$E486+1))</f>
        <v>0</v>
      </c>
      <c r="AN486" s="57" t="n">
        <f aca="false">IF(OR(OR($B486="",$E486="",$F486=""),$L486&lt;&gt;"لا"),0,MAX(0,MIN($F486,EOMONTH(DATE(cfg_FY,7,1),0))-$E486+1))</f>
        <v>0</v>
      </c>
      <c r="AO486" s="57" t="n">
        <f aca="false">IF(OR(OR($B486="",$E486="",$F486=""),$L486&lt;&gt;"لا"),0,MAX(0,MIN($F486,EOMONTH(DATE(cfg_FY,8,1),0))-$E486+1))</f>
        <v>0</v>
      </c>
      <c r="AP486" s="57" t="n">
        <f aca="false">IF(OR(OR($B486="",$E486="",$F486=""),$L486&lt;&gt;"لا"),0,MAX(0,MIN($F486,EOMONTH(DATE(cfg_FY,9,1),0))-$E486+1))</f>
        <v>0</v>
      </c>
      <c r="AQ486" s="57" t="n">
        <f aca="false">IF(OR(OR($B486="",$E486="",$F486=""),$L486&lt;&gt;"لا"),0,MAX(0,MIN($F486,EOMONTH(DATE(cfg_FY,10,1),0))-$E486+1))</f>
        <v>0</v>
      </c>
      <c r="AR486" s="57" t="n">
        <f aca="false">IF(OR(OR($B486="",$E486="",$F486=""),$L486&lt;&gt;"لا"),0,MAX(0,MIN($F486,EOMONTH(DATE(cfg_FY,11,1),0))-$E486+1))</f>
        <v>0</v>
      </c>
      <c r="AS486" s="57" t="n">
        <f aca="false">IF(OR(OR($B486="",$E486="",$F486=""),$L486&lt;&gt;"لا"),0,MAX(0,MIN($F486,EOMONTH(DATE(cfg_FY,12,1),0))-$E486+1))</f>
        <v>0</v>
      </c>
      <c r="AT486" s="57" t="n">
        <f aca="false">IF(OR(OR($B486="",$E486="",$F486=""),$K486&lt;&gt;"نعم",$M486="نعم"),0,MAX(0,MIN($F486,EOMONTH(DATE(cfg_FY,1,1),0))-MAX($E486,DATE(cfg_FY,1,1))+1))</f>
        <v>0</v>
      </c>
      <c r="AU486" s="57" t="n">
        <f aca="false">IF(OR(OR($B486="",$E486="",$F486=""),$K486&lt;&gt;"نعم",$M486="نعم"),0,MAX(0,MIN($F486,EOMONTH(DATE(cfg_FY,2,1),0))-MAX($E486,DATE(cfg_FY,2,1))+1))</f>
        <v>0</v>
      </c>
      <c r="AV486" s="57" t="n">
        <f aca="false">IF(OR(OR($B486="",$E486="",$F486=""),$K486&lt;&gt;"نعم",$M486="نعم"),0,MAX(0,MIN($F486,EOMONTH(DATE(cfg_FY,3,1),0))-MAX($E486,DATE(cfg_FY,3,1))+1))</f>
        <v>0</v>
      </c>
      <c r="AW486" s="57" t="n">
        <f aca="false">IF(OR(OR($B486="",$E486="",$F486=""),$K486&lt;&gt;"نعم",$M486="نعم"),0,MAX(0,MIN($F486,EOMONTH(DATE(cfg_FY,4,1),0))-MAX($E486,DATE(cfg_FY,4,1))+1))</f>
        <v>0</v>
      </c>
      <c r="AX486" s="57" t="n">
        <f aca="false">IF(OR(OR($B486="",$E486="",$F486=""),$K486&lt;&gt;"نعم",$M486="نعم"),0,MAX(0,MIN($F486,EOMONTH(DATE(cfg_FY,5,1),0))-MAX($E486,DATE(cfg_FY,5,1))+1))</f>
        <v>0</v>
      </c>
      <c r="AY486" s="57" t="n">
        <f aca="false">IF(OR(OR($B486="",$E486="",$F486=""),$K486&lt;&gt;"نعم",$M486="نعم"),0,MAX(0,MIN($F486,EOMONTH(DATE(cfg_FY,6,1),0))-MAX($E486,DATE(cfg_FY,6,1))+1))</f>
        <v>0</v>
      </c>
      <c r="AZ486" s="57" t="n">
        <f aca="false">IF(OR(OR($B486="",$E486="",$F486=""),$K486&lt;&gt;"نعم",$M486="نعم"),0,MAX(0,MIN($F486,EOMONTH(DATE(cfg_FY,7,1),0))-MAX($E486,DATE(cfg_FY,7,1))+1))</f>
        <v>0</v>
      </c>
      <c r="BA486" s="57" t="n">
        <f aca="false">IF(OR(OR($B486="",$E486="",$F486=""),$K486&lt;&gt;"نعم",$M486="نعم"),0,MAX(0,MIN($F486,EOMONTH(DATE(cfg_FY,8,1),0))-MAX($E486,DATE(cfg_FY,8,1))+1))</f>
        <v>0</v>
      </c>
      <c r="BB486" s="57" t="n">
        <f aca="false">IF(OR(OR($B486="",$E486="",$F486=""),$K486&lt;&gt;"نعم",$M486="نعم"),0,MAX(0,MIN($F486,EOMONTH(DATE(cfg_FY,9,1),0))-MAX($E486,DATE(cfg_FY,9,1))+1))</f>
        <v>0</v>
      </c>
      <c r="BC486" s="57" t="n">
        <f aca="false">IF(OR(OR($B486="",$E486="",$F486=""),$K486&lt;&gt;"نعم",$M486="نعم"),0,MAX(0,MIN($F486,EOMONTH(DATE(cfg_FY,10,1),0))-MAX($E486,DATE(cfg_FY,10,1))+1))</f>
        <v>0</v>
      </c>
      <c r="BD486" s="57" t="n">
        <f aca="false">IF(OR(OR($B486="",$E486="",$F486=""),$K486&lt;&gt;"نعم",$M486="نعم"),0,MAX(0,MIN($F486,EOMONTH(DATE(cfg_FY,11,1),0))-MAX($E486,DATE(cfg_FY,11,1))+1))</f>
        <v>0</v>
      </c>
      <c r="BE486" s="57" t="n">
        <f aca="false">IF(OR(OR($B486="",$E486="",$F486=""),$K486&lt;&gt;"نعم",$M486="نعم"),0,MAX(0,MIN($F486,EOMONTH(DATE(cfg_FY,12,1),0))-MAX($E486,DATE(cfg_FY,12,1))+1))</f>
        <v>0</v>
      </c>
    </row>
    <row r="487" customFormat="false" ht="15" hidden="false" customHeight="false" outlineLevel="0" collapsed="false">
      <c r="A487" s="100" t="str">
        <f aca="false">IF(B487="","",ROW()-5)</f>
        <v/>
      </c>
      <c r="B487" s="79"/>
      <c r="C487" s="102" t="str">
        <f aca="false">IF(B487="","",IFERROR(INDEX(الموظفون!$C$6:$C$105,MATCH(B487,الموظفون!$B$6:$B$105,0)),"✖ رقم غير موجود"))</f>
        <v/>
      </c>
      <c r="D487" s="79"/>
      <c r="E487" s="94"/>
      <c r="F487" s="94"/>
      <c r="G487" s="110" t="str">
        <f aca="false">IF(OR($B487="",$E487="",$F487=""),"",MAX(0,F487-E487+1))</f>
        <v/>
      </c>
      <c r="H487" s="111" t="str">
        <f aca="false">IF(D487="","",IFERROR(VLOOKUP(D487,cfg_LT,2,FALSE()),1))</f>
        <v/>
      </c>
      <c r="I487" s="82"/>
      <c r="J487" s="111" t="str">
        <f aca="false">IF(D487="","",IF(I487&lt;&gt;"",I487,H487))</f>
        <v/>
      </c>
      <c r="K487" s="102" t="str">
        <f aca="false">IF(D487="","",IFERROR(VLOOKUP($D487,cfg_LT,3,FALSE()),""))</f>
        <v/>
      </c>
      <c r="L487" s="102" t="str">
        <f aca="false">IF(D487="","",IFERROR(VLOOKUP($D487,cfg_LT,4,FALSE()),""))</f>
        <v/>
      </c>
      <c r="M487" s="102" t="str">
        <f aca="false">IF(D487="","",IFERROR(VLOOKUP($D487,cfg_LT,5,FALSE()),""))</f>
        <v/>
      </c>
      <c r="N487" s="101" t="n">
        <f aca="false">IF(OR(OR($B487="",$E487="",$F487=""),M487&lt;&gt;"نعم"),0,G487*J487*IFERROR(INDEX(الموظفون!$R$6:$R$105,MATCH(B487,الموظفون!$B$6:$B$105,0)),0)/cfg_DAYS_M)</f>
        <v>0</v>
      </c>
      <c r="O487" s="100" t="str">
        <f aca="false">IF(OR(OR($B487="",$E487="",$F487=""),M487&lt;&gt;"نعم"),"",IF(YEAR(E487)=cfg_FY,MONTH(E487),""))</f>
        <v/>
      </c>
      <c r="P487" s="102" t="str">
        <f aca="false">IF(B487="","",IF(OR(D487="",E487="",F487=""),"⚠ أكمل النوع والتواريخ",IF(F487&lt;E487,"✖ النهاية قبل البداية",IF(COUNTIFS($B$6:$B$505,B487,$E$6:$E$505,"&lt;="&amp;F487,$F$6:$F$505,"&gt;="&amp;E487)&gt;1,"⚠ تداخل مع سجل آخر",IF(E487&gt;cfg_VAL_DATE,"⏳ قادمة",IF(F487&lt;cfg_VAL_DATE,"✔ منتهية","✈ جارية في تاريخ التقرير"))))))</f>
        <v/>
      </c>
      <c r="Q487" s="79"/>
      <c r="R487" s="110" t="n">
        <f aca="false">IF(OR(OR($B487="",$E487="",$F487=""),L487&lt;&gt;"لا"),0,MAX(0,MIN(F487,cfg_Y_START-1)-E487+1))</f>
        <v>0</v>
      </c>
      <c r="S487" s="110" t="n">
        <f aca="false">IF(OR(OR($B487="",$E487="",$F487=""),L487&lt;&gt;"لا"),0,MAX(0,MIN(F487,cfg_VAL_DATE)-E487+1))</f>
        <v>0</v>
      </c>
      <c r="T487" s="110" t="n">
        <f aca="false">IF(OR(OR($B487="",$E487="",$F487=""),K487&lt;&gt;"نعم"),0,IF(M487="نعم",IF(AND(ISNUMBER(O487),N(O487)&lt;=cfg_VAL_M),G487,0),MAX(0,MIN(F487,cfg_VAL_DATE)-MAX(E487,cfg_Y_START)+1)))</f>
        <v>0</v>
      </c>
      <c r="V487" s="110" t="n">
        <f aca="false">IF(OR($B487="",$E487="",$F487=""),0,MAX(0,MIN($F487,EOMONTH(DATE(cfg_FY,1,1),0))-MAX($E487,DATE(cfg_FY,1,1))+1)*(1-IF($M487="نعم",0,N($J487))))</f>
        <v>0</v>
      </c>
      <c r="W487" s="110" t="n">
        <f aca="false">IF(OR($B487="",$E487="",$F487=""),0,MAX(0,MIN($F487,EOMONTH(DATE(cfg_FY,2,1),0))-MAX($E487,DATE(cfg_FY,2,1))+1)*(1-IF($M487="نعم",0,N($J487))))</f>
        <v>0</v>
      </c>
      <c r="X487" s="110" t="n">
        <f aca="false">IF(OR($B487="",$E487="",$F487=""),0,MAX(0,MIN($F487,EOMONTH(DATE(cfg_FY,3,1),0))-MAX($E487,DATE(cfg_FY,3,1))+1)*(1-IF($M487="نعم",0,N($J487))))</f>
        <v>0</v>
      </c>
      <c r="Y487" s="110" t="n">
        <f aca="false">IF(OR($B487="",$E487="",$F487=""),0,MAX(0,MIN($F487,EOMONTH(DATE(cfg_FY,4,1),0))-MAX($E487,DATE(cfg_FY,4,1))+1)*(1-IF($M487="نعم",0,N($J487))))</f>
        <v>0</v>
      </c>
      <c r="Z487" s="110" t="n">
        <f aca="false">IF(OR($B487="",$E487="",$F487=""),0,MAX(0,MIN($F487,EOMONTH(DATE(cfg_FY,5,1),0))-MAX($E487,DATE(cfg_FY,5,1))+1)*(1-IF($M487="نعم",0,N($J487))))</f>
        <v>0</v>
      </c>
      <c r="AA487" s="110" t="n">
        <f aca="false">IF(OR($B487="",$E487="",$F487=""),0,MAX(0,MIN($F487,EOMONTH(DATE(cfg_FY,6,1),0))-MAX($E487,DATE(cfg_FY,6,1))+1)*(1-IF($M487="نعم",0,N($J487))))</f>
        <v>0</v>
      </c>
      <c r="AB487" s="110" t="n">
        <f aca="false">IF(OR($B487="",$E487="",$F487=""),0,MAX(0,MIN($F487,EOMONTH(DATE(cfg_FY,7,1),0))-MAX($E487,DATE(cfg_FY,7,1))+1)*(1-IF($M487="نعم",0,N($J487))))</f>
        <v>0</v>
      </c>
      <c r="AC487" s="110" t="n">
        <f aca="false">IF(OR($B487="",$E487="",$F487=""),0,MAX(0,MIN($F487,EOMONTH(DATE(cfg_FY,8,1),0))-MAX($E487,DATE(cfg_FY,8,1))+1)*(1-IF($M487="نعم",0,N($J487))))</f>
        <v>0</v>
      </c>
      <c r="AD487" s="110" t="n">
        <f aca="false">IF(OR($B487="",$E487="",$F487=""),0,MAX(0,MIN($F487,EOMONTH(DATE(cfg_FY,9,1),0))-MAX($E487,DATE(cfg_FY,9,1))+1)*(1-IF($M487="نعم",0,N($J487))))</f>
        <v>0</v>
      </c>
      <c r="AE487" s="110" t="n">
        <f aca="false">IF(OR($B487="",$E487="",$F487=""),0,MAX(0,MIN($F487,EOMONTH(DATE(cfg_FY,10,1),0))-MAX($E487,DATE(cfg_FY,10,1))+1)*(1-IF($M487="نعم",0,N($J487))))</f>
        <v>0</v>
      </c>
      <c r="AF487" s="110" t="n">
        <f aca="false">IF(OR($B487="",$E487="",$F487=""),0,MAX(0,MIN($F487,EOMONTH(DATE(cfg_FY,11,1),0))-MAX($E487,DATE(cfg_FY,11,1))+1)*(1-IF($M487="نعم",0,N($J487))))</f>
        <v>0</v>
      </c>
      <c r="AG487" s="110" t="n">
        <f aca="false">IF(OR($B487="",$E487="",$F487=""),0,MAX(0,MIN($F487,EOMONTH(DATE(cfg_FY,12,1),0))-MAX($E487,DATE(cfg_FY,12,1))+1)*(1-IF($M487="نعم",0,N($J487))))</f>
        <v>0</v>
      </c>
      <c r="AH487" s="110" t="n">
        <f aca="false">IF(OR(OR($B487="",$E487="",$F487=""),$L487&lt;&gt;"لا"),0,MAX(0,MIN($F487,EOMONTH(DATE(cfg_FY,1,1),0))-$E487+1))</f>
        <v>0</v>
      </c>
      <c r="AI487" s="110" t="n">
        <f aca="false">IF(OR(OR($B487="",$E487="",$F487=""),$L487&lt;&gt;"لا"),0,MAX(0,MIN($F487,EOMONTH(DATE(cfg_FY,2,1),0))-$E487+1))</f>
        <v>0</v>
      </c>
      <c r="AJ487" s="110" t="n">
        <f aca="false">IF(OR(OR($B487="",$E487="",$F487=""),$L487&lt;&gt;"لا"),0,MAX(0,MIN($F487,EOMONTH(DATE(cfg_FY,3,1),0))-$E487+1))</f>
        <v>0</v>
      </c>
      <c r="AK487" s="110" t="n">
        <f aca="false">IF(OR(OR($B487="",$E487="",$F487=""),$L487&lt;&gt;"لا"),0,MAX(0,MIN($F487,EOMONTH(DATE(cfg_FY,4,1),0))-$E487+1))</f>
        <v>0</v>
      </c>
      <c r="AL487" s="110" t="n">
        <f aca="false">IF(OR(OR($B487="",$E487="",$F487=""),$L487&lt;&gt;"لا"),0,MAX(0,MIN($F487,EOMONTH(DATE(cfg_FY,5,1),0))-$E487+1))</f>
        <v>0</v>
      </c>
      <c r="AM487" s="110" t="n">
        <f aca="false">IF(OR(OR($B487="",$E487="",$F487=""),$L487&lt;&gt;"لا"),0,MAX(0,MIN($F487,EOMONTH(DATE(cfg_FY,6,1),0))-$E487+1))</f>
        <v>0</v>
      </c>
      <c r="AN487" s="110" t="n">
        <f aca="false">IF(OR(OR($B487="",$E487="",$F487=""),$L487&lt;&gt;"لا"),0,MAX(0,MIN($F487,EOMONTH(DATE(cfg_FY,7,1),0))-$E487+1))</f>
        <v>0</v>
      </c>
      <c r="AO487" s="110" t="n">
        <f aca="false">IF(OR(OR($B487="",$E487="",$F487=""),$L487&lt;&gt;"لا"),0,MAX(0,MIN($F487,EOMONTH(DATE(cfg_FY,8,1),0))-$E487+1))</f>
        <v>0</v>
      </c>
      <c r="AP487" s="110" t="n">
        <f aca="false">IF(OR(OR($B487="",$E487="",$F487=""),$L487&lt;&gt;"لا"),0,MAX(0,MIN($F487,EOMONTH(DATE(cfg_FY,9,1),0))-$E487+1))</f>
        <v>0</v>
      </c>
      <c r="AQ487" s="110" t="n">
        <f aca="false">IF(OR(OR($B487="",$E487="",$F487=""),$L487&lt;&gt;"لا"),0,MAX(0,MIN($F487,EOMONTH(DATE(cfg_FY,10,1),0))-$E487+1))</f>
        <v>0</v>
      </c>
      <c r="AR487" s="110" t="n">
        <f aca="false">IF(OR(OR($B487="",$E487="",$F487=""),$L487&lt;&gt;"لا"),0,MAX(0,MIN($F487,EOMONTH(DATE(cfg_FY,11,1),0))-$E487+1))</f>
        <v>0</v>
      </c>
      <c r="AS487" s="110" t="n">
        <f aca="false">IF(OR(OR($B487="",$E487="",$F487=""),$L487&lt;&gt;"لا"),0,MAX(0,MIN($F487,EOMONTH(DATE(cfg_FY,12,1),0))-$E487+1))</f>
        <v>0</v>
      </c>
      <c r="AT487" s="110" t="n">
        <f aca="false">IF(OR(OR($B487="",$E487="",$F487=""),$K487&lt;&gt;"نعم",$M487="نعم"),0,MAX(0,MIN($F487,EOMONTH(DATE(cfg_FY,1,1),0))-MAX($E487,DATE(cfg_FY,1,1))+1))</f>
        <v>0</v>
      </c>
      <c r="AU487" s="110" t="n">
        <f aca="false">IF(OR(OR($B487="",$E487="",$F487=""),$K487&lt;&gt;"نعم",$M487="نعم"),0,MAX(0,MIN($F487,EOMONTH(DATE(cfg_FY,2,1),0))-MAX($E487,DATE(cfg_FY,2,1))+1))</f>
        <v>0</v>
      </c>
      <c r="AV487" s="110" t="n">
        <f aca="false">IF(OR(OR($B487="",$E487="",$F487=""),$K487&lt;&gt;"نعم",$M487="نعم"),0,MAX(0,MIN($F487,EOMONTH(DATE(cfg_FY,3,1),0))-MAX($E487,DATE(cfg_FY,3,1))+1))</f>
        <v>0</v>
      </c>
      <c r="AW487" s="110" t="n">
        <f aca="false">IF(OR(OR($B487="",$E487="",$F487=""),$K487&lt;&gt;"نعم",$M487="نعم"),0,MAX(0,MIN($F487,EOMONTH(DATE(cfg_FY,4,1),0))-MAX($E487,DATE(cfg_FY,4,1))+1))</f>
        <v>0</v>
      </c>
      <c r="AX487" s="110" t="n">
        <f aca="false">IF(OR(OR($B487="",$E487="",$F487=""),$K487&lt;&gt;"نعم",$M487="نعم"),0,MAX(0,MIN($F487,EOMONTH(DATE(cfg_FY,5,1),0))-MAX($E487,DATE(cfg_FY,5,1))+1))</f>
        <v>0</v>
      </c>
      <c r="AY487" s="110" t="n">
        <f aca="false">IF(OR(OR($B487="",$E487="",$F487=""),$K487&lt;&gt;"نعم",$M487="نعم"),0,MAX(0,MIN($F487,EOMONTH(DATE(cfg_FY,6,1),0))-MAX($E487,DATE(cfg_FY,6,1))+1))</f>
        <v>0</v>
      </c>
      <c r="AZ487" s="110" t="n">
        <f aca="false">IF(OR(OR($B487="",$E487="",$F487=""),$K487&lt;&gt;"نعم",$M487="نعم"),0,MAX(0,MIN($F487,EOMONTH(DATE(cfg_FY,7,1),0))-MAX($E487,DATE(cfg_FY,7,1))+1))</f>
        <v>0</v>
      </c>
      <c r="BA487" s="110" t="n">
        <f aca="false">IF(OR(OR($B487="",$E487="",$F487=""),$K487&lt;&gt;"نعم",$M487="نعم"),0,MAX(0,MIN($F487,EOMONTH(DATE(cfg_FY,8,1),0))-MAX($E487,DATE(cfg_FY,8,1))+1))</f>
        <v>0</v>
      </c>
      <c r="BB487" s="110" t="n">
        <f aca="false">IF(OR(OR($B487="",$E487="",$F487=""),$K487&lt;&gt;"نعم",$M487="نعم"),0,MAX(0,MIN($F487,EOMONTH(DATE(cfg_FY,9,1),0))-MAX($E487,DATE(cfg_FY,9,1))+1))</f>
        <v>0</v>
      </c>
      <c r="BC487" s="110" t="n">
        <f aca="false">IF(OR(OR($B487="",$E487="",$F487=""),$K487&lt;&gt;"نعم",$M487="نعم"),0,MAX(0,MIN($F487,EOMONTH(DATE(cfg_FY,10,1),0))-MAX($E487,DATE(cfg_FY,10,1))+1))</f>
        <v>0</v>
      </c>
      <c r="BD487" s="110" t="n">
        <f aca="false">IF(OR(OR($B487="",$E487="",$F487=""),$K487&lt;&gt;"نعم",$M487="نعم"),0,MAX(0,MIN($F487,EOMONTH(DATE(cfg_FY,11,1),0))-MAX($E487,DATE(cfg_FY,11,1))+1))</f>
        <v>0</v>
      </c>
      <c r="BE487" s="110" t="n">
        <f aca="false">IF(OR(OR($B487="",$E487="",$F487=""),$K487&lt;&gt;"نعم",$M487="نعم"),0,MAX(0,MIN($F487,EOMONTH(DATE(cfg_FY,12,1),0))-MAX($E487,DATE(cfg_FY,12,1))+1))</f>
        <v>0</v>
      </c>
    </row>
    <row r="488" customFormat="false" ht="15" hidden="false" customHeight="false" outlineLevel="0" collapsed="false">
      <c r="A488" s="93" t="str">
        <f aca="false">IF(B488="","",ROW()-5)</f>
        <v/>
      </c>
      <c r="B488" s="79"/>
      <c r="C488" s="80" t="str">
        <f aca="false">IF(B488="","",IFERROR(INDEX(الموظفون!$C$6:$C$105,MATCH(B488,الموظفون!$B$6:$B$105,0)),"✖ رقم غير موجود"))</f>
        <v/>
      </c>
      <c r="D488" s="79"/>
      <c r="E488" s="94"/>
      <c r="F488" s="94"/>
      <c r="G488" s="57" t="str">
        <f aca="false">IF(OR($B488="",$E488="",$F488=""),"",MAX(0,F488-E488+1))</f>
        <v/>
      </c>
      <c r="H488" s="58" t="str">
        <f aca="false">IF(D488="","",IFERROR(VLOOKUP(D488,cfg_LT,2,FALSE()),1))</f>
        <v/>
      </c>
      <c r="I488" s="82"/>
      <c r="J488" s="58" t="str">
        <f aca="false">IF(D488="","",IF(I488&lt;&gt;"",I488,H488))</f>
        <v/>
      </c>
      <c r="K488" s="80" t="str">
        <f aca="false">IF(D488="","",IFERROR(VLOOKUP($D488,cfg_LT,3,FALSE()),""))</f>
        <v/>
      </c>
      <c r="L488" s="80" t="str">
        <f aca="false">IF(D488="","",IFERROR(VLOOKUP($D488,cfg_LT,4,FALSE()),""))</f>
        <v/>
      </c>
      <c r="M488" s="80" t="str">
        <f aca="false">IF(D488="","",IFERROR(VLOOKUP($D488,cfg_LT,5,FALSE()),""))</f>
        <v/>
      </c>
      <c r="N488" s="97" t="n">
        <f aca="false">IF(OR(OR($B488="",$E488="",$F488=""),M488&lt;&gt;"نعم"),0,G488*J488*IFERROR(INDEX(الموظفون!$R$6:$R$105,MATCH(B488,الموظفون!$B$6:$B$105,0)),0)/cfg_DAYS_M)</f>
        <v>0</v>
      </c>
      <c r="O488" s="93" t="str">
        <f aca="false">IF(OR(OR($B488="",$E488="",$F488=""),M488&lt;&gt;"نعم"),"",IF(YEAR(E488)=cfg_FY,MONTH(E488),""))</f>
        <v/>
      </c>
      <c r="P488" s="80" t="str">
        <f aca="false">IF(B488="","",IF(OR(D488="",E488="",F488=""),"⚠ أكمل النوع والتواريخ",IF(F488&lt;E488,"✖ النهاية قبل البداية",IF(COUNTIFS($B$6:$B$505,B488,$E$6:$E$505,"&lt;="&amp;F488,$F$6:$F$505,"&gt;="&amp;E488)&gt;1,"⚠ تداخل مع سجل آخر",IF(E488&gt;cfg_VAL_DATE,"⏳ قادمة",IF(F488&lt;cfg_VAL_DATE,"✔ منتهية","✈ جارية في تاريخ التقرير"))))))</f>
        <v/>
      </c>
      <c r="Q488" s="79"/>
      <c r="R488" s="57" t="n">
        <f aca="false">IF(OR(OR($B488="",$E488="",$F488=""),L488&lt;&gt;"لا"),0,MAX(0,MIN(F488,cfg_Y_START-1)-E488+1))</f>
        <v>0</v>
      </c>
      <c r="S488" s="57" t="n">
        <f aca="false">IF(OR(OR($B488="",$E488="",$F488=""),L488&lt;&gt;"لا"),0,MAX(0,MIN(F488,cfg_VAL_DATE)-E488+1))</f>
        <v>0</v>
      </c>
      <c r="T488" s="57" t="n">
        <f aca="false">IF(OR(OR($B488="",$E488="",$F488=""),K488&lt;&gt;"نعم"),0,IF(M488="نعم",IF(AND(ISNUMBER(O488),N(O488)&lt;=cfg_VAL_M),G488,0),MAX(0,MIN(F488,cfg_VAL_DATE)-MAX(E488,cfg_Y_START)+1)))</f>
        <v>0</v>
      </c>
      <c r="V488" s="57" t="n">
        <f aca="false">IF(OR($B488="",$E488="",$F488=""),0,MAX(0,MIN($F488,EOMONTH(DATE(cfg_FY,1,1),0))-MAX($E488,DATE(cfg_FY,1,1))+1)*(1-IF($M488="نعم",0,N($J488))))</f>
        <v>0</v>
      </c>
      <c r="W488" s="57" t="n">
        <f aca="false">IF(OR($B488="",$E488="",$F488=""),0,MAX(0,MIN($F488,EOMONTH(DATE(cfg_FY,2,1),0))-MAX($E488,DATE(cfg_FY,2,1))+1)*(1-IF($M488="نعم",0,N($J488))))</f>
        <v>0</v>
      </c>
      <c r="X488" s="57" t="n">
        <f aca="false">IF(OR($B488="",$E488="",$F488=""),0,MAX(0,MIN($F488,EOMONTH(DATE(cfg_FY,3,1),0))-MAX($E488,DATE(cfg_FY,3,1))+1)*(1-IF($M488="نعم",0,N($J488))))</f>
        <v>0</v>
      </c>
      <c r="Y488" s="57" t="n">
        <f aca="false">IF(OR($B488="",$E488="",$F488=""),0,MAX(0,MIN($F488,EOMONTH(DATE(cfg_FY,4,1),0))-MAX($E488,DATE(cfg_FY,4,1))+1)*(1-IF($M488="نعم",0,N($J488))))</f>
        <v>0</v>
      </c>
      <c r="Z488" s="57" t="n">
        <f aca="false">IF(OR($B488="",$E488="",$F488=""),0,MAX(0,MIN($F488,EOMONTH(DATE(cfg_FY,5,1),0))-MAX($E488,DATE(cfg_FY,5,1))+1)*(1-IF($M488="نعم",0,N($J488))))</f>
        <v>0</v>
      </c>
      <c r="AA488" s="57" t="n">
        <f aca="false">IF(OR($B488="",$E488="",$F488=""),0,MAX(0,MIN($F488,EOMONTH(DATE(cfg_FY,6,1),0))-MAX($E488,DATE(cfg_FY,6,1))+1)*(1-IF($M488="نعم",0,N($J488))))</f>
        <v>0</v>
      </c>
      <c r="AB488" s="57" t="n">
        <f aca="false">IF(OR($B488="",$E488="",$F488=""),0,MAX(0,MIN($F488,EOMONTH(DATE(cfg_FY,7,1),0))-MAX($E488,DATE(cfg_FY,7,1))+1)*(1-IF($M488="نعم",0,N($J488))))</f>
        <v>0</v>
      </c>
      <c r="AC488" s="57" t="n">
        <f aca="false">IF(OR($B488="",$E488="",$F488=""),0,MAX(0,MIN($F488,EOMONTH(DATE(cfg_FY,8,1),0))-MAX($E488,DATE(cfg_FY,8,1))+1)*(1-IF($M488="نعم",0,N($J488))))</f>
        <v>0</v>
      </c>
      <c r="AD488" s="57" t="n">
        <f aca="false">IF(OR($B488="",$E488="",$F488=""),0,MAX(0,MIN($F488,EOMONTH(DATE(cfg_FY,9,1),0))-MAX($E488,DATE(cfg_FY,9,1))+1)*(1-IF($M488="نعم",0,N($J488))))</f>
        <v>0</v>
      </c>
      <c r="AE488" s="57" t="n">
        <f aca="false">IF(OR($B488="",$E488="",$F488=""),0,MAX(0,MIN($F488,EOMONTH(DATE(cfg_FY,10,1),0))-MAX($E488,DATE(cfg_FY,10,1))+1)*(1-IF($M488="نعم",0,N($J488))))</f>
        <v>0</v>
      </c>
      <c r="AF488" s="57" t="n">
        <f aca="false">IF(OR($B488="",$E488="",$F488=""),0,MAX(0,MIN($F488,EOMONTH(DATE(cfg_FY,11,1),0))-MAX($E488,DATE(cfg_FY,11,1))+1)*(1-IF($M488="نعم",0,N($J488))))</f>
        <v>0</v>
      </c>
      <c r="AG488" s="57" t="n">
        <f aca="false">IF(OR($B488="",$E488="",$F488=""),0,MAX(0,MIN($F488,EOMONTH(DATE(cfg_FY,12,1),0))-MAX($E488,DATE(cfg_FY,12,1))+1)*(1-IF($M488="نعم",0,N($J488))))</f>
        <v>0</v>
      </c>
      <c r="AH488" s="57" t="n">
        <f aca="false">IF(OR(OR($B488="",$E488="",$F488=""),$L488&lt;&gt;"لا"),0,MAX(0,MIN($F488,EOMONTH(DATE(cfg_FY,1,1),0))-$E488+1))</f>
        <v>0</v>
      </c>
      <c r="AI488" s="57" t="n">
        <f aca="false">IF(OR(OR($B488="",$E488="",$F488=""),$L488&lt;&gt;"لا"),0,MAX(0,MIN($F488,EOMONTH(DATE(cfg_FY,2,1),0))-$E488+1))</f>
        <v>0</v>
      </c>
      <c r="AJ488" s="57" t="n">
        <f aca="false">IF(OR(OR($B488="",$E488="",$F488=""),$L488&lt;&gt;"لا"),0,MAX(0,MIN($F488,EOMONTH(DATE(cfg_FY,3,1),0))-$E488+1))</f>
        <v>0</v>
      </c>
      <c r="AK488" s="57" t="n">
        <f aca="false">IF(OR(OR($B488="",$E488="",$F488=""),$L488&lt;&gt;"لا"),0,MAX(0,MIN($F488,EOMONTH(DATE(cfg_FY,4,1),0))-$E488+1))</f>
        <v>0</v>
      </c>
      <c r="AL488" s="57" t="n">
        <f aca="false">IF(OR(OR($B488="",$E488="",$F488=""),$L488&lt;&gt;"لا"),0,MAX(0,MIN($F488,EOMONTH(DATE(cfg_FY,5,1),0))-$E488+1))</f>
        <v>0</v>
      </c>
      <c r="AM488" s="57" t="n">
        <f aca="false">IF(OR(OR($B488="",$E488="",$F488=""),$L488&lt;&gt;"لا"),0,MAX(0,MIN($F488,EOMONTH(DATE(cfg_FY,6,1),0))-$E488+1))</f>
        <v>0</v>
      </c>
      <c r="AN488" s="57" t="n">
        <f aca="false">IF(OR(OR($B488="",$E488="",$F488=""),$L488&lt;&gt;"لا"),0,MAX(0,MIN($F488,EOMONTH(DATE(cfg_FY,7,1),0))-$E488+1))</f>
        <v>0</v>
      </c>
      <c r="AO488" s="57" t="n">
        <f aca="false">IF(OR(OR($B488="",$E488="",$F488=""),$L488&lt;&gt;"لا"),0,MAX(0,MIN($F488,EOMONTH(DATE(cfg_FY,8,1),0))-$E488+1))</f>
        <v>0</v>
      </c>
      <c r="AP488" s="57" t="n">
        <f aca="false">IF(OR(OR($B488="",$E488="",$F488=""),$L488&lt;&gt;"لا"),0,MAX(0,MIN($F488,EOMONTH(DATE(cfg_FY,9,1),0))-$E488+1))</f>
        <v>0</v>
      </c>
      <c r="AQ488" s="57" t="n">
        <f aca="false">IF(OR(OR($B488="",$E488="",$F488=""),$L488&lt;&gt;"لا"),0,MAX(0,MIN($F488,EOMONTH(DATE(cfg_FY,10,1),0))-$E488+1))</f>
        <v>0</v>
      </c>
      <c r="AR488" s="57" t="n">
        <f aca="false">IF(OR(OR($B488="",$E488="",$F488=""),$L488&lt;&gt;"لا"),0,MAX(0,MIN($F488,EOMONTH(DATE(cfg_FY,11,1),0))-$E488+1))</f>
        <v>0</v>
      </c>
      <c r="AS488" s="57" t="n">
        <f aca="false">IF(OR(OR($B488="",$E488="",$F488=""),$L488&lt;&gt;"لا"),0,MAX(0,MIN($F488,EOMONTH(DATE(cfg_FY,12,1),0))-$E488+1))</f>
        <v>0</v>
      </c>
      <c r="AT488" s="57" t="n">
        <f aca="false">IF(OR(OR($B488="",$E488="",$F488=""),$K488&lt;&gt;"نعم",$M488="نعم"),0,MAX(0,MIN($F488,EOMONTH(DATE(cfg_FY,1,1),0))-MAX($E488,DATE(cfg_FY,1,1))+1))</f>
        <v>0</v>
      </c>
      <c r="AU488" s="57" t="n">
        <f aca="false">IF(OR(OR($B488="",$E488="",$F488=""),$K488&lt;&gt;"نعم",$M488="نعم"),0,MAX(0,MIN($F488,EOMONTH(DATE(cfg_FY,2,1),0))-MAX($E488,DATE(cfg_FY,2,1))+1))</f>
        <v>0</v>
      </c>
      <c r="AV488" s="57" t="n">
        <f aca="false">IF(OR(OR($B488="",$E488="",$F488=""),$K488&lt;&gt;"نعم",$M488="نعم"),0,MAX(0,MIN($F488,EOMONTH(DATE(cfg_FY,3,1),0))-MAX($E488,DATE(cfg_FY,3,1))+1))</f>
        <v>0</v>
      </c>
      <c r="AW488" s="57" t="n">
        <f aca="false">IF(OR(OR($B488="",$E488="",$F488=""),$K488&lt;&gt;"نعم",$M488="نعم"),0,MAX(0,MIN($F488,EOMONTH(DATE(cfg_FY,4,1),0))-MAX($E488,DATE(cfg_FY,4,1))+1))</f>
        <v>0</v>
      </c>
      <c r="AX488" s="57" t="n">
        <f aca="false">IF(OR(OR($B488="",$E488="",$F488=""),$K488&lt;&gt;"نعم",$M488="نعم"),0,MAX(0,MIN($F488,EOMONTH(DATE(cfg_FY,5,1),0))-MAX($E488,DATE(cfg_FY,5,1))+1))</f>
        <v>0</v>
      </c>
      <c r="AY488" s="57" t="n">
        <f aca="false">IF(OR(OR($B488="",$E488="",$F488=""),$K488&lt;&gt;"نعم",$M488="نعم"),0,MAX(0,MIN($F488,EOMONTH(DATE(cfg_FY,6,1),0))-MAX($E488,DATE(cfg_FY,6,1))+1))</f>
        <v>0</v>
      </c>
      <c r="AZ488" s="57" t="n">
        <f aca="false">IF(OR(OR($B488="",$E488="",$F488=""),$K488&lt;&gt;"نعم",$M488="نعم"),0,MAX(0,MIN($F488,EOMONTH(DATE(cfg_FY,7,1),0))-MAX($E488,DATE(cfg_FY,7,1))+1))</f>
        <v>0</v>
      </c>
      <c r="BA488" s="57" t="n">
        <f aca="false">IF(OR(OR($B488="",$E488="",$F488=""),$K488&lt;&gt;"نعم",$M488="نعم"),0,MAX(0,MIN($F488,EOMONTH(DATE(cfg_FY,8,1),0))-MAX($E488,DATE(cfg_FY,8,1))+1))</f>
        <v>0</v>
      </c>
      <c r="BB488" s="57" t="n">
        <f aca="false">IF(OR(OR($B488="",$E488="",$F488=""),$K488&lt;&gt;"نعم",$M488="نعم"),0,MAX(0,MIN($F488,EOMONTH(DATE(cfg_FY,9,1),0))-MAX($E488,DATE(cfg_FY,9,1))+1))</f>
        <v>0</v>
      </c>
      <c r="BC488" s="57" t="n">
        <f aca="false">IF(OR(OR($B488="",$E488="",$F488=""),$K488&lt;&gt;"نعم",$M488="نعم"),0,MAX(0,MIN($F488,EOMONTH(DATE(cfg_FY,10,1),0))-MAX($E488,DATE(cfg_FY,10,1))+1))</f>
        <v>0</v>
      </c>
      <c r="BD488" s="57" t="n">
        <f aca="false">IF(OR(OR($B488="",$E488="",$F488=""),$K488&lt;&gt;"نعم",$M488="نعم"),0,MAX(0,MIN($F488,EOMONTH(DATE(cfg_FY,11,1),0))-MAX($E488,DATE(cfg_FY,11,1))+1))</f>
        <v>0</v>
      </c>
      <c r="BE488" s="57" t="n">
        <f aca="false">IF(OR(OR($B488="",$E488="",$F488=""),$K488&lt;&gt;"نعم",$M488="نعم"),0,MAX(0,MIN($F488,EOMONTH(DATE(cfg_FY,12,1),0))-MAX($E488,DATE(cfg_FY,12,1))+1))</f>
        <v>0</v>
      </c>
    </row>
    <row r="489" customFormat="false" ht="15" hidden="false" customHeight="false" outlineLevel="0" collapsed="false">
      <c r="A489" s="100" t="str">
        <f aca="false">IF(B489="","",ROW()-5)</f>
        <v/>
      </c>
      <c r="B489" s="79"/>
      <c r="C489" s="102" t="str">
        <f aca="false">IF(B489="","",IFERROR(INDEX(الموظفون!$C$6:$C$105,MATCH(B489,الموظفون!$B$6:$B$105,0)),"✖ رقم غير موجود"))</f>
        <v/>
      </c>
      <c r="D489" s="79"/>
      <c r="E489" s="94"/>
      <c r="F489" s="94"/>
      <c r="G489" s="110" t="str">
        <f aca="false">IF(OR($B489="",$E489="",$F489=""),"",MAX(0,F489-E489+1))</f>
        <v/>
      </c>
      <c r="H489" s="111" t="str">
        <f aca="false">IF(D489="","",IFERROR(VLOOKUP(D489,cfg_LT,2,FALSE()),1))</f>
        <v/>
      </c>
      <c r="I489" s="82"/>
      <c r="J489" s="111" t="str">
        <f aca="false">IF(D489="","",IF(I489&lt;&gt;"",I489,H489))</f>
        <v/>
      </c>
      <c r="K489" s="102" t="str">
        <f aca="false">IF(D489="","",IFERROR(VLOOKUP($D489,cfg_LT,3,FALSE()),""))</f>
        <v/>
      </c>
      <c r="L489" s="102" t="str">
        <f aca="false">IF(D489="","",IFERROR(VLOOKUP($D489,cfg_LT,4,FALSE()),""))</f>
        <v/>
      </c>
      <c r="M489" s="102" t="str">
        <f aca="false">IF(D489="","",IFERROR(VLOOKUP($D489,cfg_LT,5,FALSE()),""))</f>
        <v/>
      </c>
      <c r="N489" s="101" t="n">
        <f aca="false">IF(OR(OR($B489="",$E489="",$F489=""),M489&lt;&gt;"نعم"),0,G489*J489*IFERROR(INDEX(الموظفون!$R$6:$R$105,MATCH(B489,الموظفون!$B$6:$B$105,0)),0)/cfg_DAYS_M)</f>
        <v>0</v>
      </c>
      <c r="O489" s="100" t="str">
        <f aca="false">IF(OR(OR($B489="",$E489="",$F489=""),M489&lt;&gt;"نعم"),"",IF(YEAR(E489)=cfg_FY,MONTH(E489),""))</f>
        <v/>
      </c>
      <c r="P489" s="102" t="str">
        <f aca="false">IF(B489="","",IF(OR(D489="",E489="",F489=""),"⚠ أكمل النوع والتواريخ",IF(F489&lt;E489,"✖ النهاية قبل البداية",IF(COUNTIFS($B$6:$B$505,B489,$E$6:$E$505,"&lt;="&amp;F489,$F$6:$F$505,"&gt;="&amp;E489)&gt;1,"⚠ تداخل مع سجل آخر",IF(E489&gt;cfg_VAL_DATE,"⏳ قادمة",IF(F489&lt;cfg_VAL_DATE,"✔ منتهية","✈ جارية في تاريخ التقرير"))))))</f>
        <v/>
      </c>
      <c r="Q489" s="79"/>
      <c r="R489" s="110" t="n">
        <f aca="false">IF(OR(OR($B489="",$E489="",$F489=""),L489&lt;&gt;"لا"),0,MAX(0,MIN(F489,cfg_Y_START-1)-E489+1))</f>
        <v>0</v>
      </c>
      <c r="S489" s="110" t="n">
        <f aca="false">IF(OR(OR($B489="",$E489="",$F489=""),L489&lt;&gt;"لا"),0,MAX(0,MIN(F489,cfg_VAL_DATE)-E489+1))</f>
        <v>0</v>
      </c>
      <c r="T489" s="110" t="n">
        <f aca="false">IF(OR(OR($B489="",$E489="",$F489=""),K489&lt;&gt;"نعم"),0,IF(M489="نعم",IF(AND(ISNUMBER(O489),N(O489)&lt;=cfg_VAL_M),G489,0),MAX(0,MIN(F489,cfg_VAL_DATE)-MAX(E489,cfg_Y_START)+1)))</f>
        <v>0</v>
      </c>
      <c r="V489" s="110" t="n">
        <f aca="false">IF(OR($B489="",$E489="",$F489=""),0,MAX(0,MIN($F489,EOMONTH(DATE(cfg_FY,1,1),0))-MAX($E489,DATE(cfg_FY,1,1))+1)*(1-IF($M489="نعم",0,N($J489))))</f>
        <v>0</v>
      </c>
      <c r="W489" s="110" t="n">
        <f aca="false">IF(OR($B489="",$E489="",$F489=""),0,MAX(0,MIN($F489,EOMONTH(DATE(cfg_FY,2,1),0))-MAX($E489,DATE(cfg_FY,2,1))+1)*(1-IF($M489="نعم",0,N($J489))))</f>
        <v>0</v>
      </c>
      <c r="X489" s="110" t="n">
        <f aca="false">IF(OR($B489="",$E489="",$F489=""),0,MAX(0,MIN($F489,EOMONTH(DATE(cfg_FY,3,1),0))-MAX($E489,DATE(cfg_FY,3,1))+1)*(1-IF($M489="نعم",0,N($J489))))</f>
        <v>0</v>
      </c>
      <c r="Y489" s="110" t="n">
        <f aca="false">IF(OR($B489="",$E489="",$F489=""),0,MAX(0,MIN($F489,EOMONTH(DATE(cfg_FY,4,1),0))-MAX($E489,DATE(cfg_FY,4,1))+1)*(1-IF($M489="نعم",0,N($J489))))</f>
        <v>0</v>
      </c>
      <c r="Z489" s="110" t="n">
        <f aca="false">IF(OR($B489="",$E489="",$F489=""),0,MAX(0,MIN($F489,EOMONTH(DATE(cfg_FY,5,1),0))-MAX($E489,DATE(cfg_FY,5,1))+1)*(1-IF($M489="نعم",0,N($J489))))</f>
        <v>0</v>
      </c>
      <c r="AA489" s="110" t="n">
        <f aca="false">IF(OR($B489="",$E489="",$F489=""),0,MAX(0,MIN($F489,EOMONTH(DATE(cfg_FY,6,1),0))-MAX($E489,DATE(cfg_FY,6,1))+1)*(1-IF($M489="نعم",0,N($J489))))</f>
        <v>0</v>
      </c>
      <c r="AB489" s="110" t="n">
        <f aca="false">IF(OR($B489="",$E489="",$F489=""),0,MAX(0,MIN($F489,EOMONTH(DATE(cfg_FY,7,1),0))-MAX($E489,DATE(cfg_FY,7,1))+1)*(1-IF($M489="نعم",0,N($J489))))</f>
        <v>0</v>
      </c>
      <c r="AC489" s="110" t="n">
        <f aca="false">IF(OR($B489="",$E489="",$F489=""),0,MAX(0,MIN($F489,EOMONTH(DATE(cfg_FY,8,1),0))-MAX($E489,DATE(cfg_FY,8,1))+1)*(1-IF($M489="نعم",0,N($J489))))</f>
        <v>0</v>
      </c>
      <c r="AD489" s="110" t="n">
        <f aca="false">IF(OR($B489="",$E489="",$F489=""),0,MAX(0,MIN($F489,EOMONTH(DATE(cfg_FY,9,1),0))-MAX($E489,DATE(cfg_FY,9,1))+1)*(1-IF($M489="نعم",0,N($J489))))</f>
        <v>0</v>
      </c>
      <c r="AE489" s="110" t="n">
        <f aca="false">IF(OR($B489="",$E489="",$F489=""),0,MAX(0,MIN($F489,EOMONTH(DATE(cfg_FY,10,1),0))-MAX($E489,DATE(cfg_FY,10,1))+1)*(1-IF($M489="نعم",0,N($J489))))</f>
        <v>0</v>
      </c>
      <c r="AF489" s="110" t="n">
        <f aca="false">IF(OR($B489="",$E489="",$F489=""),0,MAX(0,MIN($F489,EOMONTH(DATE(cfg_FY,11,1),0))-MAX($E489,DATE(cfg_FY,11,1))+1)*(1-IF($M489="نعم",0,N($J489))))</f>
        <v>0</v>
      </c>
      <c r="AG489" s="110" t="n">
        <f aca="false">IF(OR($B489="",$E489="",$F489=""),0,MAX(0,MIN($F489,EOMONTH(DATE(cfg_FY,12,1),0))-MAX($E489,DATE(cfg_FY,12,1))+1)*(1-IF($M489="نعم",0,N($J489))))</f>
        <v>0</v>
      </c>
      <c r="AH489" s="110" t="n">
        <f aca="false">IF(OR(OR($B489="",$E489="",$F489=""),$L489&lt;&gt;"لا"),0,MAX(0,MIN($F489,EOMONTH(DATE(cfg_FY,1,1),0))-$E489+1))</f>
        <v>0</v>
      </c>
      <c r="AI489" s="110" t="n">
        <f aca="false">IF(OR(OR($B489="",$E489="",$F489=""),$L489&lt;&gt;"لا"),0,MAX(0,MIN($F489,EOMONTH(DATE(cfg_FY,2,1),0))-$E489+1))</f>
        <v>0</v>
      </c>
      <c r="AJ489" s="110" t="n">
        <f aca="false">IF(OR(OR($B489="",$E489="",$F489=""),$L489&lt;&gt;"لا"),0,MAX(0,MIN($F489,EOMONTH(DATE(cfg_FY,3,1),0))-$E489+1))</f>
        <v>0</v>
      </c>
      <c r="AK489" s="110" t="n">
        <f aca="false">IF(OR(OR($B489="",$E489="",$F489=""),$L489&lt;&gt;"لا"),0,MAX(0,MIN($F489,EOMONTH(DATE(cfg_FY,4,1),0))-$E489+1))</f>
        <v>0</v>
      </c>
      <c r="AL489" s="110" t="n">
        <f aca="false">IF(OR(OR($B489="",$E489="",$F489=""),$L489&lt;&gt;"لا"),0,MAX(0,MIN($F489,EOMONTH(DATE(cfg_FY,5,1),0))-$E489+1))</f>
        <v>0</v>
      </c>
      <c r="AM489" s="110" t="n">
        <f aca="false">IF(OR(OR($B489="",$E489="",$F489=""),$L489&lt;&gt;"لا"),0,MAX(0,MIN($F489,EOMONTH(DATE(cfg_FY,6,1),0))-$E489+1))</f>
        <v>0</v>
      </c>
      <c r="AN489" s="110" t="n">
        <f aca="false">IF(OR(OR($B489="",$E489="",$F489=""),$L489&lt;&gt;"لا"),0,MAX(0,MIN($F489,EOMONTH(DATE(cfg_FY,7,1),0))-$E489+1))</f>
        <v>0</v>
      </c>
      <c r="AO489" s="110" t="n">
        <f aca="false">IF(OR(OR($B489="",$E489="",$F489=""),$L489&lt;&gt;"لا"),0,MAX(0,MIN($F489,EOMONTH(DATE(cfg_FY,8,1),0))-$E489+1))</f>
        <v>0</v>
      </c>
      <c r="AP489" s="110" t="n">
        <f aca="false">IF(OR(OR($B489="",$E489="",$F489=""),$L489&lt;&gt;"لا"),0,MAX(0,MIN($F489,EOMONTH(DATE(cfg_FY,9,1),0))-$E489+1))</f>
        <v>0</v>
      </c>
      <c r="AQ489" s="110" t="n">
        <f aca="false">IF(OR(OR($B489="",$E489="",$F489=""),$L489&lt;&gt;"لا"),0,MAX(0,MIN($F489,EOMONTH(DATE(cfg_FY,10,1),0))-$E489+1))</f>
        <v>0</v>
      </c>
      <c r="AR489" s="110" t="n">
        <f aca="false">IF(OR(OR($B489="",$E489="",$F489=""),$L489&lt;&gt;"لا"),0,MAX(0,MIN($F489,EOMONTH(DATE(cfg_FY,11,1),0))-$E489+1))</f>
        <v>0</v>
      </c>
      <c r="AS489" s="110" t="n">
        <f aca="false">IF(OR(OR($B489="",$E489="",$F489=""),$L489&lt;&gt;"لا"),0,MAX(0,MIN($F489,EOMONTH(DATE(cfg_FY,12,1),0))-$E489+1))</f>
        <v>0</v>
      </c>
      <c r="AT489" s="110" t="n">
        <f aca="false">IF(OR(OR($B489="",$E489="",$F489=""),$K489&lt;&gt;"نعم",$M489="نعم"),0,MAX(0,MIN($F489,EOMONTH(DATE(cfg_FY,1,1),0))-MAX($E489,DATE(cfg_FY,1,1))+1))</f>
        <v>0</v>
      </c>
      <c r="AU489" s="110" t="n">
        <f aca="false">IF(OR(OR($B489="",$E489="",$F489=""),$K489&lt;&gt;"نعم",$M489="نعم"),0,MAX(0,MIN($F489,EOMONTH(DATE(cfg_FY,2,1),0))-MAX($E489,DATE(cfg_FY,2,1))+1))</f>
        <v>0</v>
      </c>
      <c r="AV489" s="110" t="n">
        <f aca="false">IF(OR(OR($B489="",$E489="",$F489=""),$K489&lt;&gt;"نعم",$M489="نعم"),0,MAX(0,MIN($F489,EOMONTH(DATE(cfg_FY,3,1),0))-MAX($E489,DATE(cfg_FY,3,1))+1))</f>
        <v>0</v>
      </c>
      <c r="AW489" s="110" t="n">
        <f aca="false">IF(OR(OR($B489="",$E489="",$F489=""),$K489&lt;&gt;"نعم",$M489="نعم"),0,MAX(0,MIN($F489,EOMONTH(DATE(cfg_FY,4,1),0))-MAX($E489,DATE(cfg_FY,4,1))+1))</f>
        <v>0</v>
      </c>
      <c r="AX489" s="110" t="n">
        <f aca="false">IF(OR(OR($B489="",$E489="",$F489=""),$K489&lt;&gt;"نعم",$M489="نعم"),0,MAX(0,MIN($F489,EOMONTH(DATE(cfg_FY,5,1),0))-MAX($E489,DATE(cfg_FY,5,1))+1))</f>
        <v>0</v>
      </c>
      <c r="AY489" s="110" t="n">
        <f aca="false">IF(OR(OR($B489="",$E489="",$F489=""),$K489&lt;&gt;"نعم",$M489="نعم"),0,MAX(0,MIN($F489,EOMONTH(DATE(cfg_FY,6,1),0))-MAX($E489,DATE(cfg_FY,6,1))+1))</f>
        <v>0</v>
      </c>
      <c r="AZ489" s="110" t="n">
        <f aca="false">IF(OR(OR($B489="",$E489="",$F489=""),$K489&lt;&gt;"نعم",$M489="نعم"),0,MAX(0,MIN($F489,EOMONTH(DATE(cfg_FY,7,1),0))-MAX($E489,DATE(cfg_FY,7,1))+1))</f>
        <v>0</v>
      </c>
      <c r="BA489" s="110" t="n">
        <f aca="false">IF(OR(OR($B489="",$E489="",$F489=""),$K489&lt;&gt;"نعم",$M489="نعم"),0,MAX(0,MIN($F489,EOMONTH(DATE(cfg_FY,8,1),0))-MAX($E489,DATE(cfg_FY,8,1))+1))</f>
        <v>0</v>
      </c>
      <c r="BB489" s="110" t="n">
        <f aca="false">IF(OR(OR($B489="",$E489="",$F489=""),$K489&lt;&gt;"نعم",$M489="نعم"),0,MAX(0,MIN($F489,EOMONTH(DATE(cfg_FY,9,1),0))-MAX($E489,DATE(cfg_FY,9,1))+1))</f>
        <v>0</v>
      </c>
      <c r="BC489" s="110" t="n">
        <f aca="false">IF(OR(OR($B489="",$E489="",$F489=""),$K489&lt;&gt;"نعم",$M489="نعم"),0,MAX(0,MIN($F489,EOMONTH(DATE(cfg_FY,10,1),0))-MAX($E489,DATE(cfg_FY,10,1))+1))</f>
        <v>0</v>
      </c>
      <c r="BD489" s="110" t="n">
        <f aca="false">IF(OR(OR($B489="",$E489="",$F489=""),$K489&lt;&gt;"نعم",$M489="نعم"),0,MAX(0,MIN($F489,EOMONTH(DATE(cfg_FY,11,1),0))-MAX($E489,DATE(cfg_FY,11,1))+1))</f>
        <v>0</v>
      </c>
      <c r="BE489" s="110" t="n">
        <f aca="false">IF(OR(OR($B489="",$E489="",$F489=""),$K489&lt;&gt;"نعم",$M489="نعم"),0,MAX(0,MIN($F489,EOMONTH(DATE(cfg_FY,12,1),0))-MAX($E489,DATE(cfg_FY,12,1))+1))</f>
        <v>0</v>
      </c>
    </row>
    <row r="490" customFormat="false" ht="15" hidden="false" customHeight="false" outlineLevel="0" collapsed="false">
      <c r="A490" s="93" t="str">
        <f aca="false">IF(B490="","",ROW()-5)</f>
        <v/>
      </c>
      <c r="B490" s="79"/>
      <c r="C490" s="80" t="str">
        <f aca="false">IF(B490="","",IFERROR(INDEX(الموظفون!$C$6:$C$105,MATCH(B490,الموظفون!$B$6:$B$105,0)),"✖ رقم غير موجود"))</f>
        <v/>
      </c>
      <c r="D490" s="79"/>
      <c r="E490" s="94"/>
      <c r="F490" s="94"/>
      <c r="G490" s="57" t="str">
        <f aca="false">IF(OR($B490="",$E490="",$F490=""),"",MAX(0,F490-E490+1))</f>
        <v/>
      </c>
      <c r="H490" s="58" t="str">
        <f aca="false">IF(D490="","",IFERROR(VLOOKUP(D490,cfg_LT,2,FALSE()),1))</f>
        <v/>
      </c>
      <c r="I490" s="82"/>
      <c r="J490" s="58" t="str">
        <f aca="false">IF(D490="","",IF(I490&lt;&gt;"",I490,H490))</f>
        <v/>
      </c>
      <c r="K490" s="80" t="str">
        <f aca="false">IF(D490="","",IFERROR(VLOOKUP($D490,cfg_LT,3,FALSE()),""))</f>
        <v/>
      </c>
      <c r="L490" s="80" t="str">
        <f aca="false">IF(D490="","",IFERROR(VLOOKUP($D490,cfg_LT,4,FALSE()),""))</f>
        <v/>
      </c>
      <c r="M490" s="80" t="str">
        <f aca="false">IF(D490="","",IFERROR(VLOOKUP($D490,cfg_LT,5,FALSE()),""))</f>
        <v/>
      </c>
      <c r="N490" s="97" t="n">
        <f aca="false">IF(OR(OR($B490="",$E490="",$F490=""),M490&lt;&gt;"نعم"),0,G490*J490*IFERROR(INDEX(الموظفون!$R$6:$R$105,MATCH(B490,الموظفون!$B$6:$B$105,0)),0)/cfg_DAYS_M)</f>
        <v>0</v>
      </c>
      <c r="O490" s="93" t="str">
        <f aca="false">IF(OR(OR($B490="",$E490="",$F490=""),M490&lt;&gt;"نعم"),"",IF(YEAR(E490)=cfg_FY,MONTH(E490),""))</f>
        <v/>
      </c>
      <c r="P490" s="80" t="str">
        <f aca="false">IF(B490="","",IF(OR(D490="",E490="",F490=""),"⚠ أكمل النوع والتواريخ",IF(F490&lt;E490,"✖ النهاية قبل البداية",IF(COUNTIFS($B$6:$B$505,B490,$E$6:$E$505,"&lt;="&amp;F490,$F$6:$F$505,"&gt;="&amp;E490)&gt;1,"⚠ تداخل مع سجل آخر",IF(E490&gt;cfg_VAL_DATE,"⏳ قادمة",IF(F490&lt;cfg_VAL_DATE,"✔ منتهية","✈ جارية في تاريخ التقرير"))))))</f>
        <v/>
      </c>
      <c r="Q490" s="79"/>
      <c r="R490" s="57" t="n">
        <f aca="false">IF(OR(OR($B490="",$E490="",$F490=""),L490&lt;&gt;"لا"),0,MAX(0,MIN(F490,cfg_Y_START-1)-E490+1))</f>
        <v>0</v>
      </c>
      <c r="S490" s="57" t="n">
        <f aca="false">IF(OR(OR($B490="",$E490="",$F490=""),L490&lt;&gt;"لا"),0,MAX(0,MIN(F490,cfg_VAL_DATE)-E490+1))</f>
        <v>0</v>
      </c>
      <c r="T490" s="57" t="n">
        <f aca="false">IF(OR(OR($B490="",$E490="",$F490=""),K490&lt;&gt;"نعم"),0,IF(M490="نعم",IF(AND(ISNUMBER(O490),N(O490)&lt;=cfg_VAL_M),G490,0),MAX(0,MIN(F490,cfg_VAL_DATE)-MAX(E490,cfg_Y_START)+1)))</f>
        <v>0</v>
      </c>
      <c r="V490" s="57" t="n">
        <f aca="false">IF(OR($B490="",$E490="",$F490=""),0,MAX(0,MIN($F490,EOMONTH(DATE(cfg_FY,1,1),0))-MAX($E490,DATE(cfg_FY,1,1))+1)*(1-IF($M490="نعم",0,N($J490))))</f>
        <v>0</v>
      </c>
      <c r="W490" s="57" t="n">
        <f aca="false">IF(OR($B490="",$E490="",$F490=""),0,MAX(0,MIN($F490,EOMONTH(DATE(cfg_FY,2,1),0))-MAX($E490,DATE(cfg_FY,2,1))+1)*(1-IF($M490="نعم",0,N($J490))))</f>
        <v>0</v>
      </c>
      <c r="X490" s="57" t="n">
        <f aca="false">IF(OR($B490="",$E490="",$F490=""),0,MAX(0,MIN($F490,EOMONTH(DATE(cfg_FY,3,1),0))-MAX($E490,DATE(cfg_FY,3,1))+1)*(1-IF($M490="نعم",0,N($J490))))</f>
        <v>0</v>
      </c>
      <c r="Y490" s="57" t="n">
        <f aca="false">IF(OR($B490="",$E490="",$F490=""),0,MAX(0,MIN($F490,EOMONTH(DATE(cfg_FY,4,1),0))-MAX($E490,DATE(cfg_FY,4,1))+1)*(1-IF($M490="نعم",0,N($J490))))</f>
        <v>0</v>
      </c>
      <c r="Z490" s="57" t="n">
        <f aca="false">IF(OR($B490="",$E490="",$F490=""),0,MAX(0,MIN($F490,EOMONTH(DATE(cfg_FY,5,1),0))-MAX($E490,DATE(cfg_FY,5,1))+1)*(1-IF($M490="نعم",0,N($J490))))</f>
        <v>0</v>
      </c>
      <c r="AA490" s="57" t="n">
        <f aca="false">IF(OR($B490="",$E490="",$F490=""),0,MAX(0,MIN($F490,EOMONTH(DATE(cfg_FY,6,1),0))-MAX($E490,DATE(cfg_FY,6,1))+1)*(1-IF($M490="نعم",0,N($J490))))</f>
        <v>0</v>
      </c>
      <c r="AB490" s="57" t="n">
        <f aca="false">IF(OR($B490="",$E490="",$F490=""),0,MAX(0,MIN($F490,EOMONTH(DATE(cfg_FY,7,1),0))-MAX($E490,DATE(cfg_FY,7,1))+1)*(1-IF($M490="نعم",0,N($J490))))</f>
        <v>0</v>
      </c>
      <c r="AC490" s="57" t="n">
        <f aca="false">IF(OR($B490="",$E490="",$F490=""),0,MAX(0,MIN($F490,EOMONTH(DATE(cfg_FY,8,1),0))-MAX($E490,DATE(cfg_FY,8,1))+1)*(1-IF($M490="نعم",0,N($J490))))</f>
        <v>0</v>
      </c>
      <c r="AD490" s="57" t="n">
        <f aca="false">IF(OR($B490="",$E490="",$F490=""),0,MAX(0,MIN($F490,EOMONTH(DATE(cfg_FY,9,1),0))-MAX($E490,DATE(cfg_FY,9,1))+1)*(1-IF($M490="نعم",0,N($J490))))</f>
        <v>0</v>
      </c>
      <c r="AE490" s="57" t="n">
        <f aca="false">IF(OR($B490="",$E490="",$F490=""),0,MAX(0,MIN($F490,EOMONTH(DATE(cfg_FY,10,1),0))-MAX($E490,DATE(cfg_FY,10,1))+1)*(1-IF($M490="نعم",0,N($J490))))</f>
        <v>0</v>
      </c>
      <c r="AF490" s="57" t="n">
        <f aca="false">IF(OR($B490="",$E490="",$F490=""),0,MAX(0,MIN($F490,EOMONTH(DATE(cfg_FY,11,1),0))-MAX($E490,DATE(cfg_FY,11,1))+1)*(1-IF($M490="نعم",0,N($J490))))</f>
        <v>0</v>
      </c>
      <c r="AG490" s="57" t="n">
        <f aca="false">IF(OR($B490="",$E490="",$F490=""),0,MAX(0,MIN($F490,EOMONTH(DATE(cfg_FY,12,1),0))-MAX($E490,DATE(cfg_FY,12,1))+1)*(1-IF($M490="نعم",0,N($J490))))</f>
        <v>0</v>
      </c>
      <c r="AH490" s="57" t="n">
        <f aca="false">IF(OR(OR($B490="",$E490="",$F490=""),$L490&lt;&gt;"لا"),0,MAX(0,MIN($F490,EOMONTH(DATE(cfg_FY,1,1),0))-$E490+1))</f>
        <v>0</v>
      </c>
      <c r="AI490" s="57" t="n">
        <f aca="false">IF(OR(OR($B490="",$E490="",$F490=""),$L490&lt;&gt;"لا"),0,MAX(0,MIN($F490,EOMONTH(DATE(cfg_FY,2,1),0))-$E490+1))</f>
        <v>0</v>
      </c>
      <c r="AJ490" s="57" t="n">
        <f aca="false">IF(OR(OR($B490="",$E490="",$F490=""),$L490&lt;&gt;"لا"),0,MAX(0,MIN($F490,EOMONTH(DATE(cfg_FY,3,1),0))-$E490+1))</f>
        <v>0</v>
      </c>
      <c r="AK490" s="57" t="n">
        <f aca="false">IF(OR(OR($B490="",$E490="",$F490=""),$L490&lt;&gt;"لا"),0,MAX(0,MIN($F490,EOMONTH(DATE(cfg_FY,4,1),0))-$E490+1))</f>
        <v>0</v>
      </c>
      <c r="AL490" s="57" t="n">
        <f aca="false">IF(OR(OR($B490="",$E490="",$F490=""),$L490&lt;&gt;"لا"),0,MAX(0,MIN($F490,EOMONTH(DATE(cfg_FY,5,1),0))-$E490+1))</f>
        <v>0</v>
      </c>
      <c r="AM490" s="57" t="n">
        <f aca="false">IF(OR(OR($B490="",$E490="",$F490=""),$L490&lt;&gt;"لا"),0,MAX(0,MIN($F490,EOMONTH(DATE(cfg_FY,6,1),0))-$E490+1))</f>
        <v>0</v>
      </c>
      <c r="AN490" s="57" t="n">
        <f aca="false">IF(OR(OR($B490="",$E490="",$F490=""),$L490&lt;&gt;"لا"),0,MAX(0,MIN($F490,EOMONTH(DATE(cfg_FY,7,1),0))-$E490+1))</f>
        <v>0</v>
      </c>
      <c r="AO490" s="57" t="n">
        <f aca="false">IF(OR(OR($B490="",$E490="",$F490=""),$L490&lt;&gt;"لا"),0,MAX(0,MIN($F490,EOMONTH(DATE(cfg_FY,8,1),0))-$E490+1))</f>
        <v>0</v>
      </c>
      <c r="AP490" s="57" t="n">
        <f aca="false">IF(OR(OR($B490="",$E490="",$F490=""),$L490&lt;&gt;"لا"),0,MAX(0,MIN($F490,EOMONTH(DATE(cfg_FY,9,1),0))-$E490+1))</f>
        <v>0</v>
      </c>
      <c r="AQ490" s="57" t="n">
        <f aca="false">IF(OR(OR($B490="",$E490="",$F490=""),$L490&lt;&gt;"لا"),0,MAX(0,MIN($F490,EOMONTH(DATE(cfg_FY,10,1),0))-$E490+1))</f>
        <v>0</v>
      </c>
      <c r="AR490" s="57" t="n">
        <f aca="false">IF(OR(OR($B490="",$E490="",$F490=""),$L490&lt;&gt;"لا"),0,MAX(0,MIN($F490,EOMONTH(DATE(cfg_FY,11,1),0))-$E490+1))</f>
        <v>0</v>
      </c>
      <c r="AS490" s="57" t="n">
        <f aca="false">IF(OR(OR($B490="",$E490="",$F490=""),$L490&lt;&gt;"لا"),0,MAX(0,MIN($F490,EOMONTH(DATE(cfg_FY,12,1),0))-$E490+1))</f>
        <v>0</v>
      </c>
      <c r="AT490" s="57" t="n">
        <f aca="false">IF(OR(OR($B490="",$E490="",$F490=""),$K490&lt;&gt;"نعم",$M490="نعم"),0,MAX(0,MIN($F490,EOMONTH(DATE(cfg_FY,1,1),0))-MAX($E490,DATE(cfg_FY,1,1))+1))</f>
        <v>0</v>
      </c>
      <c r="AU490" s="57" t="n">
        <f aca="false">IF(OR(OR($B490="",$E490="",$F490=""),$K490&lt;&gt;"نعم",$M490="نعم"),0,MAX(0,MIN($F490,EOMONTH(DATE(cfg_FY,2,1),0))-MAX($E490,DATE(cfg_FY,2,1))+1))</f>
        <v>0</v>
      </c>
      <c r="AV490" s="57" t="n">
        <f aca="false">IF(OR(OR($B490="",$E490="",$F490=""),$K490&lt;&gt;"نعم",$M490="نعم"),0,MAX(0,MIN($F490,EOMONTH(DATE(cfg_FY,3,1),0))-MAX($E490,DATE(cfg_FY,3,1))+1))</f>
        <v>0</v>
      </c>
      <c r="AW490" s="57" t="n">
        <f aca="false">IF(OR(OR($B490="",$E490="",$F490=""),$K490&lt;&gt;"نعم",$M490="نعم"),0,MAX(0,MIN($F490,EOMONTH(DATE(cfg_FY,4,1),0))-MAX($E490,DATE(cfg_FY,4,1))+1))</f>
        <v>0</v>
      </c>
      <c r="AX490" s="57" t="n">
        <f aca="false">IF(OR(OR($B490="",$E490="",$F490=""),$K490&lt;&gt;"نعم",$M490="نعم"),0,MAX(0,MIN($F490,EOMONTH(DATE(cfg_FY,5,1),0))-MAX($E490,DATE(cfg_FY,5,1))+1))</f>
        <v>0</v>
      </c>
      <c r="AY490" s="57" t="n">
        <f aca="false">IF(OR(OR($B490="",$E490="",$F490=""),$K490&lt;&gt;"نعم",$M490="نعم"),0,MAX(0,MIN($F490,EOMONTH(DATE(cfg_FY,6,1),0))-MAX($E490,DATE(cfg_FY,6,1))+1))</f>
        <v>0</v>
      </c>
      <c r="AZ490" s="57" t="n">
        <f aca="false">IF(OR(OR($B490="",$E490="",$F490=""),$K490&lt;&gt;"نعم",$M490="نعم"),0,MAX(0,MIN($F490,EOMONTH(DATE(cfg_FY,7,1),0))-MAX($E490,DATE(cfg_FY,7,1))+1))</f>
        <v>0</v>
      </c>
      <c r="BA490" s="57" t="n">
        <f aca="false">IF(OR(OR($B490="",$E490="",$F490=""),$K490&lt;&gt;"نعم",$M490="نعم"),0,MAX(0,MIN($F490,EOMONTH(DATE(cfg_FY,8,1),0))-MAX($E490,DATE(cfg_FY,8,1))+1))</f>
        <v>0</v>
      </c>
      <c r="BB490" s="57" t="n">
        <f aca="false">IF(OR(OR($B490="",$E490="",$F490=""),$K490&lt;&gt;"نعم",$M490="نعم"),0,MAX(0,MIN($F490,EOMONTH(DATE(cfg_FY,9,1),0))-MAX($E490,DATE(cfg_FY,9,1))+1))</f>
        <v>0</v>
      </c>
      <c r="BC490" s="57" t="n">
        <f aca="false">IF(OR(OR($B490="",$E490="",$F490=""),$K490&lt;&gt;"نعم",$M490="نعم"),0,MAX(0,MIN($F490,EOMONTH(DATE(cfg_FY,10,1),0))-MAX($E490,DATE(cfg_FY,10,1))+1))</f>
        <v>0</v>
      </c>
      <c r="BD490" s="57" t="n">
        <f aca="false">IF(OR(OR($B490="",$E490="",$F490=""),$K490&lt;&gt;"نعم",$M490="نعم"),0,MAX(0,MIN($F490,EOMONTH(DATE(cfg_FY,11,1),0))-MAX($E490,DATE(cfg_FY,11,1))+1))</f>
        <v>0</v>
      </c>
      <c r="BE490" s="57" t="n">
        <f aca="false">IF(OR(OR($B490="",$E490="",$F490=""),$K490&lt;&gt;"نعم",$M490="نعم"),0,MAX(0,MIN($F490,EOMONTH(DATE(cfg_FY,12,1),0))-MAX($E490,DATE(cfg_FY,12,1))+1))</f>
        <v>0</v>
      </c>
    </row>
    <row r="491" customFormat="false" ht="15" hidden="false" customHeight="false" outlineLevel="0" collapsed="false">
      <c r="A491" s="100" t="str">
        <f aca="false">IF(B491="","",ROW()-5)</f>
        <v/>
      </c>
      <c r="B491" s="79"/>
      <c r="C491" s="102" t="str">
        <f aca="false">IF(B491="","",IFERROR(INDEX(الموظفون!$C$6:$C$105,MATCH(B491,الموظفون!$B$6:$B$105,0)),"✖ رقم غير موجود"))</f>
        <v/>
      </c>
      <c r="D491" s="79"/>
      <c r="E491" s="94"/>
      <c r="F491" s="94"/>
      <c r="G491" s="110" t="str">
        <f aca="false">IF(OR($B491="",$E491="",$F491=""),"",MAX(0,F491-E491+1))</f>
        <v/>
      </c>
      <c r="H491" s="111" t="str">
        <f aca="false">IF(D491="","",IFERROR(VLOOKUP(D491,cfg_LT,2,FALSE()),1))</f>
        <v/>
      </c>
      <c r="I491" s="82"/>
      <c r="J491" s="111" t="str">
        <f aca="false">IF(D491="","",IF(I491&lt;&gt;"",I491,H491))</f>
        <v/>
      </c>
      <c r="K491" s="102" t="str">
        <f aca="false">IF(D491="","",IFERROR(VLOOKUP($D491,cfg_LT,3,FALSE()),""))</f>
        <v/>
      </c>
      <c r="L491" s="102" t="str">
        <f aca="false">IF(D491="","",IFERROR(VLOOKUP($D491,cfg_LT,4,FALSE()),""))</f>
        <v/>
      </c>
      <c r="M491" s="102" t="str">
        <f aca="false">IF(D491="","",IFERROR(VLOOKUP($D491,cfg_LT,5,FALSE()),""))</f>
        <v/>
      </c>
      <c r="N491" s="101" t="n">
        <f aca="false">IF(OR(OR($B491="",$E491="",$F491=""),M491&lt;&gt;"نعم"),0,G491*J491*IFERROR(INDEX(الموظفون!$R$6:$R$105,MATCH(B491,الموظفون!$B$6:$B$105,0)),0)/cfg_DAYS_M)</f>
        <v>0</v>
      </c>
      <c r="O491" s="100" t="str">
        <f aca="false">IF(OR(OR($B491="",$E491="",$F491=""),M491&lt;&gt;"نعم"),"",IF(YEAR(E491)=cfg_FY,MONTH(E491),""))</f>
        <v/>
      </c>
      <c r="P491" s="102" t="str">
        <f aca="false">IF(B491="","",IF(OR(D491="",E491="",F491=""),"⚠ أكمل النوع والتواريخ",IF(F491&lt;E491,"✖ النهاية قبل البداية",IF(COUNTIFS($B$6:$B$505,B491,$E$6:$E$505,"&lt;="&amp;F491,$F$6:$F$505,"&gt;="&amp;E491)&gt;1,"⚠ تداخل مع سجل آخر",IF(E491&gt;cfg_VAL_DATE,"⏳ قادمة",IF(F491&lt;cfg_VAL_DATE,"✔ منتهية","✈ جارية في تاريخ التقرير"))))))</f>
        <v/>
      </c>
      <c r="Q491" s="79"/>
      <c r="R491" s="110" t="n">
        <f aca="false">IF(OR(OR($B491="",$E491="",$F491=""),L491&lt;&gt;"لا"),0,MAX(0,MIN(F491,cfg_Y_START-1)-E491+1))</f>
        <v>0</v>
      </c>
      <c r="S491" s="110" t="n">
        <f aca="false">IF(OR(OR($B491="",$E491="",$F491=""),L491&lt;&gt;"لا"),0,MAX(0,MIN(F491,cfg_VAL_DATE)-E491+1))</f>
        <v>0</v>
      </c>
      <c r="T491" s="110" t="n">
        <f aca="false">IF(OR(OR($B491="",$E491="",$F491=""),K491&lt;&gt;"نعم"),0,IF(M491="نعم",IF(AND(ISNUMBER(O491),N(O491)&lt;=cfg_VAL_M),G491,0),MAX(0,MIN(F491,cfg_VAL_DATE)-MAX(E491,cfg_Y_START)+1)))</f>
        <v>0</v>
      </c>
      <c r="V491" s="110" t="n">
        <f aca="false">IF(OR($B491="",$E491="",$F491=""),0,MAX(0,MIN($F491,EOMONTH(DATE(cfg_FY,1,1),0))-MAX($E491,DATE(cfg_FY,1,1))+1)*(1-IF($M491="نعم",0,N($J491))))</f>
        <v>0</v>
      </c>
      <c r="W491" s="110" t="n">
        <f aca="false">IF(OR($B491="",$E491="",$F491=""),0,MAX(0,MIN($F491,EOMONTH(DATE(cfg_FY,2,1),0))-MAX($E491,DATE(cfg_FY,2,1))+1)*(1-IF($M491="نعم",0,N($J491))))</f>
        <v>0</v>
      </c>
      <c r="X491" s="110" t="n">
        <f aca="false">IF(OR($B491="",$E491="",$F491=""),0,MAX(0,MIN($F491,EOMONTH(DATE(cfg_FY,3,1),0))-MAX($E491,DATE(cfg_FY,3,1))+1)*(1-IF($M491="نعم",0,N($J491))))</f>
        <v>0</v>
      </c>
      <c r="Y491" s="110" t="n">
        <f aca="false">IF(OR($B491="",$E491="",$F491=""),0,MAX(0,MIN($F491,EOMONTH(DATE(cfg_FY,4,1),0))-MAX($E491,DATE(cfg_FY,4,1))+1)*(1-IF($M491="نعم",0,N($J491))))</f>
        <v>0</v>
      </c>
      <c r="Z491" s="110" t="n">
        <f aca="false">IF(OR($B491="",$E491="",$F491=""),0,MAX(0,MIN($F491,EOMONTH(DATE(cfg_FY,5,1),0))-MAX($E491,DATE(cfg_FY,5,1))+1)*(1-IF($M491="نعم",0,N($J491))))</f>
        <v>0</v>
      </c>
      <c r="AA491" s="110" t="n">
        <f aca="false">IF(OR($B491="",$E491="",$F491=""),0,MAX(0,MIN($F491,EOMONTH(DATE(cfg_FY,6,1),0))-MAX($E491,DATE(cfg_FY,6,1))+1)*(1-IF($M491="نعم",0,N($J491))))</f>
        <v>0</v>
      </c>
      <c r="AB491" s="110" t="n">
        <f aca="false">IF(OR($B491="",$E491="",$F491=""),0,MAX(0,MIN($F491,EOMONTH(DATE(cfg_FY,7,1),0))-MAX($E491,DATE(cfg_FY,7,1))+1)*(1-IF($M491="نعم",0,N($J491))))</f>
        <v>0</v>
      </c>
      <c r="AC491" s="110" t="n">
        <f aca="false">IF(OR($B491="",$E491="",$F491=""),0,MAX(0,MIN($F491,EOMONTH(DATE(cfg_FY,8,1),0))-MAX($E491,DATE(cfg_FY,8,1))+1)*(1-IF($M491="نعم",0,N($J491))))</f>
        <v>0</v>
      </c>
      <c r="AD491" s="110" t="n">
        <f aca="false">IF(OR($B491="",$E491="",$F491=""),0,MAX(0,MIN($F491,EOMONTH(DATE(cfg_FY,9,1),0))-MAX($E491,DATE(cfg_FY,9,1))+1)*(1-IF($M491="نعم",0,N($J491))))</f>
        <v>0</v>
      </c>
      <c r="AE491" s="110" t="n">
        <f aca="false">IF(OR($B491="",$E491="",$F491=""),0,MAX(0,MIN($F491,EOMONTH(DATE(cfg_FY,10,1),0))-MAX($E491,DATE(cfg_FY,10,1))+1)*(1-IF($M491="نعم",0,N($J491))))</f>
        <v>0</v>
      </c>
      <c r="AF491" s="110" t="n">
        <f aca="false">IF(OR($B491="",$E491="",$F491=""),0,MAX(0,MIN($F491,EOMONTH(DATE(cfg_FY,11,1),0))-MAX($E491,DATE(cfg_FY,11,1))+1)*(1-IF($M491="نعم",0,N($J491))))</f>
        <v>0</v>
      </c>
      <c r="AG491" s="110" t="n">
        <f aca="false">IF(OR($B491="",$E491="",$F491=""),0,MAX(0,MIN($F491,EOMONTH(DATE(cfg_FY,12,1),0))-MAX($E491,DATE(cfg_FY,12,1))+1)*(1-IF($M491="نعم",0,N($J491))))</f>
        <v>0</v>
      </c>
      <c r="AH491" s="110" t="n">
        <f aca="false">IF(OR(OR($B491="",$E491="",$F491=""),$L491&lt;&gt;"لا"),0,MAX(0,MIN($F491,EOMONTH(DATE(cfg_FY,1,1),0))-$E491+1))</f>
        <v>0</v>
      </c>
      <c r="AI491" s="110" t="n">
        <f aca="false">IF(OR(OR($B491="",$E491="",$F491=""),$L491&lt;&gt;"لا"),0,MAX(0,MIN($F491,EOMONTH(DATE(cfg_FY,2,1),0))-$E491+1))</f>
        <v>0</v>
      </c>
      <c r="AJ491" s="110" t="n">
        <f aca="false">IF(OR(OR($B491="",$E491="",$F491=""),$L491&lt;&gt;"لا"),0,MAX(0,MIN($F491,EOMONTH(DATE(cfg_FY,3,1),0))-$E491+1))</f>
        <v>0</v>
      </c>
      <c r="AK491" s="110" t="n">
        <f aca="false">IF(OR(OR($B491="",$E491="",$F491=""),$L491&lt;&gt;"لا"),0,MAX(0,MIN($F491,EOMONTH(DATE(cfg_FY,4,1),0))-$E491+1))</f>
        <v>0</v>
      </c>
      <c r="AL491" s="110" t="n">
        <f aca="false">IF(OR(OR($B491="",$E491="",$F491=""),$L491&lt;&gt;"لا"),0,MAX(0,MIN($F491,EOMONTH(DATE(cfg_FY,5,1),0))-$E491+1))</f>
        <v>0</v>
      </c>
      <c r="AM491" s="110" t="n">
        <f aca="false">IF(OR(OR($B491="",$E491="",$F491=""),$L491&lt;&gt;"لا"),0,MAX(0,MIN($F491,EOMONTH(DATE(cfg_FY,6,1),0))-$E491+1))</f>
        <v>0</v>
      </c>
      <c r="AN491" s="110" t="n">
        <f aca="false">IF(OR(OR($B491="",$E491="",$F491=""),$L491&lt;&gt;"لا"),0,MAX(0,MIN($F491,EOMONTH(DATE(cfg_FY,7,1),0))-$E491+1))</f>
        <v>0</v>
      </c>
      <c r="AO491" s="110" t="n">
        <f aca="false">IF(OR(OR($B491="",$E491="",$F491=""),$L491&lt;&gt;"لا"),0,MAX(0,MIN($F491,EOMONTH(DATE(cfg_FY,8,1),0))-$E491+1))</f>
        <v>0</v>
      </c>
      <c r="AP491" s="110" t="n">
        <f aca="false">IF(OR(OR($B491="",$E491="",$F491=""),$L491&lt;&gt;"لا"),0,MAX(0,MIN($F491,EOMONTH(DATE(cfg_FY,9,1),0))-$E491+1))</f>
        <v>0</v>
      </c>
      <c r="AQ491" s="110" t="n">
        <f aca="false">IF(OR(OR($B491="",$E491="",$F491=""),$L491&lt;&gt;"لا"),0,MAX(0,MIN($F491,EOMONTH(DATE(cfg_FY,10,1),0))-$E491+1))</f>
        <v>0</v>
      </c>
      <c r="AR491" s="110" t="n">
        <f aca="false">IF(OR(OR($B491="",$E491="",$F491=""),$L491&lt;&gt;"لا"),0,MAX(0,MIN($F491,EOMONTH(DATE(cfg_FY,11,1),0))-$E491+1))</f>
        <v>0</v>
      </c>
      <c r="AS491" s="110" t="n">
        <f aca="false">IF(OR(OR($B491="",$E491="",$F491=""),$L491&lt;&gt;"لا"),0,MAX(0,MIN($F491,EOMONTH(DATE(cfg_FY,12,1),0))-$E491+1))</f>
        <v>0</v>
      </c>
      <c r="AT491" s="110" t="n">
        <f aca="false">IF(OR(OR($B491="",$E491="",$F491=""),$K491&lt;&gt;"نعم",$M491="نعم"),0,MAX(0,MIN($F491,EOMONTH(DATE(cfg_FY,1,1),0))-MAX($E491,DATE(cfg_FY,1,1))+1))</f>
        <v>0</v>
      </c>
      <c r="AU491" s="110" t="n">
        <f aca="false">IF(OR(OR($B491="",$E491="",$F491=""),$K491&lt;&gt;"نعم",$M491="نعم"),0,MAX(0,MIN($F491,EOMONTH(DATE(cfg_FY,2,1),0))-MAX($E491,DATE(cfg_FY,2,1))+1))</f>
        <v>0</v>
      </c>
      <c r="AV491" s="110" t="n">
        <f aca="false">IF(OR(OR($B491="",$E491="",$F491=""),$K491&lt;&gt;"نعم",$M491="نعم"),0,MAX(0,MIN($F491,EOMONTH(DATE(cfg_FY,3,1),0))-MAX($E491,DATE(cfg_FY,3,1))+1))</f>
        <v>0</v>
      </c>
      <c r="AW491" s="110" t="n">
        <f aca="false">IF(OR(OR($B491="",$E491="",$F491=""),$K491&lt;&gt;"نعم",$M491="نعم"),0,MAX(0,MIN($F491,EOMONTH(DATE(cfg_FY,4,1),0))-MAX($E491,DATE(cfg_FY,4,1))+1))</f>
        <v>0</v>
      </c>
      <c r="AX491" s="110" t="n">
        <f aca="false">IF(OR(OR($B491="",$E491="",$F491=""),$K491&lt;&gt;"نعم",$M491="نعم"),0,MAX(0,MIN($F491,EOMONTH(DATE(cfg_FY,5,1),0))-MAX($E491,DATE(cfg_FY,5,1))+1))</f>
        <v>0</v>
      </c>
      <c r="AY491" s="110" t="n">
        <f aca="false">IF(OR(OR($B491="",$E491="",$F491=""),$K491&lt;&gt;"نعم",$M491="نعم"),0,MAX(0,MIN($F491,EOMONTH(DATE(cfg_FY,6,1),0))-MAX($E491,DATE(cfg_FY,6,1))+1))</f>
        <v>0</v>
      </c>
      <c r="AZ491" s="110" t="n">
        <f aca="false">IF(OR(OR($B491="",$E491="",$F491=""),$K491&lt;&gt;"نعم",$M491="نعم"),0,MAX(0,MIN($F491,EOMONTH(DATE(cfg_FY,7,1),0))-MAX($E491,DATE(cfg_FY,7,1))+1))</f>
        <v>0</v>
      </c>
      <c r="BA491" s="110" t="n">
        <f aca="false">IF(OR(OR($B491="",$E491="",$F491=""),$K491&lt;&gt;"نعم",$M491="نعم"),0,MAX(0,MIN($F491,EOMONTH(DATE(cfg_FY,8,1),0))-MAX($E491,DATE(cfg_FY,8,1))+1))</f>
        <v>0</v>
      </c>
      <c r="BB491" s="110" t="n">
        <f aca="false">IF(OR(OR($B491="",$E491="",$F491=""),$K491&lt;&gt;"نعم",$M491="نعم"),0,MAX(0,MIN($F491,EOMONTH(DATE(cfg_FY,9,1),0))-MAX($E491,DATE(cfg_FY,9,1))+1))</f>
        <v>0</v>
      </c>
      <c r="BC491" s="110" t="n">
        <f aca="false">IF(OR(OR($B491="",$E491="",$F491=""),$K491&lt;&gt;"نعم",$M491="نعم"),0,MAX(0,MIN($F491,EOMONTH(DATE(cfg_FY,10,1),0))-MAX($E491,DATE(cfg_FY,10,1))+1))</f>
        <v>0</v>
      </c>
      <c r="BD491" s="110" t="n">
        <f aca="false">IF(OR(OR($B491="",$E491="",$F491=""),$K491&lt;&gt;"نعم",$M491="نعم"),0,MAX(0,MIN($F491,EOMONTH(DATE(cfg_FY,11,1),0))-MAX($E491,DATE(cfg_FY,11,1))+1))</f>
        <v>0</v>
      </c>
      <c r="BE491" s="110" t="n">
        <f aca="false">IF(OR(OR($B491="",$E491="",$F491=""),$K491&lt;&gt;"نعم",$M491="نعم"),0,MAX(0,MIN($F491,EOMONTH(DATE(cfg_FY,12,1),0))-MAX($E491,DATE(cfg_FY,12,1))+1))</f>
        <v>0</v>
      </c>
    </row>
    <row r="492" customFormat="false" ht="15" hidden="false" customHeight="false" outlineLevel="0" collapsed="false">
      <c r="A492" s="93" t="str">
        <f aca="false">IF(B492="","",ROW()-5)</f>
        <v/>
      </c>
      <c r="B492" s="79"/>
      <c r="C492" s="80" t="str">
        <f aca="false">IF(B492="","",IFERROR(INDEX(الموظفون!$C$6:$C$105,MATCH(B492,الموظفون!$B$6:$B$105,0)),"✖ رقم غير موجود"))</f>
        <v/>
      </c>
      <c r="D492" s="79"/>
      <c r="E492" s="94"/>
      <c r="F492" s="94"/>
      <c r="G492" s="57" t="str">
        <f aca="false">IF(OR($B492="",$E492="",$F492=""),"",MAX(0,F492-E492+1))</f>
        <v/>
      </c>
      <c r="H492" s="58" t="str">
        <f aca="false">IF(D492="","",IFERROR(VLOOKUP(D492,cfg_LT,2,FALSE()),1))</f>
        <v/>
      </c>
      <c r="I492" s="82"/>
      <c r="J492" s="58" t="str">
        <f aca="false">IF(D492="","",IF(I492&lt;&gt;"",I492,H492))</f>
        <v/>
      </c>
      <c r="K492" s="80" t="str">
        <f aca="false">IF(D492="","",IFERROR(VLOOKUP($D492,cfg_LT,3,FALSE()),""))</f>
        <v/>
      </c>
      <c r="L492" s="80" t="str">
        <f aca="false">IF(D492="","",IFERROR(VLOOKUP($D492,cfg_LT,4,FALSE()),""))</f>
        <v/>
      </c>
      <c r="M492" s="80" t="str">
        <f aca="false">IF(D492="","",IFERROR(VLOOKUP($D492,cfg_LT,5,FALSE()),""))</f>
        <v/>
      </c>
      <c r="N492" s="97" t="n">
        <f aca="false">IF(OR(OR($B492="",$E492="",$F492=""),M492&lt;&gt;"نعم"),0,G492*J492*IFERROR(INDEX(الموظفون!$R$6:$R$105,MATCH(B492,الموظفون!$B$6:$B$105,0)),0)/cfg_DAYS_M)</f>
        <v>0</v>
      </c>
      <c r="O492" s="93" t="str">
        <f aca="false">IF(OR(OR($B492="",$E492="",$F492=""),M492&lt;&gt;"نعم"),"",IF(YEAR(E492)=cfg_FY,MONTH(E492),""))</f>
        <v/>
      </c>
      <c r="P492" s="80" t="str">
        <f aca="false">IF(B492="","",IF(OR(D492="",E492="",F492=""),"⚠ أكمل النوع والتواريخ",IF(F492&lt;E492,"✖ النهاية قبل البداية",IF(COUNTIFS($B$6:$B$505,B492,$E$6:$E$505,"&lt;="&amp;F492,$F$6:$F$505,"&gt;="&amp;E492)&gt;1,"⚠ تداخل مع سجل آخر",IF(E492&gt;cfg_VAL_DATE,"⏳ قادمة",IF(F492&lt;cfg_VAL_DATE,"✔ منتهية","✈ جارية في تاريخ التقرير"))))))</f>
        <v/>
      </c>
      <c r="Q492" s="79"/>
      <c r="R492" s="57" t="n">
        <f aca="false">IF(OR(OR($B492="",$E492="",$F492=""),L492&lt;&gt;"لا"),0,MAX(0,MIN(F492,cfg_Y_START-1)-E492+1))</f>
        <v>0</v>
      </c>
      <c r="S492" s="57" t="n">
        <f aca="false">IF(OR(OR($B492="",$E492="",$F492=""),L492&lt;&gt;"لا"),0,MAX(0,MIN(F492,cfg_VAL_DATE)-E492+1))</f>
        <v>0</v>
      </c>
      <c r="T492" s="57" t="n">
        <f aca="false">IF(OR(OR($B492="",$E492="",$F492=""),K492&lt;&gt;"نعم"),0,IF(M492="نعم",IF(AND(ISNUMBER(O492),N(O492)&lt;=cfg_VAL_M),G492,0),MAX(0,MIN(F492,cfg_VAL_DATE)-MAX(E492,cfg_Y_START)+1)))</f>
        <v>0</v>
      </c>
      <c r="V492" s="57" t="n">
        <f aca="false">IF(OR($B492="",$E492="",$F492=""),0,MAX(0,MIN($F492,EOMONTH(DATE(cfg_FY,1,1),0))-MAX($E492,DATE(cfg_FY,1,1))+1)*(1-IF($M492="نعم",0,N($J492))))</f>
        <v>0</v>
      </c>
      <c r="W492" s="57" t="n">
        <f aca="false">IF(OR($B492="",$E492="",$F492=""),0,MAX(0,MIN($F492,EOMONTH(DATE(cfg_FY,2,1),0))-MAX($E492,DATE(cfg_FY,2,1))+1)*(1-IF($M492="نعم",0,N($J492))))</f>
        <v>0</v>
      </c>
      <c r="X492" s="57" t="n">
        <f aca="false">IF(OR($B492="",$E492="",$F492=""),0,MAX(0,MIN($F492,EOMONTH(DATE(cfg_FY,3,1),0))-MAX($E492,DATE(cfg_FY,3,1))+1)*(1-IF($M492="نعم",0,N($J492))))</f>
        <v>0</v>
      </c>
      <c r="Y492" s="57" t="n">
        <f aca="false">IF(OR($B492="",$E492="",$F492=""),0,MAX(0,MIN($F492,EOMONTH(DATE(cfg_FY,4,1),0))-MAX($E492,DATE(cfg_FY,4,1))+1)*(1-IF($M492="نعم",0,N($J492))))</f>
        <v>0</v>
      </c>
      <c r="Z492" s="57" t="n">
        <f aca="false">IF(OR($B492="",$E492="",$F492=""),0,MAX(0,MIN($F492,EOMONTH(DATE(cfg_FY,5,1),0))-MAX($E492,DATE(cfg_FY,5,1))+1)*(1-IF($M492="نعم",0,N($J492))))</f>
        <v>0</v>
      </c>
      <c r="AA492" s="57" t="n">
        <f aca="false">IF(OR($B492="",$E492="",$F492=""),0,MAX(0,MIN($F492,EOMONTH(DATE(cfg_FY,6,1),0))-MAX($E492,DATE(cfg_FY,6,1))+1)*(1-IF($M492="نعم",0,N($J492))))</f>
        <v>0</v>
      </c>
      <c r="AB492" s="57" t="n">
        <f aca="false">IF(OR($B492="",$E492="",$F492=""),0,MAX(0,MIN($F492,EOMONTH(DATE(cfg_FY,7,1),0))-MAX($E492,DATE(cfg_FY,7,1))+1)*(1-IF($M492="نعم",0,N($J492))))</f>
        <v>0</v>
      </c>
      <c r="AC492" s="57" t="n">
        <f aca="false">IF(OR($B492="",$E492="",$F492=""),0,MAX(0,MIN($F492,EOMONTH(DATE(cfg_FY,8,1),0))-MAX($E492,DATE(cfg_FY,8,1))+1)*(1-IF($M492="نعم",0,N($J492))))</f>
        <v>0</v>
      </c>
      <c r="AD492" s="57" t="n">
        <f aca="false">IF(OR($B492="",$E492="",$F492=""),0,MAX(0,MIN($F492,EOMONTH(DATE(cfg_FY,9,1),0))-MAX($E492,DATE(cfg_FY,9,1))+1)*(1-IF($M492="نعم",0,N($J492))))</f>
        <v>0</v>
      </c>
      <c r="AE492" s="57" t="n">
        <f aca="false">IF(OR($B492="",$E492="",$F492=""),0,MAX(0,MIN($F492,EOMONTH(DATE(cfg_FY,10,1),0))-MAX($E492,DATE(cfg_FY,10,1))+1)*(1-IF($M492="نعم",0,N($J492))))</f>
        <v>0</v>
      </c>
      <c r="AF492" s="57" t="n">
        <f aca="false">IF(OR($B492="",$E492="",$F492=""),0,MAX(0,MIN($F492,EOMONTH(DATE(cfg_FY,11,1),0))-MAX($E492,DATE(cfg_FY,11,1))+1)*(1-IF($M492="نعم",0,N($J492))))</f>
        <v>0</v>
      </c>
      <c r="AG492" s="57" t="n">
        <f aca="false">IF(OR($B492="",$E492="",$F492=""),0,MAX(0,MIN($F492,EOMONTH(DATE(cfg_FY,12,1),0))-MAX($E492,DATE(cfg_FY,12,1))+1)*(1-IF($M492="نعم",0,N($J492))))</f>
        <v>0</v>
      </c>
      <c r="AH492" s="57" t="n">
        <f aca="false">IF(OR(OR($B492="",$E492="",$F492=""),$L492&lt;&gt;"لا"),0,MAX(0,MIN($F492,EOMONTH(DATE(cfg_FY,1,1),0))-$E492+1))</f>
        <v>0</v>
      </c>
      <c r="AI492" s="57" t="n">
        <f aca="false">IF(OR(OR($B492="",$E492="",$F492=""),$L492&lt;&gt;"لا"),0,MAX(0,MIN($F492,EOMONTH(DATE(cfg_FY,2,1),0))-$E492+1))</f>
        <v>0</v>
      </c>
      <c r="AJ492" s="57" t="n">
        <f aca="false">IF(OR(OR($B492="",$E492="",$F492=""),$L492&lt;&gt;"لا"),0,MAX(0,MIN($F492,EOMONTH(DATE(cfg_FY,3,1),0))-$E492+1))</f>
        <v>0</v>
      </c>
      <c r="AK492" s="57" t="n">
        <f aca="false">IF(OR(OR($B492="",$E492="",$F492=""),$L492&lt;&gt;"لا"),0,MAX(0,MIN($F492,EOMONTH(DATE(cfg_FY,4,1),0))-$E492+1))</f>
        <v>0</v>
      </c>
      <c r="AL492" s="57" t="n">
        <f aca="false">IF(OR(OR($B492="",$E492="",$F492=""),$L492&lt;&gt;"لا"),0,MAX(0,MIN($F492,EOMONTH(DATE(cfg_FY,5,1),0))-$E492+1))</f>
        <v>0</v>
      </c>
      <c r="AM492" s="57" t="n">
        <f aca="false">IF(OR(OR($B492="",$E492="",$F492=""),$L492&lt;&gt;"لا"),0,MAX(0,MIN($F492,EOMONTH(DATE(cfg_FY,6,1),0))-$E492+1))</f>
        <v>0</v>
      </c>
      <c r="AN492" s="57" t="n">
        <f aca="false">IF(OR(OR($B492="",$E492="",$F492=""),$L492&lt;&gt;"لا"),0,MAX(0,MIN($F492,EOMONTH(DATE(cfg_FY,7,1),0))-$E492+1))</f>
        <v>0</v>
      </c>
      <c r="AO492" s="57" t="n">
        <f aca="false">IF(OR(OR($B492="",$E492="",$F492=""),$L492&lt;&gt;"لا"),0,MAX(0,MIN($F492,EOMONTH(DATE(cfg_FY,8,1),0))-$E492+1))</f>
        <v>0</v>
      </c>
      <c r="AP492" s="57" t="n">
        <f aca="false">IF(OR(OR($B492="",$E492="",$F492=""),$L492&lt;&gt;"لا"),0,MAX(0,MIN($F492,EOMONTH(DATE(cfg_FY,9,1),0))-$E492+1))</f>
        <v>0</v>
      </c>
      <c r="AQ492" s="57" t="n">
        <f aca="false">IF(OR(OR($B492="",$E492="",$F492=""),$L492&lt;&gt;"لا"),0,MAX(0,MIN($F492,EOMONTH(DATE(cfg_FY,10,1),0))-$E492+1))</f>
        <v>0</v>
      </c>
      <c r="AR492" s="57" t="n">
        <f aca="false">IF(OR(OR($B492="",$E492="",$F492=""),$L492&lt;&gt;"لا"),0,MAX(0,MIN($F492,EOMONTH(DATE(cfg_FY,11,1),0))-$E492+1))</f>
        <v>0</v>
      </c>
      <c r="AS492" s="57" t="n">
        <f aca="false">IF(OR(OR($B492="",$E492="",$F492=""),$L492&lt;&gt;"لا"),0,MAX(0,MIN($F492,EOMONTH(DATE(cfg_FY,12,1),0))-$E492+1))</f>
        <v>0</v>
      </c>
      <c r="AT492" s="57" t="n">
        <f aca="false">IF(OR(OR($B492="",$E492="",$F492=""),$K492&lt;&gt;"نعم",$M492="نعم"),0,MAX(0,MIN($F492,EOMONTH(DATE(cfg_FY,1,1),0))-MAX($E492,DATE(cfg_FY,1,1))+1))</f>
        <v>0</v>
      </c>
      <c r="AU492" s="57" t="n">
        <f aca="false">IF(OR(OR($B492="",$E492="",$F492=""),$K492&lt;&gt;"نعم",$M492="نعم"),0,MAX(0,MIN($F492,EOMONTH(DATE(cfg_FY,2,1),0))-MAX($E492,DATE(cfg_FY,2,1))+1))</f>
        <v>0</v>
      </c>
      <c r="AV492" s="57" t="n">
        <f aca="false">IF(OR(OR($B492="",$E492="",$F492=""),$K492&lt;&gt;"نعم",$M492="نعم"),0,MAX(0,MIN($F492,EOMONTH(DATE(cfg_FY,3,1),0))-MAX($E492,DATE(cfg_FY,3,1))+1))</f>
        <v>0</v>
      </c>
      <c r="AW492" s="57" t="n">
        <f aca="false">IF(OR(OR($B492="",$E492="",$F492=""),$K492&lt;&gt;"نعم",$M492="نعم"),0,MAX(0,MIN($F492,EOMONTH(DATE(cfg_FY,4,1),0))-MAX($E492,DATE(cfg_FY,4,1))+1))</f>
        <v>0</v>
      </c>
      <c r="AX492" s="57" t="n">
        <f aca="false">IF(OR(OR($B492="",$E492="",$F492=""),$K492&lt;&gt;"نعم",$M492="نعم"),0,MAX(0,MIN($F492,EOMONTH(DATE(cfg_FY,5,1),0))-MAX($E492,DATE(cfg_FY,5,1))+1))</f>
        <v>0</v>
      </c>
      <c r="AY492" s="57" t="n">
        <f aca="false">IF(OR(OR($B492="",$E492="",$F492=""),$K492&lt;&gt;"نعم",$M492="نعم"),0,MAX(0,MIN($F492,EOMONTH(DATE(cfg_FY,6,1),0))-MAX($E492,DATE(cfg_FY,6,1))+1))</f>
        <v>0</v>
      </c>
      <c r="AZ492" s="57" t="n">
        <f aca="false">IF(OR(OR($B492="",$E492="",$F492=""),$K492&lt;&gt;"نعم",$M492="نعم"),0,MAX(0,MIN($F492,EOMONTH(DATE(cfg_FY,7,1),0))-MAX($E492,DATE(cfg_FY,7,1))+1))</f>
        <v>0</v>
      </c>
      <c r="BA492" s="57" t="n">
        <f aca="false">IF(OR(OR($B492="",$E492="",$F492=""),$K492&lt;&gt;"نعم",$M492="نعم"),0,MAX(0,MIN($F492,EOMONTH(DATE(cfg_FY,8,1),0))-MAX($E492,DATE(cfg_FY,8,1))+1))</f>
        <v>0</v>
      </c>
      <c r="BB492" s="57" t="n">
        <f aca="false">IF(OR(OR($B492="",$E492="",$F492=""),$K492&lt;&gt;"نعم",$M492="نعم"),0,MAX(0,MIN($F492,EOMONTH(DATE(cfg_FY,9,1),0))-MAX($E492,DATE(cfg_FY,9,1))+1))</f>
        <v>0</v>
      </c>
      <c r="BC492" s="57" t="n">
        <f aca="false">IF(OR(OR($B492="",$E492="",$F492=""),$K492&lt;&gt;"نعم",$M492="نعم"),0,MAX(0,MIN($F492,EOMONTH(DATE(cfg_FY,10,1),0))-MAX($E492,DATE(cfg_FY,10,1))+1))</f>
        <v>0</v>
      </c>
      <c r="BD492" s="57" t="n">
        <f aca="false">IF(OR(OR($B492="",$E492="",$F492=""),$K492&lt;&gt;"نعم",$M492="نعم"),0,MAX(0,MIN($F492,EOMONTH(DATE(cfg_FY,11,1),0))-MAX($E492,DATE(cfg_FY,11,1))+1))</f>
        <v>0</v>
      </c>
      <c r="BE492" s="57" t="n">
        <f aca="false">IF(OR(OR($B492="",$E492="",$F492=""),$K492&lt;&gt;"نعم",$M492="نعم"),0,MAX(0,MIN($F492,EOMONTH(DATE(cfg_FY,12,1),0))-MAX($E492,DATE(cfg_FY,12,1))+1))</f>
        <v>0</v>
      </c>
    </row>
    <row r="493" customFormat="false" ht="15" hidden="false" customHeight="false" outlineLevel="0" collapsed="false">
      <c r="A493" s="100" t="str">
        <f aca="false">IF(B493="","",ROW()-5)</f>
        <v/>
      </c>
      <c r="B493" s="79"/>
      <c r="C493" s="102" t="str">
        <f aca="false">IF(B493="","",IFERROR(INDEX(الموظفون!$C$6:$C$105,MATCH(B493,الموظفون!$B$6:$B$105,0)),"✖ رقم غير موجود"))</f>
        <v/>
      </c>
      <c r="D493" s="79"/>
      <c r="E493" s="94"/>
      <c r="F493" s="94"/>
      <c r="G493" s="110" t="str">
        <f aca="false">IF(OR($B493="",$E493="",$F493=""),"",MAX(0,F493-E493+1))</f>
        <v/>
      </c>
      <c r="H493" s="111" t="str">
        <f aca="false">IF(D493="","",IFERROR(VLOOKUP(D493,cfg_LT,2,FALSE()),1))</f>
        <v/>
      </c>
      <c r="I493" s="82"/>
      <c r="J493" s="111" t="str">
        <f aca="false">IF(D493="","",IF(I493&lt;&gt;"",I493,H493))</f>
        <v/>
      </c>
      <c r="K493" s="102" t="str">
        <f aca="false">IF(D493="","",IFERROR(VLOOKUP($D493,cfg_LT,3,FALSE()),""))</f>
        <v/>
      </c>
      <c r="L493" s="102" t="str">
        <f aca="false">IF(D493="","",IFERROR(VLOOKUP($D493,cfg_LT,4,FALSE()),""))</f>
        <v/>
      </c>
      <c r="M493" s="102" t="str">
        <f aca="false">IF(D493="","",IFERROR(VLOOKUP($D493,cfg_LT,5,FALSE()),""))</f>
        <v/>
      </c>
      <c r="N493" s="101" t="n">
        <f aca="false">IF(OR(OR($B493="",$E493="",$F493=""),M493&lt;&gt;"نعم"),0,G493*J493*IFERROR(INDEX(الموظفون!$R$6:$R$105,MATCH(B493,الموظفون!$B$6:$B$105,0)),0)/cfg_DAYS_M)</f>
        <v>0</v>
      </c>
      <c r="O493" s="100" t="str">
        <f aca="false">IF(OR(OR($B493="",$E493="",$F493=""),M493&lt;&gt;"نعم"),"",IF(YEAR(E493)=cfg_FY,MONTH(E493),""))</f>
        <v/>
      </c>
      <c r="P493" s="102" t="str">
        <f aca="false">IF(B493="","",IF(OR(D493="",E493="",F493=""),"⚠ أكمل النوع والتواريخ",IF(F493&lt;E493,"✖ النهاية قبل البداية",IF(COUNTIFS($B$6:$B$505,B493,$E$6:$E$505,"&lt;="&amp;F493,$F$6:$F$505,"&gt;="&amp;E493)&gt;1,"⚠ تداخل مع سجل آخر",IF(E493&gt;cfg_VAL_DATE,"⏳ قادمة",IF(F493&lt;cfg_VAL_DATE,"✔ منتهية","✈ جارية في تاريخ التقرير"))))))</f>
        <v/>
      </c>
      <c r="Q493" s="79"/>
      <c r="R493" s="110" t="n">
        <f aca="false">IF(OR(OR($B493="",$E493="",$F493=""),L493&lt;&gt;"لا"),0,MAX(0,MIN(F493,cfg_Y_START-1)-E493+1))</f>
        <v>0</v>
      </c>
      <c r="S493" s="110" t="n">
        <f aca="false">IF(OR(OR($B493="",$E493="",$F493=""),L493&lt;&gt;"لا"),0,MAX(0,MIN(F493,cfg_VAL_DATE)-E493+1))</f>
        <v>0</v>
      </c>
      <c r="T493" s="110" t="n">
        <f aca="false">IF(OR(OR($B493="",$E493="",$F493=""),K493&lt;&gt;"نعم"),0,IF(M493="نعم",IF(AND(ISNUMBER(O493),N(O493)&lt;=cfg_VAL_M),G493,0),MAX(0,MIN(F493,cfg_VAL_DATE)-MAX(E493,cfg_Y_START)+1)))</f>
        <v>0</v>
      </c>
      <c r="V493" s="110" t="n">
        <f aca="false">IF(OR($B493="",$E493="",$F493=""),0,MAX(0,MIN($F493,EOMONTH(DATE(cfg_FY,1,1),0))-MAX($E493,DATE(cfg_FY,1,1))+1)*(1-IF($M493="نعم",0,N($J493))))</f>
        <v>0</v>
      </c>
      <c r="W493" s="110" t="n">
        <f aca="false">IF(OR($B493="",$E493="",$F493=""),0,MAX(0,MIN($F493,EOMONTH(DATE(cfg_FY,2,1),0))-MAX($E493,DATE(cfg_FY,2,1))+1)*(1-IF($M493="نعم",0,N($J493))))</f>
        <v>0</v>
      </c>
      <c r="X493" s="110" t="n">
        <f aca="false">IF(OR($B493="",$E493="",$F493=""),0,MAX(0,MIN($F493,EOMONTH(DATE(cfg_FY,3,1),0))-MAX($E493,DATE(cfg_FY,3,1))+1)*(1-IF($M493="نعم",0,N($J493))))</f>
        <v>0</v>
      </c>
      <c r="Y493" s="110" t="n">
        <f aca="false">IF(OR($B493="",$E493="",$F493=""),0,MAX(0,MIN($F493,EOMONTH(DATE(cfg_FY,4,1),0))-MAX($E493,DATE(cfg_FY,4,1))+1)*(1-IF($M493="نعم",0,N($J493))))</f>
        <v>0</v>
      </c>
      <c r="Z493" s="110" t="n">
        <f aca="false">IF(OR($B493="",$E493="",$F493=""),0,MAX(0,MIN($F493,EOMONTH(DATE(cfg_FY,5,1),0))-MAX($E493,DATE(cfg_FY,5,1))+1)*(1-IF($M493="نعم",0,N($J493))))</f>
        <v>0</v>
      </c>
      <c r="AA493" s="110" t="n">
        <f aca="false">IF(OR($B493="",$E493="",$F493=""),0,MAX(0,MIN($F493,EOMONTH(DATE(cfg_FY,6,1),0))-MAX($E493,DATE(cfg_FY,6,1))+1)*(1-IF($M493="نعم",0,N($J493))))</f>
        <v>0</v>
      </c>
      <c r="AB493" s="110" t="n">
        <f aca="false">IF(OR($B493="",$E493="",$F493=""),0,MAX(0,MIN($F493,EOMONTH(DATE(cfg_FY,7,1),0))-MAX($E493,DATE(cfg_FY,7,1))+1)*(1-IF($M493="نعم",0,N($J493))))</f>
        <v>0</v>
      </c>
      <c r="AC493" s="110" t="n">
        <f aca="false">IF(OR($B493="",$E493="",$F493=""),0,MAX(0,MIN($F493,EOMONTH(DATE(cfg_FY,8,1),0))-MAX($E493,DATE(cfg_FY,8,1))+1)*(1-IF($M493="نعم",0,N($J493))))</f>
        <v>0</v>
      </c>
      <c r="AD493" s="110" t="n">
        <f aca="false">IF(OR($B493="",$E493="",$F493=""),0,MAX(0,MIN($F493,EOMONTH(DATE(cfg_FY,9,1),0))-MAX($E493,DATE(cfg_FY,9,1))+1)*(1-IF($M493="نعم",0,N($J493))))</f>
        <v>0</v>
      </c>
      <c r="AE493" s="110" t="n">
        <f aca="false">IF(OR($B493="",$E493="",$F493=""),0,MAX(0,MIN($F493,EOMONTH(DATE(cfg_FY,10,1),0))-MAX($E493,DATE(cfg_FY,10,1))+1)*(1-IF($M493="نعم",0,N($J493))))</f>
        <v>0</v>
      </c>
      <c r="AF493" s="110" t="n">
        <f aca="false">IF(OR($B493="",$E493="",$F493=""),0,MAX(0,MIN($F493,EOMONTH(DATE(cfg_FY,11,1),0))-MAX($E493,DATE(cfg_FY,11,1))+1)*(1-IF($M493="نعم",0,N($J493))))</f>
        <v>0</v>
      </c>
      <c r="AG493" s="110" t="n">
        <f aca="false">IF(OR($B493="",$E493="",$F493=""),0,MAX(0,MIN($F493,EOMONTH(DATE(cfg_FY,12,1),0))-MAX($E493,DATE(cfg_FY,12,1))+1)*(1-IF($M493="نعم",0,N($J493))))</f>
        <v>0</v>
      </c>
      <c r="AH493" s="110" t="n">
        <f aca="false">IF(OR(OR($B493="",$E493="",$F493=""),$L493&lt;&gt;"لا"),0,MAX(0,MIN($F493,EOMONTH(DATE(cfg_FY,1,1),0))-$E493+1))</f>
        <v>0</v>
      </c>
      <c r="AI493" s="110" t="n">
        <f aca="false">IF(OR(OR($B493="",$E493="",$F493=""),$L493&lt;&gt;"لا"),0,MAX(0,MIN($F493,EOMONTH(DATE(cfg_FY,2,1),0))-$E493+1))</f>
        <v>0</v>
      </c>
      <c r="AJ493" s="110" t="n">
        <f aca="false">IF(OR(OR($B493="",$E493="",$F493=""),$L493&lt;&gt;"لا"),0,MAX(0,MIN($F493,EOMONTH(DATE(cfg_FY,3,1),0))-$E493+1))</f>
        <v>0</v>
      </c>
      <c r="AK493" s="110" t="n">
        <f aca="false">IF(OR(OR($B493="",$E493="",$F493=""),$L493&lt;&gt;"لا"),0,MAX(0,MIN($F493,EOMONTH(DATE(cfg_FY,4,1),0))-$E493+1))</f>
        <v>0</v>
      </c>
      <c r="AL493" s="110" t="n">
        <f aca="false">IF(OR(OR($B493="",$E493="",$F493=""),$L493&lt;&gt;"لا"),0,MAX(0,MIN($F493,EOMONTH(DATE(cfg_FY,5,1),0))-$E493+1))</f>
        <v>0</v>
      </c>
      <c r="AM493" s="110" t="n">
        <f aca="false">IF(OR(OR($B493="",$E493="",$F493=""),$L493&lt;&gt;"لا"),0,MAX(0,MIN($F493,EOMONTH(DATE(cfg_FY,6,1),0))-$E493+1))</f>
        <v>0</v>
      </c>
      <c r="AN493" s="110" t="n">
        <f aca="false">IF(OR(OR($B493="",$E493="",$F493=""),$L493&lt;&gt;"لا"),0,MAX(0,MIN($F493,EOMONTH(DATE(cfg_FY,7,1),0))-$E493+1))</f>
        <v>0</v>
      </c>
      <c r="AO493" s="110" t="n">
        <f aca="false">IF(OR(OR($B493="",$E493="",$F493=""),$L493&lt;&gt;"لا"),0,MAX(0,MIN($F493,EOMONTH(DATE(cfg_FY,8,1),0))-$E493+1))</f>
        <v>0</v>
      </c>
      <c r="AP493" s="110" t="n">
        <f aca="false">IF(OR(OR($B493="",$E493="",$F493=""),$L493&lt;&gt;"لا"),0,MAX(0,MIN($F493,EOMONTH(DATE(cfg_FY,9,1),0))-$E493+1))</f>
        <v>0</v>
      </c>
      <c r="AQ493" s="110" t="n">
        <f aca="false">IF(OR(OR($B493="",$E493="",$F493=""),$L493&lt;&gt;"لا"),0,MAX(0,MIN($F493,EOMONTH(DATE(cfg_FY,10,1),0))-$E493+1))</f>
        <v>0</v>
      </c>
      <c r="AR493" s="110" t="n">
        <f aca="false">IF(OR(OR($B493="",$E493="",$F493=""),$L493&lt;&gt;"لا"),0,MAX(0,MIN($F493,EOMONTH(DATE(cfg_FY,11,1),0))-$E493+1))</f>
        <v>0</v>
      </c>
      <c r="AS493" s="110" t="n">
        <f aca="false">IF(OR(OR($B493="",$E493="",$F493=""),$L493&lt;&gt;"لا"),0,MAX(0,MIN($F493,EOMONTH(DATE(cfg_FY,12,1),0))-$E493+1))</f>
        <v>0</v>
      </c>
      <c r="AT493" s="110" t="n">
        <f aca="false">IF(OR(OR($B493="",$E493="",$F493=""),$K493&lt;&gt;"نعم",$M493="نعم"),0,MAX(0,MIN($F493,EOMONTH(DATE(cfg_FY,1,1),0))-MAX($E493,DATE(cfg_FY,1,1))+1))</f>
        <v>0</v>
      </c>
      <c r="AU493" s="110" t="n">
        <f aca="false">IF(OR(OR($B493="",$E493="",$F493=""),$K493&lt;&gt;"نعم",$M493="نعم"),0,MAX(0,MIN($F493,EOMONTH(DATE(cfg_FY,2,1),0))-MAX($E493,DATE(cfg_FY,2,1))+1))</f>
        <v>0</v>
      </c>
      <c r="AV493" s="110" t="n">
        <f aca="false">IF(OR(OR($B493="",$E493="",$F493=""),$K493&lt;&gt;"نعم",$M493="نعم"),0,MAX(0,MIN($F493,EOMONTH(DATE(cfg_FY,3,1),0))-MAX($E493,DATE(cfg_FY,3,1))+1))</f>
        <v>0</v>
      </c>
      <c r="AW493" s="110" t="n">
        <f aca="false">IF(OR(OR($B493="",$E493="",$F493=""),$K493&lt;&gt;"نعم",$M493="نعم"),0,MAX(0,MIN($F493,EOMONTH(DATE(cfg_FY,4,1),0))-MAX($E493,DATE(cfg_FY,4,1))+1))</f>
        <v>0</v>
      </c>
      <c r="AX493" s="110" t="n">
        <f aca="false">IF(OR(OR($B493="",$E493="",$F493=""),$K493&lt;&gt;"نعم",$M493="نعم"),0,MAX(0,MIN($F493,EOMONTH(DATE(cfg_FY,5,1),0))-MAX($E493,DATE(cfg_FY,5,1))+1))</f>
        <v>0</v>
      </c>
      <c r="AY493" s="110" t="n">
        <f aca="false">IF(OR(OR($B493="",$E493="",$F493=""),$K493&lt;&gt;"نعم",$M493="نعم"),0,MAX(0,MIN($F493,EOMONTH(DATE(cfg_FY,6,1),0))-MAX($E493,DATE(cfg_FY,6,1))+1))</f>
        <v>0</v>
      </c>
      <c r="AZ493" s="110" t="n">
        <f aca="false">IF(OR(OR($B493="",$E493="",$F493=""),$K493&lt;&gt;"نعم",$M493="نعم"),0,MAX(0,MIN($F493,EOMONTH(DATE(cfg_FY,7,1),0))-MAX($E493,DATE(cfg_FY,7,1))+1))</f>
        <v>0</v>
      </c>
      <c r="BA493" s="110" t="n">
        <f aca="false">IF(OR(OR($B493="",$E493="",$F493=""),$K493&lt;&gt;"نعم",$M493="نعم"),0,MAX(0,MIN($F493,EOMONTH(DATE(cfg_FY,8,1),0))-MAX($E493,DATE(cfg_FY,8,1))+1))</f>
        <v>0</v>
      </c>
      <c r="BB493" s="110" t="n">
        <f aca="false">IF(OR(OR($B493="",$E493="",$F493=""),$K493&lt;&gt;"نعم",$M493="نعم"),0,MAX(0,MIN($F493,EOMONTH(DATE(cfg_FY,9,1),0))-MAX($E493,DATE(cfg_FY,9,1))+1))</f>
        <v>0</v>
      </c>
      <c r="BC493" s="110" t="n">
        <f aca="false">IF(OR(OR($B493="",$E493="",$F493=""),$K493&lt;&gt;"نعم",$M493="نعم"),0,MAX(0,MIN($F493,EOMONTH(DATE(cfg_FY,10,1),0))-MAX($E493,DATE(cfg_FY,10,1))+1))</f>
        <v>0</v>
      </c>
      <c r="BD493" s="110" t="n">
        <f aca="false">IF(OR(OR($B493="",$E493="",$F493=""),$K493&lt;&gt;"نعم",$M493="نعم"),0,MAX(0,MIN($F493,EOMONTH(DATE(cfg_FY,11,1),0))-MAX($E493,DATE(cfg_FY,11,1))+1))</f>
        <v>0</v>
      </c>
      <c r="BE493" s="110" t="n">
        <f aca="false">IF(OR(OR($B493="",$E493="",$F493=""),$K493&lt;&gt;"نعم",$M493="نعم"),0,MAX(0,MIN($F493,EOMONTH(DATE(cfg_FY,12,1),0))-MAX($E493,DATE(cfg_FY,12,1))+1))</f>
        <v>0</v>
      </c>
    </row>
    <row r="494" customFormat="false" ht="15" hidden="false" customHeight="false" outlineLevel="0" collapsed="false">
      <c r="A494" s="93" t="str">
        <f aca="false">IF(B494="","",ROW()-5)</f>
        <v/>
      </c>
      <c r="B494" s="79"/>
      <c r="C494" s="80" t="str">
        <f aca="false">IF(B494="","",IFERROR(INDEX(الموظفون!$C$6:$C$105,MATCH(B494,الموظفون!$B$6:$B$105,0)),"✖ رقم غير موجود"))</f>
        <v/>
      </c>
      <c r="D494" s="79"/>
      <c r="E494" s="94"/>
      <c r="F494" s="94"/>
      <c r="G494" s="57" t="str">
        <f aca="false">IF(OR($B494="",$E494="",$F494=""),"",MAX(0,F494-E494+1))</f>
        <v/>
      </c>
      <c r="H494" s="58" t="str">
        <f aca="false">IF(D494="","",IFERROR(VLOOKUP(D494,cfg_LT,2,FALSE()),1))</f>
        <v/>
      </c>
      <c r="I494" s="82"/>
      <c r="J494" s="58" t="str">
        <f aca="false">IF(D494="","",IF(I494&lt;&gt;"",I494,H494))</f>
        <v/>
      </c>
      <c r="K494" s="80" t="str">
        <f aca="false">IF(D494="","",IFERROR(VLOOKUP($D494,cfg_LT,3,FALSE()),""))</f>
        <v/>
      </c>
      <c r="L494" s="80" t="str">
        <f aca="false">IF(D494="","",IFERROR(VLOOKUP($D494,cfg_LT,4,FALSE()),""))</f>
        <v/>
      </c>
      <c r="M494" s="80" t="str">
        <f aca="false">IF(D494="","",IFERROR(VLOOKUP($D494,cfg_LT,5,FALSE()),""))</f>
        <v/>
      </c>
      <c r="N494" s="97" t="n">
        <f aca="false">IF(OR(OR($B494="",$E494="",$F494=""),M494&lt;&gt;"نعم"),0,G494*J494*IFERROR(INDEX(الموظفون!$R$6:$R$105,MATCH(B494,الموظفون!$B$6:$B$105,0)),0)/cfg_DAYS_M)</f>
        <v>0</v>
      </c>
      <c r="O494" s="93" t="str">
        <f aca="false">IF(OR(OR($B494="",$E494="",$F494=""),M494&lt;&gt;"نعم"),"",IF(YEAR(E494)=cfg_FY,MONTH(E494),""))</f>
        <v/>
      </c>
      <c r="P494" s="80" t="str">
        <f aca="false">IF(B494="","",IF(OR(D494="",E494="",F494=""),"⚠ أكمل النوع والتواريخ",IF(F494&lt;E494,"✖ النهاية قبل البداية",IF(COUNTIFS($B$6:$B$505,B494,$E$6:$E$505,"&lt;="&amp;F494,$F$6:$F$505,"&gt;="&amp;E494)&gt;1,"⚠ تداخل مع سجل آخر",IF(E494&gt;cfg_VAL_DATE,"⏳ قادمة",IF(F494&lt;cfg_VAL_DATE,"✔ منتهية","✈ جارية في تاريخ التقرير"))))))</f>
        <v/>
      </c>
      <c r="Q494" s="79"/>
      <c r="R494" s="57" t="n">
        <f aca="false">IF(OR(OR($B494="",$E494="",$F494=""),L494&lt;&gt;"لا"),0,MAX(0,MIN(F494,cfg_Y_START-1)-E494+1))</f>
        <v>0</v>
      </c>
      <c r="S494" s="57" t="n">
        <f aca="false">IF(OR(OR($B494="",$E494="",$F494=""),L494&lt;&gt;"لا"),0,MAX(0,MIN(F494,cfg_VAL_DATE)-E494+1))</f>
        <v>0</v>
      </c>
      <c r="T494" s="57" t="n">
        <f aca="false">IF(OR(OR($B494="",$E494="",$F494=""),K494&lt;&gt;"نعم"),0,IF(M494="نعم",IF(AND(ISNUMBER(O494),N(O494)&lt;=cfg_VAL_M),G494,0),MAX(0,MIN(F494,cfg_VAL_DATE)-MAX(E494,cfg_Y_START)+1)))</f>
        <v>0</v>
      </c>
      <c r="V494" s="57" t="n">
        <f aca="false">IF(OR($B494="",$E494="",$F494=""),0,MAX(0,MIN($F494,EOMONTH(DATE(cfg_FY,1,1),0))-MAX($E494,DATE(cfg_FY,1,1))+1)*(1-IF($M494="نعم",0,N($J494))))</f>
        <v>0</v>
      </c>
      <c r="W494" s="57" t="n">
        <f aca="false">IF(OR($B494="",$E494="",$F494=""),0,MAX(0,MIN($F494,EOMONTH(DATE(cfg_FY,2,1),0))-MAX($E494,DATE(cfg_FY,2,1))+1)*(1-IF($M494="نعم",0,N($J494))))</f>
        <v>0</v>
      </c>
      <c r="X494" s="57" t="n">
        <f aca="false">IF(OR($B494="",$E494="",$F494=""),0,MAX(0,MIN($F494,EOMONTH(DATE(cfg_FY,3,1),0))-MAX($E494,DATE(cfg_FY,3,1))+1)*(1-IF($M494="نعم",0,N($J494))))</f>
        <v>0</v>
      </c>
      <c r="Y494" s="57" t="n">
        <f aca="false">IF(OR($B494="",$E494="",$F494=""),0,MAX(0,MIN($F494,EOMONTH(DATE(cfg_FY,4,1),0))-MAX($E494,DATE(cfg_FY,4,1))+1)*(1-IF($M494="نعم",0,N($J494))))</f>
        <v>0</v>
      </c>
      <c r="Z494" s="57" t="n">
        <f aca="false">IF(OR($B494="",$E494="",$F494=""),0,MAX(0,MIN($F494,EOMONTH(DATE(cfg_FY,5,1),0))-MAX($E494,DATE(cfg_FY,5,1))+1)*(1-IF($M494="نعم",0,N($J494))))</f>
        <v>0</v>
      </c>
      <c r="AA494" s="57" t="n">
        <f aca="false">IF(OR($B494="",$E494="",$F494=""),0,MAX(0,MIN($F494,EOMONTH(DATE(cfg_FY,6,1),0))-MAX($E494,DATE(cfg_FY,6,1))+1)*(1-IF($M494="نعم",0,N($J494))))</f>
        <v>0</v>
      </c>
      <c r="AB494" s="57" t="n">
        <f aca="false">IF(OR($B494="",$E494="",$F494=""),0,MAX(0,MIN($F494,EOMONTH(DATE(cfg_FY,7,1),0))-MAX($E494,DATE(cfg_FY,7,1))+1)*(1-IF($M494="نعم",0,N($J494))))</f>
        <v>0</v>
      </c>
      <c r="AC494" s="57" t="n">
        <f aca="false">IF(OR($B494="",$E494="",$F494=""),0,MAX(0,MIN($F494,EOMONTH(DATE(cfg_FY,8,1),0))-MAX($E494,DATE(cfg_FY,8,1))+1)*(1-IF($M494="نعم",0,N($J494))))</f>
        <v>0</v>
      </c>
      <c r="AD494" s="57" t="n">
        <f aca="false">IF(OR($B494="",$E494="",$F494=""),0,MAX(0,MIN($F494,EOMONTH(DATE(cfg_FY,9,1),0))-MAX($E494,DATE(cfg_FY,9,1))+1)*(1-IF($M494="نعم",0,N($J494))))</f>
        <v>0</v>
      </c>
      <c r="AE494" s="57" t="n">
        <f aca="false">IF(OR($B494="",$E494="",$F494=""),0,MAX(0,MIN($F494,EOMONTH(DATE(cfg_FY,10,1),0))-MAX($E494,DATE(cfg_FY,10,1))+1)*(1-IF($M494="نعم",0,N($J494))))</f>
        <v>0</v>
      </c>
      <c r="AF494" s="57" t="n">
        <f aca="false">IF(OR($B494="",$E494="",$F494=""),0,MAX(0,MIN($F494,EOMONTH(DATE(cfg_FY,11,1),0))-MAX($E494,DATE(cfg_FY,11,1))+1)*(1-IF($M494="نعم",0,N($J494))))</f>
        <v>0</v>
      </c>
      <c r="AG494" s="57" t="n">
        <f aca="false">IF(OR($B494="",$E494="",$F494=""),0,MAX(0,MIN($F494,EOMONTH(DATE(cfg_FY,12,1),0))-MAX($E494,DATE(cfg_FY,12,1))+1)*(1-IF($M494="نعم",0,N($J494))))</f>
        <v>0</v>
      </c>
      <c r="AH494" s="57" t="n">
        <f aca="false">IF(OR(OR($B494="",$E494="",$F494=""),$L494&lt;&gt;"لا"),0,MAX(0,MIN($F494,EOMONTH(DATE(cfg_FY,1,1),0))-$E494+1))</f>
        <v>0</v>
      </c>
      <c r="AI494" s="57" t="n">
        <f aca="false">IF(OR(OR($B494="",$E494="",$F494=""),$L494&lt;&gt;"لا"),0,MAX(0,MIN($F494,EOMONTH(DATE(cfg_FY,2,1),0))-$E494+1))</f>
        <v>0</v>
      </c>
      <c r="AJ494" s="57" t="n">
        <f aca="false">IF(OR(OR($B494="",$E494="",$F494=""),$L494&lt;&gt;"لا"),0,MAX(0,MIN($F494,EOMONTH(DATE(cfg_FY,3,1),0))-$E494+1))</f>
        <v>0</v>
      </c>
      <c r="AK494" s="57" t="n">
        <f aca="false">IF(OR(OR($B494="",$E494="",$F494=""),$L494&lt;&gt;"لا"),0,MAX(0,MIN($F494,EOMONTH(DATE(cfg_FY,4,1),0))-$E494+1))</f>
        <v>0</v>
      </c>
      <c r="AL494" s="57" t="n">
        <f aca="false">IF(OR(OR($B494="",$E494="",$F494=""),$L494&lt;&gt;"لا"),0,MAX(0,MIN($F494,EOMONTH(DATE(cfg_FY,5,1),0))-$E494+1))</f>
        <v>0</v>
      </c>
      <c r="AM494" s="57" t="n">
        <f aca="false">IF(OR(OR($B494="",$E494="",$F494=""),$L494&lt;&gt;"لا"),0,MAX(0,MIN($F494,EOMONTH(DATE(cfg_FY,6,1),0))-$E494+1))</f>
        <v>0</v>
      </c>
      <c r="AN494" s="57" t="n">
        <f aca="false">IF(OR(OR($B494="",$E494="",$F494=""),$L494&lt;&gt;"لا"),0,MAX(0,MIN($F494,EOMONTH(DATE(cfg_FY,7,1),0))-$E494+1))</f>
        <v>0</v>
      </c>
      <c r="AO494" s="57" t="n">
        <f aca="false">IF(OR(OR($B494="",$E494="",$F494=""),$L494&lt;&gt;"لا"),0,MAX(0,MIN($F494,EOMONTH(DATE(cfg_FY,8,1),0))-$E494+1))</f>
        <v>0</v>
      </c>
      <c r="AP494" s="57" t="n">
        <f aca="false">IF(OR(OR($B494="",$E494="",$F494=""),$L494&lt;&gt;"لا"),0,MAX(0,MIN($F494,EOMONTH(DATE(cfg_FY,9,1),0))-$E494+1))</f>
        <v>0</v>
      </c>
      <c r="AQ494" s="57" t="n">
        <f aca="false">IF(OR(OR($B494="",$E494="",$F494=""),$L494&lt;&gt;"لا"),0,MAX(0,MIN($F494,EOMONTH(DATE(cfg_FY,10,1),0))-$E494+1))</f>
        <v>0</v>
      </c>
      <c r="AR494" s="57" t="n">
        <f aca="false">IF(OR(OR($B494="",$E494="",$F494=""),$L494&lt;&gt;"لا"),0,MAX(0,MIN($F494,EOMONTH(DATE(cfg_FY,11,1),0))-$E494+1))</f>
        <v>0</v>
      </c>
      <c r="AS494" s="57" t="n">
        <f aca="false">IF(OR(OR($B494="",$E494="",$F494=""),$L494&lt;&gt;"لا"),0,MAX(0,MIN($F494,EOMONTH(DATE(cfg_FY,12,1),0))-$E494+1))</f>
        <v>0</v>
      </c>
      <c r="AT494" s="57" t="n">
        <f aca="false">IF(OR(OR($B494="",$E494="",$F494=""),$K494&lt;&gt;"نعم",$M494="نعم"),0,MAX(0,MIN($F494,EOMONTH(DATE(cfg_FY,1,1),0))-MAX($E494,DATE(cfg_FY,1,1))+1))</f>
        <v>0</v>
      </c>
      <c r="AU494" s="57" t="n">
        <f aca="false">IF(OR(OR($B494="",$E494="",$F494=""),$K494&lt;&gt;"نعم",$M494="نعم"),0,MAX(0,MIN($F494,EOMONTH(DATE(cfg_FY,2,1),0))-MAX($E494,DATE(cfg_FY,2,1))+1))</f>
        <v>0</v>
      </c>
      <c r="AV494" s="57" t="n">
        <f aca="false">IF(OR(OR($B494="",$E494="",$F494=""),$K494&lt;&gt;"نعم",$M494="نعم"),0,MAX(0,MIN($F494,EOMONTH(DATE(cfg_FY,3,1),0))-MAX($E494,DATE(cfg_FY,3,1))+1))</f>
        <v>0</v>
      </c>
      <c r="AW494" s="57" t="n">
        <f aca="false">IF(OR(OR($B494="",$E494="",$F494=""),$K494&lt;&gt;"نعم",$M494="نعم"),0,MAX(0,MIN($F494,EOMONTH(DATE(cfg_FY,4,1),0))-MAX($E494,DATE(cfg_FY,4,1))+1))</f>
        <v>0</v>
      </c>
      <c r="AX494" s="57" t="n">
        <f aca="false">IF(OR(OR($B494="",$E494="",$F494=""),$K494&lt;&gt;"نعم",$M494="نعم"),0,MAX(0,MIN($F494,EOMONTH(DATE(cfg_FY,5,1),0))-MAX($E494,DATE(cfg_FY,5,1))+1))</f>
        <v>0</v>
      </c>
      <c r="AY494" s="57" t="n">
        <f aca="false">IF(OR(OR($B494="",$E494="",$F494=""),$K494&lt;&gt;"نعم",$M494="نعم"),0,MAX(0,MIN($F494,EOMONTH(DATE(cfg_FY,6,1),0))-MAX($E494,DATE(cfg_FY,6,1))+1))</f>
        <v>0</v>
      </c>
      <c r="AZ494" s="57" t="n">
        <f aca="false">IF(OR(OR($B494="",$E494="",$F494=""),$K494&lt;&gt;"نعم",$M494="نعم"),0,MAX(0,MIN($F494,EOMONTH(DATE(cfg_FY,7,1),0))-MAX($E494,DATE(cfg_FY,7,1))+1))</f>
        <v>0</v>
      </c>
      <c r="BA494" s="57" t="n">
        <f aca="false">IF(OR(OR($B494="",$E494="",$F494=""),$K494&lt;&gt;"نعم",$M494="نعم"),0,MAX(0,MIN($F494,EOMONTH(DATE(cfg_FY,8,1),0))-MAX($E494,DATE(cfg_FY,8,1))+1))</f>
        <v>0</v>
      </c>
      <c r="BB494" s="57" t="n">
        <f aca="false">IF(OR(OR($B494="",$E494="",$F494=""),$K494&lt;&gt;"نعم",$M494="نعم"),0,MAX(0,MIN($F494,EOMONTH(DATE(cfg_FY,9,1),0))-MAX($E494,DATE(cfg_FY,9,1))+1))</f>
        <v>0</v>
      </c>
      <c r="BC494" s="57" t="n">
        <f aca="false">IF(OR(OR($B494="",$E494="",$F494=""),$K494&lt;&gt;"نعم",$M494="نعم"),0,MAX(0,MIN($F494,EOMONTH(DATE(cfg_FY,10,1),0))-MAX($E494,DATE(cfg_FY,10,1))+1))</f>
        <v>0</v>
      </c>
      <c r="BD494" s="57" t="n">
        <f aca="false">IF(OR(OR($B494="",$E494="",$F494=""),$K494&lt;&gt;"نعم",$M494="نعم"),0,MAX(0,MIN($F494,EOMONTH(DATE(cfg_FY,11,1),0))-MAX($E494,DATE(cfg_FY,11,1))+1))</f>
        <v>0</v>
      </c>
      <c r="BE494" s="57" t="n">
        <f aca="false">IF(OR(OR($B494="",$E494="",$F494=""),$K494&lt;&gt;"نعم",$M494="نعم"),0,MAX(0,MIN($F494,EOMONTH(DATE(cfg_FY,12,1),0))-MAX($E494,DATE(cfg_FY,12,1))+1))</f>
        <v>0</v>
      </c>
    </row>
    <row r="495" customFormat="false" ht="15" hidden="false" customHeight="false" outlineLevel="0" collapsed="false">
      <c r="A495" s="100" t="str">
        <f aca="false">IF(B495="","",ROW()-5)</f>
        <v/>
      </c>
      <c r="B495" s="79"/>
      <c r="C495" s="102" t="str">
        <f aca="false">IF(B495="","",IFERROR(INDEX(الموظفون!$C$6:$C$105,MATCH(B495,الموظفون!$B$6:$B$105,0)),"✖ رقم غير موجود"))</f>
        <v/>
      </c>
      <c r="D495" s="79"/>
      <c r="E495" s="94"/>
      <c r="F495" s="94"/>
      <c r="G495" s="110" t="str">
        <f aca="false">IF(OR($B495="",$E495="",$F495=""),"",MAX(0,F495-E495+1))</f>
        <v/>
      </c>
      <c r="H495" s="111" t="str">
        <f aca="false">IF(D495="","",IFERROR(VLOOKUP(D495,cfg_LT,2,FALSE()),1))</f>
        <v/>
      </c>
      <c r="I495" s="82"/>
      <c r="J495" s="111" t="str">
        <f aca="false">IF(D495="","",IF(I495&lt;&gt;"",I495,H495))</f>
        <v/>
      </c>
      <c r="K495" s="102" t="str">
        <f aca="false">IF(D495="","",IFERROR(VLOOKUP($D495,cfg_LT,3,FALSE()),""))</f>
        <v/>
      </c>
      <c r="L495" s="102" t="str">
        <f aca="false">IF(D495="","",IFERROR(VLOOKUP($D495,cfg_LT,4,FALSE()),""))</f>
        <v/>
      </c>
      <c r="M495" s="102" t="str">
        <f aca="false">IF(D495="","",IFERROR(VLOOKUP($D495,cfg_LT,5,FALSE()),""))</f>
        <v/>
      </c>
      <c r="N495" s="101" t="n">
        <f aca="false">IF(OR(OR($B495="",$E495="",$F495=""),M495&lt;&gt;"نعم"),0,G495*J495*IFERROR(INDEX(الموظفون!$R$6:$R$105,MATCH(B495,الموظفون!$B$6:$B$105,0)),0)/cfg_DAYS_M)</f>
        <v>0</v>
      </c>
      <c r="O495" s="100" t="str">
        <f aca="false">IF(OR(OR($B495="",$E495="",$F495=""),M495&lt;&gt;"نعم"),"",IF(YEAR(E495)=cfg_FY,MONTH(E495),""))</f>
        <v/>
      </c>
      <c r="P495" s="102" t="str">
        <f aca="false">IF(B495="","",IF(OR(D495="",E495="",F495=""),"⚠ أكمل النوع والتواريخ",IF(F495&lt;E495,"✖ النهاية قبل البداية",IF(COUNTIFS($B$6:$B$505,B495,$E$6:$E$505,"&lt;="&amp;F495,$F$6:$F$505,"&gt;="&amp;E495)&gt;1,"⚠ تداخل مع سجل آخر",IF(E495&gt;cfg_VAL_DATE,"⏳ قادمة",IF(F495&lt;cfg_VAL_DATE,"✔ منتهية","✈ جارية في تاريخ التقرير"))))))</f>
        <v/>
      </c>
      <c r="Q495" s="79"/>
      <c r="R495" s="110" t="n">
        <f aca="false">IF(OR(OR($B495="",$E495="",$F495=""),L495&lt;&gt;"لا"),0,MAX(0,MIN(F495,cfg_Y_START-1)-E495+1))</f>
        <v>0</v>
      </c>
      <c r="S495" s="110" t="n">
        <f aca="false">IF(OR(OR($B495="",$E495="",$F495=""),L495&lt;&gt;"لا"),0,MAX(0,MIN(F495,cfg_VAL_DATE)-E495+1))</f>
        <v>0</v>
      </c>
      <c r="T495" s="110" t="n">
        <f aca="false">IF(OR(OR($B495="",$E495="",$F495=""),K495&lt;&gt;"نعم"),0,IF(M495="نعم",IF(AND(ISNUMBER(O495),N(O495)&lt;=cfg_VAL_M),G495,0),MAX(0,MIN(F495,cfg_VAL_DATE)-MAX(E495,cfg_Y_START)+1)))</f>
        <v>0</v>
      </c>
      <c r="V495" s="110" t="n">
        <f aca="false">IF(OR($B495="",$E495="",$F495=""),0,MAX(0,MIN($F495,EOMONTH(DATE(cfg_FY,1,1),0))-MAX($E495,DATE(cfg_FY,1,1))+1)*(1-IF($M495="نعم",0,N($J495))))</f>
        <v>0</v>
      </c>
      <c r="W495" s="110" t="n">
        <f aca="false">IF(OR($B495="",$E495="",$F495=""),0,MAX(0,MIN($F495,EOMONTH(DATE(cfg_FY,2,1),0))-MAX($E495,DATE(cfg_FY,2,1))+1)*(1-IF($M495="نعم",0,N($J495))))</f>
        <v>0</v>
      </c>
      <c r="X495" s="110" t="n">
        <f aca="false">IF(OR($B495="",$E495="",$F495=""),0,MAX(0,MIN($F495,EOMONTH(DATE(cfg_FY,3,1),0))-MAX($E495,DATE(cfg_FY,3,1))+1)*(1-IF($M495="نعم",0,N($J495))))</f>
        <v>0</v>
      </c>
      <c r="Y495" s="110" t="n">
        <f aca="false">IF(OR($B495="",$E495="",$F495=""),0,MAX(0,MIN($F495,EOMONTH(DATE(cfg_FY,4,1),0))-MAX($E495,DATE(cfg_FY,4,1))+1)*(1-IF($M495="نعم",0,N($J495))))</f>
        <v>0</v>
      </c>
      <c r="Z495" s="110" t="n">
        <f aca="false">IF(OR($B495="",$E495="",$F495=""),0,MAX(0,MIN($F495,EOMONTH(DATE(cfg_FY,5,1),0))-MAX($E495,DATE(cfg_FY,5,1))+1)*(1-IF($M495="نعم",0,N($J495))))</f>
        <v>0</v>
      </c>
      <c r="AA495" s="110" t="n">
        <f aca="false">IF(OR($B495="",$E495="",$F495=""),0,MAX(0,MIN($F495,EOMONTH(DATE(cfg_FY,6,1),0))-MAX($E495,DATE(cfg_FY,6,1))+1)*(1-IF($M495="نعم",0,N($J495))))</f>
        <v>0</v>
      </c>
      <c r="AB495" s="110" t="n">
        <f aca="false">IF(OR($B495="",$E495="",$F495=""),0,MAX(0,MIN($F495,EOMONTH(DATE(cfg_FY,7,1),0))-MAX($E495,DATE(cfg_FY,7,1))+1)*(1-IF($M495="نعم",0,N($J495))))</f>
        <v>0</v>
      </c>
      <c r="AC495" s="110" t="n">
        <f aca="false">IF(OR($B495="",$E495="",$F495=""),0,MAX(0,MIN($F495,EOMONTH(DATE(cfg_FY,8,1),0))-MAX($E495,DATE(cfg_FY,8,1))+1)*(1-IF($M495="نعم",0,N($J495))))</f>
        <v>0</v>
      </c>
      <c r="AD495" s="110" t="n">
        <f aca="false">IF(OR($B495="",$E495="",$F495=""),0,MAX(0,MIN($F495,EOMONTH(DATE(cfg_FY,9,1),0))-MAX($E495,DATE(cfg_FY,9,1))+1)*(1-IF($M495="نعم",0,N($J495))))</f>
        <v>0</v>
      </c>
      <c r="AE495" s="110" t="n">
        <f aca="false">IF(OR($B495="",$E495="",$F495=""),0,MAX(0,MIN($F495,EOMONTH(DATE(cfg_FY,10,1),0))-MAX($E495,DATE(cfg_FY,10,1))+1)*(1-IF($M495="نعم",0,N($J495))))</f>
        <v>0</v>
      </c>
      <c r="AF495" s="110" t="n">
        <f aca="false">IF(OR($B495="",$E495="",$F495=""),0,MAX(0,MIN($F495,EOMONTH(DATE(cfg_FY,11,1),0))-MAX($E495,DATE(cfg_FY,11,1))+1)*(1-IF($M495="نعم",0,N($J495))))</f>
        <v>0</v>
      </c>
      <c r="AG495" s="110" t="n">
        <f aca="false">IF(OR($B495="",$E495="",$F495=""),0,MAX(0,MIN($F495,EOMONTH(DATE(cfg_FY,12,1),0))-MAX($E495,DATE(cfg_FY,12,1))+1)*(1-IF($M495="نعم",0,N($J495))))</f>
        <v>0</v>
      </c>
      <c r="AH495" s="110" t="n">
        <f aca="false">IF(OR(OR($B495="",$E495="",$F495=""),$L495&lt;&gt;"لا"),0,MAX(0,MIN($F495,EOMONTH(DATE(cfg_FY,1,1),0))-$E495+1))</f>
        <v>0</v>
      </c>
      <c r="AI495" s="110" t="n">
        <f aca="false">IF(OR(OR($B495="",$E495="",$F495=""),$L495&lt;&gt;"لا"),0,MAX(0,MIN($F495,EOMONTH(DATE(cfg_FY,2,1),0))-$E495+1))</f>
        <v>0</v>
      </c>
      <c r="AJ495" s="110" t="n">
        <f aca="false">IF(OR(OR($B495="",$E495="",$F495=""),$L495&lt;&gt;"لا"),0,MAX(0,MIN($F495,EOMONTH(DATE(cfg_FY,3,1),0))-$E495+1))</f>
        <v>0</v>
      </c>
      <c r="AK495" s="110" t="n">
        <f aca="false">IF(OR(OR($B495="",$E495="",$F495=""),$L495&lt;&gt;"لا"),0,MAX(0,MIN($F495,EOMONTH(DATE(cfg_FY,4,1),0))-$E495+1))</f>
        <v>0</v>
      </c>
      <c r="AL495" s="110" t="n">
        <f aca="false">IF(OR(OR($B495="",$E495="",$F495=""),$L495&lt;&gt;"لا"),0,MAX(0,MIN($F495,EOMONTH(DATE(cfg_FY,5,1),0))-$E495+1))</f>
        <v>0</v>
      </c>
      <c r="AM495" s="110" t="n">
        <f aca="false">IF(OR(OR($B495="",$E495="",$F495=""),$L495&lt;&gt;"لا"),0,MAX(0,MIN($F495,EOMONTH(DATE(cfg_FY,6,1),0))-$E495+1))</f>
        <v>0</v>
      </c>
      <c r="AN495" s="110" t="n">
        <f aca="false">IF(OR(OR($B495="",$E495="",$F495=""),$L495&lt;&gt;"لا"),0,MAX(0,MIN($F495,EOMONTH(DATE(cfg_FY,7,1),0))-$E495+1))</f>
        <v>0</v>
      </c>
      <c r="AO495" s="110" t="n">
        <f aca="false">IF(OR(OR($B495="",$E495="",$F495=""),$L495&lt;&gt;"لا"),0,MAX(0,MIN($F495,EOMONTH(DATE(cfg_FY,8,1),0))-$E495+1))</f>
        <v>0</v>
      </c>
      <c r="AP495" s="110" t="n">
        <f aca="false">IF(OR(OR($B495="",$E495="",$F495=""),$L495&lt;&gt;"لا"),0,MAX(0,MIN($F495,EOMONTH(DATE(cfg_FY,9,1),0))-$E495+1))</f>
        <v>0</v>
      </c>
      <c r="AQ495" s="110" t="n">
        <f aca="false">IF(OR(OR($B495="",$E495="",$F495=""),$L495&lt;&gt;"لا"),0,MAX(0,MIN($F495,EOMONTH(DATE(cfg_FY,10,1),0))-$E495+1))</f>
        <v>0</v>
      </c>
      <c r="AR495" s="110" t="n">
        <f aca="false">IF(OR(OR($B495="",$E495="",$F495=""),$L495&lt;&gt;"لا"),0,MAX(0,MIN($F495,EOMONTH(DATE(cfg_FY,11,1),0))-$E495+1))</f>
        <v>0</v>
      </c>
      <c r="AS495" s="110" t="n">
        <f aca="false">IF(OR(OR($B495="",$E495="",$F495=""),$L495&lt;&gt;"لا"),0,MAX(0,MIN($F495,EOMONTH(DATE(cfg_FY,12,1),0))-$E495+1))</f>
        <v>0</v>
      </c>
      <c r="AT495" s="110" t="n">
        <f aca="false">IF(OR(OR($B495="",$E495="",$F495=""),$K495&lt;&gt;"نعم",$M495="نعم"),0,MAX(0,MIN($F495,EOMONTH(DATE(cfg_FY,1,1),0))-MAX($E495,DATE(cfg_FY,1,1))+1))</f>
        <v>0</v>
      </c>
      <c r="AU495" s="110" t="n">
        <f aca="false">IF(OR(OR($B495="",$E495="",$F495=""),$K495&lt;&gt;"نعم",$M495="نعم"),0,MAX(0,MIN($F495,EOMONTH(DATE(cfg_FY,2,1),0))-MAX($E495,DATE(cfg_FY,2,1))+1))</f>
        <v>0</v>
      </c>
      <c r="AV495" s="110" t="n">
        <f aca="false">IF(OR(OR($B495="",$E495="",$F495=""),$K495&lt;&gt;"نعم",$M495="نعم"),0,MAX(0,MIN($F495,EOMONTH(DATE(cfg_FY,3,1),0))-MAX($E495,DATE(cfg_FY,3,1))+1))</f>
        <v>0</v>
      </c>
      <c r="AW495" s="110" t="n">
        <f aca="false">IF(OR(OR($B495="",$E495="",$F495=""),$K495&lt;&gt;"نعم",$M495="نعم"),0,MAX(0,MIN($F495,EOMONTH(DATE(cfg_FY,4,1),0))-MAX($E495,DATE(cfg_FY,4,1))+1))</f>
        <v>0</v>
      </c>
      <c r="AX495" s="110" t="n">
        <f aca="false">IF(OR(OR($B495="",$E495="",$F495=""),$K495&lt;&gt;"نعم",$M495="نعم"),0,MAX(0,MIN($F495,EOMONTH(DATE(cfg_FY,5,1),0))-MAX($E495,DATE(cfg_FY,5,1))+1))</f>
        <v>0</v>
      </c>
      <c r="AY495" s="110" t="n">
        <f aca="false">IF(OR(OR($B495="",$E495="",$F495=""),$K495&lt;&gt;"نعم",$M495="نعم"),0,MAX(0,MIN($F495,EOMONTH(DATE(cfg_FY,6,1),0))-MAX($E495,DATE(cfg_FY,6,1))+1))</f>
        <v>0</v>
      </c>
      <c r="AZ495" s="110" t="n">
        <f aca="false">IF(OR(OR($B495="",$E495="",$F495=""),$K495&lt;&gt;"نعم",$M495="نعم"),0,MAX(0,MIN($F495,EOMONTH(DATE(cfg_FY,7,1),0))-MAX($E495,DATE(cfg_FY,7,1))+1))</f>
        <v>0</v>
      </c>
      <c r="BA495" s="110" t="n">
        <f aca="false">IF(OR(OR($B495="",$E495="",$F495=""),$K495&lt;&gt;"نعم",$M495="نعم"),0,MAX(0,MIN($F495,EOMONTH(DATE(cfg_FY,8,1),0))-MAX($E495,DATE(cfg_FY,8,1))+1))</f>
        <v>0</v>
      </c>
      <c r="BB495" s="110" t="n">
        <f aca="false">IF(OR(OR($B495="",$E495="",$F495=""),$K495&lt;&gt;"نعم",$M495="نعم"),0,MAX(0,MIN($F495,EOMONTH(DATE(cfg_FY,9,1),0))-MAX($E495,DATE(cfg_FY,9,1))+1))</f>
        <v>0</v>
      </c>
      <c r="BC495" s="110" t="n">
        <f aca="false">IF(OR(OR($B495="",$E495="",$F495=""),$K495&lt;&gt;"نعم",$M495="نعم"),0,MAX(0,MIN($F495,EOMONTH(DATE(cfg_FY,10,1),0))-MAX($E495,DATE(cfg_FY,10,1))+1))</f>
        <v>0</v>
      </c>
      <c r="BD495" s="110" t="n">
        <f aca="false">IF(OR(OR($B495="",$E495="",$F495=""),$K495&lt;&gt;"نعم",$M495="نعم"),0,MAX(0,MIN($F495,EOMONTH(DATE(cfg_FY,11,1),0))-MAX($E495,DATE(cfg_FY,11,1))+1))</f>
        <v>0</v>
      </c>
      <c r="BE495" s="110" t="n">
        <f aca="false">IF(OR(OR($B495="",$E495="",$F495=""),$K495&lt;&gt;"نعم",$M495="نعم"),0,MAX(0,MIN($F495,EOMONTH(DATE(cfg_FY,12,1),0))-MAX($E495,DATE(cfg_FY,12,1))+1))</f>
        <v>0</v>
      </c>
    </row>
    <row r="496" customFormat="false" ht="15" hidden="false" customHeight="false" outlineLevel="0" collapsed="false">
      <c r="A496" s="93" t="str">
        <f aca="false">IF(B496="","",ROW()-5)</f>
        <v/>
      </c>
      <c r="B496" s="79"/>
      <c r="C496" s="80" t="str">
        <f aca="false">IF(B496="","",IFERROR(INDEX(الموظفون!$C$6:$C$105,MATCH(B496,الموظفون!$B$6:$B$105,0)),"✖ رقم غير موجود"))</f>
        <v/>
      </c>
      <c r="D496" s="79"/>
      <c r="E496" s="94"/>
      <c r="F496" s="94"/>
      <c r="G496" s="57" t="str">
        <f aca="false">IF(OR($B496="",$E496="",$F496=""),"",MAX(0,F496-E496+1))</f>
        <v/>
      </c>
      <c r="H496" s="58" t="str">
        <f aca="false">IF(D496="","",IFERROR(VLOOKUP(D496,cfg_LT,2,FALSE()),1))</f>
        <v/>
      </c>
      <c r="I496" s="82"/>
      <c r="J496" s="58" t="str">
        <f aca="false">IF(D496="","",IF(I496&lt;&gt;"",I496,H496))</f>
        <v/>
      </c>
      <c r="K496" s="80" t="str">
        <f aca="false">IF(D496="","",IFERROR(VLOOKUP($D496,cfg_LT,3,FALSE()),""))</f>
        <v/>
      </c>
      <c r="L496" s="80" t="str">
        <f aca="false">IF(D496="","",IFERROR(VLOOKUP($D496,cfg_LT,4,FALSE()),""))</f>
        <v/>
      </c>
      <c r="M496" s="80" t="str">
        <f aca="false">IF(D496="","",IFERROR(VLOOKUP($D496,cfg_LT,5,FALSE()),""))</f>
        <v/>
      </c>
      <c r="N496" s="97" t="n">
        <f aca="false">IF(OR(OR($B496="",$E496="",$F496=""),M496&lt;&gt;"نعم"),0,G496*J496*IFERROR(INDEX(الموظفون!$R$6:$R$105,MATCH(B496,الموظفون!$B$6:$B$105,0)),0)/cfg_DAYS_M)</f>
        <v>0</v>
      </c>
      <c r="O496" s="93" t="str">
        <f aca="false">IF(OR(OR($B496="",$E496="",$F496=""),M496&lt;&gt;"نعم"),"",IF(YEAR(E496)=cfg_FY,MONTH(E496),""))</f>
        <v/>
      </c>
      <c r="P496" s="80" t="str">
        <f aca="false">IF(B496="","",IF(OR(D496="",E496="",F496=""),"⚠ أكمل النوع والتواريخ",IF(F496&lt;E496,"✖ النهاية قبل البداية",IF(COUNTIFS($B$6:$B$505,B496,$E$6:$E$505,"&lt;="&amp;F496,$F$6:$F$505,"&gt;="&amp;E496)&gt;1,"⚠ تداخل مع سجل آخر",IF(E496&gt;cfg_VAL_DATE,"⏳ قادمة",IF(F496&lt;cfg_VAL_DATE,"✔ منتهية","✈ جارية في تاريخ التقرير"))))))</f>
        <v/>
      </c>
      <c r="Q496" s="79"/>
      <c r="R496" s="57" t="n">
        <f aca="false">IF(OR(OR($B496="",$E496="",$F496=""),L496&lt;&gt;"لا"),0,MAX(0,MIN(F496,cfg_Y_START-1)-E496+1))</f>
        <v>0</v>
      </c>
      <c r="S496" s="57" t="n">
        <f aca="false">IF(OR(OR($B496="",$E496="",$F496=""),L496&lt;&gt;"لا"),0,MAX(0,MIN(F496,cfg_VAL_DATE)-E496+1))</f>
        <v>0</v>
      </c>
      <c r="T496" s="57" t="n">
        <f aca="false">IF(OR(OR($B496="",$E496="",$F496=""),K496&lt;&gt;"نعم"),0,IF(M496="نعم",IF(AND(ISNUMBER(O496),N(O496)&lt;=cfg_VAL_M),G496,0),MAX(0,MIN(F496,cfg_VAL_DATE)-MAX(E496,cfg_Y_START)+1)))</f>
        <v>0</v>
      </c>
      <c r="V496" s="57" t="n">
        <f aca="false">IF(OR($B496="",$E496="",$F496=""),0,MAX(0,MIN($F496,EOMONTH(DATE(cfg_FY,1,1),0))-MAX($E496,DATE(cfg_FY,1,1))+1)*(1-IF($M496="نعم",0,N($J496))))</f>
        <v>0</v>
      </c>
      <c r="W496" s="57" t="n">
        <f aca="false">IF(OR($B496="",$E496="",$F496=""),0,MAX(0,MIN($F496,EOMONTH(DATE(cfg_FY,2,1),0))-MAX($E496,DATE(cfg_FY,2,1))+1)*(1-IF($M496="نعم",0,N($J496))))</f>
        <v>0</v>
      </c>
      <c r="X496" s="57" t="n">
        <f aca="false">IF(OR($B496="",$E496="",$F496=""),0,MAX(0,MIN($F496,EOMONTH(DATE(cfg_FY,3,1),0))-MAX($E496,DATE(cfg_FY,3,1))+1)*(1-IF($M496="نعم",0,N($J496))))</f>
        <v>0</v>
      </c>
      <c r="Y496" s="57" t="n">
        <f aca="false">IF(OR($B496="",$E496="",$F496=""),0,MAX(0,MIN($F496,EOMONTH(DATE(cfg_FY,4,1),0))-MAX($E496,DATE(cfg_FY,4,1))+1)*(1-IF($M496="نعم",0,N($J496))))</f>
        <v>0</v>
      </c>
      <c r="Z496" s="57" t="n">
        <f aca="false">IF(OR($B496="",$E496="",$F496=""),0,MAX(0,MIN($F496,EOMONTH(DATE(cfg_FY,5,1),0))-MAX($E496,DATE(cfg_FY,5,1))+1)*(1-IF($M496="نعم",0,N($J496))))</f>
        <v>0</v>
      </c>
      <c r="AA496" s="57" t="n">
        <f aca="false">IF(OR($B496="",$E496="",$F496=""),0,MAX(0,MIN($F496,EOMONTH(DATE(cfg_FY,6,1),0))-MAX($E496,DATE(cfg_FY,6,1))+1)*(1-IF($M496="نعم",0,N($J496))))</f>
        <v>0</v>
      </c>
      <c r="AB496" s="57" t="n">
        <f aca="false">IF(OR($B496="",$E496="",$F496=""),0,MAX(0,MIN($F496,EOMONTH(DATE(cfg_FY,7,1),0))-MAX($E496,DATE(cfg_FY,7,1))+1)*(1-IF($M496="نعم",0,N($J496))))</f>
        <v>0</v>
      </c>
      <c r="AC496" s="57" t="n">
        <f aca="false">IF(OR($B496="",$E496="",$F496=""),0,MAX(0,MIN($F496,EOMONTH(DATE(cfg_FY,8,1),0))-MAX($E496,DATE(cfg_FY,8,1))+1)*(1-IF($M496="نعم",0,N($J496))))</f>
        <v>0</v>
      </c>
      <c r="AD496" s="57" t="n">
        <f aca="false">IF(OR($B496="",$E496="",$F496=""),0,MAX(0,MIN($F496,EOMONTH(DATE(cfg_FY,9,1),0))-MAX($E496,DATE(cfg_FY,9,1))+1)*(1-IF($M496="نعم",0,N($J496))))</f>
        <v>0</v>
      </c>
      <c r="AE496" s="57" t="n">
        <f aca="false">IF(OR($B496="",$E496="",$F496=""),0,MAX(0,MIN($F496,EOMONTH(DATE(cfg_FY,10,1),0))-MAX($E496,DATE(cfg_FY,10,1))+1)*(1-IF($M496="نعم",0,N($J496))))</f>
        <v>0</v>
      </c>
      <c r="AF496" s="57" t="n">
        <f aca="false">IF(OR($B496="",$E496="",$F496=""),0,MAX(0,MIN($F496,EOMONTH(DATE(cfg_FY,11,1),0))-MAX($E496,DATE(cfg_FY,11,1))+1)*(1-IF($M496="نعم",0,N($J496))))</f>
        <v>0</v>
      </c>
      <c r="AG496" s="57" t="n">
        <f aca="false">IF(OR($B496="",$E496="",$F496=""),0,MAX(0,MIN($F496,EOMONTH(DATE(cfg_FY,12,1),0))-MAX($E496,DATE(cfg_FY,12,1))+1)*(1-IF($M496="نعم",0,N($J496))))</f>
        <v>0</v>
      </c>
      <c r="AH496" s="57" t="n">
        <f aca="false">IF(OR(OR($B496="",$E496="",$F496=""),$L496&lt;&gt;"لا"),0,MAX(0,MIN($F496,EOMONTH(DATE(cfg_FY,1,1),0))-$E496+1))</f>
        <v>0</v>
      </c>
      <c r="AI496" s="57" t="n">
        <f aca="false">IF(OR(OR($B496="",$E496="",$F496=""),$L496&lt;&gt;"لا"),0,MAX(0,MIN($F496,EOMONTH(DATE(cfg_FY,2,1),0))-$E496+1))</f>
        <v>0</v>
      </c>
      <c r="AJ496" s="57" t="n">
        <f aca="false">IF(OR(OR($B496="",$E496="",$F496=""),$L496&lt;&gt;"لا"),0,MAX(0,MIN($F496,EOMONTH(DATE(cfg_FY,3,1),0))-$E496+1))</f>
        <v>0</v>
      </c>
      <c r="AK496" s="57" t="n">
        <f aca="false">IF(OR(OR($B496="",$E496="",$F496=""),$L496&lt;&gt;"لا"),0,MAX(0,MIN($F496,EOMONTH(DATE(cfg_FY,4,1),0))-$E496+1))</f>
        <v>0</v>
      </c>
      <c r="AL496" s="57" t="n">
        <f aca="false">IF(OR(OR($B496="",$E496="",$F496=""),$L496&lt;&gt;"لا"),0,MAX(0,MIN($F496,EOMONTH(DATE(cfg_FY,5,1),0))-$E496+1))</f>
        <v>0</v>
      </c>
      <c r="AM496" s="57" t="n">
        <f aca="false">IF(OR(OR($B496="",$E496="",$F496=""),$L496&lt;&gt;"لا"),0,MAX(0,MIN($F496,EOMONTH(DATE(cfg_FY,6,1),0))-$E496+1))</f>
        <v>0</v>
      </c>
      <c r="AN496" s="57" t="n">
        <f aca="false">IF(OR(OR($B496="",$E496="",$F496=""),$L496&lt;&gt;"لا"),0,MAX(0,MIN($F496,EOMONTH(DATE(cfg_FY,7,1),0))-$E496+1))</f>
        <v>0</v>
      </c>
      <c r="AO496" s="57" t="n">
        <f aca="false">IF(OR(OR($B496="",$E496="",$F496=""),$L496&lt;&gt;"لا"),0,MAX(0,MIN($F496,EOMONTH(DATE(cfg_FY,8,1),0))-$E496+1))</f>
        <v>0</v>
      </c>
      <c r="AP496" s="57" t="n">
        <f aca="false">IF(OR(OR($B496="",$E496="",$F496=""),$L496&lt;&gt;"لا"),0,MAX(0,MIN($F496,EOMONTH(DATE(cfg_FY,9,1),0))-$E496+1))</f>
        <v>0</v>
      </c>
      <c r="AQ496" s="57" t="n">
        <f aca="false">IF(OR(OR($B496="",$E496="",$F496=""),$L496&lt;&gt;"لا"),0,MAX(0,MIN($F496,EOMONTH(DATE(cfg_FY,10,1),0))-$E496+1))</f>
        <v>0</v>
      </c>
      <c r="AR496" s="57" t="n">
        <f aca="false">IF(OR(OR($B496="",$E496="",$F496=""),$L496&lt;&gt;"لا"),0,MAX(0,MIN($F496,EOMONTH(DATE(cfg_FY,11,1),0))-$E496+1))</f>
        <v>0</v>
      </c>
      <c r="AS496" s="57" t="n">
        <f aca="false">IF(OR(OR($B496="",$E496="",$F496=""),$L496&lt;&gt;"لا"),0,MAX(0,MIN($F496,EOMONTH(DATE(cfg_FY,12,1),0))-$E496+1))</f>
        <v>0</v>
      </c>
      <c r="AT496" s="57" t="n">
        <f aca="false">IF(OR(OR($B496="",$E496="",$F496=""),$K496&lt;&gt;"نعم",$M496="نعم"),0,MAX(0,MIN($F496,EOMONTH(DATE(cfg_FY,1,1),0))-MAX($E496,DATE(cfg_FY,1,1))+1))</f>
        <v>0</v>
      </c>
      <c r="AU496" s="57" t="n">
        <f aca="false">IF(OR(OR($B496="",$E496="",$F496=""),$K496&lt;&gt;"نعم",$M496="نعم"),0,MAX(0,MIN($F496,EOMONTH(DATE(cfg_FY,2,1),0))-MAX($E496,DATE(cfg_FY,2,1))+1))</f>
        <v>0</v>
      </c>
      <c r="AV496" s="57" t="n">
        <f aca="false">IF(OR(OR($B496="",$E496="",$F496=""),$K496&lt;&gt;"نعم",$M496="نعم"),0,MAX(0,MIN($F496,EOMONTH(DATE(cfg_FY,3,1),0))-MAX($E496,DATE(cfg_FY,3,1))+1))</f>
        <v>0</v>
      </c>
      <c r="AW496" s="57" t="n">
        <f aca="false">IF(OR(OR($B496="",$E496="",$F496=""),$K496&lt;&gt;"نعم",$M496="نعم"),0,MAX(0,MIN($F496,EOMONTH(DATE(cfg_FY,4,1),0))-MAX($E496,DATE(cfg_FY,4,1))+1))</f>
        <v>0</v>
      </c>
      <c r="AX496" s="57" t="n">
        <f aca="false">IF(OR(OR($B496="",$E496="",$F496=""),$K496&lt;&gt;"نعم",$M496="نعم"),0,MAX(0,MIN($F496,EOMONTH(DATE(cfg_FY,5,1),0))-MAX($E496,DATE(cfg_FY,5,1))+1))</f>
        <v>0</v>
      </c>
      <c r="AY496" s="57" t="n">
        <f aca="false">IF(OR(OR($B496="",$E496="",$F496=""),$K496&lt;&gt;"نعم",$M496="نعم"),0,MAX(0,MIN($F496,EOMONTH(DATE(cfg_FY,6,1),0))-MAX($E496,DATE(cfg_FY,6,1))+1))</f>
        <v>0</v>
      </c>
      <c r="AZ496" s="57" t="n">
        <f aca="false">IF(OR(OR($B496="",$E496="",$F496=""),$K496&lt;&gt;"نعم",$M496="نعم"),0,MAX(0,MIN($F496,EOMONTH(DATE(cfg_FY,7,1),0))-MAX($E496,DATE(cfg_FY,7,1))+1))</f>
        <v>0</v>
      </c>
      <c r="BA496" s="57" t="n">
        <f aca="false">IF(OR(OR($B496="",$E496="",$F496=""),$K496&lt;&gt;"نعم",$M496="نعم"),0,MAX(0,MIN($F496,EOMONTH(DATE(cfg_FY,8,1),0))-MAX($E496,DATE(cfg_FY,8,1))+1))</f>
        <v>0</v>
      </c>
      <c r="BB496" s="57" t="n">
        <f aca="false">IF(OR(OR($B496="",$E496="",$F496=""),$K496&lt;&gt;"نعم",$M496="نعم"),0,MAX(0,MIN($F496,EOMONTH(DATE(cfg_FY,9,1),0))-MAX($E496,DATE(cfg_FY,9,1))+1))</f>
        <v>0</v>
      </c>
      <c r="BC496" s="57" t="n">
        <f aca="false">IF(OR(OR($B496="",$E496="",$F496=""),$K496&lt;&gt;"نعم",$M496="نعم"),0,MAX(0,MIN($F496,EOMONTH(DATE(cfg_FY,10,1),0))-MAX($E496,DATE(cfg_FY,10,1))+1))</f>
        <v>0</v>
      </c>
      <c r="BD496" s="57" t="n">
        <f aca="false">IF(OR(OR($B496="",$E496="",$F496=""),$K496&lt;&gt;"نعم",$M496="نعم"),0,MAX(0,MIN($F496,EOMONTH(DATE(cfg_FY,11,1),0))-MAX($E496,DATE(cfg_FY,11,1))+1))</f>
        <v>0</v>
      </c>
      <c r="BE496" s="57" t="n">
        <f aca="false">IF(OR(OR($B496="",$E496="",$F496=""),$K496&lt;&gt;"نعم",$M496="نعم"),0,MAX(0,MIN($F496,EOMONTH(DATE(cfg_FY,12,1),0))-MAX($E496,DATE(cfg_FY,12,1))+1))</f>
        <v>0</v>
      </c>
    </row>
    <row r="497" customFormat="false" ht="15" hidden="false" customHeight="false" outlineLevel="0" collapsed="false">
      <c r="A497" s="100" t="str">
        <f aca="false">IF(B497="","",ROW()-5)</f>
        <v/>
      </c>
      <c r="B497" s="79"/>
      <c r="C497" s="102" t="str">
        <f aca="false">IF(B497="","",IFERROR(INDEX(الموظفون!$C$6:$C$105,MATCH(B497,الموظفون!$B$6:$B$105,0)),"✖ رقم غير موجود"))</f>
        <v/>
      </c>
      <c r="D497" s="79"/>
      <c r="E497" s="94"/>
      <c r="F497" s="94"/>
      <c r="G497" s="110" t="str">
        <f aca="false">IF(OR($B497="",$E497="",$F497=""),"",MAX(0,F497-E497+1))</f>
        <v/>
      </c>
      <c r="H497" s="111" t="str">
        <f aca="false">IF(D497="","",IFERROR(VLOOKUP(D497,cfg_LT,2,FALSE()),1))</f>
        <v/>
      </c>
      <c r="I497" s="82"/>
      <c r="J497" s="111" t="str">
        <f aca="false">IF(D497="","",IF(I497&lt;&gt;"",I497,H497))</f>
        <v/>
      </c>
      <c r="K497" s="102" t="str">
        <f aca="false">IF(D497="","",IFERROR(VLOOKUP($D497,cfg_LT,3,FALSE()),""))</f>
        <v/>
      </c>
      <c r="L497" s="102" t="str">
        <f aca="false">IF(D497="","",IFERROR(VLOOKUP($D497,cfg_LT,4,FALSE()),""))</f>
        <v/>
      </c>
      <c r="M497" s="102" t="str">
        <f aca="false">IF(D497="","",IFERROR(VLOOKUP($D497,cfg_LT,5,FALSE()),""))</f>
        <v/>
      </c>
      <c r="N497" s="101" t="n">
        <f aca="false">IF(OR(OR($B497="",$E497="",$F497=""),M497&lt;&gt;"نعم"),0,G497*J497*IFERROR(INDEX(الموظفون!$R$6:$R$105,MATCH(B497,الموظفون!$B$6:$B$105,0)),0)/cfg_DAYS_M)</f>
        <v>0</v>
      </c>
      <c r="O497" s="100" t="str">
        <f aca="false">IF(OR(OR($B497="",$E497="",$F497=""),M497&lt;&gt;"نعم"),"",IF(YEAR(E497)=cfg_FY,MONTH(E497),""))</f>
        <v/>
      </c>
      <c r="P497" s="102" t="str">
        <f aca="false">IF(B497="","",IF(OR(D497="",E497="",F497=""),"⚠ أكمل النوع والتواريخ",IF(F497&lt;E497,"✖ النهاية قبل البداية",IF(COUNTIFS($B$6:$B$505,B497,$E$6:$E$505,"&lt;="&amp;F497,$F$6:$F$505,"&gt;="&amp;E497)&gt;1,"⚠ تداخل مع سجل آخر",IF(E497&gt;cfg_VAL_DATE,"⏳ قادمة",IF(F497&lt;cfg_VAL_DATE,"✔ منتهية","✈ جارية في تاريخ التقرير"))))))</f>
        <v/>
      </c>
      <c r="Q497" s="79"/>
      <c r="R497" s="110" t="n">
        <f aca="false">IF(OR(OR($B497="",$E497="",$F497=""),L497&lt;&gt;"لا"),0,MAX(0,MIN(F497,cfg_Y_START-1)-E497+1))</f>
        <v>0</v>
      </c>
      <c r="S497" s="110" t="n">
        <f aca="false">IF(OR(OR($B497="",$E497="",$F497=""),L497&lt;&gt;"لا"),0,MAX(0,MIN(F497,cfg_VAL_DATE)-E497+1))</f>
        <v>0</v>
      </c>
      <c r="T497" s="110" t="n">
        <f aca="false">IF(OR(OR($B497="",$E497="",$F497=""),K497&lt;&gt;"نعم"),0,IF(M497="نعم",IF(AND(ISNUMBER(O497),N(O497)&lt;=cfg_VAL_M),G497,0),MAX(0,MIN(F497,cfg_VAL_DATE)-MAX(E497,cfg_Y_START)+1)))</f>
        <v>0</v>
      </c>
      <c r="V497" s="110" t="n">
        <f aca="false">IF(OR($B497="",$E497="",$F497=""),0,MAX(0,MIN($F497,EOMONTH(DATE(cfg_FY,1,1),0))-MAX($E497,DATE(cfg_FY,1,1))+1)*(1-IF($M497="نعم",0,N($J497))))</f>
        <v>0</v>
      </c>
      <c r="W497" s="110" t="n">
        <f aca="false">IF(OR($B497="",$E497="",$F497=""),0,MAX(0,MIN($F497,EOMONTH(DATE(cfg_FY,2,1),0))-MAX($E497,DATE(cfg_FY,2,1))+1)*(1-IF($M497="نعم",0,N($J497))))</f>
        <v>0</v>
      </c>
      <c r="X497" s="110" t="n">
        <f aca="false">IF(OR($B497="",$E497="",$F497=""),0,MAX(0,MIN($F497,EOMONTH(DATE(cfg_FY,3,1),0))-MAX($E497,DATE(cfg_FY,3,1))+1)*(1-IF($M497="نعم",0,N($J497))))</f>
        <v>0</v>
      </c>
      <c r="Y497" s="110" t="n">
        <f aca="false">IF(OR($B497="",$E497="",$F497=""),0,MAX(0,MIN($F497,EOMONTH(DATE(cfg_FY,4,1),0))-MAX($E497,DATE(cfg_FY,4,1))+1)*(1-IF($M497="نعم",0,N($J497))))</f>
        <v>0</v>
      </c>
      <c r="Z497" s="110" t="n">
        <f aca="false">IF(OR($B497="",$E497="",$F497=""),0,MAX(0,MIN($F497,EOMONTH(DATE(cfg_FY,5,1),0))-MAX($E497,DATE(cfg_FY,5,1))+1)*(1-IF($M497="نعم",0,N($J497))))</f>
        <v>0</v>
      </c>
      <c r="AA497" s="110" t="n">
        <f aca="false">IF(OR($B497="",$E497="",$F497=""),0,MAX(0,MIN($F497,EOMONTH(DATE(cfg_FY,6,1),0))-MAX($E497,DATE(cfg_FY,6,1))+1)*(1-IF($M497="نعم",0,N($J497))))</f>
        <v>0</v>
      </c>
      <c r="AB497" s="110" t="n">
        <f aca="false">IF(OR($B497="",$E497="",$F497=""),0,MAX(0,MIN($F497,EOMONTH(DATE(cfg_FY,7,1),0))-MAX($E497,DATE(cfg_FY,7,1))+1)*(1-IF($M497="نعم",0,N($J497))))</f>
        <v>0</v>
      </c>
      <c r="AC497" s="110" t="n">
        <f aca="false">IF(OR($B497="",$E497="",$F497=""),0,MAX(0,MIN($F497,EOMONTH(DATE(cfg_FY,8,1),0))-MAX($E497,DATE(cfg_FY,8,1))+1)*(1-IF($M497="نعم",0,N($J497))))</f>
        <v>0</v>
      </c>
      <c r="AD497" s="110" t="n">
        <f aca="false">IF(OR($B497="",$E497="",$F497=""),0,MAX(0,MIN($F497,EOMONTH(DATE(cfg_FY,9,1),0))-MAX($E497,DATE(cfg_FY,9,1))+1)*(1-IF($M497="نعم",0,N($J497))))</f>
        <v>0</v>
      </c>
      <c r="AE497" s="110" t="n">
        <f aca="false">IF(OR($B497="",$E497="",$F497=""),0,MAX(0,MIN($F497,EOMONTH(DATE(cfg_FY,10,1),0))-MAX($E497,DATE(cfg_FY,10,1))+1)*(1-IF($M497="نعم",0,N($J497))))</f>
        <v>0</v>
      </c>
      <c r="AF497" s="110" t="n">
        <f aca="false">IF(OR($B497="",$E497="",$F497=""),0,MAX(0,MIN($F497,EOMONTH(DATE(cfg_FY,11,1),0))-MAX($E497,DATE(cfg_FY,11,1))+1)*(1-IF($M497="نعم",0,N($J497))))</f>
        <v>0</v>
      </c>
      <c r="AG497" s="110" t="n">
        <f aca="false">IF(OR($B497="",$E497="",$F497=""),0,MAX(0,MIN($F497,EOMONTH(DATE(cfg_FY,12,1),0))-MAX($E497,DATE(cfg_FY,12,1))+1)*(1-IF($M497="نعم",0,N($J497))))</f>
        <v>0</v>
      </c>
      <c r="AH497" s="110" t="n">
        <f aca="false">IF(OR(OR($B497="",$E497="",$F497=""),$L497&lt;&gt;"لا"),0,MAX(0,MIN($F497,EOMONTH(DATE(cfg_FY,1,1),0))-$E497+1))</f>
        <v>0</v>
      </c>
      <c r="AI497" s="110" t="n">
        <f aca="false">IF(OR(OR($B497="",$E497="",$F497=""),$L497&lt;&gt;"لا"),0,MAX(0,MIN($F497,EOMONTH(DATE(cfg_FY,2,1),0))-$E497+1))</f>
        <v>0</v>
      </c>
      <c r="AJ497" s="110" t="n">
        <f aca="false">IF(OR(OR($B497="",$E497="",$F497=""),$L497&lt;&gt;"لا"),0,MAX(0,MIN($F497,EOMONTH(DATE(cfg_FY,3,1),0))-$E497+1))</f>
        <v>0</v>
      </c>
      <c r="AK497" s="110" t="n">
        <f aca="false">IF(OR(OR($B497="",$E497="",$F497=""),$L497&lt;&gt;"لا"),0,MAX(0,MIN($F497,EOMONTH(DATE(cfg_FY,4,1),0))-$E497+1))</f>
        <v>0</v>
      </c>
      <c r="AL497" s="110" t="n">
        <f aca="false">IF(OR(OR($B497="",$E497="",$F497=""),$L497&lt;&gt;"لا"),0,MAX(0,MIN($F497,EOMONTH(DATE(cfg_FY,5,1),0))-$E497+1))</f>
        <v>0</v>
      </c>
      <c r="AM497" s="110" t="n">
        <f aca="false">IF(OR(OR($B497="",$E497="",$F497=""),$L497&lt;&gt;"لا"),0,MAX(0,MIN($F497,EOMONTH(DATE(cfg_FY,6,1),0))-$E497+1))</f>
        <v>0</v>
      </c>
      <c r="AN497" s="110" t="n">
        <f aca="false">IF(OR(OR($B497="",$E497="",$F497=""),$L497&lt;&gt;"لا"),0,MAX(0,MIN($F497,EOMONTH(DATE(cfg_FY,7,1),0))-$E497+1))</f>
        <v>0</v>
      </c>
      <c r="AO497" s="110" t="n">
        <f aca="false">IF(OR(OR($B497="",$E497="",$F497=""),$L497&lt;&gt;"لا"),0,MAX(0,MIN($F497,EOMONTH(DATE(cfg_FY,8,1),0))-$E497+1))</f>
        <v>0</v>
      </c>
      <c r="AP497" s="110" t="n">
        <f aca="false">IF(OR(OR($B497="",$E497="",$F497=""),$L497&lt;&gt;"لا"),0,MAX(0,MIN($F497,EOMONTH(DATE(cfg_FY,9,1),0))-$E497+1))</f>
        <v>0</v>
      </c>
      <c r="AQ497" s="110" t="n">
        <f aca="false">IF(OR(OR($B497="",$E497="",$F497=""),$L497&lt;&gt;"لا"),0,MAX(0,MIN($F497,EOMONTH(DATE(cfg_FY,10,1),0))-$E497+1))</f>
        <v>0</v>
      </c>
      <c r="AR497" s="110" t="n">
        <f aca="false">IF(OR(OR($B497="",$E497="",$F497=""),$L497&lt;&gt;"لا"),0,MAX(0,MIN($F497,EOMONTH(DATE(cfg_FY,11,1),0))-$E497+1))</f>
        <v>0</v>
      </c>
      <c r="AS497" s="110" t="n">
        <f aca="false">IF(OR(OR($B497="",$E497="",$F497=""),$L497&lt;&gt;"لا"),0,MAX(0,MIN($F497,EOMONTH(DATE(cfg_FY,12,1),0))-$E497+1))</f>
        <v>0</v>
      </c>
      <c r="AT497" s="110" t="n">
        <f aca="false">IF(OR(OR($B497="",$E497="",$F497=""),$K497&lt;&gt;"نعم",$M497="نعم"),0,MAX(0,MIN($F497,EOMONTH(DATE(cfg_FY,1,1),0))-MAX($E497,DATE(cfg_FY,1,1))+1))</f>
        <v>0</v>
      </c>
      <c r="AU497" s="110" t="n">
        <f aca="false">IF(OR(OR($B497="",$E497="",$F497=""),$K497&lt;&gt;"نعم",$M497="نعم"),0,MAX(0,MIN($F497,EOMONTH(DATE(cfg_FY,2,1),0))-MAX($E497,DATE(cfg_FY,2,1))+1))</f>
        <v>0</v>
      </c>
      <c r="AV497" s="110" t="n">
        <f aca="false">IF(OR(OR($B497="",$E497="",$F497=""),$K497&lt;&gt;"نعم",$M497="نعم"),0,MAX(0,MIN($F497,EOMONTH(DATE(cfg_FY,3,1),0))-MAX($E497,DATE(cfg_FY,3,1))+1))</f>
        <v>0</v>
      </c>
      <c r="AW497" s="110" t="n">
        <f aca="false">IF(OR(OR($B497="",$E497="",$F497=""),$K497&lt;&gt;"نعم",$M497="نعم"),0,MAX(0,MIN($F497,EOMONTH(DATE(cfg_FY,4,1),0))-MAX($E497,DATE(cfg_FY,4,1))+1))</f>
        <v>0</v>
      </c>
      <c r="AX497" s="110" t="n">
        <f aca="false">IF(OR(OR($B497="",$E497="",$F497=""),$K497&lt;&gt;"نعم",$M497="نعم"),0,MAX(0,MIN($F497,EOMONTH(DATE(cfg_FY,5,1),0))-MAX($E497,DATE(cfg_FY,5,1))+1))</f>
        <v>0</v>
      </c>
      <c r="AY497" s="110" t="n">
        <f aca="false">IF(OR(OR($B497="",$E497="",$F497=""),$K497&lt;&gt;"نعم",$M497="نعم"),0,MAX(0,MIN($F497,EOMONTH(DATE(cfg_FY,6,1),0))-MAX($E497,DATE(cfg_FY,6,1))+1))</f>
        <v>0</v>
      </c>
      <c r="AZ497" s="110" t="n">
        <f aca="false">IF(OR(OR($B497="",$E497="",$F497=""),$K497&lt;&gt;"نعم",$M497="نعم"),0,MAX(0,MIN($F497,EOMONTH(DATE(cfg_FY,7,1),0))-MAX($E497,DATE(cfg_FY,7,1))+1))</f>
        <v>0</v>
      </c>
      <c r="BA497" s="110" t="n">
        <f aca="false">IF(OR(OR($B497="",$E497="",$F497=""),$K497&lt;&gt;"نعم",$M497="نعم"),0,MAX(0,MIN($F497,EOMONTH(DATE(cfg_FY,8,1),0))-MAX($E497,DATE(cfg_FY,8,1))+1))</f>
        <v>0</v>
      </c>
      <c r="BB497" s="110" t="n">
        <f aca="false">IF(OR(OR($B497="",$E497="",$F497=""),$K497&lt;&gt;"نعم",$M497="نعم"),0,MAX(0,MIN($F497,EOMONTH(DATE(cfg_FY,9,1),0))-MAX($E497,DATE(cfg_FY,9,1))+1))</f>
        <v>0</v>
      </c>
      <c r="BC497" s="110" t="n">
        <f aca="false">IF(OR(OR($B497="",$E497="",$F497=""),$K497&lt;&gt;"نعم",$M497="نعم"),0,MAX(0,MIN($F497,EOMONTH(DATE(cfg_FY,10,1),0))-MAX($E497,DATE(cfg_FY,10,1))+1))</f>
        <v>0</v>
      </c>
      <c r="BD497" s="110" t="n">
        <f aca="false">IF(OR(OR($B497="",$E497="",$F497=""),$K497&lt;&gt;"نعم",$M497="نعم"),0,MAX(0,MIN($F497,EOMONTH(DATE(cfg_FY,11,1),0))-MAX($E497,DATE(cfg_FY,11,1))+1))</f>
        <v>0</v>
      </c>
      <c r="BE497" s="110" t="n">
        <f aca="false">IF(OR(OR($B497="",$E497="",$F497=""),$K497&lt;&gt;"نعم",$M497="نعم"),0,MAX(0,MIN($F497,EOMONTH(DATE(cfg_FY,12,1),0))-MAX($E497,DATE(cfg_FY,12,1))+1))</f>
        <v>0</v>
      </c>
    </row>
    <row r="498" customFormat="false" ht="15" hidden="false" customHeight="false" outlineLevel="0" collapsed="false">
      <c r="A498" s="93" t="str">
        <f aca="false">IF(B498="","",ROW()-5)</f>
        <v/>
      </c>
      <c r="B498" s="79"/>
      <c r="C498" s="80" t="str">
        <f aca="false">IF(B498="","",IFERROR(INDEX(الموظفون!$C$6:$C$105,MATCH(B498,الموظفون!$B$6:$B$105,0)),"✖ رقم غير موجود"))</f>
        <v/>
      </c>
      <c r="D498" s="79"/>
      <c r="E498" s="94"/>
      <c r="F498" s="94"/>
      <c r="G498" s="57" t="str">
        <f aca="false">IF(OR($B498="",$E498="",$F498=""),"",MAX(0,F498-E498+1))</f>
        <v/>
      </c>
      <c r="H498" s="58" t="str">
        <f aca="false">IF(D498="","",IFERROR(VLOOKUP(D498,cfg_LT,2,FALSE()),1))</f>
        <v/>
      </c>
      <c r="I498" s="82"/>
      <c r="J498" s="58" t="str">
        <f aca="false">IF(D498="","",IF(I498&lt;&gt;"",I498,H498))</f>
        <v/>
      </c>
      <c r="K498" s="80" t="str">
        <f aca="false">IF(D498="","",IFERROR(VLOOKUP($D498,cfg_LT,3,FALSE()),""))</f>
        <v/>
      </c>
      <c r="L498" s="80" t="str">
        <f aca="false">IF(D498="","",IFERROR(VLOOKUP($D498,cfg_LT,4,FALSE()),""))</f>
        <v/>
      </c>
      <c r="M498" s="80" t="str">
        <f aca="false">IF(D498="","",IFERROR(VLOOKUP($D498,cfg_LT,5,FALSE()),""))</f>
        <v/>
      </c>
      <c r="N498" s="97" t="n">
        <f aca="false">IF(OR(OR($B498="",$E498="",$F498=""),M498&lt;&gt;"نعم"),0,G498*J498*IFERROR(INDEX(الموظفون!$R$6:$R$105,MATCH(B498,الموظفون!$B$6:$B$105,0)),0)/cfg_DAYS_M)</f>
        <v>0</v>
      </c>
      <c r="O498" s="93" t="str">
        <f aca="false">IF(OR(OR($B498="",$E498="",$F498=""),M498&lt;&gt;"نعم"),"",IF(YEAR(E498)=cfg_FY,MONTH(E498),""))</f>
        <v/>
      </c>
      <c r="P498" s="80" t="str">
        <f aca="false">IF(B498="","",IF(OR(D498="",E498="",F498=""),"⚠ أكمل النوع والتواريخ",IF(F498&lt;E498,"✖ النهاية قبل البداية",IF(COUNTIFS($B$6:$B$505,B498,$E$6:$E$505,"&lt;="&amp;F498,$F$6:$F$505,"&gt;="&amp;E498)&gt;1,"⚠ تداخل مع سجل آخر",IF(E498&gt;cfg_VAL_DATE,"⏳ قادمة",IF(F498&lt;cfg_VAL_DATE,"✔ منتهية","✈ جارية في تاريخ التقرير"))))))</f>
        <v/>
      </c>
      <c r="Q498" s="79"/>
      <c r="R498" s="57" t="n">
        <f aca="false">IF(OR(OR($B498="",$E498="",$F498=""),L498&lt;&gt;"لا"),0,MAX(0,MIN(F498,cfg_Y_START-1)-E498+1))</f>
        <v>0</v>
      </c>
      <c r="S498" s="57" t="n">
        <f aca="false">IF(OR(OR($B498="",$E498="",$F498=""),L498&lt;&gt;"لا"),0,MAX(0,MIN(F498,cfg_VAL_DATE)-E498+1))</f>
        <v>0</v>
      </c>
      <c r="T498" s="57" t="n">
        <f aca="false">IF(OR(OR($B498="",$E498="",$F498=""),K498&lt;&gt;"نعم"),0,IF(M498="نعم",IF(AND(ISNUMBER(O498),N(O498)&lt;=cfg_VAL_M),G498,0),MAX(0,MIN(F498,cfg_VAL_DATE)-MAX(E498,cfg_Y_START)+1)))</f>
        <v>0</v>
      </c>
      <c r="V498" s="57" t="n">
        <f aca="false">IF(OR($B498="",$E498="",$F498=""),0,MAX(0,MIN($F498,EOMONTH(DATE(cfg_FY,1,1),0))-MAX($E498,DATE(cfg_FY,1,1))+1)*(1-IF($M498="نعم",0,N($J498))))</f>
        <v>0</v>
      </c>
      <c r="W498" s="57" t="n">
        <f aca="false">IF(OR($B498="",$E498="",$F498=""),0,MAX(0,MIN($F498,EOMONTH(DATE(cfg_FY,2,1),0))-MAX($E498,DATE(cfg_FY,2,1))+1)*(1-IF($M498="نعم",0,N($J498))))</f>
        <v>0</v>
      </c>
      <c r="X498" s="57" t="n">
        <f aca="false">IF(OR($B498="",$E498="",$F498=""),0,MAX(0,MIN($F498,EOMONTH(DATE(cfg_FY,3,1),0))-MAX($E498,DATE(cfg_FY,3,1))+1)*(1-IF($M498="نعم",0,N($J498))))</f>
        <v>0</v>
      </c>
      <c r="Y498" s="57" t="n">
        <f aca="false">IF(OR($B498="",$E498="",$F498=""),0,MAX(0,MIN($F498,EOMONTH(DATE(cfg_FY,4,1),0))-MAX($E498,DATE(cfg_FY,4,1))+1)*(1-IF($M498="نعم",0,N($J498))))</f>
        <v>0</v>
      </c>
      <c r="Z498" s="57" t="n">
        <f aca="false">IF(OR($B498="",$E498="",$F498=""),0,MAX(0,MIN($F498,EOMONTH(DATE(cfg_FY,5,1),0))-MAX($E498,DATE(cfg_FY,5,1))+1)*(1-IF($M498="نعم",0,N($J498))))</f>
        <v>0</v>
      </c>
      <c r="AA498" s="57" t="n">
        <f aca="false">IF(OR($B498="",$E498="",$F498=""),0,MAX(0,MIN($F498,EOMONTH(DATE(cfg_FY,6,1),0))-MAX($E498,DATE(cfg_FY,6,1))+1)*(1-IF($M498="نعم",0,N($J498))))</f>
        <v>0</v>
      </c>
      <c r="AB498" s="57" t="n">
        <f aca="false">IF(OR($B498="",$E498="",$F498=""),0,MAX(0,MIN($F498,EOMONTH(DATE(cfg_FY,7,1),0))-MAX($E498,DATE(cfg_FY,7,1))+1)*(1-IF($M498="نعم",0,N($J498))))</f>
        <v>0</v>
      </c>
      <c r="AC498" s="57" t="n">
        <f aca="false">IF(OR($B498="",$E498="",$F498=""),0,MAX(0,MIN($F498,EOMONTH(DATE(cfg_FY,8,1),0))-MAX($E498,DATE(cfg_FY,8,1))+1)*(1-IF($M498="نعم",0,N($J498))))</f>
        <v>0</v>
      </c>
      <c r="AD498" s="57" t="n">
        <f aca="false">IF(OR($B498="",$E498="",$F498=""),0,MAX(0,MIN($F498,EOMONTH(DATE(cfg_FY,9,1),0))-MAX($E498,DATE(cfg_FY,9,1))+1)*(1-IF($M498="نعم",0,N($J498))))</f>
        <v>0</v>
      </c>
      <c r="AE498" s="57" t="n">
        <f aca="false">IF(OR($B498="",$E498="",$F498=""),0,MAX(0,MIN($F498,EOMONTH(DATE(cfg_FY,10,1),0))-MAX($E498,DATE(cfg_FY,10,1))+1)*(1-IF($M498="نعم",0,N($J498))))</f>
        <v>0</v>
      </c>
      <c r="AF498" s="57" t="n">
        <f aca="false">IF(OR($B498="",$E498="",$F498=""),0,MAX(0,MIN($F498,EOMONTH(DATE(cfg_FY,11,1),0))-MAX($E498,DATE(cfg_FY,11,1))+1)*(1-IF($M498="نعم",0,N($J498))))</f>
        <v>0</v>
      </c>
      <c r="AG498" s="57" t="n">
        <f aca="false">IF(OR($B498="",$E498="",$F498=""),0,MAX(0,MIN($F498,EOMONTH(DATE(cfg_FY,12,1),0))-MAX($E498,DATE(cfg_FY,12,1))+1)*(1-IF($M498="نعم",0,N($J498))))</f>
        <v>0</v>
      </c>
      <c r="AH498" s="57" t="n">
        <f aca="false">IF(OR(OR($B498="",$E498="",$F498=""),$L498&lt;&gt;"لا"),0,MAX(0,MIN($F498,EOMONTH(DATE(cfg_FY,1,1),0))-$E498+1))</f>
        <v>0</v>
      </c>
      <c r="AI498" s="57" t="n">
        <f aca="false">IF(OR(OR($B498="",$E498="",$F498=""),$L498&lt;&gt;"لا"),0,MAX(0,MIN($F498,EOMONTH(DATE(cfg_FY,2,1),0))-$E498+1))</f>
        <v>0</v>
      </c>
      <c r="AJ498" s="57" t="n">
        <f aca="false">IF(OR(OR($B498="",$E498="",$F498=""),$L498&lt;&gt;"لا"),0,MAX(0,MIN($F498,EOMONTH(DATE(cfg_FY,3,1),0))-$E498+1))</f>
        <v>0</v>
      </c>
      <c r="AK498" s="57" t="n">
        <f aca="false">IF(OR(OR($B498="",$E498="",$F498=""),$L498&lt;&gt;"لا"),0,MAX(0,MIN($F498,EOMONTH(DATE(cfg_FY,4,1),0))-$E498+1))</f>
        <v>0</v>
      </c>
      <c r="AL498" s="57" t="n">
        <f aca="false">IF(OR(OR($B498="",$E498="",$F498=""),$L498&lt;&gt;"لا"),0,MAX(0,MIN($F498,EOMONTH(DATE(cfg_FY,5,1),0))-$E498+1))</f>
        <v>0</v>
      </c>
      <c r="AM498" s="57" t="n">
        <f aca="false">IF(OR(OR($B498="",$E498="",$F498=""),$L498&lt;&gt;"لا"),0,MAX(0,MIN($F498,EOMONTH(DATE(cfg_FY,6,1),0))-$E498+1))</f>
        <v>0</v>
      </c>
      <c r="AN498" s="57" t="n">
        <f aca="false">IF(OR(OR($B498="",$E498="",$F498=""),$L498&lt;&gt;"لا"),0,MAX(0,MIN($F498,EOMONTH(DATE(cfg_FY,7,1),0))-$E498+1))</f>
        <v>0</v>
      </c>
      <c r="AO498" s="57" t="n">
        <f aca="false">IF(OR(OR($B498="",$E498="",$F498=""),$L498&lt;&gt;"لا"),0,MAX(0,MIN($F498,EOMONTH(DATE(cfg_FY,8,1),0))-$E498+1))</f>
        <v>0</v>
      </c>
      <c r="AP498" s="57" t="n">
        <f aca="false">IF(OR(OR($B498="",$E498="",$F498=""),$L498&lt;&gt;"لا"),0,MAX(0,MIN($F498,EOMONTH(DATE(cfg_FY,9,1),0))-$E498+1))</f>
        <v>0</v>
      </c>
      <c r="AQ498" s="57" t="n">
        <f aca="false">IF(OR(OR($B498="",$E498="",$F498=""),$L498&lt;&gt;"لا"),0,MAX(0,MIN($F498,EOMONTH(DATE(cfg_FY,10,1),0))-$E498+1))</f>
        <v>0</v>
      </c>
      <c r="AR498" s="57" t="n">
        <f aca="false">IF(OR(OR($B498="",$E498="",$F498=""),$L498&lt;&gt;"لا"),0,MAX(0,MIN($F498,EOMONTH(DATE(cfg_FY,11,1),0))-$E498+1))</f>
        <v>0</v>
      </c>
      <c r="AS498" s="57" t="n">
        <f aca="false">IF(OR(OR($B498="",$E498="",$F498=""),$L498&lt;&gt;"لا"),0,MAX(0,MIN($F498,EOMONTH(DATE(cfg_FY,12,1),0))-$E498+1))</f>
        <v>0</v>
      </c>
      <c r="AT498" s="57" t="n">
        <f aca="false">IF(OR(OR($B498="",$E498="",$F498=""),$K498&lt;&gt;"نعم",$M498="نعم"),0,MAX(0,MIN($F498,EOMONTH(DATE(cfg_FY,1,1),0))-MAX($E498,DATE(cfg_FY,1,1))+1))</f>
        <v>0</v>
      </c>
      <c r="AU498" s="57" t="n">
        <f aca="false">IF(OR(OR($B498="",$E498="",$F498=""),$K498&lt;&gt;"نعم",$M498="نعم"),0,MAX(0,MIN($F498,EOMONTH(DATE(cfg_FY,2,1),0))-MAX($E498,DATE(cfg_FY,2,1))+1))</f>
        <v>0</v>
      </c>
      <c r="AV498" s="57" t="n">
        <f aca="false">IF(OR(OR($B498="",$E498="",$F498=""),$K498&lt;&gt;"نعم",$M498="نعم"),0,MAX(0,MIN($F498,EOMONTH(DATE(cfg_FY,3,1),0))-MAX($E498,DATE(cfg_FY,3,1))+1))</f>
        <v>0</v>
      </c>
      <c r="AW498" s="57" t="n">
        <f aca="false">IF(OR(OR($B498="",$E498="",$F498=""),$K498&lt;&gt;"نعم",$M498="نعم"),0,MAX(0,MIN($F498,EOMONTH(DATE(cfg_FY,4,1),0))-MAX($E498,DATE(cfg_FY,4,1))+1))</f>
        <v>0</v>
      </c>
      <c r="AX498" s="57" t="n">
        <f aca="false">IF(OR(OR($B498="",$E498="",$F498=""),$K498&lt;&gt;"نعم",$M498="نعم"),0,MAX(0,MIN($F498,EOMONTH(DATE(cfg_FY,5,1),0))-MAX($E498,DATE(cfg_FY,5,1))+1))</f>
        <v>0</v>
      </c>
      <c r="AY498" s="57" t="n">
        <f aca="false">IF(OR(OR($B498="",$E498="",$F498=""),$K498&lt;&gt;"نعم",$M498="نعم"),0,MAX(0,MIN($F498,EOMONTH(DATE(cfg_FY,6,1),0))-MAX($E498,DATE(cfg_FY,6,1))+1))</f>
        <v>0</v>
      </c>
      <c r="AZ498" s="57" t="n">
        <f aca="false">IF(OR(OR($B498="",$E498="",$F498=""),$K498&lt;&gt;"نعم",$M498="نعم"),0,MAX(0,MIN($F498,EOMONTH(DATE(cfg_FY,7,1),0))-MAX($E498,DATE(cfg_FY,7,1))+1))</f>
        <v>0</v>
      </c>
      <c r="BA498" s="57" t="n">
        <f aca="false">IF(OR(OR($B498="",$E498="",$F498=""),$K498&lt;&gt;"نعم",$M498="نعم"),0,MAX(0,MIN($F498,EOMONTH(DATE(cfg_FY,8,1),0))-MAX($E498,DATE(cfg_FY,8,1))+1))</f>
        <v>0</v>
      </c>
      <c r="BB498" s="57" t="n">
        <f aca="false">IF(OR(OR($B498="",$E498="",$F498=""),$K498&lt;&gt;"نعم",$M498="نعم"),0,MAX(0,MIN($F498,EOMONTH(DATE(cfg_FY,9,1),0))-MAX($E498,DATE(cfg_FY,9,1))+1))</f>
        <v>0</v>
      </c>
      <c r="BC498" s="57" t="n">
        <f aca="false">IF(OR(OR($B498="",$E498="",$F498=""),$K498&lt;&gt;"نعم",$M498="نعم"),0,MAX(0,MIN($F498,EOMONTH(DATE(cfg_FY,10,1),0))-MAX($E498,DATE(cfg_FY,10,1))+1))</f>
        <v>0</v>
      </c>
      <c r="BD498" s="57" t="n">
        <f aca="false">IF(OR(OR($B498="",$E498="",$F498=""),$K498&lt;&gt;"نعم",$M498="نعم"),0,MAX(0,MIN($F498,EOMONTH(DATE(cfg_FY,11,1),0))-MAX($E498,DATE(cfg_FY,11,1))+1))</f>
        <v>0</v>
      </c>
      <c r="BE498" s="57" t="n">
        <f aca="false">IF(OR(OR($B498="",$E498="",$F498=""),$K498&lt;&gt;"نعم",$M498="نعم"),0,MAX(0,MIN($F498,EOMONTH(DATE(cfg_FY,12,1),0))-MAX($E498,DATE(cfg_FY,12,1))+1))</f>
        <v>0</v>
      </c>
    </row>
    <row r="499" customFormat="false" ht="15" hidden="false" customHeight="false" outlineLevel="0" collapsed="false">
      <c r="A499" s="100" t="str">
        <f aca="false">IF(B499="","",ROW()-5)</f>
        <v/>
      </c>
      <c r="B499" s="79"/>
      <c r="C499" s="102" t="str">
        <f aca="false">IF(B499="","",IFERROR(INDEX(الموظفون!$C$6:$C$105,MATCH(B499,الموظفون!$B$6:$B$105,0)),"✖ رقم غير موجود"))</f>
        <v/>
      </c>
      <c r="D499" s="79"/>
      <c r="E499" s="94"/>
      <c r="F499" s="94"/>
      <c r="G499" s="110" t="str">
        <f aca="false">IF(OR($B499="",$E499="",$F499=""),"",MAX(0,F499-E499+1))</f>
        <v/>
      </c>
      <c r="H499" s="111" t="str">
        <f aca="false">IF(D499="","",IFERROR(VLOOKUP(D499,cfg_LT,2,FALSE()),1))</f>
        <v/>
      </c>
      <c r="I499" s="82"/>
      <c r="J499" s="111" t="str">
        <f aca="false">IF(D499="","",IF(I499&lt;&gt;"",I499,H499))</f>
        <v/>
      </c>
      <c r="K499" s="102" t="str">
        <f aca="false">IF(D499="","",IFERROR(VLOOKUP($D499,cfg_LT,3,FALSE()),""))</f>
        <v/>
      </c>
      <c r="L499" s="102" t="str">
        <f aca="false">IF(D499="","",IFERROR(VLOOKUP($D499,cfg_LT,4,FALSE()),""))</f>
        <v/>
      </c>
      <c r="M499" s="102" t="str">
        <f aca="false">IF(D499="","",IFERROR(VLOOKUP($D499,cfg_LT,5,FALSE()),""))</f>
        <v/>
      </c>
      <c r="N499" s="101" t="n">
        <f aca="false">IF(OR(OR($B499="",$E499="",$F499=""),M499&lt;&gt;"نعم"),0,G499*J499*IFERROR(INDEX(الموظفون!$R$6:$R$105,MATCH(B499,الموظفون!$B$6:$B$105,0)),0)/cfg_DAYS_M)</f>
        <v>0</v>
      </c>
      <c r="O499" s="100" t="str">
        <f aca="false">IF(OR(OR($B499="",$E499="",$F499=""),M499&lt;&gt;"نعم"),"",IF(YEAR(E499)=cfg_FY,MONTH(E499),""))</f>
        <v/>
      </c>
      <c r="P499" s="102" t="str">
        <f aca="false">IF(B499="","",IF(OR(D499="",E499="",F499=""),"⚠ أكمل النوع والتواريخ",IF(F499&lt;E499,"✖ النهاية قبل البداية",IF(COUNTIFS($B$6:$B$505,B499,$E$6:$E$505,"&lt;="&amp;F499,$F$6:$F$505,"&gt;="&amp;E499)&gt;1,"⚠ تداخل مع سجل آخر",IF(E499&gt;cfg_VAL_DATE,"⏳ قادمة",IF(F499&lt;cfg_VAL_DATE,"✔ منتهية","✈ جارية في تاريخ التقرير"))))))</f>
        <v/>
      </c>
      <c r="Q499" s="79"/>
      <c r="R499" s="110" t="n">
        <f aca="false">IF(OR(OR($B499="",$E499="",$F499=""),L499&lt;&gt;"لا"),0,MAX(0,MIN(F499,cfg_Y_START-1)-E499+1))</f>
        <v>0</v>
      </c>
      <c r="S499" s="110" t="n">
        <f aca="false">IF(OR(OR($B499="",$E499="",$F499=""),L499&lt;&gt;"لا"),0,MAX(0,MIN(F499,cfg_VAL_DATE)-E499+1))</f>
        <v>0</v>
      </c>
      <c r="T499" s="110" t="n">
        <f aca="false">IF(OR(OR($B499="",$E499="",$F499=""),K499&lt;&gt;"نعم"),0,IF(M499="نعم",IF(AND(ISNUMBER(O499),N(O499)&lt;=cfg_VAL_M),G499,0),MAX(0,MIN(F499,cfg_VAL_DATE)-MAX(E499,cfg_Y_START)+1)))</f>
        <v>0</v>
      </c>
      <c r="V499" s="110" t="n">
        <f aca="false">IF(OR($B499="",$E499="",$F499=""),0,MAX(0,MIN($F499,EOMONTH(DATE(cfg_FY,1,1),0))-MAX($E499,DATE(cfg_FY,1,1))+1)*(1-IF($M499="نعم",0,N($J499))))</f>
        <v>0</v>
      </c>
      <c r="W499" s="110" t="n">
        <f aca="false">IF(OR($B499="",$E499="",$F499=""),0,MAX(0,MIN($F499,EOMONTH(DATE(cfg_FY,2,1),0))-MAX($E499,DATE(cfg_FY,2,1))+1)*(1-IF($M499="نعم",0,N($J499))))</f>
        <v>0</v>
      </c>
      <c r="X499" s="110" t="n">
        <f aca="false">IF(OR($B499="",$E499="",$F499=""),0,MAX(0,MIN($F499,EOMONTH(DATE(cfg_FY,3,1),0))-MAX($E499,DATE(cfg_FY,3,1))+1)*(1-IF($M499="نعم",0,N($J499))))</f>
        <v>0</v>
      </c>
      <c r="Y499" s="110" t="n">
        <f aca="false">IF(OR($B499="",$E499="",$F499=""),0,MAX(0,MIN($F499,EOMONTH(DATE(cfg_FY,4,1),0))-MAX($E499,DATE(cfg_FY,4,1))+1)*(1-IF($M499="نعم",0,N($J499))))</f>
        <v>0</v>
      </c>
      <c r="Z499" s="110" t="n">
        <f aca="false">IF(OR($B499="",$E499="",$F499=""),0,MAX(0,MIN($F499,EOMONTH(DATE(cfg_FY,5,1),0))-MAX($E499,DATE(cfg_FY,5,1))+1)*(1-IF($M499="نعم",0,N($J499))))</f>
        <v>0</v>
      </c>
      <c r="AA499" s="110" t="n">
        <f aca="false">IF(OR($B499="",$E499="",$F499=""),0,MAX(0,MIN($F499,EOMONTH(DATE(cfg_FY,6,1),0))-MAX($E499,DATE(cfg_FY,6,1))+1)*(1-IF($M499="نعم",0,N($J499))))</f>
        <v>0</v>
      </c>
      <c r="AB499" s="110" t="n">
        <f aca="false">IF(OR($B499="",$E499="",$F499=""),0,MAX(0,MIN($F499,EOMONTH(DATE(cfg_FY,7,1),0))-MAX($E499,DATE(cfg_FY,7,1))+1)*(1-IF($M499="نعم",0,N($J499))))</f>
        <v>0</v>
      </c>
      <c r="AC499" s="110" t="n">
        <f aca="false">IF(OR($B499="",$E499="",$F499=""),0,MAX(0,MIN($F499,EOMONTH(DATE(cfg_FY,8,1),0))-MAX($E499,DATE(cfg_FY,8,1))+1)*(1-IF($M499="نعم",0,N($J499))))</f>
        <v>0</v>
      </c>
      <c r="AD499" s="110" t="n">
        <f aca="false">IF(OR($B499="",$E499="",$F499=""),0,MAX(0,MIN($F499,EOMONTH(DATE(cfg_FY,9,1),0))-MAX($E499,DATE(cfg_FY,9,1))+1)*(1-IF($M499="نعم",0,N($J499))))</f>
        <v>0</v>
      </c>
      <c r="AE499" s="110" t="n">
        <f aca="false">IF(OR($B499="",$E499="",$F499=""),0,MAX(0,MIN($F499,EOMONTH(DATE(cfg_FY,10,1),0))-MAX($E499,DATE(cfg_FY,10,1))+1)*(1-IF($M499="نعم",0,N($J499))))</f>
        <v>0</v>
      </c>
      <c r="AF499" s="110" t="n">
        <f aca="false">IF(OR($B499="",$E499="",$F499=""),0,MAX(0,MIN($F499,EOMONTH(DATE(cfg_FY,11,1),0))-MAX($E499,DATE(cfg_FY,11,1))+1)*(1-IF($M499="نعم",0,N($J499))))</f>
        <v>0</v>
      </c>
      <c r="AG499" s="110" t="n">
        <f aca="false">IF(OR($B499="",$E499="",$F499=""),0,MAX(0,MIN($F499,EOMONTH(DATE(cfg_FY,12,1),0))-MAX($E499,DATE(cfg_FY,12,1))+1)*(1-IF($M499="نعم",0,N($J499))))</f>
        <v>0</v>
      </c>
      <c r="AH499" s="110" t="n">
        <f aca="false">IF(OR(OR($B499="",$E499="",$F499=""),$L499&lt;&gt;"لا"),0,MAX(0,MIN($F499,EOMONTH(DATE(cfg_FY,1,1),0))-$E499+1))</f>
        <v>0</v>
      </c>
      <c r="AI499" s="110" t="n">
        <f aca="false">IF(OR(OR($B499="",$E499="",$F499=""),$L499&lt;&gt;"لا"),0,MAX(0,MIN($F499,EOMONTH(DATE(cfg_FY,2,1),0))-$E499+1))</f>
        <v>0</v>
      </c>
      <c r="AJ499" s="110" t="n">
        <f aca="false">IF(OR(OR($B499="",$E499="",$F499=""),$L499&lt;&gt;"لا"),0,MAX(0,MIN($F499,EOMONTH(DATE(cfg_FY,3,1),0))-$E499+1))</f>
        <v>0</v>
      </c>
      <c r="AK499" s="110" t="n">
        <f aca="false">IF(OR(OR($B499="",$E499="",$F499=""),$L499&lt;&gt;"لا"),0,MAX(0,MIN($F499,EOMONTH(DATE(cfg_FY,4,1),0))-$E499+1))</f>
        <v>0</v>
      </c>
      <c r="AL499" s="110" t="n">
        <f aca="false">IF(OR(OR($B499="",$E499="",$F499=""),$L499&lt;&gt;"لا"),0,MAX(0,MIN($F499,EOMONTH(DATE(cfg_FY,5,1),0))-$E499+1))</f>
        <v>0</v>
      </c>
      <c r="AM499" s="110" t="n">
        <f aca="false">IF(OR(OR($B499="",$E499="",$F499=""),$L499&lt;&gt;"لا"),0,MAX(0,MIN($F499,EOMONTH(DATE(cfg_FY,6,1),0))-$E499+1))</f>
        <v>0</v>
      </c>
      <c r="AN499" s="110" t="n">
        <f aca="false">IF(OR(OR($B499="",$E499="",$F499=""),$L499&lt;&gt;"لا"),0,MAX(0,MIN($F499,EOMONTH(DATE(cfg_FY,7,1),0))-$E499+1))</f>
        <v>0</v>
      </c>
      <c r="AO499" s="110" t="n">
        <f aca="false">IF(OR(OR($B499="",$E499="",$F499=""),$L499&lt;&gt;"لا"),0,MAX(0,MIN($F499,EOMONTH(DATE(cfg_FY,8,1),0))-$E499+1))</f>
        <v>0</v>
      </c>
      <c r="AP499" s="110" t="n">
        <f aca="false">IF(OR(OR($B499="",$E499="",$F499=""),$L499&lt;&gt;"لا"),0,MAX(0,MIN($F499,EOMONTH(DATE(cfg_FY,9,1),0))-$E499+1))</f>
        <v>0</v>
      </c>
      <c r="AQ499" s="110" t="n">
        <f aca="false">IF(OR(OR($B499="",$E499="",$F499=""),$L499&lt;&gt;"لا"),0,MAX(0,MIN($F499,EOMONTH(DATE(cfg_FY,10,1),0))-$E499+1))</f>
        <v>0</v>
      </c>
      <c r="AR499" s="110" t="n">
        <f aca="false">IF(OR(OR($B499="",$E499="",$F499=""),$L499&lt;&gt;"لا"),0,MAX(0,MIN($F499,EOMONTH(DATE(cfg_FY,11,1),0))-$E499+1))</f>
        <v>0</v>
      </c>
      <c r="AS499" s="110" t="n">
        <f aca="false">IF(OR(OR($B499="",$E499="",$F499=""),$L499&lt;&gt;"لا"),0,MAX(0,MIN($F499,EOMONTH(DATE(cfg_FY,12,1),0))-$E499+1))</f>
        <v>0</v>
      </c>
      <c r="AT499" s="110" t="n">
        <f aca="false">IF(OR(OR($B499="",$E499="",$F499=""),$K499&lt;&gt;"نعم",$M499="نعم"),0,MAX(0,MIN($F499,EOMONTH(DATE(cfg_FY,1,1),0))-MAX($E499,DATE(cfg_FY,1,1))+1))</f>
        <v>0</v>
      </c>
      <c r="AU499" s="110" t="n">
        <f aca="false">IF(OR(OR($B499="",$E499="",$F499=""),$K499&lt;&gt;"نعم",$M499="نعم"),0,MAX(0,MIN($F499,EOMONTH(DATE(cfg_FY,2,1),0))-MAX($E499,DATE(cfg_FY,2,1))+1))</f>
        <v>0</v>
      </c>
      <c r="AV499" s="110" t="n">
        <f aca="false">IF(OR(OR($B499="",$E499="",$F499=""),$K499&lt;&gt;"نعم",$M499="نعم"),0,MAX(0,MIN($F499,EOMONTH(DATE(cfg_FY,3,1),0))-MAX($E499,DATE(cfg_FY,3,1))+1))</f>
        <v>0</v>
      </c>
      <c r="AW499" s="110" t="n">
        <f aca="false">IF(OR(OR($B499="",$E499="",$F499=""),$K499&lt;&gt;"نعم",$M499="نعم"),0,MAX(0,MIN($F499,EOMONTH(DATE(cfg_FY,4,1),0))-MAX($E499,DATE(cfg_FY,4,1))+1))</f>
        <v>0</v>
      </c>
      <c r="AX499" s="110" t="n">
        <f aca="false">IF(OR(OR($B499="",$E499="",$F499=""),$K499&lt;&gt;"نعم",$M499="نعم"),0,MAX(0,MIN($F499,EOMONTH(DATE(cfg_FY,5,1),0))-MAX($E499,DATE(cfg_FY,5,1))+1))</f>
        <v>0</v>
      </c>
      <c r="AY499" s="110" t="n">
        <f aca="false">IF(OR(OR($B499="",$E499="",$F499=""),$K499&lt;&gt;"نعم",$M499="نعم"),0,MAX(0,MIN($F499,EOMONTH(DATE(cfg_FY,6,1),0))-MAX($E499,DATE(cfg_FY,6,1))+1))</f>
        <v>0</v>
      </c>
      <c r="AZ499" s="110" t="n">
        <f aca="false">IF(OR(OR($B499="",$E499="",$F499=""),$K499&lt;&gt;"نعم",$M499="نعم"),0,MAX(0,MIN($F499,EOMONTH(DATE(cfg_FY,7,1),0))-MAX($E499,DATE(cfg_FY,7,1))+1))</f>
        <v>0</v>
      </c>
      <c r="BA499" s="110" t="n">
        <f aca="false">IF(OR(OR($B499="",$E499="",$F499=""),$K499&lt;&gt;"نعم",$M499="نعم"),0,MAX(0,MIN($F499,EOMONTH(DATE(cfg_FY,8,1),0))-MAX($E499,DATE(cfg_FY,8,1))+1))</f>
        <v>0</v>
      </c>
      <c r="BB499" s="110" t="n">
        <f aca="false">IF(OR(OR($B499="",$E499="",$F499=""),$K499&lt;&gt;"نعم",$M499="نعم"),0,MAX(0,MIN($F499,EOMONTH(DATE(cfg_FY,9,1),0))-MAX($E499,DATE(cfg_FY,9,1))+1))</f>
        <v>0</v>
      </c>
      <c r="BC499" s="110" t="n">
        <f aca="false">IF(OR(OR($B499="",$E499="",$F499=""),$K499&lt;&gt;"نعم",$M499="نعم"),0,MAX(0,MIN($F499,EOMONTH(DATE(cfg_FY,10,1),0))-MAX($E499,DATE(cfg_FY,10,1))+1))</f>
        <v>0</v>
      </c>
      <c r="BD499" s="110" t="n">
        <f aca="false">IF(OR(OR($B499="",$E499="",$F499=""),$K499&lt;&gt;"نعم",$M499="نعم"),0,MAX(0,MIN($F499,EOMONTH(DATE(cfg_FY,11,1),0))-MAX($E499,DATE(cfg_FY,11,1))+1))</f>
        <v>0</v>
      </c>
      <c r="BE499" s="110" t="n">
        <f aca="false">IF(OR(OR($B499="",$E499="",$F499=""),$K499&lt;&gt;"نعم",$M499="نعم"),0,MAX(0,MIN($F499,EOMONTH(DATE(cfg_FY,12,1),0))-MAX($E499,DATE(cfg_FY,12,1))+1))</f>
        <v>0</v>
      </c>
    </row>
    <row r="500" customFormat="false" ht="15" hidden="false" customHeight="false" outlineLevel="0" collapsed="false">
      <c r="A500" s="93" t="str">
        <f aca="false">IF(B500="","",ROW()-5)</f>
        <v/>
      </c>
      <c r="B500" s="79"/>
      <c r="C500" s="80" t="str">
        <f aca="false">IF(B500="","",IFERROR(INDEX(الموظفون!$C$6:$C$105,MATCH(B500,الموظفون!$B$6:$B$105,0)),"✖ رقم غير موجود"))</f>
        <v/>
      </c>
      <c r="D500" s="79"/>
      <c r="E500" s="94"/>
      <c r="F500" s="94"/>
      <c r="G500" s="57" t="str">
        <f aca="false">IF(OR($B500="",$E500="",$F500=""),"",MAX(0,F500-E500+1))</f>
        <v/>
      </c>
      <c r="H500" s="58" t="str">
        <f aca="false">IF(D500="","",IFERROR(VLOOKUP(D500,cfg_LT,2,FALSE()),1))</f>
        <v/>
      </c>
      <c r="I500" s="82"/>
      <c r="J500" s="58" t="str">
        <f aca="false">IF(D500="","",IF(I500&lt;&gt;"",I500,H500))</f>
        <v/>
      </c>
      <c r="K500" s="80" t="str">
        <f aca="false">IF(D500="","",IFERROR(VLOOKUP($D500,cfg_LT,3,FALSE()),""))</f>
        <v/>
      </c>
      <c r="L500" s="80" t="str">
        <f aca="false">IF(D500="","",IFERROR(VLOOKUP($D500,cfg_LT,4,FALSE()),""))</f>
        <v/>
      </c>
      <c r="M500" s="80" t="str">
        <f aca="false">IF(D500="","",IFERROR(VLOOKUP($D500,cfg_LT,5,FALSE()),""))</f>
        <v/>
      </c>
      <c r="N500" s="97" t="n">
        <f aca="false">IF(OR(OR($B500="",$E500="",$F500=""),M500&lt;&gt;"نعم"),0,G500*J500*IFERROR(INDEX(الموظفون!$R$6:$R$105,MATCH(B500,الموظفون!$B$6:$B$105,0)),0)/cfg_DAYS_M)</f>
        <v>0</v>
      </c>
      <c r="O500" s="93" t="str">
        <f aca="false">IF(OR(OR($B500="",$E500="",$F500=""),M500&lt;&gt;"نعم"),"",IF(YEAR(E500)=cfg_FY,MONTH(E500),""))</f>
        <v/>
      </c>
      <c r="P500" s="80" t="str">
        <f aca="false">IF(B500="","",IF(OR(D500="",E500="",F500=""),"⚠ أكمل النوع والتواريخ",IF(F500&lt;E500,"✖ النهاية قبل البداية",IF(COUNTIFS($B$6:$B$505,B500,$E$6:$E$505,"&lt;="&amp;F500,$F$6:$F$505,"&gt;="&amp;E500)&gt;1,"⚠ تداخل مع سجل آخر",IF(E500&gt;cfg_VAL_DATE,"⏳ قادمة",IF(F500&lt;cfg_VAL_DATE,"✔ منتهية","✈ جارية في تاريخ التقرير"))))))</f>
        <v/>
      </c>
      <c r="Q500" s="79"/>
      <c r="R500" s="57" t="n">
        <f aca="false">IF(OR(OR($B500="",$E500="",$F500=""),L500&lt;&gt;"لا"),0,MAX(0,MIN(F500,cfg_Y_START-1)-E500+1))</f>
        <v>0</v>
      </c>
      <c r="S500" s="57" t="n">
        <f aca="false">IF(OR(OR($B500="",$E500="",$F500=""),L500&lt;&gt;"لا"),0,MAX(0,MIN(F500,cfg_VAL_DATE)-E500+1))</f>
        <v>0</v>
      </c>
      <c r="T500" s="57" t="n">
        <f aca="false">IF(OR(OR($B500="",$E500="",$F500=""),K500&lt;&gt;"نعم"),0,IF(M500="نعم",IF(AND(ISNUMBER(O500),N(O500)&lt;=cfg_VAL_M),G500,0),MAX(0,MIN(F500,cfg_VAL_DATE)-MAX(E500,cfg_Y_START)+1)))</f>
        <v>0</v>
      </c>
      <c r="V500" s="57" t="n">
        <f aca="false">IF(OR($B500="",$E500="",$F500=""),0,MAX(0,MIN($F500,EOMONTH(DATE(cfg_FY,1,1),0))-MAX($E500,DATE(cfg_FY,1,1))+1)*(1-IF($M500="نعم",0,N($J500))))</f>
        <v>0</v>
      </c>
      <c r="W500" s="57" t="n">
        <f aca="false">IF(OR($B500="",$E500="",$F500=""),0,MAX(0,MIN($F500,EOMONTH(DATE(cfg_FY,2,1),0))-MAX($E500,DATE(cfg_FY,2,1))+1)*(1-IF($M500="نعم",0,N($J500))))</f>
        <v>0</v>
      </c>
      <c r="X500" s="57" t="n">
        <f aca="false">IF(OR($B500="",$E500="",$F500=""),0,MAX(0,MIN($F500,EOMONTH(DATE(cfg_FY,3,1),0))-MAX($E500,DATE(cfg_FY,3,1))+1)*(1-IF($M500="نعم",0,N($J500))))</f>
        <v>0</v>
      </c>
      <c r="Y500" s="57" t="n">
        <f aca="false">IF(OR($B500="",$E500="",$F500=""),0,MAX(0,MIN($F500,EOMONTH(DATE(cfg_FY,4,1),0))-MAX($E500,DATE(cfg_FY,4,1))+1)*(1-IF($M500="نعم",0,N($J500))))</f>
        <v>0</v>
      </c>
      <c r="Z500" s="57" t="n">
        <f aca="false">IF(OR($B500="",$E500="",$F500=""),0,MAX(0,MIN($F500,EOMONTH(DATE(cfg_FY,5,1),0))-MAX($E500,DATE(cfg_FY,5,1))+1)*(1-IF($M500="نعم",0,N($J500))))</f>
        <v>0</v>
      </c>
      <c r="AA500" s="57" t="n">
        <f aca="false">IF(OR($B500="",$E500="",$F500=""),0,MAX(0,MIN($F500,EOMONTH(DATE(cfg_FY,6,1),0))-MAX($E500,DATE(cfg_FY,6,1))+1)*(1-IF($M500="نعم",0,N($J500))))</f>
        <v>0</v>
      </c>
      <c r="AB500" s="57" t="n">
        <f aca="false">IF(OR($B500="",$E500="",$F500=""),0,MAX(0,MIN($F500,EOMONTH(DATE(cfg_FY,7,1),0))-MAX($E500,DATE(cfg_FY,7,1))+1)*(1-IF($M500="نعم",0,N($J500))))</f>
        <v>0</v>
      </c>
      <c r="AC500" s="57" t="n">
        <f aca="false">IF(OR($B500="",$E500="",$F500=""),0,MAX(0,MIN($F500,EOMONTH(DATE(cfg_FY,8,1),0))-MAX($E500,DATE(cfg_FY,8,1))+1)*(1-IF($M500="نعم",0,N($J500))))</f>
        <v>0</v>
      </c>
      <c r="AD500" s="57" t="n">
        <f aca="false">IF(OR($B500="",$E500="",$F500=""),0,MAX(0,MIN($F500,EOMONTH(DATE(cfg_FY,9,1),0))-MAX($E500,DATE(cfg_FY,9,1))+1)*(1-IF($M500="نعم",0,N($J500))))</f>
        <v>0</v>
      </c>
      <c r="AE500" s="57" t="n">
        <f aca="false">IF(OR($B500="",$E500="",$F500=""),0,MAX(0,MIN($F500,EOMONTH(DATE(cfg_FY,10,1),0))-MAX($E500,DATE(cfg_FY,10,1))+1)*(1-IF($M500="نعم",0,N($J500))))</f>
        <v>0</v>
      </c>
      <c r="AF500" s="57" t="n">
        <f aca="false">IF(OR($B500="",$E500="",$F500=""),0,MAX(0,MIN($F500,EOMONTH(DATE(cfg_FY,11,1),0))-MAX($E500,DATE(cfg_FY,11,1))+1)*(1-IF($M500="نعم",0,N($J500))))</f>
        <v>0</v>
      </c>
      <c r="AG500" s="57" t="n">
        <f aca="false">IF(OR($B500="",$E500="",$F500=""),0,MAX(0,MIN($F500,EOMONTH(DATE(cfg_FY,12,1),0))-MAX($E500,DATE(cfg_FY,12,1))+1)*(1-IF($M500="نعم",0,N($J500))))</f>
        <v>0</v>
      </c>
      <c r="AH500" s="57" t="n">
        <f aca="false">IF(OR(OR($B500="",$E500="",$F500=""),$L500&lt;&gt;"لا"),0,MAX(0,MIN($F500,EOMONTH(DATE(cfg_FY,1,1),0))-$E500+1))</f>
        <v>0</v>
      </c>
      <c r="AI500" s="57" t="n">
        <f aca="false">IF(OR(OR($B500="",$E500="",$F500=""),$L500&lt;&gt;"لا"),0,MAX(0,MIN($F500,EOMONTH(DATE(cfg_FY,2,1),0))-$E500+1))</f>
        <v>0</v>
      </c>
      <c r="AJ500" s="57" t="n">
        <f aca="false">IF(OR(OR($B500="",$E500="",$F500=""),$L500&lt;&gt;"لا"),0,MAX(0,MIN($F500,EOMONTH(DATE(cfg_FY,3,1),0))-$E500+1))</f>
        <v>0</v>
      </c>
      <c r="AK500" s="57" t="n">
        <f aca="false">IF(OR(OR($B500="",$E500="",$F500=""),$L500&lt;&gt;"لا"),0,MAX(0,MIN($F500,EOMONTH(DATE(cfg_FY,4,1),0))-$E500+1))</f>
        <v>0</v>
      </c>
      <c r="AL500" s="57" t="n">
        <f aca="false">IF(OR(OR($B500="",$E500="",$F500=""),$L500&lt;&gt;"لا"),0,MAX(0,MIN($F500,EOMONTH(DATE(cfg_FY,5,1),0))-$E500+1))</f>
        <v>0</v>
      </c>
      <c r="AM500" s="57" t="n">
        <f aca="false">IF(OR(OR($B500="",$E500="",$F500=""),$L500&lt;&gt;"لا"),0,MAX(0,MIN($F500,EOMONTH(DATE(cfg_FY,6,1),0))-$E500+1))</f>
        <v>0</v>
      </c>
      <c r="AN500" s="57" t="n">
        <f aca="false">IF(OR(OR($B500="",$E500="",$F500=""),$L500&lt;&gt;"لا"),0,MAX(0,MIN($F500,EOMONTH(DATE(cfg_FY,7,1),0))-$E500+1))</f>
        <v>0</v>
      </c>
      <c r="AO500" s="57" t="n">
        <f aca="false">IF(OR(OR($B500="",$E500="",$F500=""),$L500&lt;&gt;"لا"),0,MAX(0,MIN($F500,EOMONTH(DATE(cfg_FY,8,1),0))-$E500+1))</f>
        <v>0</v>
      </c>
      <c r="AP500" s="57" t="n">
        <f aca="false">IF(OR(OR($B500="",$E500="",$F500=""),$L500&lt;&gt;"لا"),0,MAX(0,MIN($F500,EOMONTH(DATE(cfg_FY,9,1),0))-$E500+1))</f>
        <v>0</v>
      </c>
      <c r="AQ500" s="57" t="n">
        <f aca="false">IF(OR(OR($B500="",$E500="",$F500=""),$L500&lt;&gt;"لا"),0,MAX(0,MIN($F500,EOMONTH(DATE(cfg_FY,10,1),0))-$E500+1))</f>
        <v>0</v>
      </c>
      <c r="AR500" s="57" t="n">
        <f aca="false">IF(OR(OR($B500="",$E500="",$F500=""),$L500&lt;&gt;"لا"),0,MAX(0,MIN($F500,EOMONTH(DATE(cfg_FY,11,1),0))-$E500+1))</f>
        <v>0</v>
      </c>
      <c r="AS500" s="57" t="n">
        <f aca="false">IF(OR(OR($B500="",$E500="",$F500=""),$L500&lt;&gt;"لا"),0,MAX(0,MIN($F500,EOMONTH(DATE(cfg_FY,12,1),0))-$E500+1))</f>
        <v>0</v>
      </c>
      <c r="AT500" s="57" t="n">
        <f aca="false">IF(OR(OR($B500="",$E500="",$F500=""),$K500&lt;&gt;"نعم",$M500="نعم"),0,MAX(0,MIN($F500,EOMONTH(DATE(cfg_FY,1,1),0))-MAX($E500,DATE(cfg_FY,1,1))+1))</f>
        <v>0</v>
      </c>
      <c r="AU500" s="57" t="n">
        <f aca="false">IF(OR(OR($B500="",$E500="",$F500=""),$K500&lt;&gt;"نعم",$M500="نعم"),0,MAX(0,MIN($F500,EOMONTH(DATE(cfg_FY,2,1),0))-MAX($E500,DATE(cfg_FY,2,1))+1))</f>
        <v>0</v>
      </c>
      <c r="AV500" s="57" t="n">
        <f aca="false">IF(OR(OR($B500="",$E500="",$F500=""),$K500&lt;&gt;"نعم",$M500="نعم"),0,MAX(0,MIN($F500,EOMONTH(DATE(cfg_FY,3,1),0))-MAX($E500,DATE(cfg_FY,3,1))+1))</f>
        <v>0</v>
      </c>
      <c r="AW500" s="57" t="n">
        <f aca="false">IF(OR(OR($B500="",$E500="",$F500=""),$K500&lt;&gt;"نعم",$M500="نعم"),0,MAX(0,MIN($F500,EOMONTH(DATE(cfg_FY,4,1),0))-MAX($E500,DATE(cfg_FY,4,1))+1))</f>
        <v>0</v>
      </c>
      <c r="AX500" s="57" t="n">
        <f aca="false">IF(OR(OR($B500="",$E500="",$F500=""),$K500&lt;&gt;"نعم",$M500="نعم"),0,MAX(0,MIN($F500,EOMONTH(DATE(cfg_FY,5,1),0))-MAX($E500,DATE(cfg_FY,5,1))+1))</f>
        <v>0</v>
      </c>
      <c r="AY500" s="57" t="n">
        <f aca="false">IF(OR(OR($B500="",$E500="",$F500=""),$K500&lt;&gt;"نعم",$M500="نعم"),0,MAX(0,MIN($F500,EOMONTH(DATE(cfg_FY,6,1),0))-MAX($E500,DATE(cfg_FY,6,1))+1))</f>
        <v>0</v>
      </c>
      <c r="AZ500" s="57" t="n">
        <f aca="false">IF(OR(OR($B500="",$E500="",$F500=""),$K500&lt;&gt;"نعم",$M500="نعم"),0,MAX(0,MIN($F500,EOMONTH(DATE(cfg_FY,7,1),0))-MAX($E500,DATE(cfg_FY,7,1))+1))</f>
        <v>0</v>
      </c>
      <c r="BA500" s="57" t="n">
        <f aca="false">IF(OR(OR($B500="",$E500="",$F500=""),$K500&lt;&gt;"نعم",$M500="نعم"),0,MAX(0,MIN($F500,EOMONTH(DATE(cfg_FY,8,1),0))-MAX($E500,DATE(cfg_FY,8,1))+1))</f>
        <v>0</v>
      </c>
      <c r="BB500" s="57" t="n">
        <f aca="false">IF(OR(OR($B500="",$E500="",$F500=""),$K500&lt;&gt;"نعم",$M500="نعم"),0,MAX(0,MIN($F500,EOMONTH(DATE(cfg_FY,9,1),0))-MAX($E500,DATE(cfg_FY,9,1))+1))</f>
        <v>0</v>
      </c>
      <c r="BC500" s="57" t="n">
        <f aca="false">IF(OR(OR($B500="",$E500="",$F500=""),$K500&lt;&gt;"نعم",$M500="نعم"),0,MAX(0,MIN($F500,EOMONTH(DATE(cfg_FY,10,1),0))-MAX($E500,DATE(cfg_FY,10,1))+1))</f>
        <v>0</v>
      </c>
      <c r="BD500" s="57" t="n">
        <f aca="false">IF(OR(OR($B500="",$E500="",$F500=""),$K500&lt;&gt;"نعم",$M500="نعم"),0,MAX(0,MIN($F500,EOMONTH(DATE(cfg_FY,11,1),0))-MAX($E500,DATE(cfg_FY,11,1))+1))</f>
        <v>0</v>
      </c>
      <c r="BE500" s="57" t="n">
        <f aca="false">IF(OR(OR($B500="",$E500="",$F500=""),$K500&lt;&gt;"نعم",$M500="نعم"),0,MAX(0,MIN($F500,EOMONTH(DATE(cfg_FY,12,1),0))-MAX($E500,DATE(cfg_FY,12,1))+1))</f>
        <v>0</v>
      </c>
    </row>
    <row r="501" customFormat="false" ht="15" hidden="false" customHeight="false" outlineLevel="0" collapsed="false">
      <c r="A501" s="100" t="str">
        <f aca="false">IF(B501="","",ROW()-5)</f>
        <v/>
      </c>
      <c r="B501" s="79"/>
      <c r="C501" s="102" t="str">
        <f aca="false">IF(B501="","",IFERROR(INDEX(الموظفون!$C$6:$C$105,MATCH(B501,الموظفون!$B$6:$B$105,0)),"✖ رقم غير موجود"))</f>
        <v/>
      </c>
      <c r="D501" s="79"/>
      <c r="E501" s="94"/>
      <c r="F501" s="94"/>
      <c r="G501" s="110" t="str">
        <f aca="false">IF(OR($B501="",$E501="",$F501=""),"",MAX(0,F501-E501+1))</f>
        <v/>
      </c>
      <c r="H501" s="111" t="str">
        <f aca="false">IF(D501="","",IFERROR(VLOOKUP(D501,cfg_LT,2,FALSE()),1))</f>
        <v/>
      </c>
      <c r="I501" s="82"/>
      <c r="J501" s="111" t="str">
        <f aca="false">IF(D501="","",IF(I501&lt;&gt;"",I501,H501))</f>
        <v/>
      </c>
      <c r="K501" s="102" t="str">
        <f aca="false">IF(D501="","",IFERROR(VLOOKUP($D501,cfg_LT,3,FALSE()),""))</f>
        <v/>
      </c>
      <c r="L501" s="102" t="str">
        <f aca="false">IF(D501="","",IFERROR(VLOOKUP($D501,cfg_LT,4,FALSE()),""))</f>
        <v/>
      </c>
      <c r="M501" s="102" t="str">
        <f aca="false">IF(D501="","",IFERROR(VLOOKUP($D501,cfg_LT,5,FALSE()),""))</f>
        <v/>
      </c>
      <c r="N501" s="101" t="n">
        <f aca="false">IF(OR(OR($B501="",$E501="",$F501=""),M501&lt;&gt;"نعم"),0,G501*J501*IFERROR(INDEX(الموظفون!$R$6:$R$105,MATCH(B501,الموظفون!$B$6:$B$105,0)),0)/cfg_DAYS_M)</f>
        <v>0</v>
      </c>
      <c r="O501" s="100" t="str">
        <f aca="false">IF(OR(OR($B501="",$E501="",$F501=""),M501&lt;&gt;"نعم"),"",IF(YEAR(E501)=cfg_FY,MONTH(E501),""))</f>
        <v/>
      </c>
      <c r="P501" s="102" t="str">
        <f aca="false">IF(B501="","",IF(OR(D501="",E501="",F501=""),"⚠ أكمل النوع والتواريخ",IF(F501&lt;E501,"✖ النهاية قبل البداية",IF(COUNTIFS($B$6:$B$505,B501,$E$6:$E$505,"&lt;="&amp;F501,$F$6:$F$505,"&gt;="&amp;E501)&gt;1,"⚠ تداخل مع سجل آخر",IF(E501&gt;cfg_VAL_DATE,"⏳ قادمة",IF(F501&lt;cfg_VAL_DATE,"✔ منتهية","✈ جارية في تاريخ التقرير"))))))</f>
        <v/>
      </c>
      <c r="Q501" s="79"/>
      <c r="R501" s="110" t="n">
        <f aca="false">IF(OR(OR($B501="",$E501="",$F501=""),L501&lt;&gt;"لا"),0,MAX(0,MIN(F501,cfg_Y_START-1)-E501+1))</f>
        <v>0</v>
      </c>
      <c r="S501" s="110" t="n">
        <f aca="false">IF(OR(OR($B501="",$E501="",$F501=""),L501&lt;&gt;"لا"),0,MAX(0,MIN(F501,cfg_VAL_DATE)-E501+1))</f>
        <v>0</v>
      </c>
      <c r="T501" s="110" t="n">
        <f aca="false">IF(OR(OR($B501="",$E501="",$F501=""),K501&lt;&gt;"نعم"),0,IF(M501="نعم",IF(AND(ISNUMBER(O501),N(O501)&lt;=cfg_VAL_M),G501,0),MAX(0,MIN(F501,cfg_VAL_DATE)-MAX(E501,cfg_Y_START)+1)))</f>
        <v>0</v>
      </c>
      <c r="V501" s="110" t="n">
        <f aca="false">IF(OR($B501="",$E501="",$F501=""),0,MAX(0,MIN($F501,EOMONTH(DATE(cfg_FY,1,1),0))-MAX($E501,DATE(cfg_FY,1,1))+1)*(1-IF($M501="نعم",0,N($J501))))</f>
        <v>0</v>
      </c>
      <c r="W501" s="110" t="n">
        <f aca="false">IF(OR($B501="",$E501="",$F501=""),0,MAX(0,MIN($F501,EOMONTH(DATE(cfg_FY,2,1),0))-MAX($E501,DATE(cfg_FY,2,1))+1)*(1-IF($M501="نعم",0,N($J501))))</f>
        <v>0</v>
      </c>
      <c r="X501" s="110" t="n">
        <f aca="false">IF(OR($B501="",$E501="",$F501=""),0,MAX(0,MIN($F501,EOMONTH(DATE(cfg_FY,3,1),0))-MAX($E501,DATE(cfg_FY,3,1))+1)*(1-IF($M501="نعم",0,N($J501))))</f>
        <v>0</v>
      </c>
      <c r="Y501" s="110" t="n">
        <f aca="false">IF(OR($B501="",$E501="",$F501=""),0,MAX(0,MIN($F501,EOMONTH(DATE(cfg_FY,4,1),0))-MAX($E501,DATE(cfg_FY,4,1))+1)*(1-IF($M501="نعم",0,N($J501))))</f>
        <v>0</v>
      </c>
      <c r="Z501" s="110" t="n">
        <f aca="false">IF(OR($B501="",$E501="",$F501=""),0,MAX(0,MIN($F501,EOMONTH(DATE(cfg_FY,5,1),0))-MAX($E501,DATE(cfg_FY,5,1))+1)*(1-IF($M501="نعم",0,N($J501))))</f>
        <v>0</v>
      </c>
      <c r="AA501" s="110" t="n">
        <f aca="false">IF(OR($B501="",$E501="",$F501=""),0,MAX(0,MIN($F501,EOMONTH(DATE(cfg_FY,6,1),0))-MAX($E501,DATE(cfg_FY,6,1))+1)*(1-IF($M501="نعم",0,N($J501))))</f>
        <v>0</v>
      </c>
      <c r="AB501" s="110" t="n">
        <f aca="false">IF(OR($B501="",$E501="",$F501=""),0,MAX(0,MIN($F501,EOMONTH(DATE(cfg_FY,7,1),0))-MAX($E501,DATE(cfg_FY,7,1))+1)*(1-IF($M501="نعم",0,N($J501))))</f>
        <v>0</v>
      </c>
      <c r="AC501" s="110" t="n">
        <f aca="false">IF(OR($B501="",$E501="",$F501=""),0,MAX(0,MIN($F501,EOMONTH(DATE(cfg_FY,8,1),0))-MAX($E501,DATE(cfg_FY,8,1))+1)*(1-IF($M501="نعم",0,N($J501))))</f>
        <v>0</v>
      </c>
      <c r="AD501" s="110" t="n">
        <f aca="false">IF(OR($B501="",$E501="",$F501=""),0,MAX(0,MIN($F501,EOMONTH(DATE(cfg_FY,9,1),0))-MAX($E501,DATE(cfg_FY,9,1))+1)*(1-IF($M501="نعم",0,N($J501))))</f>
        <v>0</v>
      </c>
      <c r="AE501" s="110" t="n">
        <f aca="false">IF(OR($B501="",$E501="",$F501=""),0,MAX(0,MIN($F501,EOMONTH(DATE(cfg_FY,10,1),0))-MAX($E501,DATE(cfg_FY,10,1))+1)*(1-IF($M501="نعم",0,N($J501))))</f>
        <v>0</v>
      </c>
      <c r="AF501" s="110" t="n">
        <f aca="false">IF(OR($B501="",$E501="",$F501=""),0,MAX(0,MIN($F501,EOMONTH(DATE(cfg_FY,11,1),0))-MAX($E501,DATE(cfg_FY,11,1))+1)*(1-IF($M501="نعم",0,N($J501))))</f>
        <v>0</v>
      </c>
      <c r="AG501" s="110" t="n">
        <f aca="false">IF(OR($B501="",$E501="",$F501=""),0,MAX(0,MIN($F501,EOMONTH(DATE(cfg_FY,12,1),0))-MAX($E501,DATE(cfg_FY,12,1))+1)*(1-IF($M501="نعم",0,N($J501))))</f>
        <v>0</v>
      </c>
      <c r="AH501" s="110" t="n">
        <f aca="false">IF(OR(OR($B501="",$E501="",$F501=""),$L501&lt;&gt;"لا"),0,MAX(0,MIN($F501,EOMONTH(DATE(cfg_FY,1,1),0))-$E501+1))</f>
        <v>0</v>
      </c>
      <c r="AI501" s="110" t="n">
        <f aca="false">IF(OR(OR($B501="",$E501="",$F501=""),$L501&lt;&gt;"لا"),0,MAX(0,MIN($F501,EOMONTH(DATE(cfg_FY,2,1),0))-$E501+1))</f>
        <v>0</v>
      </c>
      <c r="AJ501" s="110" t="n">
        <f aca="false">IF(OR(OR($B501="",$E501="",$F501=""),$L501&lt;&gt;"لا"),0,MAX(0,MIN($F501,EOMONTH(DATE(cfg_FY,3,1),0))-$E501+1))</f>
        <v>0</v>
      </c>
      <c r="AK501" s="110" t="n">
        <f aca="false">IF(OR(OR($B501="",$E501="",$F501=""),$L501&lt;&gt;"لا"),0,MAX(0,MIN($F501,EOMONTH(DATE(cfg_FY,4,1),0))-$E501+1))</f>
        <v>0</v>
      </c>
      <c r="AL501" s="110" t="n">
        <f aca="false">IF(OR(OR($B501="",$E501="",$F501=""),$L501&lt;&gt;"لا"),0,MAX(0,MIN($F501,EOMONTH(DATE(cfg_FY,5,1),0))-$E501+1))</f>
        <v>0</v>
      </c>
      <c r="AM501" s="110" t="n">
        <f aca="false">IF(OR(OR($B501="",$E501="",$F501=""),$L501&lt;&gt;"لا"),0,MAX(0,MIN($F501,EOMONTH(DATE(cfg_FY,6,1),0))-$E501+1))</f>
        <v>0</v>
      </c>
      <c r="AN501" s="110" t="n">
        <f aca="false">IF(OR(OR($B501="",$E501="",$F501=""),$L501&lt;&gt;"لا"),0,MAX(0,MIN($F501,EOMONTH(DATE(cfg_FY,7,1),0))-$E501+1))</f>
        <v>0</v>
      </c>
      <c r="AO501" s="110" t="n">
        <f aca="false">IF(OR(OR($B501="",$E501="",$F501=""),$L501&lt;&gt;"لا"),0,MAX(0,MIN($F501,EOMONTH(DATE(cfg_FY,8,1),0))-$E501+1))</f>
        <v>0</v>
      </c>
      <c r="AP501" s="110" t="n">
        <f aca="false">IF(OR(OR($B501="",$E501="",$F501=""),$L501&lt;&gt;"لا"),0,MAX(0,MIN($F501,EOMONTH(DATE(cfg_FY,9,1),0))-$E501+1))</f>
        <v>0</v>
      </c>
      <c r="AQ501" s="110" t="n">
        <f aca="false">IF(OR(OR($B501="",$E501="",$F501=""),$L501&lt;&gt;"لا"),0,MAX(0,MIN($F501,EOMONTH(DATE(cfg_FY,10,1),0))-$E501+1))</f>
        <v>0</v>
      </c>
      <c r="AR501" s="110" t="n">
        <f aca="false">IF(OR(OR($B501="",$E501="",$F501=""),$L501&lt;&gt;"لا"),0,MAX(0,MIN($F501,EOMONTH(DATE(cfg_FY,11,1),0))-$E501+1))</f>
        <v>0</v>
      </c>
      <c r="AS501" s="110" t="n">
        <f aca="false">IF(OR(OR($B501="",$E501="",$F501=""),$L501&lt;&gt;"لا"),0,MAX(0,MIN($F501,EOMONTH(DATE(cfg_FY,12,1),0))-$E501+1))</f>
        <v>0</v>
      </c>
      <c r="AT501" s="110" t="n">
        <f aca="false">IF(OR(OR($B501="",$E501="",$F501=""),$K501&lt;&gt;"نعم",$M501="نعم"),0,MAX(0,MIN($F501,EOMONTH(DATE(cfg_FY,1,1),0))-MAX($E501,DATE(cfg_FY,1,1))+1))</f>
        <v>0</v>
      </c>
      <c r="AU501" s="110" t="n">
        <f aca="false">IF(OR(OR($B501="",$E501="",$F501=""),$K501&lt;&gt;"نعم",$M501="نعم"),0,MAX(0,MIN($F501,EOMONTH(DATE(cfg_FY,2,1),0))-MAX($E501,DATE(cfg_FY,2,1))+1))</f>
        <v>0</v>
      </c>
      <c r="AV501" s="110" t="n">
        <f aca="false">IF(OR(OR($B501="",$E501="",$F501=""),$K501&lt;&gt;"نعم",$M501="نعم"),0,MAX(0,MIN($F501,EOMONTH(DATE(cfg_FY,3,1),0))-MAX($E501,DATE(cfg_FY,3,1))+1))</f>
        <v>0</v>
      </c>
      <c r="AW501" s="110" t="n">
        <f aca="false">IF(OR(OR($B501="",$E501="",$F501=""),$K501&lt;&gt;"نعم",$M501="نعم"),0,MAX(0,MIN($F501,EOMONTH(DATE(cfg_FY,4,1),0))-MAX($E501,DATE(cfg_FY,4,1))+1))</f>
        <v>0</v>
      </c>
      <c r="AX501" s="110" t="n">
        <f aca="false">IF(OR(OR($B501="",$E501="",$F501=""),$K501&lt;&gt;"نعم",$M501="نعم"),0,MAX(0,MIN($F501,EOMONTH(DATE(cfg_FY,5,1),0))-MAX($E501,DATE(cfg_FY,5,1))+1))</f>
        <v>0</v>
      </c>
      <c r="AY501" s="110" t="n">
        <f aca="false">IF(OR(OR($B501="",$E501="",$F501=""),$K501&lt;&gt;"نعم",$M501="نعم"),0,MAX(0,MIN($F501,EOMONTH(DATE(cfg_FY,6,1),0))-MAX($E501,DATE(cfg_FY,6,1))+1))</f>
        <v>0</v>
      </c>
      <c r="AZ501" s="110" t="n">
        <f aca="false">IF(OR(OR($B501="",$E501="",$F501=""),$K501&lt;&gt;"نعم",$M501="نعم"),0,MAX(0,MIN($F501,EOMONTH(DATE(cfg_FY,7,1),0))-MAX($E501,DATE(cfg_FY,7,1))+1))</f>
        <v>0</v>
      </c>
      <c r="BA501" s="110" t="n">
        <f aca="false">IF(OR(OR($B501="",$E501="",$F501=""),$K501&lt;&gt;"نعم",$M501="نعم"),0,MAX(0,MIN($F501,EOMONTH(DATE(cfg_FY,8,1),0))-MAX($E501,DATE(cfg_FY,8,1))+1))</f>
        <v>0</v>
      </c>
      <c r="BB501" s="110" t="n">
        <f aca="false">IF(OR(OR($B501="",$E501="",$F501=""),$K501&lt;&gt;"نعم",$M501="نعم"),0,MAX(0,MIN($F501,EOMONTH(DATE(cfg_FY,9,1),0))-MAX($E501,DATE(cfg_FY,9,1))+1))</f>
        <v>0</v>
      </c>
      <c r="BC501" s="110" t="n">
        <f aca="false">IF(OR(OR($B501="",$E501="",$F501=""),$K501&lt;&gt;"نعم",$M501="نعم"),0,MAX(0,MIN($F501,EOMONTH(DATE(cfg_FY,10,1),0))-MAX($E501,DATE(cfg_FY,10,1))+1))</f>
        <v>0</v>
      </c>
      <c r="BD501" s="110" t="n">
        <f aca="false">IF(OR(OR($B501="",$E501="",$F501=""),$K501&lt;&gt;"نعم",$M501="نعم"),0,MAX(0,MIN($F501,EOMONTH(DATE(cfg_FY,11,1),0))-MAX($E501,DATE(cfg_FY,11,1))+1))</f>
        <v>0</v>
      </c>
      <c r="BE501" s="110" t="n">
        <f aca="false">IF(OR(OR($B501="",$E501="",$F501=""),$K501&lt;&gt;"نعم",$M501="نعم"),0,MAX(0,MIN($F501,EOMONTH(DATE(cfg_FY,12,1),0))-MAX($E501,DATE(cfg_FY,12,1))+1))</f>
        <v>0</v>
      </c>
    </row>
    <row r="502" customFormat="false" ht="15" hidden="false" customHeight="false" outlineLevel="0" collapsed="false">
      <c r="A502" s="93" t="str">
        <f aca="false">IF(B502="","",ROW()-5)</f>
        <v/>
      </c>
      <c r="B502" s="79"/>
      <c r="C502" s="80" t="str">
        <f aca="false">IF(B502="","",IFERROR(INDEX(الموظفون!$C$6:$C$105,MATCH(B502,الموظفون!$B$6:$B$105,0)),"✖ رقم غير موجود"))</f>
        <v/>
      </c>
      <c r="D502" s="79"/>
      <c r="E502" s="94"/>
      <c r="F502" s="94"/>
      <c r="G502" s="57" t="str">
        <f aca="false">IF(OR($B502="",$E502="",$F502=""),"",MAX(0,F502-E502+1))</f>
        <v/>
      </c>
      <c r="H502" s="58" t="str">
        <f aca="false">IF(D502="","",IFERROR(VLOOKUP(D502,cfg_LT,2,FALSE()),1))</f>
        <v/>
      </c>
      <c r="I502" s="82"/>
      <c r="J502" s="58" t="str">
        <f aca="false">IF(D502="","",IF(I502&lt;&gt;"",I502,H502))</f>
        <v/>
      </c>
      <c r="K502" s="80" t="str">
        <f aca="false">IF(D502="","",IFERROR(VLOOKUP($D502,cfg_LT,3,FALSE()),""))</f>
        <v/>
      </c>
      <c r="L502" s="80" t="str">
        <f aca="false">IF(D502="","",IFERROR(VLOOKUP($D502,cfg_LT,4,FALSE()),""))</f>
        <v/>
      </c>
      <c r="M502" s="80" t="str">
        <f aca="false">IF(D502="","",IFERROR(VLOOKUP($D502,cfg_LT,5,FALSE()),""))</f>
        <v/>
      </c>
      <c r="N502" s="97" t="n">
        <f aca="false">IF(OR(OR($B502="",$E502="",$F502=""),M502&lt;&gt;"نعم"),0,G502*J502*IFERROR(INDEX(الموظفون!$R$6:$R$105,MATCH(B502,الموظفون!$B$6:$B$105,0)),0)/cfg_DAYS_M)</f>
        <v>0</v>
      </c>
      <c r="O502" s="93" t="str">
        <f aca="false">IF(OR(OR($B502="",$E502="",$F502=""),M502&lt;&gt;"نعم"),"",IF(YEAR(E502)=cfg_FY,MONTH(E502),""))</f>
        <v/>
      </c>
      <c r="P502" s="80" t="str">
        <f aca="false">IF(B502="","",IF(OR(D502="",E502="",F502=""),"⚠ أكمل النوع والتواريخ",IF(F502&lt;E502,"✖ النهاية قبل البداية",IF(COUNTIFS($B$6:$B$505,B502,$E$6:$E$505,"&lt;="&amp;F502,$F$6:$F$505,"&gt;="&amp;E502)&gt;1,"⚠ تداخل مع سجل آخر",IF(E502&gt;cfg_VAL_DATE,"⏳ قادمة",IF(F502&lt;cfg_VAL_DATE,"✔ منتهية","✈ جارية في تاريخ التقرير"))))))</f>
        <v/>
      </c>
      <c r="Q502" s="79"/>
      <c r="R502" s="57" t="n">
        <f aca="false">IF(OR(OR($B502="",$E502="",$F502=""),L502&lt;&gt;"لا"),0,MAX(0,MIN(F502,cfg_Y_START-1)-E502+1))</f>
        <v>0</v>
      </c>
      <c r="S502" s="57" t="n">
        <f aca="false">IF(OR(OR($B502="",$E502="",$F502=""),L502&lt;&gt;"لا"),0,MAX(0,MIN(F502,cfg_VAL_DATE)-E502+1))</f>
        <v>0</v>
      </c>
      <c r="T502" s="57" t="n">
        <f aca="false">IF(OR(OR($B502="",$E502="",$F502=""),K502&lt;&gt;"نعم"),0,IF(M502="نعم",IF(AND(ISNUMBER(O502),N(O502)&lt;=cfg_VAL_M),G502,0),MAX(0,MIN(F502,cfg_VAL_DATE)-MAX(E502,cfg_Y_START)+1)))</f>
        <v>0</v>
      </c>
      <c r="V502" s="57" t="n">
        <f aca="false">IF(OR($B502="",$E502="",$F502=""),0,MAX(0,MIN($F502,EOMONTH(DATE(cfg_FY,1,1),0))-MAX($E502,DATE(cfg_FY,1,1))+1)*(1-IF($M502="نعم",0,N($J502))))</f>
        <v>0</v>
      </c>
      <c r="W502" s="57" t="n">
        <f aca="false">IF(OR($B502="",$E502="",$F502=""),0,MAX(0,MIN($F502,EOMONTH(DATE(cfg_FY,2,1),0))-MAX($E502,DATE(cfg_FY,2,1))+1)*(1-IF($M502="نعم",0,N($J502))))</f>
        <v>0</v>
      </c>
      <c r="X502" s="57" t="n">
        <f aca="false">IF(OR($B502="",$E502="",$F502=""),0,MAX(0,MIN($F502,EOMONTH(DATE(cfg_FY,3,1),0))-MAX($E502,DATE(cfg_FY,3,1))+1)*(1-IF($M502="نعم",0,N($J502))))</f>
        <v>0</v>
      </c>
      <c r="Y502" s="57" t="n">
        <f aca="false">IF(OR($B502="",$E502="",$F502=""),0,MAX(0,MIN($F502,EOMONTH(DATE(cfg_FY,4,1),0))-MAX($E502,DATE(cfg_FY,4,1))+1)*(1-IF($M502="نعم",0,N($J502))))</f>
        <v>0</v>
      </c>
      <c r="Z502" s="57" t="n">
        <f aca="false">IF(OR($B502="",$E502="",$F502=""),0,MAX(0,MIN($F502,EOMONTH(DATE(cfg_FY,5,1),0))-MAX($E502,DATE(cfg_FY,5,1))+1)*(1-IF($M502="نعم",0,N($J502))))</f>
        <v>0</v>
      </c>
      <c r="AA502" s="57" t="n">
        <f aca="false">IF(OR($B502="",$E502="",$F502=""),0,MAX(0,MIN($F502,EOMONTH(DATE(cfg_FY,6,1),0))-MAX($E502,DATE(cfg_FY,6,1))+1)*(1-IF($M502="نعم",0,N($J502))))</f>
        <v>0</v>
      </c>
      <c r="AB502" s="57" t="n">
        <f aca="false">IF(OR($B502="",$E502="",$F502=""),0,MAX(0,MIN($F502,EOMONTH(DATE(cfg_FY,7,1),0))-MAX($E502,DATE(cfg_FY,7,1))+1)*(1-IF($M502="نعم",0,N($J502))))</f>
        <v>0</v>
      </c>
      <c r="AC502" s="57" t="n">
        <f aca="false">IF(OR($B502="",$E502="",$F502=""),0,MAX(0,MIN($F502,EOMONTH(DATE(cfg_FY,8,1),0))-MAX($E502,DATE(cfg_FY,8,1))+1)*(1-IF($M502="نعم",0,N($J502))))</f>
        <v>0</v>
      </c>
      <c r="AD502" s="57" t="n">
        <f aca="false">IF(OR($B502="",$E502="",$F502=""),0,MAX(0,MIN($F502,EOMONTH(DATE(cfg_FY,9,1),0))-MAX($E502,DATE(cfg_FY,9,1))+1)*(1-IF($M502="نعم",0,N($J502))))</f>
        <v>0</v>
      </c>
      <c r="AE502" s="57" t="n">
        <f aca="false">IF(OR($B502="",$E502="",$F502=""),0,MAX(0,MIN($F502,EOMONTH(DATE(cfg_FY,10,1),0))-MAX($E502,DATE(cfg_FY,10,1))+1)*(1-IF($M502="نعم",0,N($J502))))</f>
        <v>0</v>
      </c>
      <c r="AF502" s="57" t="n">
        <f aca="false">IF(OR($B502="",$E502="",$F502=""),0,MAX(0,MIN($F502,EOMONTH(DATE(cfg_FY,11,1),0))-MAX($E502,DATE(cfg_FY,11,1))+1)*(1-IF($M502="نعم",0,N($J502))))</f>
        <v>0</v>
      </c>
      <c r="AG502" s="57" t="n">
        <f aca="false">IF(OR($B502="",$E502="",$F502=""),0,MAX(0,MIN($F502,EOMONTH(DATE(cfg_FY,12,1),0))-MAX($E502,DATE(cfg_FY,12,1))+1)*(1-IF($M502="نعم",0,N($J502))))</f>
        <v>0</v>
      </c>
      <c r="AH502" s="57" t="n">
        <f aca="false">IF(OR(OR($B502="",$E502="",$F502=""),$L502&lt;&gt;"لا"),0,MAX(0,MIN($F502,EOMONTH(DATE(cfg_FY,1,1),0))-$E502+1))</f>
        <v>0</v>
      </c>
      <c r="AI502" s="57" t="n">
        <f aca="false">IF(OR(OR($B502="",$E502="",$F502=""),$L502&lt;&gt;"لا"),0,MAX(0,MIN($F502,EOMONTH(DATE(cfg_FY,2,1),0))-$E502+1))</f>
        <v>0</v>
      </c>
      <c r="AJ502" s="57" t="n">
        <f aca="false">IF(OR(OR($B502="",$E502="",$F502=""),$L502&lt;&gt;"لا"),0,MAX(0,MIN($F502,EOMONTH(DATE(cfg_FY,3,1),0))-$E502+1))</f>
        <v>0</v>
      </c>
      <c r="AK502" s="57" t="n">
        <f aca="false">IF(OR(OR($B502="",$E502="",$F502=""),$L502&lt;&gt;"لا"),0,MAX(0,MIN($F502,EOMONTH(DATE(cfg_FY,4,1),0))-$E502+1))</f>
        <v>0</v>
      </c>
      <c r="AL502" s="57" t="n">
        <f aca="false">IF(OR(OR($B502="",$E502="",$F502=""),$L502&lt;&gt;"لا"),0,MAX(0,MIN($F502,EOMONTH(DATE(cfg_FY,5,1),0))-$E502+1))</f>
        <v>0</v>
      </c>
      <c r="AM502" s="57" t="n">
        <f aca="false">IF(OR(OR($B502="",$E502="",$F502=""),$L502&lt;&gt;"لا"),0,MAX(0,MIN($F502,EOMONTH(DATE(cfg_FY,6,1),0))-$E502+1))</f>
        <v>0</v>
      </c>
      <c r="AN502" s="57" t="n">
        <f aca="false">IF(OR(OR($B502="",$E502="",$F502=""),$L502&lt;&gt;"لا"),0,MAX(0,MIN($F502,EOMONTH(DATE(cfg_FY,7,1),0))-$E502+1))</f>
        <v>0</v>
      </c>
      <c r="AO502" s="57" t="n">
        <f aca="false">IF(OR(OR($B502="",$E502="",$F502=""),$L502&lt;&gt;"لا"),0,MAX(0,MIN($F502,EOMONTH(DATE(cfg_FY,8,1),0))-$E502+1))</f>
        <v>0</v>
      </c>
      <c r="AP502" s="57" t="n">
        <f aca="false">IF(OR(OR($B502="",$E502="",$F502=""),$L502&lt;&gt;"لا"),0,MAX(0,MIN($F502,EOMONTH(DATE(cfg_FY,9,1),0))-$E502+1))</f>
        <v>0</v>
      </c>
      <c r="AQ502" s="57" t="n">
        <f aca="false">IF(OR(OR($B502="",$E502="",$F502=""),$L502&lt;&gt;"لا"),0,MAX(0,MIN($F502,EOMONTH(DATE(cfg_FY,10,1),0))-$E502+1))</f>
        <v>0</v>
      </c>
      <c r="AR502" s="57" t="n">
        <f aca="false">IF(OR(OR($B502="",$E502="",$F502=""),$L502&lt;&gt;"لا"),0,MAX(0,MIN($F502,EOMONTH(DATE(cfg_FY,11,1),0))-$E502+1))</f>
        <v>0</v>
      </c>
      <c r="AS502" s="57" t="n">
        <f aca="false">IF(OR(OR($B502="",$E502="",$F502=""),$L502&lt;&gt;"لا"),0,MAX(0,MIN($F502,EOMONTH(DATE(cfg_FY,12,1),0))-$E502+1))</f>
        <v>0</v>
      </c>
      <c r="AT502" s="57" t="n">
        <f aca="false">IF(OR(OR($B502="",$E502="",$F502=""),$K502&lt;&gt;"نعم",$M502="نعم"),0,MAX(0,MIN($F502,EOMONTH(DATE(cfg_FY,1,1),0))-MAX($E502,DATE(cfg_FY,1,1))+1))</f>
        <v>0</v>
      </c>
      <c r="AU502" s="57" t="n">
        <f aca="false">IF(OR(OR($B502="",$E502="",$F502=""),$K502&lt;&gt;"نعم",$M502="نعم"),0,MAX(0,MIN($F502,EOMONTH(DATE(cfg_FY,2,1),0))-MAX($E502,DATE(cfg_FY,2,1))+1))</f>
        <v>0</v>
      </c>
      <c r="AV502" s="57" t="n">
        <f aca="false">IF(OR(OR($B502="",$E502="",$F502=""),$K502&lt;&gt;"نعم",$M502="نعم"),0,MAX(0,MIN($F502,EOMONTH(DATE(cfg_FY,3,1),0))-MAX($E502,DATE(cfg_FY,3,1))+1))</f>
        <v>0</v>
      </c>
      <c r="AW502" s="57" t="n">
        <f aca="false">IF(OR(OR($B502="",$E502="",$F502=""),$K502&lt;&gt;"نعم",$M502="نعم"),0,MAX(0,MIN($F502,EOMONTH(DATE(cfg_FY,4,1),0))-MAX($E502,DATE(cfg_FY,4,1))+1))</f>
        <v>0</v>
      </c>
      <c r="AX502" s="57" t="n">
        <f aca="false">IF(OR(OR($B502="",$E502="",$F502=""),$K502&lt;&gt;"نعم",$M502="نعم"),0,MAX(0,MIN($F502,EOMONTH(DATE(cfg_FY,5,1),0))-MAX($E502,DATE(cfg_FY,5,1))+1))</f>
        <v>0</v>
      </c>
      <c r="AY502" s="57" t="n">
        <f aca="false">IF(OR(OR($B502="",$E502="",$F502=""),$K502&lt;&gt;"نعم",$M502="نعم"),0,MAX(0,MIN($F502,EOMONTH(DATE(cfg_FY,6,1),0))-MAX($E502,DATE(cfg_FY,6,1))+1))</f>
        <v>0</v>
      </c>
      <c r="AZ502" s="57" t="n">
        <f aca="false">IF(OR(OR($B502="",$E502="",$F502=""),$K502&lt;&gt;"نعم",$M502="نعم"),0,MAX(0,MIN($F502,EOMONTH(DATE(cfg_FY,7,1),0))-MAX($E502,DATE(cfg_FY,7,1))+1))</f>
        <v>0</v>
      </c>
      <c r="BA502" s="57" t="n">
        <f aca="false">IF(OR(OR($B502="",$E502="",$F502=""),$K502&lt;&gt;"نعم",$M502="نعم"),0,MAX(0,MIN($F502,EOMONTH(DATE(cfg_FY,8,1),0))-MAX($E502,DATE(cfg_FY,8,1))+1))</f>
        <v>0</v>
      </c>
      <c r="BB502" s="57" t="n">
        <f aca="false">IF(OR(OR($B502="",$E502="",$F502=""),$K502&lt;&gt;"نعم",$M502="نعم"),0,MAX(0,MIN($F502,EOMONTH(DATE(cfg_FY,9,1),0))-MAX($E502,DATE(cfg_FY,9,1))+1))</f>
        <v>0</v>
      </c>
      <c r="BC502" s="57" t="n">
        <f aca="false">IF(OR(OR($B502="",$E502="",$F502=""),$K502&lt;&gt;"نعم",$M502="نعم"),0,MAX(0,MIN($F502,EOMONTH(DATE(cfg_FY,10,1),0))-MAX($E502,DATE(cfg_FY,10,1))+1))</f>
        <v>0</v>
      </c>
      <c r="BD502" s="57" t="n">
        <f aca="false">IF(OR(OR($B502="",$E502="",$F502=""),$K502&lt;&gt;"نعم",$M502="نعم"),0,MAX(0,MIN($F502,EOMONTH(DATE(cfg_FY,11,1),0))-MAX($E502,DATE(cfg_FY,11,1))+1))</f>
        <v>0</v>
      </c>
      <c r="BE502" s="57" t="n">
        <f aca="false">IF(OR(OR($B502="",$E502="",$F502=""),$K502&lt;&gt;"نعم",$M502="نعم"),0,MAX(0,MIN($F502,EOMONTH(DATE(cfg_FY,12,1),0))-MAX($E502,DATE(cfg_FY,12,1))+1))</f>
        <v>0</v>
      </c>
    </row>
    <row r="503" customFormat="false" ht="15" hidden="false" customHeight="false" outlineLevel="0" collapsed="false">
      <c r="A503" s="100" t="str">
        <f aca="false">IF(B503="","",ROW()-5)</f>
        <v/>
      </c>
      <c r="B503" s="79"/>
      <c r="C503" s="102" t="str">
        <f aca="false">IF(B503="","",IFERROR(INDEX(الموظفون!$C$6:$C$105,MATCH(B503,الموظفون!$B$6:$B$105,0)),"✖ رقم غير موجود"))</f>
        <v/>
      </c>
      <c r="D503" s="79"/>
      <c r="E503" s="94"/>
      <c r="F503" s="94"/>
      <c r="G503" s="110" t="str">
        <f aca="false">IF(OR($B503="",$E503="",$F503=""),"",MAX(0,F503-E503+1))</f>
        <v/>
      </c>
      <c r="H503" s="111" t="str">
        <f aca="false">IF(D503="","",IFERROR(VLOOKUP(D503,cfg_LT,2,FALSE()),1))</f>
        <v/>
      </c>
      <c r="I503" s="82"/>
      <c r="J503" s="111" t="str">
        <f aca="false">IF(D503="","",IF(I503&lt;&gt;"",I503,H503))</f>
        <v/>
      </c>
      <c r="K503" s="102" t="str">
        <f aca="false">IF(D503="","",IFERROR(VLOOKUP($D503,cfg_LT,3,FALSE()),""))</f>
        <v/>
      </c>
      <c r="L503" s="102" t="str">
        <f aca="false">IF(D503="","",IFERROR(VLOOKUP($D503,cfg_LT,4,FALSE()),""))</f>
        <v/>
      </c>
      <c r="M503" s="102" t="str">
        <f aca="false">IF(D503="","",IFERROR(VLOOKUP($D503,cfg_LT,5,FALSE()),""))</f>
        <v/>
      </c>
      <c r="N503" s="101" t="n">
        <f aca="false">IF(OR(OR($B503="",$E503="",$F503=""),M503&lt;&gt;"نعم"),0,G503*J503*IFERROR(INDEX(الموظفون!$R$6:$R$105,MATCH(B503,الموظفون!$B$6:$B$105,0)),0)/cfg_DAYS_M)</f>
        <v>0</v>
      </c>
      <c r="O503" s="100" t="str">
        <f aca="false">IF(OR(OR($B503="",$E503="",$F503=""),M503&lt;&gt;"نعم"),"",IF(YEAR(E503)=cfg_FY,MONTH(E503),""))</f>
        <v/>
      </c>
      <c r="P503" s="102" t="str">
        <f aca="false">IF(B503="","",IF(OR(D503="",E503="",F503=""),"⚠ أكمل النوع والتواريخ",IF(F503&lt;E503,"✖ النهاية قبل البداية",IF(COUNTIFS($B$6:$B$505,B503,$E$6:$E$505,"&lt;="&amp;F503,$F$6:$F$505,"&gt;="&amp;E503)&gt;1,"⚠ تداخل مع سجل آخر",IF(E503&gt;cfg_VAL_DATE,"⏳ قادمة",IF(F503&lt;cfg_VAL_DATE,"✔ منتهية","✈ جارية في تاريخ التقرير"))))))</f>
        <v/>
      </c>
      <c r="Q503" s="79"/>
      <c r="R503" s="110" t="n">
        <f aca="false">IF(OR(OR($B503="",$E503="",$F503=""),L503&lt;&gt;"لا"),0,MAX(0,MIN(F503,cfg_Y_START-1)-E503+1))</f>
        <v>0</v>
      </c>
      <c r="S503" s="110" t="n">
        <f aca="false">IF(OR(OR($B503="",$E503="",$F503=""),L503&lt;&gt;"لا"),0,MAX(0,MIN(F503,cfg_VAL_DATE)-E503+1))</f>
        <v>0</v>
      </c>
      <c r="T503" s="110" t="n">
        <f aca="false">IF(OR(OR($B503="",$E503="",$F503=""),K503&lt;&gt;"نعم"),0,IF(M503="نعم",IF(AND(ISNUMBER(O503),N(O503)&lt;=cfg_VAL_M),G503,0),MAX(0,MIN(F503,cfg_VAL_DATE)-MAX(E503,cfg_Y_START)+1)))</f>
        <v>0</v>
      </c>
      <c r="V503" s="110" t="n">
        <f aca="false">IF(OR($B503="",$E503="",$F503=""),0,MAX(0,MIN($F503,EOMONTH(DATE(cfg_FY,1,1),0))-MAX($E503,DATE(cfg_FY,1,1))+1)*(1-IF($M503="نعم",0,N($J503))))</f>
        <v>0</v>
      </c>
      <c r="W503" s="110" t="n">
        <f aca="false">IF(OR($B503="",$E503="",$F503=""),0,MAX(0,MIN($F503,EOMONTH(DATE(cfg_FY,2,1),0))-MAX($E503,DATE(cfg_FY,2,1))+1)*(1-IF($M503="نعم",0,N($J503))))</f>
        <v>0</v>
      </c>
      <c r="X503" s="110" t="n">
        <f aca="false">IF(OR($B503="",$E503="",$F503=""),0,MAX(0,MIN($F503,EOMONTH(DATE(cfg_FY,3,1),0))-MAX($E503,DATE(cfg_FY,3,1))+1)*(1-IF($M503="نعم",0,N($J503))))</f>
        <v>0</v>
      </c>
      <c r="Y503" s="110" t="n">
        <f aca="false">IF(OR($B503="",$E503="",$F503=""),0,MAX(0,MIN($F503,EOMONTH(DATE(cfg_FY,4,1),0))-MAX($E503,DATE(cfg_FY,4,1))+1)*(1-IF($M503="نعم",0,N($J503))))</f>
        <v>0</v>
      </c>
      <c r="Z503" s="110" t="n">
        <f aca="false">IF(OR($B503="",$E503="",$F503=""),0,MAX(0,MIN($F503,EOMONTH(DATE(cfg_FY,5,1),0))-MAX($E503,DATE(cfg_FY,5,1))+1)*(1-IF($M503="نعم",0,N($J503))))</f>
        <v>0</v>
      </c>
      <c r="AA503" s="110" t="n">
        <f aca="false">IF(OR($B503="",$E503="",$F503=""),0,MAX(0,MIN($F503,EOMONTH(DATE(cfg_FY,6,1),0))-MAX($E503,DATE(cfg_FY,6,1))+1)*(1-IF($M503="نعم",0,N($J503))))</f>
        <v>0</v>
      </c>
      <c r="AB503" s="110" t="n">
        <f aca="false">IF(OR($B503="",$E503="",$F503=""),0,MAX(0,MIN($F503,EOMONTH(DATE(cfg_FY,7,1),0))-MAX($E503,DATE(cfg_FY,7,1))+1)*(1-IF($M503="نعم",0,N($J503))))</f>
        <v>0</v>
      </c>
      <c r="AC503" s="110" t="n">
        <f aca="false">IF(OR($B503="",$E503="",$F503=""),0,MAX(0,MIN($F503,EOMONTH(DATE(cfg_FY,8,1),0))-MAX($E503,DATE(cfg_FY,8,1))+1)*(1-IF($M503="نعم",0,N($J503))))</f>
        <v>0</v>
      </c>
      <c r="AD503" s="110" t="n">
        <f aca="false">IF(OR($B503="",$E503="",$F503=""),0,MAX(0,MIN($F503,EOMONTH(DATE(cfg_FY,9,1),0))-MAX($E503,DATE(cfg_FY,9,1))+1)*(1-IF($M503="نعم",0,N($J503))))</f>
        <v>0</v>
      </c>
      <c r="AE503" s="110" t="n">
        <f aca="false">IF(OR($B503="",$E503="",$F503=""),0,MAX(0,MIN($F503,EOMONTH(DATE(cfg_FY,10,1),0))-MAX($E503,DATE(cfg_FY,10,1))+1)*(1-IF($M503="نعم",0,N($J503))))</f>
        <v>0</v>
      </c>
      <c r="AF503" s="110" t="n">
        <f aca="false">IF(OR($B503="",$E503="",$F503=""),0,MAX(0,MIN($F503,EOMONTH(DATE(cfg_FY,11,1),0))-MAX($E503,DATE(cfg_FY,11,1))+1)*(1-IF($M503="نعم",0,N($J503))))</f>
        <v>0</v>
      </c>
      <c r="AG503" s="110" t="n">
        <f aca="false">IF(OR($B503="",$E503="",$F503=""),0,MAX(0,MIN($F503,EOMONTH(DATE(cfg_FY,12,1),0))-MAX($E503,DATE(cfg_FY,12,1))+1)*(1-IF($M503="نعم",0,N($J503))))</f>
        <v>0</v>
      </c>
      <c r="AH503" s="110" t="n">
        <f aca="false">IF(OR(OR($B503="",$E503="",$F503=""),$L503&lt;&gt;"لا"),0,MAX(0,MIN($F503,EOMONTH(DATE(cfg_FY,1,1),0))-$E503+1))</f>
        <v>0</v>
      </c>
      <c r="AI503" s="110" t="n">
        <f aca="false">IF(OR(OR($B503="",$E503="",$F503=""),$L503&lt;&gt;"لا"),0,MAX(0,MIN($F503,EOMONTH(DATE(cfg_FY,2,1),0))-$E503+1))</f>
        <v>0</v>
      </c>
      <c r="AJ503" s="110" t="n">
        <f aca="false">IF(OR(OR($B503="",$E503="",$F503=""),$L503&lt;&gt;"لا"),0,MAX(0,MIN($F503,EOMONTH(DATE(cfg_FY,3,1),0))-$E503+1))</f>
        <v>0</v>
      </c>
      <c r="AK503" s="110" t="n">
        <f aca="false">IF(OR(OR($B503="",$E503="",$F503=""),$L503&lt;&gt;"لا"),0,MAX(0,MIN($F503,EOMONTH(DATE(cfg_FY,4,1),0))-$E503+1))</f>
        <v>0</v>
      </c>
      <c r="AL503" s="110" t="n">
        <f aca="false">IF(OR(OR($B503="",$E503="",$F503=""),$L503&lt;&gt;"لا"),0,MAX(0,MIN($F503,EOMONTH(DATE(cfg_FY,5,1),0))-$E503+1))</f>
        <v>0</v>
      </c>
      <c r="AM503" s="110" t="n">
        <f aca="false">IF(OR(OR($B503="",$E503="",$F503=""),$L503&lt;&gt;"لا"),0,MAX(0,MIN($F503,EOMONTH(DATE(cfg_FY,6,1),0))-$E503+1))</f>
        <v>0</v>
      </c>
      <c r="AN503" s="110" t="n">
        <f aca="false">IF(OR(OR($B503="",$E503="",$F503=""),$L503&lt;&gt;"لا"),0,MAX(0,MIN($F503,EOMONTH(DATE(cfg_FY,7,1),0))-$E503+1))</f>
        <v>0</v>
      </c>
      <c r="AO503" s="110" t="n">
        <f aca="false">IF(OR(OR($B503="",$E503="",$F503=""),$L503&lt;&gt;"لا"),0,MAX(0,MIN($F503,EOMONTH(DATE(cfg_FY,8,1),0))-$E503+1))</f>
        <v>0</v>
      </c>
      <c r="AP503" s="110" t="n">
        <f aca="false">IF(OR(OR($B503="",$E503="",$F503=""),$L503&lt;&gt;"لا"),0,MAX(0,MIN($F503,EOMONTH(DATE(cfg_FY,9,1),0))-$E503+1))</f>
        <v>0</v>
      </c>
      <c r="AQ503" s="110" t="n">
        <f aca="false">IF(OR(OR($B503="",$E503="",$F503=""),$L503&lt;&gt;"لا"),0,MAX(0,MIN($F503,EOMONTH(DATE(cfg_FY,10,1),0))-$E503+1))</f>
        <v>0</v>
      </c>
      <c r="AR503" s="110" t="n">
        <f aca="false">IF(OR(OR($B503="",$E503="",$F503=""),$L503&lt;&gt;"لا"),0,MAX(0,MIN($F503,EOMONTH(DATE(cfg_FY,11,1),0))-$E503+1))</f>
        <v>0</v>
      </c>
      <c r="AS503" s="110" t="n">
        <f aca="false">IF(OR(OR($B503="",$E503="",$F503=""),$L503&lt;&gt;"لا"),0,MAX(0,MIN($F503,EOMONTH(DATE(cfg_FY,12,1),0))-$E503+1))</f>
        <v>0</v>
      </c>
      <c r="AT503" s="110" t="n">
        <f aca="false">IF(OR(OR($B503="",$E503="",$F503=""),$K503&lt;&gt;"نعم",$M503="نعم"),0,MAX(0,MIN($F503,EOMONTH(DATE(cfg_FY,1,1),0))-MAX($E503,DATE(cfg_FY,1,1))+1))</f>
        <v>0</v>
      </c>
      <c r="AU503" s="110" t="n">
        <f aca="false">IF(OR(OR($B503="",$E503="",$F503=""),$K503&lt;&gt;"نعم",$M503="نعم"),0,MAX(0,MIN($F503,EOMONTH(DATE(cfg_FY,2,1),0))-MAX($E503,DATE(cfg_FY,2,1))+1))</f>
        <v>0</v>
      </c>
      <c r="AV503" s="110" t="n">
        <f aca="false">IF(OR(OR($B503="",$E503="",$F503=""),$K503&lt;&gt;"نعم",$M503="نعم"),0,MAX(0,MIN($F503,EOMONTH(DATE(cfg_FY,3,1),0))-MAX($E503,DATE(cfg_FY,3,1))+1))</f>
        <v>0</v>
      </c>
      <c r="AW503" s="110" t="n">
        <f aca="false">IF(OR(OR($B503="",$E503="",$F503=""),$K503&lt;&gt;"نعم",$M503="نعم"),0,MAX(0,MIN($F503,EOMONTH(DATE(cfg_FY,4,1),0))-MAX($E503,DATE(cfg_FY,4,1))+1))</f>
        <v>0</v>
      </c>
      <c r="AX503" s="110" t="n">
        <f aca="false">IF(OR(OR($B503="",$E503="",$F503=""),$K503&lt;&gt;"نعم",$M503="نعم"),0,MAX(0,MIN($F503,EOMONTH(DATE(cfg_FY,5,1),0))-MAX($E503,DATE(cfg_FY,5,1))+1))</f>
        <v>0</v>
      </c>
      <c r="AY503" s="110" t="n">
        <f aca="false">IF(OR(OR($B503="",$E503="",$F503=""),$K503&lt;&gt;"نعم",$M503="نعم"),0,MAX(0,MIN($F503,EOMONTH(DATE(cfg_FY,6,1),0))-MAX($E503,DATE(cfg_FY,6,1))+1))</f>
        <v>0</v>
      </c>
      <c r="AZ503" s="110" t="n">
        <f aca="false">IF(OR(OR($B503="",$E503="",$F503=""),$K503&lt;&gt;"نعم",$M503="نعم"),0,MAX(0,MIN($F503,EOMONTH(DATE(cfg_FY,7,1),0))-MAX($E503,DATE(cfg_FY,7,1))+1))</f>
        <v>0</v>
      </c>
      <c r="BA503" s="110" t="n">
        <f aca="false">IF(OR(OR($B503="",$E503="",$F503=""),$K503&lt;&gt;"نعم",$M503="نعم"),0,MAX(0,MIN($F503,EOMONTH(DATE(cfg_FY,8,1),0))-MAX($E503,DATE(cfg_FY,8,1))+1))</f>
        <v>0</v>
      </c>
      <c r="BB503" s="110" t="n">
        <f aca="false">IF(OR(OR($B503="",$E503="",$F503=""),$K503&lt;&gt;"نعم",$M503="نعم"),0,MAX(0,MIN($F503,EOMONTH(DATE(cfg_FY,9,1),0))-MAX($E503,DATE(cfg_FY,9,1))+1))</f>
        <v>0</v>
      </c>
      <c r="BC503" s="110" t="n">
        <f aca="false">IF(OR(OR($B503="",$E503="",$F503=""),$K503&lt;&gt;"نعم",$M503="نعم"),0,MAX(0,MIN($F503,EOMONTH(DATE(cfg_FY,10,1),0))-MAX($E503,DATE(cfg_FY,10,1))+1))</f>
        <v>0</v>
      </c>
      <c r="BD503" s="110" t="n">
        <f aca="false">IF(OR(OR($B503="",$E503="",$F503=""),$K503&lt;&gt;"نعم",$M503="نعم"),0,MAX(0,MIN($F503,EOMONTH(DATE(cfg_FY,11,1),0))-MAX($E503,DATE(cfg_FY,11,1))+1))</f>
        <v>0</v>
      </c>
      <c r="BE503" s="110" t="n">
        <f aca="false">IF(OR(OR($B503="",$E503="",$F503=""),$K503&lt;&gt;"نعم",$M503="نعم"),0,MAX(0,MIN($F503,EOMONTH(DATE(cfg_FY,12,1),0))-MAX($E503,DATE(cfg_FY,12,1))+1))</f>
        <v>0</v>
      </c>
    </row>
    <row r="504" customFormat="false" ht="15" hidden="false" customHeight="false" outlineLevel="0" collapsed="false">
      <c r="A504" s="93" t="str">
        <f aca="false">IF(B504="","",ROW()-5)</f>
        <v/>
      </c>
      <c r="B504" s="79"/>
      <c r="C504" s="80" t="str">
        <f aca="false">IF(B504="","",IFERROR(INDEX(الموظفون!$C$6:$C$105,MATCH(B504,الموظفون!$B$6:$B$105,0)),"✖ رقم غير موجود"))</f>
        <v/>
      </c>
      <c r="D504" s="79"/>
      <c r="E504" s="94"/>
      <c r="F504" s="94"/>
      <c r="G504" s="57" t="str">
        <f aca="false">IF(OR($B504="",$E504="",$F504=""),"",MAX(0,F504-E504+1))</f>
        <v/>
      </c>
      <c r="H504" s="58" t="str">
        <f aca="false">IF(D504="","",IFERROR(VLOOKUP(D504,cfg_LT,2,FALSE()),1))</f>
        <v/>
      </c>
      <c r="I504" s="82"/>
      <c r="J504" s="58" t="str">
        <f aca="false">IF(D504="","",IF(I504&lt;&gt;"",I504,H504))</f>
        <v/>
      </c>
      <c r="K504" s="80" t="str">
        <f aca="false">IF(D504="","",IFERROR(VLOOKUP($D504,cfg_LT,3,FALSE()),""))</f>
        <v/>
      </c>
      <c r="L504" s="80" t="str">
        <f aca="false">IF(D504="","",IFERROR(VLOOKUP($D504,cfg_LT,4,FALSE()),""))</f>
        <v/>
      </c>
      <c r="M504" s="80" t="str">
        <f aca="false">IF(D504="","",IFERROR(VLOOKUP($D504,cfg_LT,5,FALSE()),""))</f>
        <v/>
      </c>
      <c r="N504" s="97" t="n">
        <f aca="false">IF(OR(OR($B504="",$E504="",$F504=""),M504&lt;&gt;"نعم"),0,G504*J504*IFERROR(INDEX(الموظفون!$R$6:$R$105,MATCH(B504,الموظفون!$B$6:$B$105,0)),0)/cfg_DAYS_M)</f>
        <v>0</v>
      </c>
      <c r="O504" s="93" t="str">
        <f aca="false">IF(OR(OR($B504="",$E504="",$F504=""),M504&lt;&gt;"نعم"),"",IF(YEAR(E504)=cfg_FY,MONTH(E504),""))</f>
        <v/>
      </c>
      <c r="P504" s="80" t="str">
        <f aca="false">IF(B504="","",IF(OR(D504="",E504="",F504=""),"⚠ أكمل النوع والتواريخ",IF(F504&lt;E504,"✖ النهاية قبل البداية",IF(COUNTIFS($B$6:$B$505,B504,$E$6:$E$505,"&lt;="&amp;F504,$F$6:$F$505,"&gt;="&amp;E504)&gt;1,"⚠ تداخل مع سجل آخر",IF(E504&gt;cfg_VAL_DATE,"⏳ قادمة",IF(F504&lt;cfg_VAL_DATE,"✔ منتهية","✈ جارية في تاريخ التقرير"))))))</f>
        <v/>
      </c>
      <c r="Q504" s="79"/>
      <c r="R504" s="57" t="n">
        <f aca="false">IF(OR(OR($B504="",$E504="",$F504=""),L504&lt;&gt;"لا"),0,MAX(0,MIN(F504,cfg_Y_START-1)-E504+1))</f>
        <v>0</v>
      </c>
      <c r="S504" s="57" t="n">
        <f aca="false">IF(OR(OR($B504="",$E504="",$F504=""),L504&lt;&gt;"لا"),0,MAX(0,MIN(F504,cfg_VAL_DATE)-E504+1))</f>
        <v>0</v>
      </c>
      <c r="T504" s="57" t="n">
        <f aca="false">IF(OR(OR($B504="",$E504="",$F504=""),K504&lt;&gt;"نعم"),0,IF(M504="نعم",IF(AND(ISNUMBER(O504),N(O504)&lt;=cfg_VAL_M),G504,0),MAX(0,MIN(F504,cfg_VAL_DATE)-MAX(E504,cfg_Y_START)+1)))</f>
        <v>0</v>
      </c>
      <c r="V504" s="57" t="n">
        <f aca="false">IF(OR($B504="",$E504="",$F504=""),0,MAX(0,MIN($F504,EOMONTH(DATE(cfg_FY,1,1),0))-MAX($E504,DATE(cfg_FY,1,1))+1)*(1-IF($M504="نعم",0,N($J504))))</f>
        <v>0</v>
      </c>
      <c r="W504" s="57" t="n">
        <f aca="false">IF(OR($B504="",$E504="",$F504=""),0,MAX(0,MIN($F504,EOMONTH(DATE(cfg_FY,2,1),0))-MAX($E504,DATE(cfg_FY,2,1))+1)*(1-IF($M504="نعم",0,N($J504))))</f>
        <v>0</v>
      </c>
      <c r="X504" s="57" t="n">
        <f aca="false">IF(OR($B504="",$E504="",$F504=""),0,MAX(0,MIN($F504,EOMONTH(DATE(cfg_FY,3,1),0))-MAX($E504,DATE(cfg_FY,3,1))+1)*(1-IF($M504="نعم",0,N($J504))))</f>
        <v>0</v>
      </c>
      <c r="Y504" s="57" t="n">
        <f aca="false">IF(OR($B504="",$E504="",$F504=""),0,MAX(0,MIN($F504,EOMONTH(DATE(cfg_FY,4,1),0))-MAX($E504,DATE(cfg_FY,4,1))+1)*(1-IF($M504="نعم",0,N($J504))))</f>
        <v>0</v>
      </c>
      <c r="Z504" s="57" t="n">
        <f aca="false">IF(OR($B504="",$E504="",$F504=""),0,MAX(0,MIN($F504,EOMONTH(DATE(cfg_FY,5,1),0))-MAX($E504,DATE(cfg_FY,5,1))+1)*(1-IF($M504="نعم",0,N($J504))))</f>
        <v>0</v>
      </c>
      <c r="AA504" s="57" t="n">
        <f aca="false">IF(OR($B504="",$E504="",$F504=""),0,MAX(0,MIN($F504,EOMONTH(DATE(cfg_FY,6,1),0))-MAX($E504,DATE(cfg_FY,6,1))+1)*(1-IF($M504="نعم",0,N($J504))))</f>
        <v>0</v>
      </c>
      <c r="AB504" s="57" t="n">
        <f aca="false">IF(OR($B504="",$E504="",$F504=""),0,MAX(0,MIN($F504,EOMONTH(DATE(cfg_FY,7,1),0))-MAX($E504,DATE(cfg_FY,7,1))+1)*(1-IF($M504="نعم",0,N($J504))))</f>
        <v>0</v>
      </c>
      <c r="AC504" s="57" t="n">
        <f aca="false">IF(OR($B504="",$E504="",$F504=""),0,MAX(0,MIN($F504,EOMONTH(DATE(cfg_FY,8,1),0))-MAX($E504,DATE(cfg_FY,8,1))+1)*(1-IF($M504="نعم",0,N($J504))))</f>
        <v>0</v>
      </c>
      <c r="AD504" s="57" t="n">
        <f aca="false">IF(OR($B504="",$E504="",$F504=""),0,MAX(0,MIN($F504,EOMONTH(DATE(cfg_FY,9,1),0))-MAX($E504,DATE(cfg_FY,9,1))+1)*(1-IF($M504="نعم",0,N($J504))))</f>
        <v>0</v>
      </c>
      <c r="AE504" s="57" t="n">
        <f aca="false">IF(OR($B504="",$E504="",$F504=""),0,MAX(0,MIN($F504,EOMONTH(DATE(cfg_FY,10,1),0))-MAX($E504,DATE(cfg_FY,10,1))+1)*(1-IF($M504="نعم",0,N($J504))))</f>
        <v>0</v>
      </c>
      <c r="AF504" s="57" t="n">
        <f aca="false">IF(OR($B504="",$E504="",$F504=""),0,MAX(0,MIN($F504,EOMONTH(DATE(cfg_FY,11,1),0))-MAX($E504,DATE(cfg_FY,11,1))+1)*(1-IF($M504="نعم",0,N($J504))))</f>
        <v>0</v>
      </c>
      <c r="AG504" s="57" t="n">
        <f aca="false">IF(OR($B504="",$E504="",$F504=""),0,MAX(0,MIN($F504,EOMONTH(DATE(cfg_FY,12,1),0))-MAX($E504,DATE(cfg_FY,12,1))+1)*(1-IF($M504="نعم",0,N($J504))))</f>
        <v>0</v>
      </c>
      <c r="AH504" s="57" t="n">
        <f aca="false">IF(OR(OR($B504="",$E504="",$F504=""),$L504&lt;&gt;"لا"),0,MAX(0,MIN($F504,EOMONTH(DATE(cfg_FY,1,1),0))-$E504+1))</f>
        <v>0</v>
      </c>
      <c r="AI504" s="57" t="n">
        <f aca="false">IF(OR(OR($B504="",$E504="",$F504=""),$L504&lt;&gt;"لا"),0,MAX(0,MIN($F504,EOMONTH(DATE(cfg_FY,2,1),0))-$E504+1))</f>
        <v>0</v>
      </c>
      <c r="AJ504" s="57" t="n">
        <f aca="false">IF(OR(OR($B504="",$E504="",$F504=""),$L504&lt;&gt;"لا"),0,MAX(0,MIN($F504,EOMONTH(DATE(cfg_FY,3,1),0))-$E504+1))</f>
        <v>0</v>
      </c>
      <c r="AK504" s="57" t="n">
        <f aca="false">IF(OR(OR($B504="",$E504="",$F504=""),$L504&lt;&gt;"لا"),0,MAX(0,MIN($F504,EOMONTH(DATE(cfg_FY,4,1),0))-$E504+1))</f>
        <v>0</v>
      </c>
      <c r="AL504" s="57" t="n">
        <f aca="false">IF(OR(OR($B504="",$E504="",$F504=""),$L504&lt;&gt;"لا"),0,MAX(0,MIN($F504,EOMONTH(DATE(cfg_FY,5,1),0))-$E504+1))</f>
        <v>0</v>
      </c>
      <c r="AM504" s="57" t="n">
        <f aca="false">IF(OR(OR($B504="",$E504="",$F504=""),$L504&lt;&gt;"لا"),0,MAX(0,MIN($F504,EOMONTH(DATE(cfg_FY,6,1),0))-$E504+1))</f>
        <v>0</v>
      </c>
      <c r="AN504" s="57" t="n">
        <f aca="false">IF(OR(OR($B504="",$E504="",$F504=""),$L504&lt;&gt;"لا"),0,MAX(0,MIN($F504,EOMONTH(DATE(cfg_FY,7,1),0))-$E504+1))</f>
        <v>0</v>
      </c>
      <c r="AO504" s="57" t="n">
        <f aca="false">IF(OR(OR($B504="",$E504="",$F504=""),$L504&lt;&gt;"لا"),0,MAX(0,MIN($F504,EOMONTH(DATE(cfg_FY,8,1),0))-$E504+1))</f>
        <v>0</v>
      </c>
      <c r="AP504" s="57" t="n">
        <f aca="false">IF(OR(OR($B504="",$E504="",$F504=""),$L504&lt;&gt;"لا"),0,MAX(0,MIN($F504,EOMONTH(DATE(cfg_FY,9,1),0))-$E504+1))</f>
        <v>0</v>
      </c>
      <c r="AQ504" s="57" t="n">
        <f aca="false">IF(OR(OR($B504="",$E504="",$F504=""),$L504&lt;&gt;"لا"),0,MAX(0,MIN($F504,EOMONTH(DATE(cfg_FY,10,1),0))-$E504+1))</f>
        <v>0</v>
      </c>
      <c r="AR504" s="57" t="n">
        <f aca="false">IF(OR(OR($B504="",$E504="",$F504=""),$L504&lt;&gt;"لا"),0,MAX(0,MIN($F504,EOMONTH(DATE(cfg_FY,11,1),0))-$E504+1))</f>
        <v>0</v>
      </c>
      <c r="AS504" s="57" t="n">
        <f aca="false">IF(OR(OR($B504="",$E504="",$F504=""),$L504&lt;&gt;"لا"),0,MAX(0,MIN($F504,EOMONTH(DATE(cfg_FY,12,1),0))-$E504+1))</f>
        <v>0</v>
      </c>
      <c r="AT504" s="57" t="n">
        <f aca="false">IF(OR(OR($B504="",$E504="",$F504=""),$K504&lt;&gt;"نعم",$M504="نعم"),0,MAX(0,MIN($F504,EOMONTH(DATE(cfg_FY,1,1),0))-MAX($E504,DATE(cfg_FY,1,1))+1))</f>
        <v>0</v>
      </c>
      <c r="AU504" s="57" t="n">
        <f aca="false">IF(OR(OR($B504="",$E504="",$F504=""),$K504&lt;&gt;"نعم",$M504="نعم"),0,MAX(0,MIN($F504,EOMONTH(DATE(cfg_FY,2,1),0))-MAX($E504,DATE(cfg_FY,2,1))+1))</f>
        <v>0</v>
      </c>
      <c r="AV504" s="57" t="n">
        <f aca="false">IF(OR(OR($B504="",$E504="",$F504=""),$K504&lt;&gt;"نعم",$M504="نعم"),0,MAX(0,MIN($F504,EOMONTH(DATE(cfg_FY,3,1),0))-MAX($E504,DATE(cfg_FY,3,1))+1))</f>
        <v>0</v>
      </c>
      <c r="AW504" s="57" t="n">
        <f aca="false">IF(OR(OR($B504="",$E504="",$F504=""),$K504&lt;&gt;"نعم",$M504="نعم"),0,MAX(0,MIN($F504,EOMONTH(DATE(cfg_FY,4,1),0))-MAX($E504,DATE(cfg_FY,4,1))+1))</f>
        <v>0</v>
      </c>
      <c r="AX504" s="57" t="n">
        <f aca="false">IF(OR(OR($B504="",$E504="",$F504=""),$K504&lt;&gt;"نعم",$M504="نعم"),0,MAX(0,MIN($F504,EOMONTH(DATE(cfg_FY,5,1),0))-MAX($E504,DATE(cfg_FY,5,1))+1))</f>
        <v>0</v>
      </c>
      <c r="AY504" s="57" t="n">
        <f aca="false">IF(OR(OR($B504="",$E504="",$F504=""),$K504&lt;&gt;"نعم",$M504="نعم"),0,MAX(0,MIN($F504,EOMONTH(DATE(cfg_FY,6,1),0))-MAX($E504,DATE(cfg_FY,6,1))+1))</f>
        <v>0</v>
      </c>
      <c r="AZ504" s="57" t="n">
        <f aca="false">IF(OR(OR($B504="",$E504="",$F504=""),$K504&lt;&gt;"نعم",$M504="نعم"),0,MAX(0,MIN($F504,EOMONTH(DATE(cfg_FY,7,1),0))-MAX($E504,DATE(cfg_FY,7,1))+1))</f>
        <v>0</v>
      </c>
      <c r="BA504" s="57" t="n">
        <f aca="false">IF(OR(OR($B504="",$E504="",$F504=""),$K504&lt;&gt;"نعم",$M504="نعم"),0,MAX(0,MIN($F504,EOMONTH(DATE(cfg_FY,8,1),0))-MAX($E504,DATE(cfg_FY,8,1))+1))</f>
        <v>0</v>
      </c>
      <c r="BB504" s="57" t="n">
        <f aca="false">IF(OR(OR($B504="",$E504="",$F504=""),$K504&lt;&gt;"نعم",$M504="نعم"),0,MAX(0,MIN($F504,EOMONTH(DATE(cfg_FY,9,1),0))-MAX($E504,DATE(cfg_FY,9,1))+1))</f>
        <v>0</v>
      </c>
      <c r="BC504" s="57" t="n">
        <f aca="false">IF(OR(OR($B504="",$E504="",$F504=""),$K504&lt;&gt;"نعم",$M504="نعم"),0,MAX(0,MIN($F504,EOMONTH(DATE(cfg_FY,10,1),0))-MAX($E504,DATE(cfg_FY,10,1))+1))</f>
        <v>0</v>
      </c>
      <c r="BD504" s="57" t="n">
        <f aca="false">IF(OR(OR($B504="",$E504="",$F504=""),$K504&lt;&gt;"نعم",$M504="نعم"),0,MAX(0,MIN($F504,EOMONTH(DATE(cfg_FY,11,1),0))-MAX($E504,DATE(cfg_FY,11,1))+1))</f>
        <v>0</v>
      </c>
      <c r="BE504" s="57" t="n">
        <f aca="false">IF(OR(OR($B504="",$E504="",$F504=""),$K504&lt;&gt;"نعم",$M504="نعم"),0,MAX(0,MIN($F504,EOMONTH(DATE(cfg_FY,12,1),0))-MAX($E504,DATE(cfg_FY,12,1))+1))</f>
        <v>0</v>
      </c>
    </row>
    <row r="505" customFormat="false" ht="15" hidden="false" customHeight="false" outlineLevel="0" collapsed="false">
      <c r="A505" s="100" t="str">
        <f aca="false">IF(B505="","",ROW()-5)</f>
        <v/>
      </c>
      <c r="B505" s="79"/>
      <c r="C505" s="102" t="str">
        <f aca="false">IF(B505="","",IFERROR(INDEX(الموظفون!$C$6:$C$105,MATCH(B505,الموظفون!$B$6:$B$105,0)),"✖ رقم غير موجود"))</f>
        <v/>
      </c>
      <c r="D505" s="79"/>
      <c r="E505" s="94"/>
      <c r="F505" s="94"/>
      <c r="G505" s="110" t="str">
        <f aca="false">IF(OR($B505="",$E505="",$F505=""),"",MAX(0,F505-E505+1))</f>
        <v/>
      </c>
      <c r="H505" s="111" t="str">
        <f aca="false">IF(D505="","",IFERROR(VLOOKUP(D505,cfg_LT,2,FALSE()),1))</f>
        <v/>
      </c>
      <c r="I505" s="82"/>
      <c r="J505" s="111" t="str">
        <f aca="false">IF(D505="","",IF(I505&lt;&gt;"",I505,H505))</f>
        <v/>
      </c>
      <c r="K505" s="102" t="str">
        <f aca="false">IF(D505="","",IFERROR(VLOOKUP($D505,cfg_LT,3,FALSE()),""))</f>
        <v/>
      </c>
      <c r="L505" s="102" t="str">
        <f aca="false">IF(D505="","",IFERROR(VLOOKUP($D505,cfg_LT,4,FALSE()),""))</f>
        <v/>
      </c>
      <c r="M505" s="102" t="str">
        <f aca="false">IF(D505="","",IFERROR(VLOOKUP($D505,cfg_LT,5,FALSE()),""))</f>
        <v/>
      </c>
      <c r="N505" s="101" t="n">
        <f aca="false">IF(OR(OR($B505="",$E505="",$F505=""),M505&lt;&gt;"نعم"),0,G505*J505*IFERROR(INDEX(الموظفون!$R$6:$R$105,MATCH(B505,الموظفون!$B$6:$B$105,0)),0)/cfg_DAYS_M)</f>
        <v>0</v>
      </c>
      <c r="O505" s="100" t="str">
        <f aca="false">IF(OR(OR($B505="",$E505="",$F505=""),M505&lt;&gt;"نعم"),"",IF(YEAR(E505)=cfg_FY,MONTH(E505),""))</f>
        <v/>
      </c>
      <c r="P505" s="102" t="str">
        <f aca="false">IF(B505="","",IF(OR(D505="",E505="",F505=""),"⚠ أكمل النوع والتواريخ",IF(F505&lt;E505,"✖ النهاية قبل البداية",IF(COUNTIFS($B$6:$B$505,B505,$E$6:$E$505,"&lt;="&amp;F505,$F$6:$F$505,"&gt;="&amp;E505)&gt;1,"⚠ تداخل مع سجل آخر",IF(E505&gt;cfg_VAL_DATE,"⏳ قادمة",IF(F505&lt;cfg_VAL_DATE,"✔ منتهية","✈ جارية في تاريخ التقرير"))))))</f>
        <v/>
      </c>
      <c r="Q505" s="79"/>
      <c r="R505" s="110" t="n">
        <f aca="false">IF(OR(OR($B505="",$E505="",$F505=""),L505&lt;&gt;"لا"),0,MAX(0,MIN(F505,cfg_Y_START-1)-E505+1))</f>
        <v>0</v>
      </c>
      <c r="S505" s="110" t="n">
        <f aca="false">IF(OR(OR($B505="",$E505="",$F505=""),L505&lt;&gt;"لا"),0,MAX(0,MIN(F505,cfg_VAL_DATE)-E505+1))</f>
        <v>0</v>
      </c>
      <c r="T505" s="110" t="n">
        <f aca="false">IF(OR(OR($B505="",$E505="",$F505=""),K505&lt;&gt;"نعم"),0,IF(M505="نعم",IF(AND(ISNUMBER(O505),N(O505)&lt;=cfg_VAL_M),G505,0),MAX(0,MIN(F505,cfg_VAL_DATE)-MAX(E505,cfg_Y_START)+1)))</f>
        <v>0</v>
      </c>
      <c r="V505" s="110" t="n">
        <f aca="false">IF(OR($B505="",$E505="",$F505=""),0,MAX(0,MIN($F505,EOMONTH(DATE(cfg_FY,1,1),0))-MAX($E505,DATE(cfg_FY,1,1))+1)*(1-IF($M505="نعم",0,N($J505))))</f>
        <v>0</v>
      </c>
      <c r="W505" s="110" t="n">
        <f aca="false">IF(OR($B505="",$E505="",$F505=""),0,MAX(0,MIN($F505,EOMONTH(DATE(cfg_FY,2,1),0))-MAX($E505,DATE(cfg_FY,2,1))+1)*(1-IF($M505="نعم",0,N($J505))))</f>
        <v>0</v>
      </c>
      <c r="X505" s="110" t="n">
        <f aca="false">IF(OR($B505="",$E505="",$F505=""),0,MAX(0,MIN($F505,EOMONTH(DATE(cfg_FY,3,1),0))-MAX($E505,DATE(cfg_FY,3,1))+1)*(1-IF($M505="نعم",0,N($J505))))</f>
        <v>0</v>
      </c>
      <c r="Y505" s="110" t="n">
        <f aca="false">IF(OR($B505="",$E505="",$F505=""),0,MAX(0,MIN($F505,EOMONTH(DATE(cfg_FY,4,1),0))-MAX($E505,DATE(cfg_FY,4,1))+1)*(1-IF($M505="نعم",0,N($J505))))</f>
        <v>0</v>
      </c>
      <c r="Z505" s="110" t="n">
        <f aca="false">IF(OR($B505="",$E505="",$F505=""),0,MAX(0,MIN($F505,EOMONTH(DATE(cfg_FY,5,1),0))-MAX($E505,DATE(cfg_FY,5,1))+1)*(1-IF($M505="نعم",0,N($J505))))</f>
        <v>0</v>
      </c>
      <c r="AA505" s="110" t="n">
        <f aca="false">IF(OR($B505="",$E505="",$F505=""),0,MAX(0,MIN($F505,EOMONTH(DATE(cfg_FY,6,1),0))-MAX($E505,DATE(cfg_FY,6,1))+1)*(1-IF($M505="نعم",0,N($J505))))</f>
        <v>0</v>
      </c>
      <c r="AB505" s="110" t="n">
        <f aca="false">IF(OR($B505="",$E505="",$F505=""),0,MAX(0,MIN($F505,EOMONTH(DATE(cfg_FY,7,1),0))-MAX($E505,DATE(cfg_FY,7,1))+1)*(1-IF($M505="نعم",0,N($J505))))</f>
        <v>0</v>
      </c>
      <c r="AC505" s="110" t="n">
        <f aca="false">IF(OR($B505="",$E505="",$F505=""),0,MAX(0,MIN($F505,EOMONTH(DATE(cfg_FY,8,1),0))-MAX($E505,DATE(cfg_FY,8,1))+1)*(1-IF($M505="نعم",0,N($J505))))</f>
        <v>0</v>
      </c>
      <c r="AD505" s="110" t="n">
        <f aca="false">IF(OR($B505="",$E505="",$F505=""),0,MAX(0,MIN($F505,EOMONTH(DATE(cfg_FY,9,1),0))-MAX($E505,DATE(cfg_FY,9,1))+1)*(1-IF($M505="نعم",0,N($J505))))</f>
        <v>0</v>
      </c>
      <c r="AE505" s="110" t="n">
        <f aca="false">IF(OR($B505="",$E505="",$F505=""),0,MAX(0,MIN($F505,EOMONTH(DATE(cfg_FY,10,1),0))-MAX($E505,DATE(cfg_FY,10,1))+1)*(1-IF($M505="نعم",0,N($J505))))</f>
        <v>0</v>
      </c>
      <c r="AF505" s="110" t="n">
        <f aca="false">IF(OR($B505="",$E505="",$F505=""),0,MAX(0,MIN($F505,EOMONTH(DATE(cfg_FY,11,1),0))-MAX($E505,DATE(cfg_FY,11,1))+1)*(1-IF($M505="نعم",0,N($J505))))</f>
        <v>0</v>
      </c>
      <c r="AG505" s="110" t="n">
        <f aca="false">IF(OR($B505="",$E505="",$F505=""),0,MAX(0,MIN($F505,EOMONTH(DATE(cfg_FY,12,1),0))-MAX($E505,DATE(cfg_FY,12,1))+1)*(1-IF($M505="نعم",0,N($J505))))</f>
        <v>0</v>
      </c>
      <c r="AH505" s="110" t="n">
        <f aca="false">IF(OR(OR($B505="",$E505="",$F505=""),$L505&lt;&gt;"لا"),0,MAX(0,MIN($F505,EOMONTH(DATE(cfg_FY,1,1),0))-$E505+1))</f>
        <v>0</v>
      </c>
      <c r="AI505" s="110" t="n">
        <f aca="false">IF(OR(OR($B505="",$E505="",$F505=""),$L505&lt;&gt;"لا"),0,MAX(0,MIN($F505,EOMONTH(DATE(cfg_FY,2,1),0))-$E505+1))</f>
        <v>0</v>
      </c>
      <c r="AJ505" s="110" t="n">
        <f aca="false">IF(OR(OR($B505="",$E505="",$F505=""),$L505&lt;&gt;"لا"),0,MAX(0,MIN($F505,EOMONTH(DATE(cfg_FY,3,1),0))-$E505+1))</f>
        <v>0</v>
      </c>
      <c r="AK505" s="110" t="n">
        <f aca="false">IF(OR(OR($B505="",$E505="",$F505=""),$L505&lt;&gt;"لا"),0,MAX(0,MIN($F505,EOMONTH(DATE(cfg_FY,4,1),0))-$E505+1))</f>
        <v>0</v>
      </c>
      <c r="AL505" s="110" t="n">
        <f aca="false">IF(OR(OR($B505="",$E505="",$F505=""),$L505&lt;&gt;"لا"),0,MAX(0,MIN($F505,EOMONTH(DATE(cfg_FY,5,1),0))-$E505+1))</f>
        <v>0</v>
      </c>
      <c r="AM505" s="110" t="n">
        <f aca="false">IF(OR(OR($B505="",$E505="",$F505=""),$L505&lt;&gt;"لا"),0,MAX(0,MIN($F505,EOMONTH(DATE(cfg_FY,6,1),0))-$E505+1))</f>
        <v>0</v>
      </c>
      <c r="AN505" s="110" t="n">
        <f aca="false">IF(OR(OR($B505="",$E505="",$F505=""),$L505&lt;&gt;"لا"),0,MAX(0,MIN($F505,EOMONTH(DATE(cfg_FY,7,1),0))-$E505+1))</f>
        <v>0</v>
      </c>
      <c r="AO505" s="110" t="n">
        <f aca="false">IF(OR(OR($B505="",$E505="",$F505=""),$L505&lt;&gt;"لا"),0,MAX(0,MIN($F505,EOMONTH(DATE(cfg_FY,8,1),0))-$E505+1))</f>
        <v>0</v>
      </c>
      <c r="AP505" s="110" t="n">
        <f aca="false">IF(OR(OR($B505="",$E505="",$F505=""),$L505&lt;&gt;"لا"),0,MAX(0,MIN($F505,EOMONTH(DATE(cfg_FY,9,1),0))-$E505+1))</f>
        <v>0</v>
      </c>
      <c r="AQ505" s="110" t="n">
        <f aca="false">IF(OR(OR($B505="",$E505="",$F505=""),$L505&lt;&gt;"لا"),0,MAX(0,MIN($F505,EOMONTH(DATE(cfg_FY,10,1),0))-$E505+1))</f>
        <v>0</v>
      </c>
      <c r="AR505" s="110" t="n">
        <f aca="false">IF(OR(OR($B505="",$E505="",$F505=""),$L505&lt;&gt;"لا"),0,MAX(0,MIN($F505,EOMONTH(DATE(cfg_FY,11,1),0))-$E505+1))</f>
        <v>0</v>
      </c>
      <c r="AS505" s="110" t="n">
        <f aca="false">IF(OR(OR($B505="",$E505="",$F505=""),$L505&lt;&gt;"لا"),0,MAX(0,MIN($F505,EOMONTH(DATE(cfg_FY,12,1),0))-$E505+1))</f>
        <v>0</v>
      </c>
      <c r="AT505" s="110" t="n">
        <f aca="false">IF(OR(OR($B505="",$E505="",$F505=""),$K505&lt;&gt;"نعم",$M505="نعم"),0,MAX(0,MIN($F505,EOMONTH(DATE(cfg_FY,1,1),0))-MAX($E505,DATE(cfg_FY,1,1))+1))</f>
        <v>0</v>
      </c>
      <c r="AU505" s="110" t="n">
        <f aca="false">IF(OR(OR($B505="",$E505="",$F505=""),$K505&lt;&gt;"نعم",$M505="نعم"),0,MAX(0,MIN($F505,EOMONTH(DATE(cfg_FY,2,1),0))-MAX($E505,DATE(cfg_FY,2,1))+1))</f>
        <v>0</v>
      </c>
      <c r="AV505" s="110" t="n">
        <f aca="false">IF(OR(OR($B505="",$E505="",$F505=""),$K505&lt;&gt;"نعم",$M505="نعم"),0,MAX(0,MIN($F505,EOMONTH(DATE(cfg_FY,3,1),0))-MAX($E505,DATE(cfg_FY,3,1))+1))</f>
        <v>0</v>
      </c>
      <c r="AW505" s="110" t="n">
        <f aca="false">IF(OR(OR($B505="",$E505="",$F505=""),$K505&lt;&gt;"نعم",$M505="نعم"),0,MAX(0,MIN($F505,EOMONTH(DATE(cfg_FY,4,1),0))-MAX($E505,DATE(cfg_FY,4,1))+1))</f>
        <v>0</v>
      </c>
      <c r="AX505" s="110" t="n">
        <f aca="false">IF(OR(OR($B505="",$E505="",$F505=""),$K505&lt;&gt;"نعم",$M505="نعم"),0,MAX(0,MIN($F505,EOMONTH(DATE(cfg_FY,5,1),0))-MAX($E505,DATE(cfg_FY,5,1))+1))</f>
        <v>0</v>
      </c>
      <c r="AY505" s="110" t="n">
        <f aca="false">IF(OR(OR($B505="",$E505="",$F505=""),$K505&lt;&gt;"نعم",$M505="نعم"),0,MAX(0,MIN($F505,EOMONTH(DATE(cfg_FY,6,1),0))-MAX($E505,DATE(cfg_FY,6,1))+1))</f>
        <v>0</v>
      </c>
      <c r="AZ505" s="110" t="n">
        <f aca="false">IF(OR(OR($B505="",$E505="",$F505=""),$K505&lt;&gt;"نعم",$M505="نعم"),0,MAX(0,MIN($F505,EOMONTH(DATE(cfg_FY,7,1),0))-MAX($E505,DATE(cfg_FY,7,1))+1))</f>
        <v>0</v>
      </c>
      <c r="BA505" s="110" t="n">
        <f aca="false">IF(OR(OR($B505="",$E505="",$F505=""),$K505&lt;&gt;"نعم",$M505="نعم"),0,MAX(0,MIN($F505,EOMONTH(DATE(cfg_FY,8,1),0))-MAX($E505,DATE(cfg_FY,8,1))+1))</f>
        <v>0</v>
      </c>
      <c r="BB505" s="110" t="n">
        <f aca="false">IF(OR(OR($B505="",$E505="",$F505=""),$K505&lt;&gt;"نعم",$M505="نعم"),0,MAX(0,MIN($F505,EOMONTH(DATE(cfg_FY,9,1),0))-MAX($E505,DATE(cfg_FY,9,1))+1))</f>
        <v>0</v>
      </c>
      <c r="BC505" s="110" t="n">
        <f aca="false">IF(OR(OR($B505="",$E505="",$F505=""),$K505&lt;&gt;"نعم",$M505="نعم"),0,MAX(0,MIN($F505,EOMONTH(DATE(cfg_FY,10,1),0))-MAX($E505,DATE(cfg_FY,10,1))+1))</f>
        <v>0</v>
      </c>
      <c r="BD505" s="110" t="n">
        <f aca="false">IF(OR(OR($B505="",$E505="",$F505=""),$K505&lt;&gt;"نعم",$M505="نعم"),0,MAX(0,MIN($F505,EOMONTH(DATE(cfg_FY,11,1),0))-MAX($E505,DATE(cfg_FY,11,1))+1))</f>
        <v>0</v>
      </c>
      <c r="BE505" s="110" t="n">
        <f aca="false">IF(OR(OR($B505="",$E505="",$F505=""),$K505&lt;&gt;"نعم",$M505="نعم"),0,MAX(0,MIN($F505,EOMONTH(DATE(cfg_FY,12,1),0))-MAX($E505,DATE(cfg_FY,12,1))+1))</f>
        <v>0</v>
      </c>
    </row>
  </sheetData>
  <autoFilter ref="A5:T505"/>
  <mergeCells count="5">
    <mergeCell ref="A1:Q1"/>
    <mergeCell ref="A2:Q2"/>
    <mergeCell ref="V4:AG4"/>
    <mergeCell ref="AH4:AS4"/>
    <mergeCell ref="AT4:BE4"/>
  </mergeCells>
  <conditionalFormatting sqref="P6:P505">
    <cfRule type="expression" priority="2" aboveAverage="0" equalAverage="0" bottom="0" percent="0" rank="0" text="" dxfId="0">
      <formula>ISNUMBER(SEARCH("✔",P6))</formula>
    </cfRule>
    <cfRule type="expression" priority="3" aboveAverage="0" equalAverage="0" bottom="0" percent="0" rank="0" text="" dxfId="1">
      <formula>ISNUMBER(SEARCH("✖",P6))</formula>
    </cfRule>
    <cfRule type="expression" priority="4" aboveAverage="0" equalAverage="0" bottom="0" percent="0" rank="0" text="" dxfId="2">
      <formula>ISNUMBER(SEARCH("⚠",P6))</formula>
    </cfRule>
    <cfRule type="expression" priority="5" aboveAverage="0" equalAverage="0" bottom="0" percent="0" rank="0" text="" dxfId="3">
      <formula>ISNUMBER(SEARCH("✈",P6))</formula>
    </cfRule>
    <cfRule type="expression" priority="6" aboveAverage="0" equalAverage="0" bottom="0" percent="0" rank="0" text="" dxfId="1">
      <formula>ISNUMBER(SEARCH("⛔",P6))</formula>
    </cfRule>
    <cfRule type="expression" priority="7" aboveAverage="0" equalAverage="0" bottom="0" percent="0" rank="0" text="" dxfId="0">
      <formula>ISNUMBER(SEARCH("🌴",P6))</formula>
    </cfRule>
    <cfRule type="expression" priority="8" aboveAverage="0" equalAverage="0" bottom="0" percent="0" rank="0" text="" dxfId="4">
      <formula>ISNUMBER(SEARCH("⏳",P6))</formula>
    </cfRule>
  </conditionalFormatting>
  <conditionalFormatting sqref="C6:C505">
    <cfRule type="expression" priority="9" aboveAverage="0" equalAverage="0" bottom="0" percent="0" rank="0" text="" dxfId="0">
      <formula>ISNUMBER(SEARCH("✔",C6))</formula>
    </cfRule>
    <cfRule type="expression" priority="10" aboveAverage="0" equalAverage="0" bottom="0" percent="0" rank="0" text="" dxfId="1">
      <formula>ISNUMBER(SEARCH("✖",C6))</formula>
    </cfRule>
    <cfRule type="expression" priority="11" aboveAverage="0" equalAverage="0" bottom="0" percent="0" rank="0" text="" dxfId="2">
      <formula>ISNUMBER(SEARCH("⚠",C6))</formula>
    </cfRule>
    <cfRule type="expression" priority="12" aboveAverage="0" equalAverage="0" bottom="0" percent="0" rank="0" text="" dxfId="3">
      <formula>ISNUMBER(SEARCH("✈",C6))</formula>
    </cfRule>
    <cfRule type="expression" priority="13" aboveAverage="0" equalAverage="0" bottom="0" percent="0" rank="0" text="" dxfId="1">
      <formula>ISNUMBER(SEARCH("⛔",C6))</formula>
    </cfRule>
    <cfRule type="expression" priority="14" aboveAverage="0" equalAverage="0" bottom="0" percent="0" rank="0" text="" dxfId="0">
      <formula>ISNUMBER(SEARCH("🌴",C6))</formula>
    </cfRule>
    <cfRule type="expression" priority="15" aboveAverage="0" equalAverage="0" bottom="0" percent="0" rank="0" text="" dxfId="4">
      <formula>ISNUMBER(SEARCH("⏳",C6))</formula>
    </cfRule>
  </conditionalFormatting>
  <dataValidations count="4">
    <dataValidation allowBlank="true" error="أدخل تاريخاً صحيحاً بالصيغة yyyy/mm/dd" errorStyle="stop" errorTitle="تاريخ غير صحيح" operator="greaterThan" showDropDown="false" showErrorMessage="true" showInputMessage="false" sqref="E6:F505" type="date">
      <formula1>1</formula1>
      <formula2>0</formula2>
    </dataValidation>
    <dataValidation allowBlank="true" error="من فضلك اختر قيمة من القائمة المنسدلة." errorStyle="stop" errorTitle="قيمة غير مسموحة" operator="between" prompt="اختر رقم الموظف" promptTitle="الرقم الوظيفي" showDropDown="false" showErrorMessage="true" showInputMessage="true" sqref="B6:B505" type="list">
      <formula1>L_EMPID</formula1>
      <formula2>0</formula2>
    </dataValidation>
    <dataValidation allowBlank="true" error="من فضلك اختر قيمة من القائمة المنسدلة." errorStyle="stop" errorTitle="قيمة غير مسموحة" operator="between" prompt="يحدد نسبة الأجر وأثره على رصيد الإجازة ومدة الخدمة (من الإعدادات)." promptTitle="نوع الإجازة / الحالة" showDropDown="false" showErrorMessage="true" showInputMessage="true" sqref="D6:D505" type="list">
      <formula1>L_LTYPE</formula1>
      <formula2>0</formula2>
    </dataValidation>
    <dataValidation allowBlank="true" error="النسبة بين 0% و100%" errorStyle="stop" errorTitle="قيمة غير صحيحة" operator="between" showDropDown="false" showErrorMessage="true" showInputMessage="false" sqref="I6:I505" type="decimal">
      <formula1>0</formula1>
      <formula2>1</formula2>
    </dataValidation>
  </dataValidations>
  <hyperlinks>
    <hyperlink ref="A3" location="'الرئيسية'!A1" display="🏠 الرئيسية"/>
    <hyperlink ref="B3" location="'لوحة التحكم'!A1" display="📊 لوحة التحكم"/>
    <hyperlink ref="C3" location="'الإعدادات'!A1" display="⚙ الإعدادات"/>
    <hyperlink ref="D3" location="'الموظفون'!A1" display="👥 الموظفون"/>
    <hyperlink ref="E3" location="'الحركات الشهرية'!A1" display="✍ الحركات"/>
    <hyperlink ref="F3" location="'الإقامات ورخص العمل'!A1" display="🪪 الإقامات"/>
    <hyperlink ref="G3" location="'الملخص الشهري'!A1" display="📅 الملخص الشهري"/>
    <hyperlink ref="H3" location="'قيود الرواتب'!A1" display="🧾 القيود"/>
    <hyperlink ref="I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73E8"/>
    <pageSetUpPr fitToPage="true"/>
  </sheetPr>
  <dimension ref="A1:O1005"/>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26"/>
    <col collapsed="false" customWidth="true" hidden="false" outlineLevel="0" max="4" min="4" style="0" width="9"/>
    <col collapsed="false" customWidth="true" hidden="false" outlineLevel="0" max="6" min="5" style="0" width="10"/>
    <col collapsed="false" customWidth="true" hidden="false" outlineLevel="0" max="10" min="7" style="0" width="12"/>
    <col collapsed="false" customWidth="true" hidden="false" outlineLevel="0" max="12" min="11" style="0" width="11"/>
    <col collapsed="false" customWidth="true" hidden="false" outlineLevel="0" max="13" min="13" style="0" width="12"/>
    <col collapsed="false" customWidth="true" hidden="false" outlineLevel="0" max="14" min="14" style="0" width="13"/>
    <col collapsed="false" customWidth="true" hidden="false" outlineLevel="0" max="15" min="15" style="0" width="28"/>
  </cols>
  <sheetData>
    <row r="1" customFormat="false" ht="37.5" hidden="false" customHeight="true" outlineLevel="0" collapsed="false">
      <c r="A1" s="1" t="s">
        <v>408</v>
      </c>
      <c r="B1" s="1"/>
      <c r="C1" s="1"/>
      <c r="D1" s="1"/>
      <c r="E1" s="1"/>
      <c r="F1" s="1"/>
      <c r="G1" s="1"/>
      <c r="H1" s="1"/>
      <c r="I1" s="1"/>
      <c r="J1" s="1"/>
      <c r="K1" s="1"/>
      <c r="L1" s="1"/>
      <c r="M1" s="1"/>
      <c r="N1" s="1"/>
      <c r="O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row>
    <row r="3" customFormat="false" ht="25.5" hidden="false" customHeight="true" outlineLevel="0" collapsed="false">
      <c r="A3" s="25" t="s">
        <v>80</v>
      </c>
      <c r="B3" s="12" t="s">
        <v>138</v>
      </c>
      <c r="C3" s="26" t="s">
        <v>81</v>
      </c>
      <c r="D3" s="26" t="s">
        <v>82</v>
      </c>
      <c r="E3" s="27" t="s">
        <v>83</v>
      </c>
      <c r="F3" s="28" t="s">
        <v>85</v>
      </c>
      <c r="G3" s="26" t="s">
        <v>39</v>
      </c>
      <c r="H3" s="26" t="s">
        <v>139</v>
      </c>
      <c r="I3" s="26" t="s">
        <v>140</v>
      </c>
    </row>
    <row r="4" customFormat="false" ht="7.5" hidden="false" customHeight="true" outlineLevel="0" collapsed="false"/>
    <row r="5" customFormat="false" ht="48" hidden="false" customHeight="true" outlineLevel="0" collapsed="false">
      <c r="A5" s="6" t="s">
        <v>409</v>
      </c>
      <c r="B5" s="6" t="s">
        <v>273</v>
      </c>
      <c r="C5" s="6" t="s">
        <v>382</v>
      </c>
      <c r="D5" s="6" t="s">
        <v>410</v>
      </c>
      <c r="E5" s="6" t="s">
        <v>411</v>
      </c>
      <c r="F5" s="6" t="s">
        <v>412</v>
      </c>
      <c r="G5" s="6" t="s">
        <v>413</v>
      </c>
      <c r="H5" s="6" t="s">
        <v>414</v>
      </c>
      <c r="I5" s="6" t="s">
        <v>415</v>
      </c>
      <c r="J5" s="6" t="s">
        <v>416</v>
      </c>
      <c r="K5" s="6" t="s">
        <v>417</v>
      </c>
      <c r="L5" s="6" t="s">
        <v>418</v>
      </c>
      <c r="M5" s="6" t="s">
        <v>419</v>
      </c>
      <c r="N5" s="6" t="s">
        <v>420</v>
      </c>
      <c r="O5" s="6" t="s">
        <v>306</v>
      </c>
    </row>
    <row r="6" customFormat="false" ht="15" hidden="false" customHeight="false" outlineLevel="0" collapsed="false">
      <c r="A6" s="98" t="n">
        <v>1</v>
      </c>
      <c r="B6" s="79" t="s">
        <v>319</v>
      </c>
      <c r="C6" s="80" t="str">
        <f aca="false">IF(B6="","",IFERROR(INDEX(الموظفون!$C$6:$C$105,MATCH(B6,الموظفون!$B$6:$B$105,0)),"✖ رقم غير موجود"))</f>
        <v>محمد علي حسن</v>
      </c>
      <c r="D6" s="99"/>
      <c r="E6" s="99"/>
      <c r="F6" s="99" t="n">
        <v>12</v>
      </c>
      <c r="G6" s="96"/>
      <c r="H6" s="96"/>
      <c r="I6" s="96" t="n">
        <v>1000</v>
      </c>
      <c r="J6" s="96"/>
      <c r="K6" s="99"/>
      <c r="L6" s="99"/>
      <c r="M6" s="96"/>
      <c r="N6" s="96"/>
      <c r="O6" s="79" t="s">
        <v>421</v>
      </c>
    </row>
    <row r="7" customFormat="false" ht="15" hidden="false" customHeight="false" outlineLevel="0" collapsed="false">
      <c r="A7" s="98" t="n">
        <v>1</v>
      </c>
      <c r="B7" s="79" t="s">
        <v>356</v>
      </c>
      <c r="C7" s="102" t="str">
        <f aca="false">IF(B7="","",IFERROR(INDEX(الموظفون!$C$6:$C$105,MATCH(B7,الموظفون!$B$6:$B$105,0)),"✖ رقم غير موجود"))</f>
        <v>محمد رفيق</v>
      </c>
      <c r="D7" s="99" t="n">
        <v>1</v>
      </c>
      <c r="E7" s="99"/>
      <c r="F7" s="99" t="n">
        <v>20</v>
      </c>
      <c r="G7" s="96"/>
      <c r="H7" s="96"/>
      <c r="I7" s="96"/>
      <c r="J7" s="96" t="n">
        <v>100</v>
      </c>
      <c r="K7" s="99"/>
      <c r="L7" s="99"/>
      <c r="M7" s="96"/>
      <c r="N7" s="96"/>
      <c r="O7" s="79" t="s">
        <v>422</v>
      </c>
    </row>
    <row r="8" customFormat="false" ht="15" hidden="false" customHeight="false" outlineLevel="0" collapsed="false">
      <c r="A8" s="98" t="n">
        <v>2</v>
      </c>
      <c r="B8" s="79" t="s">
        <v>319</v>
      </c>
      <c r="C8" s="80" t="str">
        <f aca="false">IF(B8="","",IFERROR(INDEX(الموظفون!$C$6:$C$105,MATCH(B8,الموظفون!$B$6:$B$105,0)),"✖ رقم غير موجود"))</f>
        <v>محمد علي حسن</v>
      </c>
      <c r="D8" s="99"/>
      <c r="E8" s="99"/>
      <c r="F8" s="99" t="n">
        <v>8</v>
      </c>
      <c r="G8" s="96"/>
      <c r="H8" s="96"/>
      <c r="I8" s="96" t="n">
        <v>1000</v>
      </c>
      <c r="J8" s="96"/>
      <c r="K8" s="99"/>
      <c r="L8" s="99"/>
      <c r="M8" s="96"/>
      <c r="N8" s="96"/>
      <c r="O8" s="79" t="s">
        <v>423</v>
      </c>
    </row>
    <row r="9" customFormat="false" ht="15" hidden="false" customHeight="false" outlineLevel="0" collapsed="false">
      <c r="A9" s="98" t="n">
        <v>2</v>
      </c>
      <c r="B9" s="79" t="s">
        <v>338</v>
      </c>
      <c r="C9" s="102" t="str">
        <f aca="false">IF(B9="","",IFERROR(INDEX(الموظفون!$C$6:$C$105,MATCH(B9,الموظفون!$B$6:$B$105,0)),"✖ رقم غير موجود"))</f>
        <v>فهد ناصر الشمري</v>
      </c>
      <c r="D9" s="99"/>
      <c r="E9" s="99"/>
      <c r="F9" s="99"/>
      <c r="G9" s="96" t="n">
        <v>5000</v>
      </c>
      <c r="H9" s="96"/>
      <c r="I9" s="96"/>
      <c r="J9" s="96"/>
      <c r="K9" s="99"/>
      <c r="L9" s="99"/>
      <c r="M9" s="96"/>
      <c r="N9" s="96"/>
      <c r="O9" s="79" t="s">
        <v>424</v>
      </c>
    </row>
    <row r="10" customFormat="false" ht="15" hidden="false" customHeight="false" outlineLevel="0" collapsed="false">
      <c r="A10" s="98" t="n">
        <v>3</v>
      </c>
      <c r="B10" s="79" t="s">
        <v>319</v>
      </c>
      <c r="C10" s="80" t="str">
        <f aca="false">IF(B10="","",IFERROR(INDEX(الموظفون!$C$6:$C$105,MATCH(B10,الموظفون!$B$6:$B$105,0)),"✖ رقم غير موجود"))</f>
        <v>محمد علي حسن</v>
      </c>
      <c r="D10" s="99"/>
      <c r="E10" s="99"/>
      <c r="F10" s="99"/>
      <c r="G10" s="96"/>
      <c r="H10" s="96"/>
      <c r="I10" s="96" t="n">
        <v>1000</v>
      </c>
      <c r="J10" s="96"/>
      <c r="K10" s="99"/>
      <c r="L10" s="99"/>
      <c r="M10" s="96"/>
      <c r="N10" s="96"/>
      <c r="O10" s="79" t="s">
        <v>425</v>
      </c>
    </row>
    <row r="11" customFormat="false" ht="15" hidden="false" customHeight="false" outlineLevel="0" collapsed="false">
      <c r="A11" s="98" t="n">
        <v>3</v>
      </c>
      <c r="B11" s="79" t="s">
        <v>343</v>
      </c>
      <c r="C11" s="102" t="str">
        <f aca="false">IF(B11="","",IFERROR(INDEX(الموظفون!$C$6:$C$105,MATCH(B11,الموظفون!$B$6:$B$105,0)),"✖ رقم غير موجود"))</f>
        <v>خالد يوسف الأحمد</v>
      </c>
      <c r="D11" s="99"/>
      <c r="E11" s="99"/>
      <c r="F11" s="99" t="n">
        <v>10</v>
      </c>
      <c r="G11" s="96"/>
      <c r="H11" s="96"/>
      <c r="I11" s="96"/>
      <c r="J11" s="96"/>
      <c r="K11" s="99"/>
      <c r="L11" s="99"/>
      <c r="M11" s="96" t="n">
        <v>4500</v>
      </c>
      <c r="N11" s="96"/>
      <c r="O11" s="79" t="s">
        <v>426</v>
      </c>
    </row>
    <row r="12" customFormat="false" ht="15" hidden="false" customHeight="false" outlineLevel="0" collapsed="false">
      <c r="A12" s="98" t="n">
        <v>4</v>
      </c>
      <c r="B12" s="79" t="s">
        <v>319</v>
      </c>
      <c r="C12" s="80" t="str">
        <f aca="false">IF(B12="","",IFERROR(INDEX(الموظفون!$C$6:$C$105,MATCH(B12,الموظفون!$B$6:$B$105,0)),"✖ رقم غير موجود"))</f>
        <v>محمد علي حسن</v>
      </c>
      <c r="D12" s="99"/>
      <c r="E12" s="99"/>
      <c r="F12" s="99"/>
      <c r="G12" s="96"/>
      <c r="H12" s="96"/>
      <c r="I12" s="96" t="n">
        <v>1000</v>
      </c>
      <c r="J12" s="96"/>
      <c r="K12" s="99"/>
      <c r="L12" s="99"/>
      <c r="M12" s="96"/>
      <c r="N12" s="96"/>
      <c r="O12" s="79" t="s">
        <v>427</v>
      </c>
    </row>
    <row r="13" customFormat="false" ht="15" hidden="false" customHeight="false" outlineLevel="0" collapsed="false">
      <c r="A13" s="98" t="n">
        <v>4</v>
      </c>
      <c r="B13" s="79" t="s">
        <v>373</v>
      </c>
      <c r="C13" s="102" t="str">
        <f aca="false">IF(B13="","",IFERROR(INDEX(الموظفون!$C$6:$C$105,MATCH(B13,الموظفون!$B$6:$B$105,0)),"✖ رقم غير موجود"))</f>
        <v>عمر حسين البيشي</v>
      </c>
      <c r="D13" s="99" t="n">
        <v>2</v>
      </c>
      <c r="E13" s="99"/>
      <c r="F13" s="99"/>
      <c r="G13" s="96"/>
      <c r="H13" s="96"/>
      <c r="I13" s="96"/>
      <c r="J13" s="96"/>
      <c r="K13" s="99"/>
      <c r="L13" s="99"/>
      <c r="M13" s="96"/>
      <c r="N13" s="96"/>
      <c r="O13" s="79" t="s">
        <v>428</v>
      </c>
    </row>
    <row r="14" customFormat="false" ht="15" hidden="false" customHeight="false" outlineLevel="0" collapsed="false">
      <c r="A14" s="98" t="n">
        <v>5</v>
      </c>
      <c r="B14" s="79" t="s">
        <v>319</v>
      </c>
      <c r="C14" s="80" t="str">
        <f aca="false">IF(B14="","",IFERROR(INDEX(الموظفون!$C$6:$C$105,MATCH(B14,الموظفون!$B$6:$B$105,0)),"✖ رقم غير موجود"))</f>
        <v>محمد علي حسن</v>
      </c>
      <c r="D14" s="99"/>
      <c r="E14" s="99"/>
      <c r="F14" s="99"/>
      <c r="G14" s="96"/>
      <c r="H14" s="96"/>
      <c r="I14" s="96" t="n">
        <v>1000</v>
      </c>
      <c r="J14" s="96"/>
      <c r="K14" s="99"/>
      <c r="L14" s="99"/>
      <c r="M14" s="96"/>
      <c r="N14" s="96"/>
      <c r="O14" s="79" t="s">
        <v>429</v>
      </c>
    </row>
    <row r="15" customFormat="false" ht="15" hidden="false" customHeight="false" outlineLevel="0" collapsed="false">
      <c r="A15" s="98" t="n">
        <v>5</v>
      </c>
      <c r="B15" s="79" t="s">
        <v>332</v>
      </c>
      <c r="C15" s="102" t="str">
        <f aca="false">IF(B15="","",IFERROR(INDEX(الموظفون!$C$6:$C$105,MATCH(B15,الموظفون!$B$6:$B$105,0)),"✖ رقم غير موجود"))</f>
        <v>راجيش كومار</v>
      </c>
      <c r="D15" s="99"/>
      <c r="E15" s="99"/>
      <c r="F15" s="99" t="n">
        <v>16</v>
      </c>
      <c r="G15" s="96"/>
      <c r="H15" s="96"/>
      <c r="I15" s="96"/>
      <c r="J15" s="96"/>
      <c r="K15" s="99"/>
      <c r="L15" s="99"/>
      <c r="M15" s="96"/>
      <c r="N15" s="96"/>
      <c r="O15" s="79"/>
    </row>
    <row r="16" customFormat="false" ht="15" hidden="false" customHeight="false" outlineLevel="0" collapsed="false">
      <c r="A16" s="98" t="n">
        <v>6</v>
      </c>
      <c r="B16" s="79" t="s">
        <v>356</v>
      </c>
      <c r="C16" s="80" t="str">
        <f aca="false">IF(B16="","",IFERROR(INDEX(الموظفون!$C$6:$C$105,MATCH(B16,الموظفون!$B$6:$B$105,0)),"✖ رقم غير موجود"))</f>
        <v>محمد رفيق</v>
      </c>
      <c r="D16" s="99"/>
      <c r="E16" s="99"/>
      <c r="F16" s="99"/>
      <c r="G16" s="96"/>
      <c r="H16" s="96"/>
      <c r="I16" s="96"/>
      <c r="J16" s="96"/>
      <c r="K16" s="99"/>
      <c r="L16" s="99"/>
      <c r="M16" s="96" t="n">
        <v>2200</v>
      </c>
      <c r="N16" s="96"/>
      <c r="O16" s="79" t="s">
        <v>426</v>
      </c>
    </row>
    <row r="17" customFormat="false" ht="15" hidden="false" customHeight="false" outlineLevel="0" collapsed="false">
      <c r="A17" s="98" t="n">
        <v>6</v>
      </c>
      <c r="B17" s="79" t="s">
        <v>338</v>
      </c>
      <c r="C17" s="102" t="str">
        <f aca="false">IF(B17="","",IFERROR(INDEX(الموظفون!$C$6:$C$105,MATCH(B17,الموظفون!$B$6:$B$105,0)),"✖ رقم غير موجود"))</f>
        <v>فهد ناصر الشمري</v>
      </c>
      <c r="D17" s="99"/>
      <c r="E17" s="99"/>
      <c r="F17" s="99"/>
      <c r="G17" s="96" t="n">
        <v>6500</v>
      </c>
      <c r="H17" s="96"/>
      <c r="I17" s="96"/>
      <c r="J17" s="96"/>
      <c r="K17" s="99"/>
      <c r="L17" s="99"/>
      <c r="M17" s="96"/>
      <c r="N17" s="96"/>
      <c r="O17" s="79" t="s">
        <v>430</v>
      </c>
    </row>
    <row r="18" customFormat="false" ht="15" hidden="false" customHeight="false" outlineLevel="0" collapsed="false">
      <c r="A18" s="98" t="n">
        <v>7</v>
      </c>
      <c r="B18" s="79" t="s">
        <v>367</v>
      </c>
      <c r="C18" s="80" t="str">
        <f aca="false">IF(B18="","",IFERROR(INDEX(الموظفون!$C$6:$C$105,MATCH(B18,الموظفون!$B$6:$B$105,0)),"✖ رقم غير موجود"))</f>
        <v>جون ماتيو</v>
      </c>
      <c r="D18" s="99"/>
      <c r="E18" s="99"/>
      <c r="F18" s="99"/>
      <c r="G18" s="96"/>
      <c r="H18" s="96" t="n">
        <f aca="false">L18*INDEX('مخصص الإجازات'!$G$6:$G$105,MATCH(B18,'مخصص الإجازات'!$B$6:$B$105,0))</f>
        <v>8297.2602739726</v>
      </c>
      <c r="I18" s="96"/>
      <c r="J18" s="96"/>
      <c r="K18" s="99"/>
      <c r="L18" s="99" t="n">
        <f aca="false">INDEX('مخصص الإجازات'!$H$6:$H$105,MATCH(B18,'مخصص الإجازات'!$B$6:$B$105,0))+INDEX('مخصص الإجازات'!$L$6:$L$105,MATCH(B18,'مخصص الإجازات'!$B$6:$B$105,0))-INDEX('مخصص الإجازات'!$M$6:$M$105,MATCH(B18,'مخصص الإجازات'!$B$6:$B$105,0))</f>
        <v>36.8767123287671</v>
      </c>
      <c r="M18" s="96"/>
      <c r="N18" s="96" t="n">
        <f aca="false">INDEX('مخصص نهاية الخدمة'!$O$6:$O$105,MATCH(B18,'مخصص نهاية الخدمة'!$B$6:$B$105,0))</f>
        <v>21778.7671232877</v>
      </c>
      <c r="O18" s="79" t="s">
        <v>431</v>
      </c>
    </row>
    <row r="19" customFormat="false" ht="15" hidden="false" customHeight="false" outlineLevel="0" collapsed="false">
      <c r="A19" s="98" t="n">
        <v>8</v>
      </c>
      <c r="B19" s="79" t="s">
        <v>332</v>
      </c>
      <c r="C19" s="102" t="str">
        <f aca="false">IF(B19="","",IFERROR(INDEX(الموظفون!$C$6:$C$105,MATCH(B19,الموظفون!$B$6:$B$105,0)),"✖ رقم غير موجود"))</f>
        <v>راجيش كومار</v>
      </c>
      <c r="D19" s="99"/>
      <c r="E19" s="99"/>
      <c r="F19" s="99"/>
      <c r="G19" s="96"/>
      <c r="H19" s="96"/>
      <c r="I19" s="96"/>
      <c r="J19" s="96"/>
      <c r="K19" s="99"/>
      <c r="L19" s="99"/>
      <c r="M19" s="96" t="n">
        <v>2800</v>
      </c>
      <c r="N19" s="96"/>
      <c r="O19" s="79" t="s">
        <v>426</v>
      </c>
    </row>
    <row r="20" customFormat="false" ht="15" hidden="false" customHeight="false" outlineLevel="0" collapsed="false">
      <c r="A20" s="98" t="n">
        <v>9</v>
      </c>
      <c r="B20" s="79" t="s">
        <v>362</v>
      </c>
      <c r="C20" s="80" t="str">
        <f aca="false">IF(B20="","",IFERROR(INDEX(الموظفون!$C$6:$C$105,MATCH(B20,الموظفون!$B$6:$B$105,0)),"✖ رقم غير موجود"))</f>
        <v>ريم سلطان المطيري</v>
      </c>
      <c r="D20" s="99"/>
      <c r="E20" s="99"/>
      <c r="F20" s="99" t="n">
        <v>6</v>
      </c>
      <c r="G20" s="96"/>
      <c r="H20" s="96" t="n">
        <v>1500</v>
      </c>
      <c r="I20" s="96"/>
      <c r="J20" s="96"/>
      <c r="K20" s="99"/>
      <c r="L20" s="99"/>
      <c r="M20" s="96"/>
      <c r="N20" s="96"/>
      <c r="O20" s="79" t="s">
        <v>432</v>
      </c>
    </row>
    <row r="21" customFormat="false" ht="15" hidden="false" customHeight="false" outlineLevel="0" collapsed="false">
      <c r="A21" s="98" t="n">
        <v>9</v>
      </c>
      <c r="B21" s="79" t="s">
        <v>338</v>
      </c>
      <c r="C21" s="102" t="str">
        <f aca="false">IF(B21="","",IFERROR(INDEX(الموظفون!$C$6:$C$105,MATCH(B21,الموظفون!$B$6:$B$105,0)),"✖ رقم غير موجود"))</f>
        <v>فهد ناصر الشمري</v>
      </c>
      <c r="D21" s="99"/>
      <c r="E21" s="99"/>
      <c r="F21" s="99"/>
      <c r="G21" s="96"/>
      <c r="H21" s="96"/>
      <c r="I21" s="96"/>
      <c r="J21" s="96" t="n">
        <v>250</v>
      </c>
      <c r="K21" s="99"/>
      <c r="L21" s="99"/>
      <c r="M21" s="96"/>
      <c r="N21" s="96"/>
      <c r="O21" s="79" t="s">
        <v>433</v>
      </c>
    </row>
    <row r="22" customFormat="false" ht="15" hidden="false" customHeight="false" outlineLevel="0" collapsed="false">
      <c r="A22" s="98"/>
      <c r="B22" s="79"/>
      <c r="C22" s="80" t="str">
        <f aca="false">IF(B22="","",IFERROR(INDEX(الموظفون!$C$6:$C$105,MATCH(B22,الموظفون!$B$6:$B$105,0)),"✖ رقم غير موجود"))</f>
        <v/>
      </c>
      <c r="D22" s="99"/>
      <c r="E22" s="99"/>
      <c r="F22" s="99"/>
      <c r="G22" s="96"/>
      <c r="H22" s="96"/>
      <c r="I22" s="96"/>
      <c r="J22" s="96"/>
      <c r="K22" s="99"/>
      <c r="L22" s="99"/>
      <c r="M22" s="96"/>
      <c r="N22" s="96"/>
      <c r="O22" s="79"/>
    </row>
    <row r="23" customFormat="false" ht="15" hidden="false" customHeight="false" outlineLevel="0" collapsed="false">
      <c r="A23" s="98"/>
      <c r="B23" s="79"/>
      <c r="C23" s="102" t="str">
        <f aca="false">IF(B23="","",IFERROR(INDEX(الموظفون!$C$6:$C$105,MATCH(B23,الموظفون!$B$6:$B$105,0)),"✖ رقم غير موجود"))</f>
        <v/>
      </c>
      <c r="D23" s="99"/>
      <c r="E23" s="99"/>
      <c r="F23" s="99"/>
      <c r="G23" s="96"/>
      <c r="H23" s="96"/>
      <c r="I23" s="96"/>
      <c r="J23" s="96"/>
      <c r="K23" s="99"/>
      <c r="L23" s="99"/>
      <c r="M23" s="96"/>
      <c r="N23" s="96"/>
      <c r="O23" s="79"/>
    </row>
    <row r="24" customFormat="false" ht="15" hidden="false" customHeight="false" outlineLevel="0" collapsed="false">
      <c r="A24" s="98"/>
      <c r="B24" s="79"/>
      <c r="C24" s="80" t="str">
        <f aca="false">IF(B24="","",IFERROR(INDEX(الموظفون!$C$6:$C$105,MATCH(B24,الموظفون!$B$6:$B$105,0)),"✖ رقم غير موجود"))</f>
        <v/>
      </c>
      <c r="D24" s="99"/>
      <c r="E24" s="99"/>
      <c r="F24" s="99"/>
      <c r="G24" s="96"/>
      <c r="H24" s="96"/>
      <c r="I24" s="96"/>
      <c r="J24" s="96"/>
      <c r="K24" s="99"/>
      <c r="L24" s="99"/>
      <c r="M24" s="96"/>
      <c r="N24" s="96"/>
      <c r="O24" s="79"/>
    </row>
    <row r="25" customFormat="false" ht="15" hidden="false" customHeight="false" outlineLevel="0" collapsed="false">
      <c r="A25" s="98"/>
      <c r="B25" s="79"/>
      <c r="C25" s="102" t="str">
        <f aca="false">IF(B25="","",IFERROR(INDEX(الموظفون!$C$6:$C$105,MATCH(B25,الموظفون!$B$6:$B$105,0)),"✖ رقم غير موجود"))</f>
        <v/>
      </c>
      <c r="D25" s="99"/>
      <c r="E25" s="99"/>
      <c r="F25" s="99"/>
      <c r="G25" s="96"/>
      <c r="H25" s="96"/>
      <c r="I25" s="96"/>
      <c r="J25" s="96"/>
      <c r="K25" s="99"/>
      <c r="L25" s="99"/>
      <c r="M25" s="96"/>
      <c r="N25" s="96"/>
      <c r="O25" s="79"/>
    </row>
    <row r="26" customFormat="false" ht="15" hidden="false" customHeight="false" outlineLevel="0" collapsed="false">
      <c r="A26" s="98"/>
      <c r="B26" s="79"/>
      <c r="C26" s="80" t="str">
        <f aca="false">IF(B26="","",IFERROR(INDEX(الموظفون!$C$6:$C$105,MATCH(B26,الموظفون!$B$6:$B$105,0)),"✖ رقم غير موجود"))</f>
        <v/>
      </c>
      <c r="D26" s="99"/>
      <c r="E26" s="99"/>
      <c r="F26" s="99"/>
      <c r="G26" s="96"/>
      <c r="H26" s="96"/>
      <c r="I26" s="96"/>
      <c r="J26" s="96"/>
      <c r="K26" s="99"/>
      <c r="L26" s="99"/>
      <c r="M26" s="96"/>
      <c r="N26" s="96"/>
      <c r="O26" s="79"/>
    </row>
    <row r="27" customFormat="false" ht="15" hidden="false" customHeight="false" outlineLevel="0" collapsed="false">
      <c r="A27" s="98"/>
      <c r="B27" s="79"/>
      <c r="C27" s="102" t="str">
        <f aca="false">IF(B27="","",IFERROR(INDEX(الموظفون!$C$6:$C$105,MATCH(B27,الموظفون!$B$6:$B$105,0)),"✖ رقم غير موجود"))</f>
        <v/>
      </c>
      <c r="D27" s="99"/>
      <c r="E27" s="99"/>
      <c r="F27" s="99"/>
      <c r="G27" s="96"/>
      <c r="H27" s="96"/>
      <c r="I27" s="96"/>
      <c r="J27" s="96"/>
      <c r="K27" s="99"/>
      <c r="L27" s="99"/>
      <c r="M27" s="96"/>
      <c r="N27" s="96"/>
      <c r="O27" s="79"/>
    </row>
    <row r="28" customFormat="false" ht="15" hidden="false" customHeight="false" outlineLevel="0" collapsed="false">
      <c r="A28" s="98"/>
      <c r="B28" s="79"/>
      <c r="C28" s="80" t="str">
        <f aca="false">IF(B28="","",IFERROR(INDEX(الموظفون!$C$6:$C$105,MATCH(B28,الموظفون!$B$6:$B$105,0)),"✖ رقم غير موجود"))</f>
        <v/>
      </c>
      <c r="D28" s="99"/>
      <c r="E28" s="99"/>
      <c r="F28" s="99"/>
      <c r="G28" s="96"/>
      <c r="H28" s="96"/>
      <c r="I28" s="96"/>
      <c r="J28" s="96"/>
      <c r="K28" s="99"/>
      <c r="L28" s="99"/>
      <c r="M28" s="96"/>
      <c r="N28" s="96"/>
      <c r="O28" s="79"/>
    </row>
    <row r="29" customFormat="false" ht="15" hidden="false" customHeight="false" outlineLevel="0" collapsed="false">
      <c r="A29" s="98"/>
      <c r="B29" s="79"/>
      <c r="C29" s="102" t="str">
        <f aca="false">IF(B29="","",IFERROR(INDEX(الموظفون!$C$6:$C$105,MATCH(B29,الموظفون!$B$6:$B$105,0)),"✖ رقم غير موجود"))</f>
        <v/>
      </c>
      <c r="D29" s="99"/>
      <c r="E29" s="99"/>
      <c r="F29" s="99"/>
      <c r="G29" s="96"/>
      <c r="H29" s="96"/>
      <c r="I29" s="96"/>
      <c r="J29" s="96"/>
      <c r="K29" s="99"/>
      <c r="L29" s="99"/>
      <c r="M29" s="96"/>
      <c r="N29" s="96"/>
      <c r="O29" s="79"/>
    </row>
    <row r="30" customFormat="false" ht="15" hidden="false" customHeight="false" outlineLevel="0" collapsed="false">
      <c r="A30" s="98"/>
      <c r="B30" s="79"/>
      <c r="C30" s="80" t="str">
        <f aca="false">IF(B30="","",IFERROR(INDEX(الموظفون!$C$6:$C$105,MATCH(B30,الموظفون!$B$6:$B$105,0)),"✖ رقم غير موجود"))</f>
        <v/>
      </c>
      <c r="D30" s="99"/>
      <c r="E30" s="99"/>
      <c r="F30" s="99"/>
      <c r="G30" s="96"/>
      <c r="H30" s="96"/>
      <c r="I30" s="96"/>
      <c r="J30" s="96"/>
      <c r="K30" s="99"/>
      <c r="L30" s="99"/>
      <c r="M30" s="96"/>
      <c r="N30" s="96"/>
      <c r="O30" s="79"/>
    </row>
    <row r="31" customFormat="false" ht="15" hidden="false" customHeight="false" outlineLevel="0" collapsed="false">
      <c r="A31" s="98"/>
      <c r="B31" s="79"/>
      <c r="C31" s="102" t="str">
        <f aca="false">IF(B31="","",IFERROR(INDEX(الموظفون!$C$6:$C$105,MATCH(B31,الموظفون!$B$6:$B$105,0)),"✖ رقم غير موجود"))</f>
        <v/>
      </c>
      <c r="D31" s="99"/>
      <c r="E31" s="99"/>
      <c r="F31" s="99"/>
      <c r="G31" s="96"/>
      <c r="H31" s="96"/>
      <c r="I31" s="96"/>
      <c r="J31" s="96"/>
      <c r="K31" s="99"/>
      <c r="L31" s="99"/>
      <c r="M31" s="96"/>
      <c r="N31" s="96"/>
      <c r="O31" s="79"/>
    </row>
    <row r="32" customFormat="false" ht="15" hidden="false" customHeight="false" outlineLevel="0" collapsed="false">
      <c r="A32" s="98"/>
      <c r="B32" s="79"/>
      <c r="C32" s="80" t="str">
        <f aca="false">IF(B32="","",IFERROR(INDEX(الموظفون!$C$6:$C$105,MATCH(B32,الموظفون!$B$6:$B$105,0)),"✖ رقم غير موجود"))</f>
        <v/>
      </c>
      <c r="D32" s="99"/>
      <c r="E32" s="99"/>
      <c r="F32" s="99"/>
      <c r="G32" s="96"/>
      <c r="H32" s="96"/>
      <c r="I32" s="96"/>
      <c r="J32" s="96"/>
      <c r="K32" s="99"/>
      <c r="L32" s="99"/>
      <c r="M32" s="96"/>
      <c r="N32" s="96"/>
      <c r="O32" s="79"/>
    </row>
    <row r="33" customFormat="false" ht="15" hidden="false" customHeight="false" outlineLevel="0" collapsed="false">
      <c r="A33" s="98"/>
      <c r="B33" s="79"/>
      <c r="C33" s="102" t="str">
        <f aca="false">IF(B33="","",IFERROR(INDEX(الموظفون!$C$6:$C$105,MATCH(B33,الموظفون!$B$6:$B$105,0)),"✖ رقم غير موجود"))</f>
        <v/>
      </c>
      <c r="D33" s="99"/>
      <c r="E33" s="99"/>
      <c r="F33" s="99"/>
      <c r="G33" s="96"/>
      <c r="H33" s="96"/>
      <c r="I33" s="96"/>
      <c r="J33" s="96"/>
      <c r="K33" s="99"/>
      <c r="L33" s="99"/>
      <c r="M33" s="96"/>
      <c r="N33" s="96"/>
      <c r="O33" s="79"/>
    </row>
    <row r="34" customFormat="false" ht="15" hidden="false" customHeight="false" outlineLevel="0" collapsed="false">
      <c r="A34" s="98"/>
      <c r="B34" s="79"/>
      <c r="C34" s="80" t="str">
        <f aca="false">IF(B34="","",IFERROR(INDEX(الموظفون!$C$6:$C$105,MATCH(B34,الموظفون!$B$6:$B$105,0)),"✖ رقم غير موجود"))</f>
        <v/>
      </c>
      <c r="D34" s="99"/>
      <c r="E34" s="99"/>
      <c r="F34" s="99"/>
      <c r="G34" s="96"/>
      <c r="H34" s="96"/>
      <c r="I34" s="96"/>
      <c r="J34" s="96"/>
      <c r="K34" s="99"/>
      <c r="L34" s="99"/>
      <c r="M34" s="96"/>
      <c r="N34" s="96"/>
      <c r="O34" s="79"/>
    </row>
    <row r="35" customFormat="false" ht="15" hidden="false" customHeight="false" outlineLevel="0" collapsed="false">
      <c r="A35" s="98"/>
      <c r="B35" s="79"/>
      <c r="C35" s="102" t="str">
        <f aca="false">IF(B35="","",IFERROR(INDEX(الموظفون!$C$6:$C$105,MATCH(B35,الموظفون!$B$6:$B$105,0)),"✖ رقم غير موجود"))</f>
        <v/>
      </c>
      <c r="D35" s="99"/>
      <c r="E35" s="99"/>
      <c r="F35" s="99"/>
      <c r="G35" s="96"/>
      <c r="H35" s="96"/>
      <c r="I35" s="96"/>
      <c r="J35" s="96"/>
      <c r="K35" s="99"/>
      <c r="L35" s="99"/>
      <c r="M35" s="96"/>
      <c r="N35" s="96"/>
      <c r="O35" s="79"/>
    </row>
    <row r="36" customFormat="false" ht="15" hidden="false" customHeight="false" outlineLevel="0" collapsed="false">
      <c r="A36" s="98"/>
      <c r="B36" s="79"/>
      <c r="C36" s="80" t="str">
        <f aca="false">IF(B36="","",IFERROR(INDEX(الموظفون!$C$6:$C$105,MATCH(B36,الموظفون!$B$6:$B$105,0)),"✖ رقم غير موجود"))</f>
        <v/>
      </c>
      <c r="D36" s="99"/>
      <c r="E36" s="99"/>
      <c r="F36" s="99"/>
      <c r="G36" s="96"/>
      <c r="H36" s="96"/>
      <c r="I36" s="96"/>
      <c r="J36" s="96"/>
      <c r="K36" s="99"/>
      <c r="L36" s="99"/>
      <c r="M36" s="96"/>
      <c r="N36" s="96"/>
      <c r="O36" s="79"/>
    </row>
    <row r="37" customFormat="false" ht="15" hidden="false" customHeight="false" outlineLevel="0" collapsed="false">
      <c r="A37" s="98"/>
      <c r="B37" s="79"/>
      <c r="C37" s="102" t="str">
        <f aca="false">IF(B37="","",IFERROR(INDEX(الموظفون!$C$6:$C$105,MATCH(B37,الموظفون!$B$6:$B$105,0)),"✖ رقم غير موجود"))</f>
        <v/>
      </c>
      <c r="D37" s="99"/>
      <c r="E37" s="99"/>
      <c r="F37" s="99"/>
      <c r="G37" s="96"/>
      <c r="H37" s="96"/>
      <c r="I37" s="96"/>
      <c r="J37" s="96"/>
      <c r="K37" s="99"/>
      <c r="L37" s="99"/>
      <c r="M37" s="96"/>
      <c r="N37" s="96"/>
      <c r="O37" s="79"/>
    </row>
    <row r="38" customFormat="false" ht="15" hidden="false" customHeight="false" outlineLevel="0" collapsed="false">
      <c r="A38" s="98"/>
      <c r="B38" s="79"/>
      <c r="C38" s="80" t="str">
        <f aca="false">IF(B38="","",IFERROR(INDEX(الموظفون!$C$6:$C$105,MATCH(B38,الموظفون!$B$6:$B$105,0)),"✖ رقم غير موجود"))</f>
        <v/>
      </c>
      <c r="D38" s="99"/>
      <c r="E38" s="99"/>
      <c r="F38" s="99"/>
      <c r="G38" s="96"/>
      <c r="H38" s="96"/>
      <c r="I38" s="96"/>
      <c r="J38" s="96"/>
      <c r="K38" s="99"/>
      <c r="L38" s="99"/>
      <c r="M38" s="96"/>
      <c r="N38" s="96"/>
      <c r="O38" s="79"/>
    </row>
    <row r="39" customFormat="false" ht="15" hidden="false" customHeight="false" outlineLevel="0" collapsed="false">
      <c r="A39" s="98"/>
      <c r="B39" s="79"/>
      <c r="C39" s="102" t="str">
        <f aca="false">IF(B39="","",IFERROR(INDEX(الموظفون!$C$6:$C$105,MATCH(B39,الموظفون!$B$6:$B$105,0)),"✖ رقم غير موجود"))</f>
        <v/>
      </c>
      <c r="D39" s="99"/>
      <c r="E39" s="99"/>
      <c r="F39" s="99"/>
      <c r="G39" s="96"/>
      <c r="H39" s="96"/>
      <c r="I39" s="96"/>
      <c r="J39" s="96"/>
      <c r="K39" s="99"/>
      <c r="L39" s="99"/>
      <c r="M39" s="96"/>
      <c r="N39" s="96"/>
      <c r="O39" s="79"/>
    </row>
    <row r="40" customFormat="false" ht="15" hidden="false" customHeight="false" outlineLevel="0" collapsed="false">
      <c r="A40" s="98"/>
      <c r="B40" s="79"/>
      <c r="C40" s="80" t="str">
        <f aca="false">IF(B40="","",IFERROR(INDEX(الموظفون!$C$6:$C$105,MATCH(B40,الموظفون!$B$6:$B$105,0)),"✖ رقم غير موجود"))</f>
        <v/>
      </c>
      <c r="D40" s="99"/>
      <c r="E40" s="99"/>
      <c r="F40" s="99"/>
      <c r="G40" s="96"/>
      <c r="H40" s="96"/>
      <c r="I40" s="96"/>
      <c r="J40" s="96"/>
      <c r="K40" s="99"/>
      <c r="L40" s="99"/>
      <c r="M40" s="96"/>
      <c r="N40" s="96"/>
      <c r="O40" s="79"/>
    </row>
    <row r="41" customFormat="false" ht="15" hidden="false" customHeight="false" outlineLevel="0" collapsed="false">
      <c r="A41" s="98"/>
      <c r="B41" s="79"/>
      <c r="C41" s="102" t="str">
        <f aca="false">IF(B41="","",IFERROR(INDEX(الموظفون!$C$6:$C$105,MATCH(B41,الموظفون!$B$6:$B$105,0)),"✖ رقم غير موجود"))</f>
        <v/>
      </c>
      <c r="D41" s="99"/>
      <c r="E41" s="99"/>
      <c r="F41" s="99"/>
      <c r="G41" s="96"/>
      <c r="H41" s="96"/>
      <c r="I41" s="96"/>
      <c r="J41" s="96"/>
      <c r="K41" s="99"/>
      <c r="L41" s="99"/>
      <c r="M41" s="96"/>
      <c r="N41" s="96"/>
      <c r="O41" s="79"/>
    </row>
    <row r="42" customFormat="false" ht="15" hidden="false" customHeight="false" outlineLevel="0" collapsed="false">
      <c r="A42" s="98"/>
      <c r="B42" s="79"/>
      <c r="C42" s="80" t="str">
        <f aca="false">IF(B42="","",IFERROR(INDEX(الموظفون!$C$6:$C$105,MATCH(B42,الموظفون!$B$6:$B$105,0)),"✖ رقم غير موجود"))</f>
        <v/>
      </c>
      <c r="D42" s="99"/>
      <c r="E42" s="99"/>
      <c r="F42" s="99"/>
      <c r="G42" s="96"/>
      <c r="H42" s="96"/>
      <c r="I42" s="96"/>
      <c r="J42" s="96"/>
      <c r="K42" s="99"/>
      <c r="L42" s="99"/>
      <c r="M42" s="96"/>
      <c r="N42" s="96"/>
      <c r="O42" s="79"/>
    </row>
    <row r="43" customFormat="false" ht="15" hidden="false" customHeight="false" outlineLevel="0" collapsed="false">
      <c r="A43" s="98"/>
      <c r="B43" s="79"/>
      <c r="C43" s="102" t="str">
        <f aca="false">IF(B43="","",IFERROR(INDEX(الموظفون!$C$6:$C$105,MATCH(B43,الموظفون!$B$6:$B$105,0)),"✖ رقم غير موجود"))</f>
        <v/>
      </c>
      <c r="D43" s="99"/>
      <c r="E43" s="99"/>
      <c r="F43" s="99"/>
      <c r="G43" s="96"/>
      <c r="H43" s="96"/>
      <c r="I43" s="96"/>
      <c r="J43" s="96"/>
      <c r="K43" s="99"/>
      <c r="L43" s="99"/>
      <c r="M43" s="96"/>
      <c r="N43" s="96"/>
      <c r="O43" s="79"/>
    </row>
    <row r="44" customFormat="false" ht="15" hidden="false" customHeight="false" outlineLevel="0" collapsed="false">
      <c r="A44" s="98"/>
      <c r="B44" s="79"/>
      <c r="C44" s="80" t="str">
        <f aca="false">IF(B44="","",IFERROR(INDEX(الموظفون!$C$6:$C$105,MATCH(B44,الموظفون!$B$6:$B$105,0)),"✖ رقم غير موجود"))</f>
        <v/>
      </c>
      <c r="D44" s="99"/>
      <c r="E44" s="99"/>
      <c r="F44" s="99"/>
      <c r="G44" s="96"/>
      <c r="H44" s="96"/>
      <c r="I44" s="96"/>
      <c r="J44" s="96"/>
      <c r="K44" s="99"/>
      <c r="L44" s="99"/>
      <c r="M44" s="96"/>
      <c r="N44" s="96"/>
      <c r="O44" s="79"/>
    </row>
    <row r="45" customFormat="false" ht="15" hidden="false" customHeight="false" outlineLevel="0" collapsed="false">
      <c r="A45" s="98"/>
      <c r="B45" s="79"/>
      <c r="C45" s="102" t="str">
        <f aca="false">IF(B45="","",IFERROR(INDEX(الموظفون!$C$6:$C$105,MATCH(B45,الموظفون!$B$6:$B$105,0)),"✖ رقم غير موجود"))</f>
        <v/>
      </c>
      <c r="D45" s="99"/>
      <c r="E45" s="99"/>
      <c r="F45" s="99"/>
      <c r="G45" s="96"/>
      <c r="H45" s="96"/>
      <c r="I45" s="96"/>
      <c r="J45" s="96"/>
      <c r="K45" s="99"/>
      <c r="L45" s="99"/>
      <c r="M45" s="96"/>
      <c r="N45" s="96"/>
      <c r="O45" s="79"/>
    </row>
    <row r="46" customFormat="false" ht="15" hidden="false" customHeight="false" outlineLevel="0" collapsed="false">
      <c r="A46" s="98"/>
      <c r="B46" s="79"/>
      <c r="C46" s="80" t="str">
        <f aca="false">IF(B46="","",IFERROR(INDEX(الموظفون!$C$6:$C$105,MATCH(B46,الموظفون!$B$6:$B$105,0)),"✖ رقم غير موجود"))</f>
        <v/>
      </c>
      <c r="D46" s="99"/>
      <c r="E46" s="99"/>
      <c r="F46" s="99"/>
      <c r="G46" s="96"/>
      <c r="H46" s="96"/>
      <c r="I46" s="96"/>
      <c r="J46" s="96"/>
      <c r="K46" s="99"/>
      <c r="L46" s="99"/>
      <c r="M46" s="96"/>
      <c r="N46" s="96"/>
      <c r="O46" s="79"/>
    </row>
    <row r="47" customFormat="false" ht="15" hidden="false" customHeight="false" outlineLevel="0" collapsed="false">
      <c r="A47" s="98"/>
      <c r="B47" s="79"/>
      <c r="C47" s="102" t="str">
        <f aca="false">IF(B47="","",IFERROR(INDEX(الموظفون!$C$6:$C$105,MATCH(B47,الموظفون!$B$6:$B$105,0)),"✖ رقم غير موجود"))</f>
        <v/>
      </c>
      <c r="D47" s="99"/>
      <c r="E47" s="99"/>
      <c r="F47" s="99"/>
      <c r="G47" s="96"/>
      <c r="H47" s="96"/>
      <c r="I47" s="96"/>
      <c r="J47" s="96"/>
      <c r="K47" s="99"/>
      <c r="L47" s="99"/>
      <c r="M47" s="96"/>
      <c r="N47" s="96"/>
      <c r="O47" s="79"/>
    </row>
    <row r="48" customFormat="false" ht="15" hidden="false" customHeight="false" outlineLevel="0" collapsed="false">
      <c r="A48" s="98"/>
      <c r="B48" s="79"/>
      <c r="C48" s="80" t="str">
        <f aca="false">IF(B48="","",IFERROR(INDEX(الموظفون!$C$6:$C$105,MATCH(B48,الموظفون!$B$6:$B$105,0)),"✖ رقم غير موجود"))</f>
        <v/>
      </c>
      <c r="D48" s="99"/>
      <c r="E48" s="99"/>
      <c r="F48" s="99"/>
      <c r="G48" s="96"/>
      <c r="H48" s="96"/>
      <c r="I48" s="96"/>
      <c r="J48" s="96"/>
      <c r="K48" s="99"/>
      <c r="L48" s="99"/>
      <c r="M48" s="96"/>
      <c r="N48" s="96"/>
      <c r="O48" s="79"/>
    </row>
    <row r="49" customFormat="false" ht="15" hidden="false" customHeight="false" outlineLevel="0" collapsed="false">
      <c r="A49" s="98"/>
      <c r="B49" s="79"/>
      <c r="C49" s="102" t="str">
        <f aca="false">IF(B49="","",IFERROR(INDEX(الموظفون!$C$6:$C$105,MATCH(B49,الموظفون!$B$6:$B$105,0)),"✖ رقم غير موجود"))</f>
        <v/>
      </c>
      <c r="D49" s="99"/>
      <c r="E49" s="99"/>
      <c r="F49" s="99"/>
      <c r="G49" s="96"/>
      <c r="H49" s="96"/>
      <c r="I49" s="96"/>
      <c r="J49" s="96"/>
      <c r="K49" s="99"/>
      <c r="L49" s="99"/>
      <c r="M49" s="96"/>
      <c r="N49" s="96"/>
      <c r="O49" s="79"/>
    </row>
    <row r="50" customFormat="false" ht="15" hidden="false" customHeight="false" outlineLevel="0" collapsed="false">
      <c r="A50" s="98"/>
      <c r="B50" s="79"/>
      <c r="C50" s="80" t="str">
        <f aca="false">IF(B50="","",IFERROR(INDEX(الموظفون!$C$6:$C$105,MATCH(B50,الموظفون!$B$6:$B$105,0)),"✖ رقم غير موجود"))</f>
        <v/>
      </c>
      <c r="D50" s="99"/>
      <c r="E50" s="99"/>
      <c r="F50" s="99"/>
      <c r="G50" s="96"/>
      <c r="H50" s="96"/>
      <c r="I50" s="96"/>
      <c r="J50" s="96"/>
      <c r="K50" s="99"/>
      <c r="L50" s="99"/>
      <c r="M50" s="96"/>
      <c r="N50" s="96"/>
      <c r="O50" s="79"/>
    </row>
    <row r="51" customFormat="false" ht="15" hidden="false" customHeight="false" outlineLevel="0" collapsed="false">
      <c r="A51" s="98"/>
      <c r="B51" s="79"/>
      <c r="C51" s="102" t="str">
        <f aca="false">IF(B51="","",IFERROR(INDEX(الموظفون!$C$6:$C$105,MATCH(B51,الموظفون!$B$6:$B$105,0)),"✖ رقم غير موجود"))</f>
        <v/>
      </c>
      <c r="D51" s="99"/>
      <c r="E51" s="99"/>
      <c r="F51" s="99"/>
      <c r="G51" s="96"/>
      <c r="H51" s="96"/>
      <c r="I51" s="96"/>
      <c r="J51" s="96"/>
      <c r="K51" s="99"/>
      <c r="L51" s="99"/>
      <c r="M51" s="96"/>
      <c r="N51" s="96"/>
      <c r="O51" s="79"/>
    </row>
    <row r="52" customFormat="false" ht="15" hidden="false" customHeight="false" outlineLevel="0" collapsed="false">
      <c r="A52" s="98"/>
      <c r="B52" s="79"/>
      <c r="C52" s="80" t="str">
        <f aca="false">IF(B52="","",IFERROR(INDEX(الموظفون!$C$6:$C$105,MATCH(B52,الموظفون!$B$6:$B$105,0)),"✖ رقم غير موجود"))</f>
        <v/>
      </c>
      <c r="D52" s="99"/>
      <c r="E52" s="99"/>
      <c r="F52" s="99"/>
      <c r="G52" s="96"/>
      <c r="H52" s="96"/>
      <c r="I52" s="96"/>
      <c r="J52" s="96"/>
      <c r="K52" s="99"/>
      <c r="L52" s="99"/>
      <c r="M52" s="96"/>
      <c r="N52" s="96"/>
      <c r="O52" s="79"/>
    </row>
    <row r="53" customFormat="false" ht="15" hidden="false" customHeight="false" outlineLevel="0" collapsed="false">
      <c r="A53" s="98"/>
      <c r="B53" s="79"/>
      <c r="C53" s="102" t="str">
        <f aca="false">IF(B53="","",IFERROR(INDEX(الموظفون!$C$6:$C$105,MATCH(B53,الموظفون!$B$6:$B$105,0)),"✖ رقم غير موجود"))</f>
        <v/>
      </c>
      <c r="D53" s="99"/>
      <c r="E53" s="99"/>
      <c r="F53" s="99"/>
      <c r="G53" s="96"/>
      <c r="H53" s="96"/>
      <c r="I53" s="96"/>
      <c r="J53" s="96"/>
      <c r="K53" s="99"/>
      <c r="L53" s="99"/>
      <c r="M53" s="96"/>
      <c r="N53" s="96"/>
      <c r="O53" s="79"/>
    </row>
    <row r="54" customFormat="false" ht="15" hidden="false" customHeight="false" outlineLevel="0" collapsed="false">
      <c r="A54" s="98"/>
      <c r="B54" s="79"/>
      <c r="C54" s="80" t="str">
        <f aca="false">IF(B54="","",IFERROR(INDEX(الموظفون!$C$6:$C$105,MATCH(B54,الموظفون!$B$6:$B$105,0)),"✖ رقم غير موجود"))</f>
        <v/>
      </c>
      <c r="D54" s="99"/>
      <c r="E54" s="99"/>
      <c r="F54" s="99"/>
      <c r="G54" s="96"/>
      <c r="H54" s="96"/>
      <c r="I54" s="96"/>
      <c r="J54" s="96"/>
      <c r="K54" s="99"/>
      <c r="L54" s="99"/>
      <c r="M54" s="96"/>
      <c r="N54" s="96"/>
      <c r="O54" s="79"/>
    </row>
    <row r="55" customFormat="false" ht="15" hidden="false" customHeight="false" outlineLevel="0" collapsed="false">
      <c r="A55" s="98"/>
      <c r="B55" s="79"/>
      <c r="C55" s="102" t="str">
        <f aca="false">IF(B55="","",IFERROR(INDEX(الموظفون!$C$6:$C$105,MATCH(B55,الموظفون!$B$6:$B$105,0)),"✖ رقم غير موجود"))</f>
        <v/>
      </c>
      <c r="D55" s="99"/>
      <c r="E55" s="99"/>
      <c r="F55" s="99"/>
      <c r="G55" s="96"/>
      <c r="H55" s="96"/>
      <c r="I55" s="96"/>
      <c r="J55" s="96"/>
      <c r="K55" s="99"/>
      <c r="L55" s="99"/>
      <c r="M55" s="96"/>
      <c r="N55" s="96"/>
      <c r="O55" s="79"/>
    </row>
    <row r="56" customFormat="false" ht="15" hidden="false" customHeight="false" outlineLevel="0" collapsed="false">
      <c r="A56" s="98"/>
      <c r="B56" s="79"/>
      <c r="C56" s="80" t="str">
        <f aca="false">IF(B56="","",IFERROR(INDEX(الموظفون!$C$6:$C$105,MATCH(B56,الموظفون!$B$6:$B$105,0)),"✖ رقم غير موجود"))</f>
        <v/>
      </c>
      <c r="D56" s="99"/>
      <c r="E56" s="99"/>
      <c r="F56" s="99"/>
      <c r="G56" s="96"/>
      <c r="H56" s="96"/>
      <c r="I56" s="96"/>
      <c r="J56" s="96"/>
      <c r="K56" s="99"/>
      <c r="L56" s="99"/>
      <c r="M56" s="96"/>
      <c r="N56" s="96"/>
      <c r="O56" s="79"/>
    </row>
    <row r="57" customFormat="false" ht="15" hidden="false" customHeight="false" outlineLevel="0" collapsed="false">
      <c r="A57" s="98"/>
      <c r="B57" s="79"/>
      <c r="C57" s="102" t="str">
        <f aca="false">IF(B57="","",IFERROR(INDEX(الموظفون!$C$6:$C$105,MATCH(B57,الموظفون!$B$6:$B$105,0)),"✖ رقم غير موجود"))</f>
        <v/>
      </c>
      <c r="D57" s="99"/>
      <c r="E57" s="99"/>
      <c r="F57" s="99"/>
      <c r="G57" s="96"/>
      <c r="H57" s="96"/>
      <c r="I57" s="96"/>
      <c r="J57" s="96"/>
      <c r="K57" s="99"/>
      <c r="L57" s="99"/>
      <c r="M57" s="96"/>
      <c r="N57" s="96"/>
      <c r="O57" s="79"/>
    </row>
    <row r="58" customFormat="false" ht="15" hidden="false" customHeight="false" outlineLevel="0" collapsed="false">
      <c r="A58" s="98"/>
      <c r="B58" s="79"/>
      <c r="C58" s="80" t="str">
        <f aca="false">IF(B58="","",IFERROR(INDEX(الموظفون!$C$6:$C$105,MATCH(B58,الموظفون!$B$6:$B$105,0)),"✖ رقم غير موجود"))</f>
        <v/>
      </c>
      <c r="D58" s="99"/>
      <c r="E58" s="99"/>
      <c r="F58" s="99"/>
      <c r="G58" s="96"/>
      <c r="H58" s="96"/>
      <c r="I58" s="96"/>
      <c r="J58" s="96"/>
      <c r="K58" s="99"/>
      <c r="L58" s="99"/>
      <c r="M58" s="96"/>
      <c r="N58" s="96"/>
      <c r="O58" s="79"/>
    </row>
    <row r="59" customFormat="false" ht="15" hidden="false" customHeight="false" outlineLevel="0" collapsed="false">
      <c r="A59" s="98"/>
      <c r="B59" s="79"/>
      <c r="C59" s="102" t="str">
        <f aca="false">IF(B59="","",IFERROR(INDEX(الموظفون!$C$6:$C$105,MATCH(B59,الموظفون!$B$6:$B$105,0)),"✖ رقم غير موجود"))</f>
        <v/>
      </c>
      <c r="D59" s="99"/>
      <c r="E59" s="99"/>
      <c r="F59" s="99"/>
      <c r="G59" s="96"/>
      <c r="H59" s="96"/>
      <c r="I59" s="96"/>
      <c r="J59" s="96"/>
      <c r="K59" s="99"/>
      <c r="L59" s="99"/>
      <c r="M59" s="96"/>
      <c r="N59" s="96"/>
      <c r="O59" s="79"/>
    </row>
    <row r="60" customFormat="false" ht="15" hidden="false" customHeight="false" outlineLevel="0" collapsed="false">
      <c r="A60" s="98"/>
      <c r="B60" s="79"/>
      <c r="C60" s="80" t="str">
        <f aca="false">IF(B60="","",IFERROR(INDEX(الموظفون!$C$6:$C$105,MATCH(B60,الموظفون!$B$6:$B$105,0)),"✖ رقم غير موجود"))</f>
        <v/>
      </c>
      <c r="D60" s="99"/>
      <c r="E60" s="99"/>
      <c r="F60" s="99"/>
      <c r="G60" s="96"/>
      <c r="H60" s="96"/>
      <c r="I60" s="96"/>
      <c r="J60" s="96"/>
      <c r="K60" s="99"/>
      <c r="L60" s="99"/>
      <c r="M60" s="96"/>
      <c r="N60" s="96"/>
      <c r="O60" s="79"/>
    </row>
    <row r="61" customFormat="false" ht="15" hidden="false" customHeight="false" outlineLevel="0" collapsed="false">
      <c r="A61" s="98"/>
      <c r="B61" s="79"/>
      <c r="C61" s="102" t="str">
        <f aca="false">IF(B61="","",IFERROR(INDEX(الموظفون!$C$6:$C$105,MATCH(B61,الموظفون!$B$6:$B$105,0)),"✖ رقم غير موجود"))</f>
        <v/>
      </c>
      <c r="D61" s="99"/>
      <c r="E61" s="99"/>
      <c r="F61" s="99"/>
      <c r="G61" s="96"/>
      <c r="H61" s="96"/>
      <c r="I61" s="96"/>
      <c r="J61" s="96"/>
      <c r="K61" s="99"/>
      <c r="L61" s="99"/>
      <c r="M61" s="96"/>
      <c r="N61" s="96"/>
      <c r="O61" s="79"/>
    </row>
    <row r="62" customFormat="false" ht="15" hidden="false" customHeight="false" outlineLevel="0" collapsed="false">
      <c r="A62" s="98"/>
      <c r="B62" s="79"/>
      <c r="C62" s="80" t="str">
        <f aca="false">IF(B62="","",IFERROR(INDEX(الموظفون!$C$6:$C$105,MATCH(B62,الموظفون!$B$6:$B$105,0)),"✖ رقم غير موجود"))</f>
        <v/>
      </c>
      <c r="D62" s="99"/>
      <c r="E62" s="99"/>
      <c r="F62" s="99"/>
      <c r="G62" s="96"/>
      <c r="H62" s="96"/>
      <c r="I62" s="96"/>
      <c r="J62" s="96"/>
      <c r="K62" s="99"/>
      <c r="L62" s="99"/>
      <c r="M62" s="96"/>
      <c r="N62" s="96"/>
      <c r="O62" s="79"/>
    </row>
    <row r="63" customFormat="false" ht="15" hidden="false" customHeight="false" outlineLevel="0" collapsed="false">
      <c r="A63" s="98"/>
      <c r="B63" s="79"/>
      <c r="C63" s="102" t="str">
        <f aca="false">IF(B63="","",IFERROR(INDEX(الموظفون!$C$6:$C$105,MATCH(B63,الموظفون!$B$6:$B$105,0)),"✖ رقم غير موجود"))</f>
        <v/>
      </c>
      <c r="D63" s="99"/>
      <c r="E63" s="99"/>
      <c r="F63" s="99"/>
      <c r="G63" s="96"/>
      <c r="H63" s="96"/>
      <c r="I63" s="96"/>
      <c r="J63" s="96"/>
      <c r="K63" s="99"/>
      <c r="L63" s="99"/>
      <c r="M63" s="96"/>
      <c r="N63" s="96"/>
      <c r="O63" s="79"/>
    </row>
    <row r="64" customFormat="false" ht="15" hidden="false" customHeight="false" outlineLevel="0" collapsed="false">
      <c r="A64" s="98"/>
      <c r="B64" s="79"/>
      <c r="C64" s="80" t="str">
        <f aca="false">IF(B64="","",IFERROR(INDEX(الموظفون!$C$6:$C$105,MATCH(B64,الموظفون!$B$6:$B$105,0)),"✖ رقم غير موجود"))</f>
        <v/>
      </c>
      <c r="D64" s="99"/>
      <c r="E64" s="99"/>
      <c r="F64" s="99"/>
      <c r="G64" s="96"/>
      <c r="H64" s="96"/>
      <c r="I64" s="96"/>
      <c r="J64" s="96"/>
      <c r="K64" s="99"/>
      <c r="L64" s="99"/>
      <c r="M64" s="96"/>
      <c r="N64" s="96"/>
      <c r="O64" s="79"/>
    </row>
    <row r="65" customFormat="false" ht="15" hidden="false" customHeight="false" outlineLevel="0" collapsed="false">
      <c r="A65" s="98"/>
      <c r="B65" s="79"/>
      <c r="C65" s="102" t="str">
        <f aca="false">IF(B65="","",IFERROR(INDEX(الموظفون!$C$6:$C$105,MATCH(B65,الموظفون!$B$6:$B$105,0)),"✖ رقم غير موجود"))</f>
        <v/>
      </c>
      <c r="D65" s="99"/>
      <c r="E65" s="99"/>
      <c r="F65" s="99"/>
      <c r="G65" s="96"/>
      <c r="H65" s="96"/>
      <c r="I65" s="96"/>
      <c r="J65" s="96"/>
      <c r="K65" s="99"/>
      <c r="L65" s="99"/>
      <c r="M65" s="96"/>
      <c r="N65" s="96"/>
      <c r="O65" s="79"/>
    </row>
    <row r="66" customFormat="false" ht="15" hidden="false" customHeight="false" outlineLevel="0" collapsed="false">
      <c r="A66" s="98"/>
      <c r="B66" s="79"/>
      <c r="C66" s="80" t="str">
        <f aca="false">IF(B66="","",IFERROR(INDEX(الموظفون!$C$6:$C$105,MATCH(B66,الموظفون!$B$6:$B$105,0)),"✖ رقم غير موجود"))</f>
        <v/>
      </c>
      <c r="D66" s="99"/>
      <c r="E66" s="99"/>
      <c r="F66" s="99"/>
      <c r="G66" s="96"/>
      <c r="H66" s="96"/>
      <c r="I66" s="96"/>
      <c r="J66" s="96"/>
      <c r="K66" s="99"/>
      <c r="L66" s="99"/>
      <c r="M66" s="96"/>
      <c r="N66" s="96"/>
      <c r="O66" s="79"/>
    </row>
    <row r="67" customFormat="false" ht="15" hidden="false" customHeight="false" outlineLevel="0" collapsed="false">
      <c r="A67" s="98"/>
      <c r="B67" s="79"/>
      <c r="C67" s="102" t="str">
        <f aca="false">IF(B67="","",IFERROR(INDEX(الموظفون!$C$6:$C$105,MATCH(B67,الموظفون!$B$6:$B$105,0)),"✖ رقم غير موجود"))</f>
        <v/>
      </c>
      <c r="D67" s="99"/>
      <c r="E67" s="99"/>
      <c r="F67" s="99"/>
      <c r="G67" s="96"/>
      <c r="H67" s="96"/>
      <c r="I67" s="96"/>
      <c r="J67" s="96"/>
      <c r="K67" s="99"/>
      <c r="L67" s="99"/>
      <c r="M67" s="96"/>
      <c r="N67" s="96"/>
      <c r="O67" s="79"/>
    </row>
    <row r="68" customFormat="false" ht="15" hidden="false" customHeight="false" outlineLevel="0" collapsed="false">
      <c r="A68" s="98"/>
      <c r="B68" s="79"/>
      <c r="C68" s="80" t="str">
        <f aca="false">IF(B68="","",IFERROR(INDEX(الموظفون!$C$6:$C$105,MATCH(B68,الموظفون!$B$6:$B$105,0)),"✖ رقم غير موجود"))</f>
        <v/>
      </c>
      <c r="D68" s="99"/>
      <c r="E68" s="99"/>
      <c r="F68" s="99"/>
      <c r="G68" s="96"/>
      <c r="H68" s="96"/>
      <c r="I68" s="96"/>
      <c r="J68" s="96"/>
      <c r="K68" s="99"/>
      <c r="L68" s="99"/>
      <c r="M68" s="96"/>
      <c r="N68" s="96"/>
      <c r="O68" s="79"/>
    </row>
    <row r="69" customFormat="false" ht="15" hidden="false" customHeight="false" outlineLevel="0" collapsed="false">
      <c r="A69" s="98"/>
      <c r="B69" s="79"/>
      <c r="C69" s="102" t="str">
        <f aca="false">IF(B69="","",IFERROR(INDEX(الموظفون!$C$6:$C$105,MATCH(B69,الموظفون!$B$6:$B$105,0)),"✖ رقم غير موجود"))</f>
        <v/>
      </c>
      <c r="D69" s="99"/>
      <c r="E69" s="99"/>
      <c r="F69" s="99"/>
      <c r="G69" s="96"/>
      <c r="H69" s="96"/>
      <c r="I69" s="96"/>
      <c r="J69" s="96"/>
      <c r="K69" s="99"/>
      <c r="L69" s="99"/>
      <c r="M69" s="96"/>
      <c r="N69" s="96"/>
      <c r="O69" s="79"/>
    </row>
    <row r="70" customFormat="false" ht="15" hidden="false" customHeight="false" outlineLevel="0" collapsed="false">
      <c r="A70" s="98"/>
      <c r="B70" s="79"/>
      <c r="C70" s="80" t="str">
        <f aca="false">IF(B70="","",IFERROR(INDEX(الموظفون!$C$6:$C$105,MATCH(B70,الموظفون!$B$6:$B$105,0)),"✖ رقم غير موجود"))</f>
        <v/>
      </c>
      <c r="D70" s="99"/>
      <c r="E70" s="99"/>
      <c r="F70" s="99"/>
      <c r="G70" s="96"/>
      <c r="H70" s="96"/>
      <c r="I70" s="96"/>
      <c r="J70" s="96"/>
      <c r="K70" s="99"/>
      <c r="L70" s="99"/>
      <c r="M70" s="96"/>
      <c r="N70" s="96"/>
      <c r="O70" s="79"/>
    </row>
    <row r="71" customFormat="false" ht="15" hidden="false" customHeight="false" outlineLevel="0" collapsed="false">
      <c r="A71" s="98"/>
      <c r="B71" s="79"/>
      <c r="C71" s="102" t="str">
        <f aca="false">IF(B71="","",IFERROR(INDEX(الموظفون!$C$6:$C$105,MATCH(B71,الموظفون!$B$6:$B$105,0)),"✖ رقم غير موجود"))</f>
        <v/>
      </c>
      <c r="D71" s="99"/>
      <c r="E71" s="99"/>
      <c r="F71" s="99"/>
      <c r="G71" s="96"/>
      <c r="H71" s="96"/>
      <c r="I71" s="96"/>
      <c r="J71" s="96"/>
      <c r="K71" s="99"/>
      <c r="L71" s="99"/>
      <c r="M71" s="96"/>
      <c r="N71" s="96"/>
      <c r="O71" s="79"/>
    </row>
    <row r="72" customFormat="false" ht="15" hidden="false" customHeight="false" outlineLevel="0" collapsed="false">
      <c r="A72" s="98"/>
      <c r="B72" s="79"/>
      <c r="C72" s="80" t="str">
        <f aca="false">IF(B72="","",IFERROR(INDEX(الموظفون!$C$6:$C$105,MATCH(B72,الموظفون!$B$6:$B$105,0)),"✖ رقم غير موجود"))</f>
        <v/>
      </c>
      <c r="D72" s="99"/>
      <c r="E72" s="99"/>
      <c r="F72" s="99"/>
      <c r="G72" s="96"/>
      <c r="H72" s="96"/>
      <c r="I72" s="96"/>
      <c r="J72" s="96"/>
      <c r="K72" s="99"/>
      <c r="L72" s="99"/>
      <c r="M72" s="96"/>
      <c r="N72" s="96"/>
      <c r="O72" s="79"/>
    </row>
    <row r="73" customFormat="false" ht="15" hidden="false" customHeight="false" outlineLevel="0" collapsed="false">
      <c r="A73" s="98"/>
      <c r="B73" s="79"/>
      <c r="C73" s="102" t="str">
        <f aca="false">IF(B73="","",IFERROR(INDEX(الموظفون!$C$6:$C$105,MATCH(B73,الموظفون!$B$6:$B$105,0)),"✖ رقم غير موجود"))</f>
        <v/>
      </c>
      <c r="D73" s="99"/>
      <c r="E73" s="99"/>
      <c r="F73" s="99"/>
      <c r="G73" s="96"/>
      <c r="H73" s="96"/>
      <c r="I73" s="96"/>
      <c r="J73" s="96"/>
      <c r="K73" s="99"/>
      <c r="L73" s="99"/>
      <c r="M73" s="96"/>
      <c r="N73" s="96"/>
      <c r="O73" s="79"/>
    </row>
    <row r="74" customFormat="false" ht="15" hidden="false" customHeight="false" outlineLevel="0" collapsed="false">
      <c r="A74" s="98"/>
      <c r="B74" s="79"/>
      <c r="C74" s="80" t="str">
        <f aca="false">IF(B74="","",IFERROR(INDEX(الموظفون!$C$6:$C$105,MATCH(B74,الموظفون!$B$6:$B$105,0)),"✖ رقم غير موجود"))</f>
        <v/>
      </c>
      <c r="D74" s="99"/>
      <c r="E74" s="99"/>
      <c r="F74" s="99"/>
      <c r="G74" s="96"/>
      <c r="H74" s="96"/>
      <c r="I74" s="96"/>
      <c r="J74" s="96"/>
      <c r="K74" s="99"/>
      <c r="L74" s="99"/>
      <c r="M74" s="96"/>
      <c r="N74" s="96"/>
      <c r="O74" s="79"/>
    </row>
    <row r="75" customFormat="false" ht="15" hidden="false" customHeight="false" outlineLevel="0" collapsed="false">
      <c r="A75" s="98"/>
      <c r="B75" s="79"/>
      <c r="C75" s="102" t="str">
        <f aca="false">IF(B75="","",IFERROR(INDEX(الموظفون!$C$6:$C$105,MATCH(B75,الموظفون!$B$6:$B$105,0)),"✖ رقم غير موجود"))</f>
        <v/>
      </c>
      <c r="D75" s="99"/>
      <c r="E75" s="99"/>
      <c r="F75" s="99"/>
      <c r="G75" s="96"/>
      <c r="H75" s="96"/>
      <c r="I75" s="96"/>
      <c r="J75" s="96"/>
      <c r="K75" s="99"/>
      <c r="L75" s="99"/>
      <c r="M75" s="96"/>
      <c r="N75" s="96"/>
      <c r="O75" s="79"/>
    </row>
    <row r="76" customFormat="false" ht="15" hidden="false" customHeight="false" outlineLevel="0" collapsed="false">
      <c r="A76" s="98"/>
      <c r="B76" s="79"/>
      <c r="C76" s="80" t="str">
        <f aca="false">IF(B76="","",IFERROR(INDEX(الموظفون!$C$6:$C$105,MATCH(B76,الموظفون!$B$6:$B$105,0)),"✖ رقم غير موجود"))</f>
        <v/>
      </c>
      <c r="D76" s="99"/>
      <c r="E76" s="99"/>
      <c r="F76" s="99"/>
      <c r="G76" s="96"/>
      <c r="H76" s="96"/>
      <c r="I76" s="96"/>
      <c r="J76" s="96"/>
      <c r="K76" s="99"/>
      <c r="L76" s="99"/>
      <c r="M76" s="96"/>
      <c r="N76" s="96"/>
      <c r="O76" s="79"/>
    </row>
    <row r="77" customFormat="false" ht="15" hidden="false" customHeight="false" outlineLevel="0" collapsed="false">
      <c r="A77" s="98"/>
      <c r="B77" s="79"/>
      <c r="C77" s="102" t="str">
        <f aca="false">IF(B77="","",IFERROR(INDEX(الموظفون!$C$6:$C$105,MATCH(B77,الموظفون!$B$6:$B$105,0)),"✖ رقم غير موجود"))</f>
        <v/>
      </c>
      <c r="D77" s="99"/>
      <c r="E77" s="99"/>
      <c r="F77" s="99"/>
      <c r="G77" s="96"/>
      <c r="H77" s="96"/>
      <c r="I77" s="96"/>
      <c r="J77" s="96"/>
      <c r="K77" s="99"/>
      <c r="L77" s="99"/>
      <c r="M77" s="96"/>
      <c r="N77" s="96"/>
      <c r="O77" s="79"/>
    </row>
    <row r="78" customFormat="false" ht="15" hidden="false" customHeight="false" outlineLevel="0" collapsed="false">
      <c r="A78" s="98"/>
      <c r="B78" s="79"/>
      <c r="C78" s="80" t="str">
        <f aca="false">IF(B78="","",IFERROR(INDEX(الموظفون!$C$6:$C$105,MATCH(B78,الموظفون!$B$6:$B$105,0)),"✖ رقم غير موجود"))</f>
        <v/>
      </c>
      <c r="D78" s="99"/>
      <c r="E78" s="99"/>
      <c r="F78" s="99"/>
      <c r="G78" s="96"/>
      <c r="H78" s="96"/>
      <c r="I78" s="96"/>
      <c r="J78" s="96"/>
      <c r="K78" s="99"/>
      <c r="L78" s="99"/>
      <c r="M78" s="96"/>
      <c r="N78" s="96"/>
      <c r="O78" s="79"/>
    </row>
    <row r="79" customFormat="false" ht="15" hidden="false" customHeight="false" outlineLevel="0" collapsed="false">
      <c r="A79" s="98"/>
      <c r="B79" s="79"/>
      <c r="C79" s="102" t="str">
        <f aca="false">IF(B79="","",IFERROR(INDEX(الموظفون!$C$6:$C$105,MATCH(B79,الموظفون!$B$6:$B$105,0)),"✖ رقم غير موجود"))</f>
        <v/>
      </c>
      <c r="D79" s="99"/>
      <c r="E79" s="99"/>
      <c r="F79" s="99"/>
      <c r="G79" s="96"/>
      <c r="H79" s="96"/>
      <c r="I79" s="96"/>
      <c r="J79" s="96"/>
      <c r="K79" s="99"/>
      <c r="L79" s="99"/>
      <c r="M79" s="96"/>
      <c r="N79" s="96"/>
      <c r="O79" s="79"/>
    </row>
    <row r="80" customFormat="false" ht="15" hidden="false" customHeight="false" outlineLevel="0" collapsed="false">
      <c r="A80" s="98"/>
      <c r="B80" s="79"/>
      <c r="C80" s="80" t="str">
        <f aca="false">IF(B80="","",IFERROR(INDEX(الموظفون!$C$6:$C$105,MATCH(B80,الموظفون!$B$6:$B$105,0)),"✖ رقم غير موجود"))</f>
        <v/>
      </c>
      <c r="D80" s="99"/>
      <c r="E80" s="99"/>
      <c r="F80" s="99"/>
      <c r="G80" s="96"/>
      <c r="H80" s="96"/>
      <c r="I80" s="96"/>
      <c r="J80" s="96"/>
      <c r="K80" s="99"/>
      <c r="L80" s="99"/>
      <c r="M80" s="96"/>
      <c r="N80" s="96"/>
      <c r="O80" s="79"/>
    </row>
    <row r="81" customFormat="false" ht="15" hidden="false" customHeight="false" outlineLevel="0" collapsed="false">
      <c r="A81" s="98"/>
      <c r="B81" s="79"/>
      <c r="C81" s="102" t="str">
        <f aca="false">IF(B81="","",IFERROR(INDEX(الموظفون!$C$6:$C$105,MATCH(B81,الموظفون!$B$6:$B$105,0)),"✖ رقم غير موجود"))</f>
        <v/>
      </c>
      <c r="D81" s="99"/>
      <c r="E81" s="99"/>
      <c r="F81" s="99"/>
      <c r="G81" s="96"/>
      <c r="H81" s="96"/>
      <c r="I81" s="96"/>
      <c r="J81" s="96"/>
      <c r="K81" s="99"/>
      <c r="L81" s="99"/>
      <c r="M81" s="96"/>
      <c r="N81" s="96"/>
      <c r="O81" s="79"/>
    </row>
    <row r="82" customFormat="false" ht="15" hidden="false" customHeight="false" outlineLevel="0" collapsed="false">
      <c r="A82" s="98"/>
      <c r="B82" s="79"/>
      <c r="C82" s="80" t="str">
        <f aca="false">IF(B82="","",IFERROR(INDEX(الموظفون!$C$6:$C$105,MATCH(B82,الموظفون!$B$6:$B$105,0)),"✖ رقم غير موجود"))</f>
        <v/>
      </c>
      <c r="D82" s="99"/>
      <c r="E82" s="99"/>
      <c r="F82" s="99"/>
      <c r="G82" s="96"/>
      <c r="H82" s="96"/>
      <c r="I82" s="96"/>
      <c r="J82" s="96"/>
      <c r="K82" s="99"/>
      <c r="L82" s="99"/>
      <c r="M82" s="96"/>
      <c r="N82" s="96"/>
      <c r="O82" s="79"/>
    </row>
    <row r="83" customFormat="false" ht="15" hidden="false" customHeight="false" outlineLevel="0" collapsed="false">
      <c r="A83" s="98"/>
      <c r="B83" s="79"/>
      <c r="C83" s="102" t="str">
        <f aca="false">IF(B83="","",IFERROR(INDEX(الموظفون!$C$6:$C$105,MATCH(B83,الموظفون!$B$6:$B$105,0)),"✖ رقم غير موجود"))</f>
        <v/>
      </c>
      <c r="D83" s="99"/>
      <c r="E83" s="99"/>
      <c r="F83" s="99"/>
      <c r="G83" s="96"/>
      <c r="H83" s="96"/>
      <c r="I83" s="96"/>
      <c r="J83" s="96"/>
      <c r="K83" s="99"/>
      <c r="L83" s="99"/>
      <c r="M83" s="96"/>
      <c r="N83" s="96"/>
      <c r="O83" s="79"/>
    </row>
    <row r="84" customFormat="false" ht="15" hidden="false" customHeight="false" outlineLevel="0" collapsed="false">
      <c r="A84" s="98"/>
      <c r="B84" s="79"/>
      <c r="C84" s="80" t="str">
        <f aca="false">IF(B84="","",IFERROR(INDEX(الموظفون!$C$6:$C$105,MATCH(B84,الموظفون!$B$6:$B$105,0)),"✖ رقم غير موجود"))</f>
        <v/>
      </c>
      <c r="D84" s="99"/>
      <c r="E84" s="99"/>
      <c r="F84" s="99"/>
      <c r="G84" s="96"/>
      <c r="H84" s="96"/>
      <c r="I84" s="96"/>
      <c r="J84" s="96"/>
      <c r="K84" s="99"/>
      <c r="L84" s="99"/>
      <c r="M84" s="96"/>
      <c r="N84" s="96"/>
      <c r="O84" s="79"/>
    </row>
    <row r="85" customFormat="false" ht="15" hidden="false" customHeight="false" outlineLevel="0" collapsed="false">
      <c r="A85" s="98"/>
      <c r="B85" s="79"/>
      <c r="C85" s="102" t="str">
        <f aca="false">IF(B85="","",IFERROR(INDEX(الموظفون!$C$6:$C$105,MATCH(B85,الموظفون!$B$6:$B$105,0)),"✖ رقم غير موجود"))</f>
        <v/>
      </c>
      <c r="D85" s="99"/>
      <c r="E85" s="99"/>
      <c r="F85" s="99"/>
      <c r="G85" s="96"/>
      <c r="H85" s="96"/>
      <c r="I85" s="96"/>
      <c r="J85" s="96"/>
      <c r="K85" s="99"/>
      <c r="L85" s="99"/>
      <c r="M85" s="96"/>
      <c r="N85" s="96"/>
      <c r="O85" s="79"/>
    </row>
    <row r="86" customFormat="false" ht="15" hidden="false" customHeight="false" outlineLevel="0" collapsed="false">
      <c r="A86" s="98"/>
      <c r="B86" s="79"/>
      <c r="C86" s="80" t="str">
        <f aca="false">IF(B86="","",IFERROR(INDEX(الموظفون!$C$6:$C$105,MATCH(B86,الموظفون!$B$6:$B$105,0)),"✖ رقم غير موجود"))</f>
        <v/>
      </c>
      <c r="D86" s="99"/>
      <c r="E86" s="99"/>
      <c r="F86" s="99"/>
      <c r="G86" s="96"/>
      <c r="H86" s="96"/>
      <c r="I86" s="96"/>
      <c r="J86" s="96"/>
      <c r="K86" s="99"/>
      <c r="L86" s="99"/>
      <c r="M86" s="96"/>
      <c r="N86" s="96"/>
      <c r="O86" s="79"/>
    </row>
    <row r="87" customFormat="false" ht="15" hidden="false" customHeight="false" outlineLevel="0" collapsed="false">
      <c r="A87" s="98"/>
      <c r="B87" s="79"/>
      <c r="C87" s="102" t="str">
        <f aca="false">IF(B87="","",IFERROR(INDEX(الموظفون!$C$6:$C$105,MATCH(B87,الموظفون!$B$6:$B$105,0)),"✖ رقم غير موجود"))</f>
        <v/>
      </c>
      <c r="D87" s="99"/>
      <c r="E87" s="99"/>
      <c r="F87" s="99"/>
      <c r="G87" s="96"/>
      <c r="H87" s="96"/>
      <c r="I87" s="96"/>
      <c r="J87" s="96"/>
      <c r="K87" s="99"/>
      <c r="L87" s="99"/>
      <c r="M87" s="96"/>
      <c r="N87" s="96"/>
      <c r="O87" s="79"/>
    </row>
    <row r="88" customFormat="false" ht="15" hidden="false" customHeight="false" outlineLevel="0" collapsed="false">
      <c r="A88" s="98"/>
      <c r="B88" s="79"/>
      <c r="C88" s="80" t="str">
        <f aca="false">IF(B88="","",IFERROR(INDEX(الموظفون!$C$6:$C$105,MATCH(B88,الموظفون!$B$6:$B$105,0)),"✖ رقم غير موجود"))</f>
        <v/>
      </c>
      <c r="D88" s="99"/>
      <c r="E88" s="99"/>
      <c r="F88" s="99"/>
      <c r="G88" s="96"/>
      <c r="H88" s="96"/>
      <c r="I88" s="96"/>
      <c r="J88" s="96"/>
      <c r="K88" s="99"/>
      <c r="L88" s="99"/>
      <c r="M88" s="96"/>
      <c r="N88" s="96"/>
      <c r="O88" s="79"/>
    </row>
    <row r="89" customFormat="false" ht="15" hidden="false" customHeight="false" outlineLevel="0" collapsed="false">
      <c r="A89" s="98"/>
      <c r="B89" s="79"/>
      <c r="C89" s="102" t="str">
        <f aca="false">IF(B89="","",IFERROR(INDEX(الموظفون!$C$6:$C$105,MATCH(B89,الموظفون!$B$6:$B$105,0)),"✖ رقم غير موجود"))</f>
        <v/>
      </c>
      <c r="D89" s="99"/>
      <c r="E89" s="99"/>
      <c r="F89" s="99"/>
      <c r="G89" s="96"/>
      <c r="H89" s="96"/>
      <c r="I89" s="96"/>
      <c r="J89" s="96"/>
      <c r="K89" s="99"/>
      <c r="L89" s="99"/>
      <c r="M89" s="96"/>
      <c r="N89" s="96"/>
      <c r="O89" s="79"/>
    </row>
    <row r="90" customFormat="false" ht="15" hidden="false" customHeight="false" outlineLevel="0" collapsed="false">
      <c r="A90" s="98"/>
      <c r="B90" s="79"/>
      <c r="C90" s="80" t="str">
        <f aca="false">IF(B90="","",IFERROR(INDEX(الموظفون!$C$6:$C$105,MATCH(B90,الموظفون!$B$6:$B$105,0)),"✖ رقم غير موجود"))</f>
        <v/>
      </c>
      <c r="D90" s="99"/>
      <c r="E90" s="99"/>
      <c r="F90" s="99"/>
      <c r="G90" s="96"/>
      <c r="H90" s="96"/>
      <c r="I90" s="96"/>
      <c r="J90" s="96"/>
      <c r="K90" s="99"/>
      <c r="L90" s="99"/>
      <c r="M90" s="96"/>
      <c r="N90" s="96"/>
      <c r="O90" s="79"/>
    </row>
    <row r="91" customFormat="false" ht="15" hidden="false" customHeight="false" outlineLevel="0" collapsed="false">
      <c r="A91" s="98"/>
      <c r="B91" s="79"/>
      <c r="C91" s="102" t="str">
        <f aca="false">IF(B91="","",IFERROR(INDEX(الموظفون!$C$6:$C$105,MATCH(B91,الموظفون!$B$6:$B$105,0)),"✖ رقم غير موجود"))</f>
        <v/>
      </c>
      <c r="D91" s="99"/>
      <c r="E91" s="99"/>
      <c r="F91" s="99"/>
      <c r="G91" s="96"/>
      <c r="H91" s="96"/>
      <c r="I91" s="96"/>
      <c r="J91" s="96"/>
      <c r="K91" s="99"/>
      <c r="L91" s="99"/>
      <c r="M91" s="96"/>
      <c r="N91" s="96"/>
      <c r="O91" s="79"/>
    </row>
    <row r="92" customFormat="false" ht="15" hidden="false" customHeight="false" outlineLevel="0" collapsed="false">
      <c r="A92" s="98"/>
      <c r="B92" s="79"/>
      <c r="C92" s="80" t="str">
        <f aca="false">IF(B92="","",IFERROR(INDEX(الموظفون!$C$6:$C$105,MATCH(B92,الموظفون!$B$6:$B$105,0)),"✖ رقم غير موجود"))</f>
        <v/>
      </c>
      <c r="D92" s="99"/>
      <c r="E92" s="99"/>
      <c r="F92" s="99"/>
      <c r="G92" s="96"/>
      <c r="H92" s="96"/>
      <c r="I92" s="96"/>
      <c r="J92" s="96"/>
      <c r="K92" s="99"/>
      <c r="L92" s="99"/>
      <c r="M92" s="96"/>
      <c r="N92" s="96"/>
      <c r="O92" s="79"/>
    </row>
    <row r="93" customFormat="false" ht="15" hidden="false" customHeight="false" outlineLevel="0" collapsed="false">
      <c r="A93" s="98"/>
      <c r="B93" s="79"/>
      <c r="C93" s="102" t="str">
        <f aca="false">IF(B93="","",IFERROR(INDEX(الموظفون!$C$6:$C$105,MATCH(B93,الموظفون!$B$6:$B$105,0)),"✖ رقم غير موجود"))</f>
        <v/>
      </c>
      <c r="D93" s="99"/>
      <c r="E93" s="99"/>
      <c r="F93" s="99"/>
      <c r="G93" s="96"/>
      <c r="H93" s="96"/>
      <c r="I93" s="96"/>
      <c r="J93" s="96"/>
      <c r="K93" s="99"/>
      <c r="L93" s="99"/>
      <c r="M93" s="96"/>
      <c r="N93" s="96"/>
      <c r="O93" s="79"/>
    </row>
    <row r="94" customFormat="false" ht="15" hidden="false" customHeight="false" outlineLevel="0" collapsed="false">
      <c r="A94" s="98"/>
      <c r="B94" s="79"/>
      <c r="C94" s="80" t="str">
        <f aca="false">IF(B94="","",IFERROR(INDEX(الموظفون!$C$6:$C$105,MATCH(B94,الموظفون!$B$6:$B$105,0)),"✖ رقم غير موجود"))</f>
        <v/>
      </c>
      <c r="D94" s="99"/>
      <c r="E94" s="99"/>
      <c r="F94" s="99"/>
      <c r="G94" s="96"/>
      <c r="H94" s="96"/>
      <c r="I94" s="96"/>
      <c r="J94" s="96"/>
      <c r="K94" s="99"/>
      <c r="L94" s="99"/>
      <c r="M94" s="96"/>
      <c r="N94" s="96"/>
      <c r="O94" s="79"/>
    </row>
    <row r="95" customFormat="false" ht="15" hidden="false" customHeight="false" outlineLevel="0" collapsed="false">
      <c r="A95" s="98"/>
      <c r="B95" s="79"/>
      <c r="C95" s="102" t="str">
        <f aca="false">IF(B95="","",IFERROR(INDEX(الموظفون!$C$6:$C$105,MATCH(B95,الموظفون!$B$6:$B$105,0)),"✖ رقم غير موجود"))</f>
        <v/>
      </c>
      <c r="D95" s="99"/>
      <c r="E95" s="99"/>
      <c r="F95" s="99"/>
      <c r="G95" s="96"/>
      <c r="H95" s="96"/>
      <c r="I95" s="96"/>
      <c r="J95" s="96"/>
      <c r="K95" s="99"/>
      <c r="L95" s="99"/>
      <c r="M95" s="96"/>
      <c r="N95" s="96"/>
      <c r="O95" s="79"/>
    </row>
    <row r="96" customFormat="false" ht="15" hidden="false" customHeight="false" outlineLevel="0" collapsed="false">
      <c r="A96" s="98"/>
      <c r="B96" s="79"/>
      <c r="C96" s="80" t="str">
        <f aca="false">IF(B96="","",IFERROR(INDEX(الموظفون!$C$6:$C$105,MATCH(B96,الموظفون!$B$6:$B$105,0)),"✖ رقم غير موجود"))</f>
        <v/>
      </c>
      <c r="D96" s="99"/>
      <c r="E96" s="99"/>
      <c r="F96" s="99"/>
      <c r="G96" s="96"/>
      <c r="H96" s="96"/>
      <c r="I96" s="96"/>
      <c r="J96" s="96"/>
      <c r="K96" s="99"/>
      <c r="L96" s="99"/>
      <c r="M96" s="96"/>
      <c r="N96" s="96"/>
      <c r="O96" s="79"/>
    </row>
    <row r="97" customFormat="false" ht="15" hidden="false" customHeight="false" outlineLevel="0" collapsed="false">
      <c r="A97" s="98"/>
      <c r="B97" s="79"/>
      <c r="C97" s="102" t="str">
        <f aca="false">IF(B97="","",IFERROR(INDEX(الموظفون!$C$6:$C$105,MATCH(B97,الموظفون!$B$6:$B$105,0)),"✖ رقم غير موجود"))</f>
        <v/>
      </c>
      <c r="D97" s="99"/>
      <c r="E97" s="99"/>
      <c r="F97" s="99"/>
      <c r="G97" s="96"/>
      <c r="H97" s="96"/>
      <c r="I97" s="96"/>
      <c r="J97" s="96"/>
      <c r="K97" s="99"/>
      <c r="L97" s="99"/>
      <c r="M97" s="96"/>
      <c r="N97" s="96"/>
      <c r="O97" s="79"/>
    </row>
    <row r="98" customFormat="false" ht="15" hidden="false" customHeight="false" outlineLevel="0" collapsed="false">
      <c r="A98" s="98"/>
      <c r="B98" s="79"/>
      <c r="C98" s="80" t="str">
        <f aca="false">IF(B98="","",IFERROR(INDEX(الموظفون!$C$6:$C$105,MATCH(B98,الموظفون!$B$6:$B$105,0)),"✖ رقم غير موجود"))</f>
        <v/>
      </c>
      <c r="D98" s="99"/>
      <c r="E98" s="99"/>
      <c r="F98" s="99"/>
      <c r="G98" s="96"/>
      <c r="H98" s="96"/>
      <c r="I98" s="96"/>
      <c r="J98" s="96"/>
      <c r="K98" s="99"/>
      <c r="L98" s="99"/>
      <c r="M98" s="96"/>
      <c r="N98" s="96"/>
      <c r="O98" s="79"/>
    </row>
    <row r="99" customFormat="false" ht="15" hidden="false" customHeight="false" outlineLevel="0" collapsed="false">
      <c r="A99" s="98"/>
      <c r="B99" s="79"/>
      <c r="C99" s="102" t="str">
        <f aca="false">IF(B99="","",IFERROR(INDEX(الموظفون!$C$6:$C$105,MATCH(B99,الموظفون!$B$6:$B$105,0)),"✖ رقم غير موجود"))</f>
        <v/>
      </c>
      <c r="D99" s="99"/>
      <c r="E99" s="99"/>
      <c r="F99" s="99"/>
      <c r="G99" s="96"/>
      <c r="H99" s="96"/>
      <c r="I99" s="96"/>
      <c r="J99" s="96"/>
      <c r="K99" s="99"/>
      <c r="L99" s="99"/>
      <c r="M99" s="96"/>
      <c r="N99" s="96"/>
      <c r="O99" s="79"/>
    </row>
    <row r="100" customFormat="false" ht="15" hidden="false" customHeight="false" outlineLevel="0" collapsed="false">
      <c r="A100" s="98"/>
      <c r="B100" s="79"/>
      <c r="C100" s="80" t="str">
        <f aca="false">IF(B100="","",IFERROR(INDEX(الموظفون!$C$6:$C$105,MATCH(B100,الموظفون!$B$6:$B$105,0)),"✖ رقم غير موجود"))</f>
        <v/>
      </c>
      <c r="D100" s="99"/>
      <c r="E100" s="99"/>
      <c r="F100" s="99"/>
      <c r="G100" s="96"/>
      <c r="H100" s="96"/>
      <c r="I100" s="96"/>
      <c r="J100" s="96"/>
      <c r="K100" s="99"/>
      <c r="L100" s="99"/>
      <c r="M100" s="96"/>
      <c r="N100" s="96"/>
      <c r="O100" s="79"/>
    </row>
    <row r="101" customFormat="false" ht="15" hidden="false" customHeight="false" outlineLevel="0" collapsed="false">
      <c r="A101" s="98"/>
      <c r="B101" s="79"/>
      <c r="C101" s="102" t="str">
        <f aca="false">IF(B101="","",IFERROR(INDEX(الموظفون!$C$6:$C$105,MATCH(B101,الموظفون!$B$6:$B$105,0)),"✖ رقم غير موجود"))</f>
        <v/>
      </c>
      <c r="D101" s="99"/>
      <c r="E101" s="99"/>
      <c r="F101" s="99"/>
      <c r="G101" s="96"/>
      <c r="H101" s="96"/>
      <c r="I101" s="96"/>
      <c r="J101" s="96"/>
      <c r="K101" s="99"/>
      <c r="L101" s="99"/>
      <c r="M101" s="96"/>
      <c r="N101" s="96"/>
      <c r="O101" s="79"/>
    </row>
    <row r="102" customFormat="false" ht="15" hidden="false" customHeight="false" outlineLevel="0" collapsed="false">
      <c r="A102" s="98"/>
      <c r="B102" s="79"/>
      <c r="C102" s="80" t="str">
        <f aca="false">IF(B102="","",IFERROR(INDEX(الموظفون!$C$6:$C$105,MATCH(B102,الموظفون!$B$6:$B$105,0)),"✖ رقم غير موجود"))</f>
        <v/>
      </c>
      <c r="D102" s="99"/>
      <c r="E102" s="99"/>
      <c r="F102" s="99"/>
      <c r="G102" s="96"/>
      <c r="H102" s="96"/>
      <c r="I102" s="96"/>
      <c r="J102" s="96"/>
      <c r="K102" s="99"/>
      <c r="L102" s="99"/>
      <c r="M102" s="96"/>
      <c r="N102" s="96"/>
      <c r="O102" s="79"/>
    </row>
    <row r="103" customFormat="false" ht="15" hidden="false" customHeight="false" outlineLevel="0" collapsed="false">
      <c r="A103" s="98"/>
      <c r="B103" s="79"/>
      <c r="C103" s="102" t="str">
        <f aca="false">IF(B103="","",IFERROR(INDEX(الموظفون!$C$6:$C$105,MATCH(B103,الموظفون!$B$6:$B$105,0)),"✖ رقم غير موجود"))</f>
        <v/>
      </c>
      <c r="D103" s="99"/>
      <c r="E103" s="99"/>
      <c r="F103" s="99"/>
      <c r="G103" s="96"/>
      <c r="H103" s="96"/>
      <c r="I103" s="96"/>
      <c r="J103" s="96"/>
      <c r="K103" s="99"/>
      <c r="L103" s="99"/>
      <c r="M103" s="96"/>
      <c r="N103" s="96"/>
      <c r="O103" s="79"/>
    </row>
    <row r="104" customFormat="false" ht="15" hidden="false" customHeight="false" outlineLevel="0" collapsed="false">
      <c r="A104" s="98"/>
      <c r="B104" s="79"/>
      <c r="C104" s="80" t="str">
        <f aca="false">IF(B104="","",IFERROR(INDEX(الموظفون!$C$6:$C$105,MATCH(B104,الموظفون!$B$6:$B$105,0)),"✖ رقم غير موجود"))</f>
        <v/>
      </c>
      <c r="D104" s="99"/>
      <c r="E104" s="99"/>
      <c r="F104" s="99"/>
      <c r="G104" s="96"/>
      <c r="H104" s="96"/>
      <c r="I104" s="96"/>
      <c r="J104" s="96"/>
      <c r="K104" s="99"/>
      <c r="L104" s="99"/>
      <c r="M104" s="96"/>
      <c r="N104" s="96"/>
      <c r="O104" s="79"/>
    </row>
    <row r="105" customFormat="false" ht="15" hidden="false" customHeight="false" outlineLevel="0" collapsed="false">
      <c r="A105" s="98"/>
      <c r="B105" s="79"/>
      <c r="C105" s="102" t="str">
        <f aca="false">IF(B105="","",IFERROR(INDEX(الموظفون!$C$6:$C$105,MATCH(B105,الموظفون!$B$6:$B$105,0)),"✖ رقم غير موجود"))</f>
        <v/>
      </c>
      <c r="D105" s="99"/>
      <c r="E105" s="99"/>
      <c r="F105" s="99"/>
      <c r="G105" s="96"/>
      <c r="H105" s="96"/>
      <c r="I105" s="96"/>
      <c r="J105" s="96"/>
      <c r="K105" s="99"/>
      <c r="L105" s="99"/>
      <c r="M105" s="96"/>
      <c r="N105" s="96"/>
      <c r="O105" s="79"/>
    </row>
    <row r="106" customFormat="false" ht="15" hidden="false" customHeight="false" outlineLevel="0" collapsed="false">
      <c r="A106" s="98"/>
      <c r="B106" s="79"/>
      <c r="C106" s="80" t="str">
        <f aca="false">IF(B106="","",IFERROR(INDEX(الموظفون!$C$6:$C$105,MATCH(B106,الموظفون!$B$6:$B$105,0)),"✖ رقم غير موجود"))</f>
        <v/>
      </c>
      <c r="D106" s="99"/>
      <c r="E106" s="99"/>
      <c r="F106" s="99"/>
      <c r="G106" s="96"/>
      <c r="H106" s="96"/>
      <c r="I106" s="96"/>
      <c r="J106" s="96"/>
      <c r="K106" s="99"/>
      <c r="L106" s="99"/>
      <c r="M106" s="96"/>
      <c r="N106" s="96"/>
      <c r="O106" s="79"/>
    </row>
    <row r="107" customFormat="false" ht="15" hidden="false" customHeight="false" outlineLevel="0" collapsed="false">
      <c r="A107" s="98"/>
      <c r="B107" s="79"/>
      <c r="C107" s="102" t="str">
        <f aca="false">IF(B107="","",IFERROR(INDEX(الموظفون!$C$6:$C$105,MATCH(B107,الموظفون!$B$6:$B$105,0)),"✖ رقم غير موجود"))</f>
        <v/>
      </c>
      <c r="D107" s="99"/>
      <c r="E107" s="99"/>
      <c r="F107" s="99"/>
      <c r="G107" s="96"/>
      <c r="H107" s="96"/>
      <c r="I107" s="96"/>
      <c r="J107" s="96"/>
      <c r="K107" s="99"/>
      <c r="L107" s="99"/>
      <c r="M107" s="96"/>
      <c r="N107" s="96"/>
      <c r="O107" s="79"/>
    </row>
    <row r="108" customFormat="false" ht="15" hidden="false" customHeight="false" outlineLevel="0" collapsed="false">
      <c r="A108" s="98"/>
      <c r="B108" s="79"/>
      <c r="C108" s="80" t="str">
        <f aca="false">IF(B108="","",IFERROR(INDEX(الموظفون!$C$6:$C$105,MATCH(B108,الموظفون!$B$6:$B$105,0)),"✖ رقم غير موجود"))</f>
        <v/>
      </c>
      <c r="D108" s="99"/>
      <c r="E108" s="99"/>
      <c r="F108" s="99"/>
      <c r="G108" s="96"/>
      <c r="H108" s="96"/>
      <c r="I108" s="96"/>
      <c r="J108" s="96"/>
      <c r="K108" s="99"/>
      <c r="L108" s="99"/>
      <c r="M108" s="96"/>
      <c r="N108" s="96"/>
      <c r="O108" s="79"/>
    </row>
    <row r="109" customFormat="false" ht="15" hidden="false" customHeight="false" outlineLevel="0" collapsed="false">
      <c r="A109" s="98"/>
      <c r="B109" s="79"/>
      <c r="C109" s="102" t="str">
        <f aca="false">IF(B109="","",IFERROR(INDEX(الموظفون!$C$6:$C$105,MATCH(B109,الموظفون!$B$6:$B$105,0)),"✖ رقم غير موجود"))</f>
        <v/>
      </c>
      <c r="D109" s="99"/>
      <c r="E109" s="99"/>
      <c r="F109" s="99"/>
      <c r="G109" s="96"/>
      <c r="H109" s="96"/>
      <c r="I109" s="96"/>
      <c r="J109" s="96"/>
      <c r="K109" s="99"/>
      <c r="L109" s="99"/>
      <c r="M109" s="96"/>
      <c r="N109" s="96"/>
      <c r="O109" s="79"/>
    </row>
    <row r="110" customFormat="false" ht="15" hidden="false" customHeight="false" outlineLevel="0" collapsed="false">
      <c r="A110" s="98"/>
      <c r="B110" s="79"/>
      <c r="C110" s="80" t="str">
        <f aca="false">IF(B110="","",IFERROR(INDEX(الموظفون!$C$6:$C$105,MATCH(B110,الموظفون!$B$6:$B$105,0)),"✖ رقم غير موجود"))</f>
        <v/>
      </c>
      <c r="D110" s="99"/>
      <c r="E110" s="99"/>
      <c r="F110" s="99"/>
      <c r="G110" s="96"/>
      <c r="H110" s="96"/>
      <c r="I110" s="96"/>
      <c r="J110" s="96"/>
      <c r="K110" s="99"/>
      <c r="L110" s="99"/>
      <c r="M110" s="96"/>
      <c r="N110" s="96"/>
      <c r="O110" s="79"/>
    </row>
    <row r="111" customFormat="false" ht="15" hidden="false" customHeight="false" outlineLevel="0" collapsed="false">
      <c r="A111" s="98"/>
      <c r="B111" s="79"/>
      <c r="C111" s="102" t="str">
        <f aca="false">IF(B111="","",IFERROR(INDEX(الموظفون!$C$6:$C$105,MATCH(B111,الموظفون!$B$6:$B$105,0)),"✖ رقم غير موجود"))</f>
        <v/>
      </c>
      <c r="D111" s="99"/>
      <c r="E111" s="99"/>
      <c r="F111" s="99"/>
      <c r="G111" s="96"/>
      <c r="H111" s="96"/>
      <c r="I111" s="96"/>
      <c r="J111" s="96"/>
      <c r="K111" s="99"/>
      <c r="L111" s="99"/>
      <c r="M111" s="96"/>
      <c r="N111" s="96"/>
      <c r="O111" s="79"/>
    </row>
    <row r="112" customFormat="false" ht="15" hidden="false" customHeight="false" outlineLevel="0" collapsed="false">
      <c r="A112" s="98"/>
      <c r="B112" s="79"/>
      <c r="C112" s="80" t="str">
        <f aca="false">IF(B112="","",IFERROR(INDEX(الموظفون!$C$6:$C$105,MATCH(B112,الموظفون!$B$6:$B$105,0)),"✖ رقم غير موجود"))</f>
        <v/>
      </c>
      <c r="D112" s="99"/>
      <c r="E112" s="99"/>
      <c r="F112" s="99"/>
      <c r="G112" s="96"/>
      <c r="H112" s="96"/>
      <c r="I112" s="96"/>
      <c r="J112" s="96"/>
      <c r="K112" s="99"/>
      <c r="L112" s="99"/>
      <c r="M112" s="96"/>
      <c r="N112" s="96"/>
      <c r="O112" s="79"/>
    </row>
    <row r="113" customFormat="false" ht="15" hidden="false" customHeight="false" outlineLevel="0" collapsed="false">
      <c r="A113" s="98"/>
      <c r="B113" s="79"/>
      <c r="C113" s="102" t="str">
        <f aca="false">IF(B113="","",IFERROR(INDEX(الموظفون!$C$6:$C$105,MATCH(B113,الموظفون!$B$6:$B$105,0)),"✖ رقم غير موجود"))</f>
        <v/>
      </c>
      <c r="D113" s="99"/>
      <c r="E113" s="99"/>
      <c r="F113" s="99"/>
      <c r="G113" s="96"/>
      <c r="H113" s="96"/>
      <c r="I113" s="96"/>
      <c r="J113" s="96"/>
      <c r="K113" s="99"/>
      <c r="L113" s="99"/>
      <c r="M113" s="96"/>
      <c r="N113" s="96"/>
      <c r="O113" s="79"/>
    </row>
    <row r="114" customFormat="false" ht="15" hidden="false" customHeight="false" outlineLevel="0" collapsed="false">
      <c r="A114" s="98"/>
      <c r="B114" s="79"/>
      <c r="C114" s="80" t="str">
        <f aca="false">IF(B114="","",IFERROR(INDEX(الموظفون!$C$6:$C$105,MATCH(B114,الموظفون!$B$6:$B$105,0)),"✖ رقم غير موجود"))</f>
        <v/>
      </c>
      <c r="D114" s="99"/>
      <c r="E114" s="99"/>
      <c r="F114" s="99"/>
      <c r="G114" s="96"/>
      <c r="H114" s="96"/>
      <c r="I114" s="96"/>
      <c r="J114" s="96"/>
      <c r="K114" s="99"/>
      <c r="L114" s="99"/>
      <c r="M114" s="96"/>
      <c r="N114" s="96"/>
      <c r="O114" s="79"/>
    </row>
    <row r="115" customFormat="false" ht="15" hidden="false" customHeight="false" outlineLevel="0" collapsed="false">
      <c r="A115" s="98"/>
      <c r="B115" s="79"/>
      <c r="C115" s="102" t="str">
        <f aca="false">IF(B115="","",IFERROR(INDEX(الموظفون!$C$6:$C$105,MATCH(B115,الموظفون!$B$6:$B$105,0)),"✖ رقم غير موجود"))</f>
        <v/>
      </c>
      <c r="D115" s="99"/>
      <c r="E115" s="99"/>
      <c r="F115" s="99"/>
      <c r="G115" s="96"/>
      <c r="H115" s="96"/>
      <c r="I115" s="96"/>
      <c r="J115" s="96"/>
      <c r="K115" s="99"/>
      <c r="L115" s="99"/>
      <c r="M115" s="96"/>
      <c r="N115" s="96"/>
      <c r="O115" s="79"/>
    </row>
    <row r="116" customFormat="false" ht="15" hidden="false" customHeight="false" outlineLevel="0" collapsed="false">
      <c r="A116" s="98"/>
      <c r="B116" s="79"/>
      <c r="C116" s="80" t="str">
        <f aca="false">IF(B116="","",IFERROR(INDEX(الموظفون!$C$6:$C$105,MATCH(B116,الموظفون!$B$6:$B$105,0)),"✖ رقم غير موجود"))</f>
        <v/>
      </c>
      <c r="D116" s="99"/>
      <c r="E116" s="99"/>
      <c r="F116" s="99"/>
      <c r="G116" s="96"/>
      <c r="H116" s="96"/>
      <c r="I116" s="96"/>
      <c r="J116" s="96"/>
      <c r="K116" s="99"/>
      <c r="L116" s="99"/>
      <c r="M116" s="96"/>
      <c r="N116" s="96"/>
      <c r="O116" s="79"/>
    </row>
    <row r="117" customFormat="false" ht="15" hidden="false" customHeight="false" outlineLevel="0" collapsed="false">
      <c r="A117" s="98"/>
      <c r="B117" s="79"/>
      <c r="C117" s="102" t="str">
        <f aca="false">IF(B117="","",IFERROR(INDEX(الموظفون!$C$6:$C$105,MATCH(B117,الموظفون!$B$6:$B$105,0)),"✖ رقم غير موجود"))</f>
        <v/>
      </c>
      <c r="D117" s="99"/>
      <c r="E117" s="99"/>
      <c r="F117" s="99"/>
      <c r="G117" s="96"/>
      <c r="H117" s="96"/>
      <c r="I117" s="96"/>
      <c r="J117" s="96"/>
      <c r="K117" s="99"/>
      <c r="L117" s="99"/>
      <c r="M117" s="96"/>
      <c r="N117" s="96"/>
      <c r="O117" s="79"/>
    </row>
    <row r="118" customFormat="false" ht="15" hidden="false" customHeight="false" outlineLevel="0" collapsed="false">
      <c r="A118" s="98"/>
      <c r="B118" s="79"/>
      <c r="C118" s="80" t="str">
        <f aca="false">IF(B118="","",IFERROR(INDEX(الموظفون!$C$6:$C$105,MATCH(B118,الموظفون!$B$6:$B$105,0)),"✖ رقم غير موجود"))</f>
        <v/>
      </c>
      <c r="D118" s="99"/>
      <c r="E118" s="99"/>
      <c r="F118" s="99"/>
      <c r="G118" s="96"/>
      <c r="H118" s="96"/>
      <c r="I118" s="96"/>
      <c r="J118" s="96"/>
      <c r="K118" s="99"/>
      <c r="L118" s="99"/>
      <c r="M118" s="96"/>
      <c r="N118" s="96"/>
      <c r="O118" s="79"/>
    </row>
    <row r="119" customFormat="false" ht="15" hidden="false" customHeight="false" outlineLevel="0" collapsed="false">
      <c r="A119" s="98"/>
      <c r="B119" s="79"/>
      <c r="C119" s="102" t="str">
        <f aca="false">IF(B119="","",IFERROR(INDEX(الموظفون!$C$6:$C$105,MATCH(B119,الموظفون!$B$6:$B$105,0)),"✖ رقم غير موجود"))</f>
        <v/>
      </c>
      <c r="D119" s="99"/>
      <c r="E119" s="99"/>
      <c r="F119" s="99"/>
      <c r="G119" s="96"/>
      <c r="H119" s="96"/>
      <c r="I119" s="96"/>
      <c r="J119" s="96"/>
      <c r="K119" s="99"/>
      <c r="L119" s="99"/>
      <c r="M119" s="96"/>
      <c r="N119" s="96"/>
      <c r="O119" s="79"/>
    </row>
    <row r="120" customFormat="false" ht="15" hidden="false" customHeight="false" outlineLevel="0" collapsed="false">
      <c r="A120" s="98"/>
      <c r="B120" s="79"/>
      <c r="C120" s="80" t="str">
        <f aca="false">IF(B120="","",IFERROR(INDEX(الموظفون!$C$6:$C$105,MATCH(B120,الموظفون!$B$6:$B$105,0)),"✖ رقم غير موجود"))</f>
        <v/>
      </c>
      <c r="D120" s="99"/>
      <c r="E120" s="99"/>
      <c r="F120" s="99"/>
      <c r="G120" s="96"/>
      <c r="H120" s="96"/>
      <c r="I120" s="96"/>
      <c r="J120" s="96"/>
      <c r="K120" s="99"/>
      <c r="L120" s="99"/>
      <c r="M120" s="96"/>
      <c r="N120" s="96"/>
      <c r="O120" s="79"/>
    </row>
    <row r="121" customFormat="false" ht="15" hidden="false" customHeight="false" outlineLevel="0" collapsed="false">
      <c r="A121" s="98"/>
      <c r="B121" s="79"/>
      <c r="C121" s="102" t="str">
        <f aca="false">IF(B121="","",IFERROR(INDEX(الموظفون!$C$6:$C$105,MATCH(B121,الموظفون!$B$6:$B$105,0)),"✖ رقم غير موجود"))</f>
        <v/>
      </c>
      <c r="D121" s="99"/>
      <c r="E121" s="99"/>
      <c r="F121" s="99"/>
      <c r="G121" s="96"/>
      <c r="H121" s="96"/>
      <c r="I121" s="96"/>
      <c r="J121" s="96"/>
      <c r="K121" s="99"/>
      <c r="L121" s="99"/>
      <c r="M121" s="96"/>
      <c r="N121" s="96"/>
      <c r="O121" s="79"/>
    </row>
    <row r="122" customFormat="false" ht="15" hidden="false" customHeight="false" outlineLevel="0" collapsed="false">
      <c r="A122" s="98"/>
      <c r="B122" s="79"/>
      <c r="C122" s="80" t="str">
        <f aca="false">IF(B122="","",IFERROR(INDEX(الموظفون!$C$6:$C$105,MATCH(B122,الموظفون!$B$6:$B$105,0)),"✖ رقم غير موجود"))</f>
        <v/>
      </c>
      <c r="D122" s="99"/>
      <c r="E122" s="99"/>
      <c r="F122" s="99"/>
      <c r="G122" s="96"/>
      <c r="H122" s="96"/>
      <c r="I122" s="96"/>
      <c r="J122" s="96"/>
      <c r="K122" s="99"/>
      <c r="L122" s="99"/>
      <c r="M122" s="96"/>
      <c r="N122" s="96"/>
      <c r="O122" s="79"/>
    </row>
    <row r="123" customFormat="false" ht="15" hidden="false" customHeight="false" outlineLevel="0" collapsed="false">
      <c r="A123" s="98"/>
      <c r="B123" s="79"/>
      <c r="C123" s="102" t="str">
        <f aca="false">IF(B123="","",IFERROR(INDEX(الموظفون!$C$6:$C$105,MATCH(B123,الموظفون!$B$6:$B$105,0)),"✖ رقم غير موجود"))</f>
        <v/>
      </c>
      <c r="D123" s="99"/>
      <c r="E123" s="99"/>
      <c r="F123" s="99"/>
      <c r="G123" s="96"/>
      <c r="H123" s="96"/>
      <c r="I123" s="96"/>
      <c r="J123" s="96"/>
      <c r="K123" s="99"/>
      <c r="L123" s="99"/>
      <c r="M123" s="96"/>
      <c r="N123" s="96"/>
      <c r="O123" s="79"/>
    </row>
    <row r="124" customFormat="false" ht="15" hidden="false" customHeight="false" outlineLevel="0" collapsed="false">
      <c r="A124" s="98"/>
      <c r="B124" s="79"/>
      <c r="C124" s="80" t="str">
        <f aca="false">IF(B124="","",IFERROR(INDEX(الموظفون!$C$6:$C$105,MATCH(B124,الموظفون!$B$6:$B$105,0)),"✖ رقم غير موجود"))</f>
        <v/>
      </c>
      <c r="D124" s="99"/>
      <c r="E124" s="99"/>
      <c r="F124" s="99"/>
      <c r="G124" s="96"/>
      <c r="H124" s="96"/>
      <c r="I124" s="96"/>
      <c r="J124" s="96"/>
      <c r="K124" s="99"/>
      <c r="L124" s="99"/>
      <c r="M124" s="96"/>
      <c r="N124" s="96"/>
      <c r="O124" s="79"/>
    </row>
    <row r="125" customFormat="false" ht="15" hidden="false" customHeight="false" outlineLevel="0" collapsed="false">
      <c r="A125" s="98"/>
      <c r="B125" s="79"/>
      <c r="C125" s="102" t="str">
        <f aca="false">IF(B125="","",IFERROR(INDEX(الموظفون!$C$6:$C$105,MATCH(B125,الموظفون!$B$6:$B$105,0)),"✖ رقم غير موجود"))</f>
        <v/>
      </c>
      <c r="D125" s="99"/>
      <c r="E125" s="99"/>
      <c r="F125" s="99"/>
      <c r="G125" s="96"/>
      <c r="H125" s="96"/>
      <c r="I125" s="96"/>
      <c r="J125" s="96"/>
      <c r="K125" s="99"/>
      <c r="L125" s="99"/>
      <c r="M125" s="96"/>
      <c r="N125" s="96"/>
      <c r="O125" s="79"/>
    </row>
    <row r="126" customFormat="false" ht="15" hidden="false" customHeight="false" outlineLevel="0" collapsed="false">
      <c r="A126" s="98"/>
      <c r="B126" s="79"/>
      <c r="C126" s="80" t="str">
        <f aca="false">IF(B126="","",IFERROR(INDEX(الموظفون!$C$6:$C$105,MATCH(B126,الموظفون!$B$6:$B$105,0)),"✖ رقم غير موجود"))</f>
        <v/>
      </c>
      <c r="D126" s="99"/>
      <c r="E126" s="99"/>
      <c r="F126" s="99"/>
      <c r="G126" s="96"/>
      <c r="H126" s="96"/>
      <c r="I126" s="96"/>
      <c r="J126" s="96"/>
      <c r="K126" s="99"/>
      <c r="L126" s="99"/>
      <c r="M126" s="96"/>
      <c r="N126" s="96"/>
      <c r="O126" s="79"/>
    </row>
    <row r="127" customFormat="false" ht="15" hidden="false" customHeight="false" outlineLevel="0" collapsed="false">
      <c r="A127" s="98"/>
      <c r="B127" s="79"/>
      <c r="C127" s="102" t="str">
        <f aca="false">IF(B127="","",IFERROR(INDEX(الموظفون!$C$6:$C$105,MATCH(B127,الموظفون!$B$6:$B$105,0)),"✖ رقم غير موجود"))</f>
        <v/>
      </c>
      <c r="D127" s="99"/>
      <c r="E127" s="99"/>
      <c r="F127" s="99"/>
      <c r="G127" s="96"/>
      <c r="H127" s="96"/>
      <c r="I127" s="96"/>
      <c r="J127" s="96"/>
      <c r="K127" s="99"/>
      <c r="L127" s="99"/>
      <c r="M127" s="96"/>
      <c r="N127" s="96"/>
      <c r="O127" s="79"/>
    </row>
    <row r="128" customFormat="false" ht="15" hidden="false" customHeight="false" outlineLevel="0" collapsed="false">
      <c r="A128" s="98"/>
      <c r="B128" s="79"/>
      <c r="C128" s="80" t="str">
        <f aca="false">IF(B128="","",IFERROR(INDEX(الموظفون!$C$6:$C$105,MATCH(B128,الموظفون!$B$6:$B$105,0)),"✖ رقم غير موجود"))</f>
        <v/>
      </c>
      <c r="D128" s="99"/>
      <c r="E128" s="99"/>
      <c r="F128" s="99"/>
      <c r="G128" s="96"/>
      <c r="H128" s="96"/>
      <c r="I128" s="96"/>
      <c r="J128" s="96"/>
      <c r="K128" s="99"/>
      <c r="L128" s="99"/>
      <c r="M128" s="96"/>
      <c r="N128" s="96"/>
      <c r="O128" s="79"/>
    </row>
    <row r="129" customFormat="false" ht="15" hidden="false" customHeight="false" outlineLevel="0" collapsed="false">
      <c r="A129" s="98"/>
      <c r="B129" s="79"/>
      <c r="C129" s="102" t="str">
        <f aca="false">IF(B129="","",IFERROR(INDEX(الموظفون!$C$6:$C$105,MATCH(B129,الموظفون!$B$6:$B$105,0)),"✖ رقم غير موجود"))</f>
        <v/>
      </c>
      <c r="D129" s="99"/>
      <c r="E129" s="99"/>
      <c r="F129" s="99"/>
      <c r="G129" s="96"/>
      <c r="H129" s="96"/>
      <c r="I129" s="96"/>
      <c r="J129" s="96"/>
      <c r="K129" s="99"/>
      <c r="L129" s="99"/>
      <c r="M129" s="96"/>
      <c r="N129" s="96"/>
      <c r="O129" s="79"/>
    </row>
    <row r="130" customFormat="false" ht="15" hidden="false" customHeight="false" outlineLevel="0" collapsed="false">
      <c r="A130" s="98"/>
      <c r="B130" s="79"/>
      <c r="C130" s="80" t="str">
        <f aca="false">IF(B130="","",IFERROR(INDEX(الموظفون!$C$6:$C$105,MATCH(B130,الموظفون!$B$6:$B$105,0)),"✖ رقم غير موجود"))</f>
        <v/>
      </c>
      <c r="D130" s="99"/>
      <c r="E130" s="99"/>
      <c r="F130" s="99"/>
      <c r="G130" s="96"/>
      <c r="H130" s="96"/>
      <c r="I130" s="96"/>
      <c r="J130" s="96"/>
      <c r="K130" s="99"/>
      <c r="L130" s="99"/>
      <c r="M130" s="96"/>
      <c r="N130" s="96"/>
      <c r="O130" s="79"/>
    </row>
    <row r="131" customFormat="false" ht="15" hidden="false" customHeight="false" outlineLevel="0" collapsed="false">
      <c r="A131" s="98"/>
      <c r="B131" s="79"/>
      <c r="C131" s="102" t="str">
        <f aca="false">IF(B131="","",IFERROR(INDEX(الموظفون!$C$6:$C$105,MATCH(B131,الموظفون!$B$6:$B$105,0)),"✖ رقم غير موجود"))</f>
        <v/>
      </c>
      <c r="D131" s="99"/>
      <c r="E131" s="99"/>
      <c r="F131" s="99"/>
      <c r="G131" s="96"/>
      <c r="H131" s="96"/>
      <c r="I131" s="96"/>
      <c r="J131" s="96"/>
      <c r="K131" s="99"/>
      <c r="L131" s="99"/>
      <c r="M131" s="96"/>
      <c r="N131" s="96"/>
      <c r="O131" s="79"/>
    </row>
    <row r="132" customFormat="false" ht="15" hidden="false" customHeight="false" outlineLevel="0" collapsed="false">
      <c r="A132" s="98"/>
      <c r="B132" s="79"/>
      <c r="C132" s="80" t="str">
        <f aca="false">IF(B132="","",IFERROR(INDEX(الموظفون!$C$6:$C$105,MATCH(B132,الموظفون!$B$6:$B$105,0)),"✖ رقم غير موجود"))</f>
        <v/>
      </c>
      <c r="D132" s="99"/>
      <c r="E132" s="99"/>
      <c r="F132" s="99"/>
      <c r="G132" s="96"/>
      <c r="H132" s="96"/>
      <c r="I132" s="96"/>
      <c r="J132" s="96"/>
      <c r="K132" s="99"/>
      <c r="L132" s="99"/>
      <c r="M132" s="96"/>
      <c r="N132" s="96"/>
      <c r="O132" s="79"/>
    </row>
    <row r="133" customFormat="false" ht="15" hidden="false" customHeight="false" outlineLevel="0" collapsed="false">
      <c r="A133" s="98"/>
      <c r="B133" s="79"/>
      <c r="C133" s="102" t="str">
        <f aca="false">IF(B133="","",IFERROR(INDEX(الموظفون!$C$6:$C$105,MATCH(B133,الموظفون!$B$6:$B$105,0)),"✖ رقم غير موجود"))</f>
        <v/>
      </c>
      <c r="D133" s="99"/>
      <c r="E133" s="99"/>
      <c r="F133" s="99"/>
      <c r="G133" s="96"/>
      <c r="H133" s="96"/>
      <c r="I133" s="96"/>
      <c r="J133" s="96"/>
      <c r="K133" s="99"/>
      <c r="L133" s="99"/>
      <c r="M133" s="96"/>
      <c r="N133" s="96"/>
      <c r="O133" s="79"/>
    </row>
    <row r="134" customFormat="false" ht="15" hidden="false" customHeight="false" outlineLevel="0" collapsed="false">
      <c r="A134" s="98"/>
      <c r="B134" s="79"/>
      <c r="C134" s="80" t="str">
        <f aca="false">IF(B134="","",IFERROR(INDEX(الموظفون!$C$6:$C$105,MATCH(B134,الموظفون!$B$6:$B$105,0)),"✖ رقم غير موجود"))</f>
        <v/>
      </c>
      <c r="D134" s="99"/>
      <c r="E134" s="99"/>
      <c r="F134" s="99"/>
      <c r="G134" s="96"/>
      <c r="H134" s="96"/>
      <c r="I134" s="96"/>
      <c r="J134" s="96"/>
      <c r="K134" s="99"/>
      <c r="L134" s="99"/>
      <c r="M134" s="96"/>
      <c r="N134" s="96"/>
      <c r="O134" s="79"/>
    </row>
    <row r="135" customFormat="false" ht="15" hidden="false" customHeight="false" outlineLevel="0" collapsed="false">
      <c r="A135" s="98"/>
      <c r="B135" s="79"/>
      <c r="C135" s="102" t="str">
        <f aca="false">IF(B135="","",IFERROR(INDEX(الموظفون!$C$6:$C$105,MATCH(B135,الموظفون!$B$6:$B$105,0)),"✖ رقم غير موجود"))</f>
        <v/>
      </c>
      <c r="D135" s="99"/>
      <c r="E135" s="99"/>
      <c r="F135" s="99"/>
      <c r="G135" s="96"/>
      <c r="H135" s="96"/>
      <c r="I135" s="96"/>
      <c r="J135" s="96"/>
      <c r="K135" s="99"/>
      <c r="L135" s="99"/>
      <c r="M135" s="96"/>
      <c r="N135" s="96"/>
      <c r="O135" s="79"/>
    </row>
    <row r="136" customFormat="false" ht="15" hidden="false" customHeight="false" outlineLevel="0" collapsed="false">
      <c r="A136" s="98"/>
      <c r="B136" s="79"/>
      <c r="C136" s="80" t="str">
        <f aca="false">IF(B136="","",IFERROR(INDEX(الموظفون!$C$6:$C$105,MATCH(B136,الموظفون!$B$6:$B$105,0)),"✖ رقم غير موجود"))</f>
        <v/>
      </c>
      <c r="D136" s="99"/>
      <c r="E136" s="99"/>
      <c r="F136" s="99"/>
      <c r="G136" s="96"/>
      <c r="H136" s="96"/>
      <c r="I136" s="96"/>
      <c r="J136" s="96"/>
      <c r="K136" s="99"/>
      <c r="L136" s="99"/>
      <c r="M136" s="96"/>
      <c r="N136" s="96"/>
      <c r="O136" s="79"/>
    </row>
    <row r="137" customFormat="false" ht="15" hidden="false" customHeight="false" outlineLevel="0" collapsed="false">
      <c r="A137" s="98"/>
      <c r="B137" s="79"/>
      <c r="C137" s="102" t="str">
        <f aca="false">IF(B137="","",IFERROR(INDEX(الموظفون!$C$6:$C$105,MATCH(B137,الموظفون!$B$6:$B$105,0)),"✖ رقم غير موجود"))</f>
        <v/>
      </c>
      <c r="D137" s="99"/>
      <c r="E137" s="99"/>
      <c r="F137" s="99"/>
      <c r="G137" s="96"/>
      <c r="H137" s="96"/>
      <c r="I137" s="96"/>
      <c r="J137" s="96"/>
      <c r="K137" s="99"/>
      <c r="L137" s="99"/>
      <c r="M137" s="96"/>
      <c r="N137" s="96"/>
      <c r="O137" s="79"/>
    </row>
    <row r="138" customFormat="false" ht="15" hidden="false" customHeight="false" outlineLevel="0" collapsed="false">
      <c r="A138" s="98"/>
      <c r="B138" s="79"/>
      <c r="C138" s="80" t="str">
        <f aca="false">IF(B138="","",IFERROR(INDEX(الموظفون!$C$6:$C$105,MATCH(B138,الموظفون!$B$6:$B$105,0)),"✖ رقم غير موجود"))</f>
        <v/>
      </c>
      <c r="D138" s="99"/>
      <c r="E138" s="99"/>
      <c r="F138" s="99"/>
      <c r="G138" s="96"/>
      <c r="H138" s="96"/>
      <c r="I138" s="96"/>
      <c r="J138" s="96"/>
      <c r="K138" s="99"/>
      <c r="L138" s="99"/>
      <c r="M138" s="96"/>
      <c r="N138" s="96"/>
      <c r="O138" s="79"/>
    </row>
    <row r="139" customFormat="false" ht="15" hidden="false" customHeight="false" outlineLevel="0" collapsed="false">
      <c r="A139" s="98"/>
      <c r="B139" s="79"/>
      <c r="C139" s="102" t="str">
        <f aca="false">IF(B139="","",IFERROR(INDEX(الموظفون!$C$6:$C$105,MATCH(B139,الموظفون!$B$6:$B$105,0)),"✖ رقم غير موجود"))</f>
        <v/>
      </c>
      <c r="D139" s="99"/>
      <c r="E139" s="99"/>
      <c r="F139" s="99"/>
      <c r="G139" s="96"/>
      <c r="H139" s="96"/>
      <c r="I139" s="96"/>
      <c r="J139" s="96"/>
      <c r="K139" s="99"/>
      <c r="L139" s="99"/>
      <c r="M139" s="96"/>
      <c r="N139" s="96"/>
      <c r="O139" s="79"/>
    </row>
    <row r="140" customFormat="false" ht="15" hidden="false" customHeight="false" outlineLevel="0" collapsed="false">
      <c r="A140" s="98"/>
      <c r="B140" s="79"/>
      <c r="C140" s="80" t="str">
        <f aca="false">IF(B140="","",IFERROR(INDEX(الموظفون!$C$6:$C$105,MATCH(B140,الموظفون!$B$6:$B$105,0)),"✖ رقم غير موجود"))</f>
        <v/>
      </c>
      <c r="D140" s="99"/>
      <c r="E140" s="99"/>
      <c r="F140" s="99"/>
      <c r="G140" s="96"/>
      <c r="H140" s="96"/>
      <c r="I140" s="96"/>
      <c r="J140" s="96"/>
      <c r="K140" s="99"/>
      <c r="L140" s="99"/>
      <c r="M140" s="96"/>
      <c r="N140" s="96"/>
      <c r="O140" s="79"/>
    </row>
    <row r="141" customFormat="false" ht="15" hidden="false" customHeight="false" outlineLevel="0" collapsed="false">
      <c r="A141" s="98"/>
      <c r="B141" s="79"/>
      <c r="C141" s="102" t="str">
        <f aca="false">IF(B141="","",IFERROR(INDEX(الموظفون!$C$6:$C$105,MATCH(B141,الموظفون!$B$6:$B$105,0)),"✖ رقم غير موجود"))</f>
        <v/>
      </c>
      <c r="D141" s="99"/>
      <c r="E141" s="99"/>
      <c r="F141" s="99"/>
      <c r="G141" s="96"/>
      <c r="H141" s="96"/>
      <c r="I141" s="96"/>
      <c r="J141" s="96"/>
      <c r="K141" s="99"/>
      <c r="L141" s="99"/>
      <c r="M141" s="96"/>
      <c r="N141" s="96"/>
      <c r="O141" s="79"/>
    </row>
    <row r="142" customFormat="false" ht="15" hidden="false" customHeight="false" outlineLevel="0" collapsed="false">
      <c r="A142" s="98"/>
      <c r="B142" s="79"/>
      <c r="C142" s="80" t="str">
        <f aca="false">IF(B142="","",IFERROR(INDEX(الموظفون!$C$6:$C$105,MATCH(B142,الموظفون!$B$6:$B$105,0)),"✖ رقم غير موجود"))</f>
        <v/>
      </c>
      <c r="D142" s="99"/>
      <c r="E142" s="99"/>
      <c r="F142" s="99"/>
      <c r="G142" s="96"/>
      <c r="H142" s="96"/>
      <c r="I142" s="96"/>
      <c r="J142" s="96"/>
      <c r="K142" s="99"/>
      <c r="L142" s="99"/>
      <c r="M142" s="96"/>
      <c r="N142" s="96"/>
      <c r="O142" s="79"/>
    </row>
    <row r="143" customFormat="false" ht="15" hidden="false" customHeight="false" outlineLevel="0" collapsed="false">
      <c r="A143" s="98"/>
      <c r="B143" s="79"/>
      <c r="C143" s="102" t="str">
        <f aca="false">IF(B143="","",IFERROR(INDEX(الموظفون!$C$6:$C$105,MATCH(B143,الموظفون!$B$6:$B$105,0)),"✖ رقم غير موجود"))</f>
        <v/>
      </c>
      <c r="D143" s="99"/>
      <c r="E143" s="99"/>
      <c r="F143" s="99"/>
      <c r="G143" s="96"/>
      <c r="H143" s="96"/>
      <c r="I143" s="96"/>
      <c r="J143" s="96"/>
      <c r="K143" s="99"/>
      <c r="L143" s="99"/>
      <c r="M143" s="96"/>
      <c r="N143" s="96"/>
      <c r="O143" s="79"/>
    </row>
    <row r="144" customFormat="false" ht="15" hidden="false" customHeight="false" outlineLevel="0" collapsed="false">
      <c r="A144" s="98"/>
      <c r="B144" s="79"/>
      <c r="C144" s="80" t="str">
        <f aca="false">IF(B144="","",IFERROR(INDEX(الموظفون!$C$6:$C$105,MATCH(B144,الموظفون!$B$6:$B$105,0)),"✖ رقم غير موجود"))</f>
        <v/>
      </c>
      <c r="D144" s="99"/>
      <c r="E144" s="99"/>
      <c r="F144" s="99"/>
      <c r="G144" s="96"/>
      <c r="H144" s="96"/>
      <c r="I144" s="96"/>
      <c r="J144" s="96"/>
      <c r="K144" s="99"/>
      <c r="L144" s="99"/>
      <c r="M144" s="96"/>
      <c r="N144" s="96"/>
      <c r="O144" s="79"/>
    </row>
    <row r="145" customFormat="false" ht="15" hidden="false" customHeight="false" outlineLevel="0" collapsed="false">
      <c r="A145" s="98"/>
      <c r="B145" s="79"/>
      <c r="C145" s="102" t="str">
        <f aca="false">IF(B145="","",IFERROR(INDEX(الموظفون!$C$6:$C$105,MATCH(B145,الموظفون!$B$6:$B$105,0)),"✖ رقم غير موجود"))</f>
        <v/>
      </c>
      <c r="D145" s="99"/>
      <c r="E145" s="99"/>
      <c r="F145" s="99"/>
      <c r="G145" s="96"/>
      <c r="H145" s="96"/>
      <c r="I145" s="96"/>
      <c r="J145" s="96"/>
      <c r="K145" s="99"/>
      <c r="L145" s="99"/>
      <c r="M145" s="96"/>
      <c r="N145" s="96"/>
      <c r="O145" s="79"/>
    </row>
    <row r="146" customFormat="false" ht="15" hidden="false" customHeight="false" outlineLevel="0" collapsed="false">
      <c r="A146" s="98"/>
      <c r="B146" s="79"/>
      <c r="C146" s="80" t="str">
        <f aca="false">IF(B146="","",IFERROR(INDEX(الموظفون!$C$6:$C$105,MATCH(B146,الموظفون!$B$6:$B$105,0)),"✖ رقم غير موجود"))</f>
        <v/>
      </c>
      <c r="D146" s="99"/>
      <c r="E146" s="99"/>
      <c r="F146" s="99"/>
      <c r="G146" s="96"/>
      <c r="H146" s="96"/>
      <c r="I146" s="96"/>
      <c r="J146" s="96"/>
      <c r="K146" s="99"/>
      <c r="L146" s="99"/>
      <c r="M146" s="96"/>
      <c r="N146" s="96"/>
      <c r="O146" s="79"/>
    </row>
    <row r="147" customFormat="false" ht="15" hidden="false" customHeight="false" outlineLevel="0" collapsed="false">
      <c r="A147" s="98"/>
      <c r="B147" s="79"/>
      <c r="C147" s="102" t="str">
        <f aca="false">IF(B147="","",IFERROR(INDEX(الموظفون!$C$6:$C$105,MATCH(B147,الموظفون!$B$6:$B$105,0)),"✖ رقم غير موجود"))</f>
        <v/>
      </c>
      <c r="D147" s="99"/>
      <c r="E147" s="99"/>
      <c r="F147" s="99"/>
      <c r="G147" s="96"/>
      <c r="H147" s="96"/>
      <c r="I147" s="96"/>
      <c r="J147" s="96"/>
      <c r="K147" s="99"/>
      <c r="L147" s="99"/>
      <c r="M147" s="96"/>
      <c r="N147" s="96"/>
      <c r="O147" s="79"/>
    </row>
    <row r="148" customFormat="false" ht="15" hidden="false" customHeight="false" outlineLevel="0" collapsed="false">
      <c r="A148" s="98"/>
      <c r="B148" s="79"/>
      <c r="C148" s="80" t="str">
        <f aca="false">IF(B148="","",IFERROR(INDEX(الموظفون!$C$6:$C$105,MATCH(B148,الموظفون!$B$6:$B$105,0)),"✖ رقم غير موجود"))</f>
        <v/>
      </c>
      <c r="D148" s="99"/>
      <c r="E148" s="99"/>
      <c r="F148" s="99"/>
      <c r="G148" s="96"/>
      <c r="H148" s="96"/>
      <c r="I148" s="96"/>
      <c r="J148" s="96"/>
      <c r="K148" s="99"/>
      <c r="L148" s="99"/>
      <c r="M148" s="96"/>
      <c r="N148" s="96"/>
      <c r="O148" s="79"/>
    </row>
    <row r="149" customFormat="false" ht="15" hidden="false" customHeight="false" outlineLevel="0" collapsed="false">
      <c r="A149" s="98"/>
      <c r="B149" s="79"/>
      <c r="C149" s="102" t="str">
        <f aca="false">IF(B149="","",IFERROR(INDEX(الموظفون!$C$6:$C$105,MATCH(B149,الموظفون!$B$6:$B$105,0)),"✖ رقم غير موجود"))</f>
        <v/>
      </c>
      <c r="D149" s="99"/>
      <c r="E149" s="99"/>
      <c r="F149" s="99"/>
      <c r="G149" s="96"/>
      <c r="H149" s="96"/>
      <c r="I149" s="96"/>
      <c r="J149" s="96"/>
      <c r="K149" s="99"/>
      <c r="L149" s="99"/>
      <c r="M149" s="96"/>
      <c r="N149" s="96"/>
      <c r="O149" s="79"/>
    </row>
    <row r="150" customFormat="false" ht="15" hidden="false" customHeight="false" outlineLevel="0" collapsed="false">
      <c r="A150" s="98"/>
      <c r="B150" s="79"/>
      <c r="C150" s="80" t="str">
        <f aca="false">IF(B150="","",IFERROR(INDEX(الموظفون!$C$6:$C$105,MATCH(B150,الموظفون!$B$6:$B$105,0)),"✖ رقم غير موجود"))</f>
        <v/>
      </c>
      <c r="D150" s="99"/>
      <c r="E150" s="99"/>
      <c r="F150" s="99"/>
      <c r="G150" s="96"/>
      <c r="H150" s="96"/>
      <c r="I150" s="96"/>
      <c r="J150" s="96"/>
      <c r="K150" s="99"/>
      <c r="L150" s="99"/>
      <c r="M150" s="96"/>
      <c r="N150" s="96"/>
      <c r="O150" s="79"/>
    </row>
    <row r="151" customFormat="false" ht="15" hidden="false" customHeight="false" outlineLevel="0" collapsed="false">
      <c r="A151" s="98"/>
      <c r="B151" s="79"/>
      <c r="C151" s="102" t="str">
        <f aca="false">IF(B151="","",IFERROR(INDEX(الموظفون!$C$6:$C$105,MATCH(B151,الموظفون!$B$6:$B$105,0)),"✖ رقم غير موجود"))</f>
        <v/>
      </c>
      <c r="D151" s="99"/>
      <c r="E151" s="99"/>
      <c r="F151" s="99"/>
      <c r="G151" s="96"/>
      <c r="H151" s="96"/>
      <c r="I151" s="96"/>
      <c r="J151" s="96"/>
      <c r="K151" s="99"/>
      <c r="L151" s="99"/>
      <c r="M151" s="96"/>
      <c r="N151" s="96"/>
      <c r="O151" s="79"/>
    </row>
    <row r="152" customFormat="false" ht="15" hidden="false" customHeight="false" outlineLevel="0" collapsed="false">
      <c r="A152" s="98"/>
      <c r="B152" s="79"/>
      <c r="C152" s="80" t="str">
        <f aca="false">IF(B152="","",IFERROR(INDEX(الموظفون!$C$6:$C$105,MATCH(B152,الموظفون!$B$6:$B$105,0)),"✖ رقم غير موجود"))</f>
        <v/>
      </c>
      <c r="D152" s="99"/>
      <c r="E152" s="99"/>
      <c r="F152" s="99"/>
      <c r="G152" s="96"/>
      <c r="H152" s="96"/>
      <c r="I152" s="96"/>
      <c r="J152" s="96"/>
      <c r="K152" s="99"/>
      <c r="L152" s="99"/>
      <c r="M152" s="96"/>
      <c r="N152" s="96"/>
      <c r="O152" s="79"/>
    </row>
    <row r="153" customFormat="false" ht="15" hidden="false" customHeight="false" outlineLevel="0" collapsed="false">
      <c r="A153" s="98"/>
      <c r="B153" s="79"/>
      <c r="C153" s="102" t="str">
        <f aca="false">IF(B153="","",IFERROR(INDEX(الموظفون!$C$6:$C$105,MATCH(B153,الموظفون!$B$6:$B$105,0)),"✖ رقم غير موجود"))</f>
        <v/>
      </c>
      <c r="D153" s="99"/>
      <c r="E153" s="99"/>
      <c r="F153" s="99"/>
      <c r="G153" s="96"/>
      <c r="H153" s="96"/>
      <c r="I153" s="96"/>
      <c r="J153" s="96"/>
      <c r="K153" s="99"/>
      <c r="L153" s="99"/>
      <c r="M153" s="96"/>
      <c r="N153" s="96"/>
      <c r="O153" s="79"/>
    </row>
    <row r="154" customFormat="false" ht="15" hidden="false" customHeight="false" outlineLevel="0" collapsed="false">
      <c r="A154" s="98"/>
      <c r="B154" s="79"/>
      <c r="C154" s="80" t="str">
        <f aca="false">IF(B154="","",IFERROR(INDEX(الموظفون!$C$6:$C$105,MATCH(B154,الموظفون!$B$6:$B$105,0)),"✖ رقم غير موجود"))</f>
        <v/>
      </c>
      <c r="D154" s="99"/>
      <c r="E154" s="99"/>
      <c r="F154" s="99"/>
      <c r="G154" s="96"/>
      <c r="H154" s="96"/>
      <c r="I154" s="96"/>
      <c r="J154" s="96"/>
      <c r="K154" s="99"/>
      <c r="L154" s="99"/>
      <c r="M154" s="96"/>
      <c r="N154" s="96"/>
      <c r="O154" s="79"/>
    </row>
    <row r="155" customFormat="false" ht="15" hidden="false" customHeight="false" outlineLevel="0" collapsed="false">
      <c r="A155" s="98"/>
      <c r="B155" s="79"/>
      <c r="C155" s="102" t="str">
        <f aca="false">IF(B155="","",IFERROR(INDEX(الموظفون!$C$6:$C$105,MATCH(B155,الموظفون!$B$6:$B$105,0)),"✖ رقم غير موجود"))</f>
        <v/>
      </c>
      <c r="D155" s="99"/>
      <c r="E155" s="99"/>
      <c r="F155" s="99"/>
      <c r="G155" s="96"/>
      <c r="H155" s="96"/>
      <c r="I155" s="96"/>
      <c r="J155" s="96"/>
      <c r="K155" s="99"/>
      <c r="L155" s="99"/>
      <c r="M155" s="96"/>
      <c r="N155" s="96"/>
      <c r="O155" s="79"/>
    </row>
    <row r="156" customFormat="false" ht="15" hidden="false" customHeight="false" outlineLevel="0" collapsed="false">
      <c r="A156" s="98"/>
      <c r="B156" s="79"/>
      <c r="C156" s="80" t="str">
        <f aca="false">IF(B156="","",IFERROR(INDEX(الموظفون!$C$6:$C$105,MATCH(B156,الموظفون!$B$6:$B$105,0)),"✖ رقم غير موجود"))</f>
        <v/>
      </c>
      <c r="D156" s="99"/>
      <c r="E156" s="99"/>
      <c r="F156" s="99"/>
      <c r="G156" s="96"/>
      <c r="H156" s="96"/>
      <c r="I156" s="96"/>
      <c r="J156" s="96"/>
      <c r="K156" s="99"/>
      <c r="L156" s="99"/>
      <c r="M156" s="96"/>
      <c r="N156" s="96"/>
      <c r="O156" s="79"/>
    </row>
    <row r="157" customFormat="false" ht="15" hidden="false" customHeight="false" outlineLevel="0" collapsed="false">
      <c r="A157" s="98"/>
      <c r="B157" s="79"/>
      <c r="C157" s="102" t="str">
        <f aca="false">IF(B157="","",IFERROR(INDEX(الموظفون!$C$6:$C$105,MATCH(B157,الموظفون!$B$6:$B$105,0)),"✖ رقم غير موجود"))</f>
        <v/>
      </c>
      <c r="D157" s="99"/>
      <c r="E157" s="99"/>
      <c r="F157" s="99"/>
      <c r="G157" s="96"/>
      <c r="H157" s="96"/>
      <c r="I157" s="96"/>
      <c r="J157" s="96"/>
      <c r="K157" s="99"/>
      <c r="L157" s="99"/>
      <c r="M157" s="96"/>
      <c r="N157" s="96"/>
      <c r="O157" s="79"/>
    </row>
    <row r="158" customFormat="false" ht="15" hidden="false" customHeight="false" outlineLevel="0" collapsed="false">
      <c r="A158" s="98"/>
      <c r="B158" s="79"/>
      <c r="C158" s="80" t="str">
        <f aca="false">IF(B158="","",IFERROR(INDEX(الموظفون!$C$6:$C$105,MATCH(B158,الموظفون!$B$6:$B$105,0)),"✖ رقم غير موجود"))</f>
        <v/>
      </c>
      <c r="D158" s="99"/>
      <c r="E158" s="99"/>
      <c r="F158" s="99"/>
      <c r="G158" s="96"/>
      <c r="H158" s="96"/>
      <c r="I158" s="96"/>
      <c r="J158" s="96"/>
      <c r="K158" s="99"/>
      <c r="L158" s="99"/>
      <c r="M158" s="96"/>
      <c r="N158" s="96"/>
      <c r="O158" s="79"/>
    </row>
    <row r="159" customFormat="false" ht="15" hidden="false" customHeight="false" outlineLevel="0" collapsed="false">
      <c r="A159" s="98"/>
      <c r="B159" s="79"/>
      <c r="C159" s="102" t="str">
        <f aca="false">IF(B159="","",IFERROR(INDEX(الموظفون!$C$6:$C$105,MATCH(B159,الموظفون!$B$6:$B$105,0)),"✖ رقم غير موجود"))</f>
        <v/>
      </c>
      <c r="D159" s="99"/>
      <c r="E159" s="99"/>
      <c r="F159" s="99"/>
      <c r="G159" s="96"/>
      <c r="H159" s="96"/>
      <c r="I159" s="96"/>
      <c r="J159" s="96"/>
      <c r="K159" s="99"/>
      <c r="L159" s="99"/>
      <c r="M159" s="96"/>
      <c r="N159" s="96"/>
      <c r="O159" s="79"/>
    </row>
    <row r="160" customFormat="false" ht="15" hidden="false" customHeight="false" outlineLevel="0" collapsed="false">
      <c r="A160" s="98"/>
      <c r="B160" s="79"/>
      <c r="C160" s="80" t="str">
        <f aca="false">IF(B160="","",IFERROR(INDEX(الموظفون!$C$6:$C$105,MATCH(B160,الموظفون!$B$6:$B$105,0)),"✖ رقم غير موجود"))</f>
        <v/>
      </c>
      <c r="D160" s="99"/>
      <c r="E160" s="99"/>
      <c r="F160" s="99"/>
      <c r="G160" s="96"/>
      <c r="H160" s="96"/>
      <c r="I160" s="96"/>
      <c r="J160" s="96"/>
      <c r="K160" s="99"/>
      <c r="L160" s="99"/>
      <c r="M160" s="96"/>
      <c r="N160" s="96"/>
      <c r="O160" s="79"/>
    </row>
    <row r="161" customFormat="false" ht="15" hidden="false" customHeight="false" outlineLevel="0" collapsed="false">
      <c r="A161" s="98"/>
      <c r="B161" s="79"/>
      <c r="C161" s="102" t="str">
        <f aca="false">IF(B161="","",IFERROR(INDEX(الموظفون!$C$6:$C$105,MATCH(B161,الموظفون!$B$6:$B$105,0)),"✖ رقم غير موجود"))</f>
        <v/>
      </c>
      <c r="D161" s="99"/>
      <c r="E161" s="99"/>
      <c r="F161" s="99"/>
      <c r="G161" s="96"/>
      <c r="H161" s="96"/>
      <c r="I161" s="96"/>
      <c r="J161" s="96"/>
      <c r="K161" s="99"/>
      <c r="L161" s="99"/>
      <c r="M161" s="96"/>
      <c r="N161" s="96"/>
      <c r="O161" s="79"/>
    </row>
    <row r="162" customFormat="false" ht="15" hidden="false" customHeight="false" outlineLevel="0" collapsed="false">
      <c r="A162" s="98"/>
      <c r="B162" s="79"/>
      <c r="C162" s="80" t="str">
        <f aca="false">IF(B162="","",IFERROR(INDEX(الموظفون!$C$6:$C$105,MATCH(B162,الموظفون!$B$6:$B$105,0)),"✖ رقم غير موجود"))</f>
        <v/>
      </c>
      <c r="D162" s="99"/>
      <c r="E162" s="99"/>
      <c r="F162" s="99"/>
      <c r="G162" s="96"/>
      <c r="H162" s="96"/>
      <c r="I162" s="96"/>
      <c r="J162" s="96"/>
      <c r="K162" s="99"/>
      <c r="L162" s="99"/>
      <c r="M162" s="96"/>
      <c r="N162" s="96"/>
      <c r="O162" s="79"/>
    </row>
    <row r="163" customFormat="false" ht="15" hidden="false" customHeight="false" outlineLevel="0" collapsed="false">
      <c r="A163" s="98"/>
      <c r="B163" s="79"/>
      <c r="C163" s="102" t="str">
        <f aca="false">IF(B163="","",IFERROR(INDEX(الموظفون!$C$6:$C$105,MATCH(B163,الموظفون!$B$6:$B$105,0)),"✖ رقم غير موجود"))</f>
        <v/>
      </c>
      <c r="D163" s="99"/>
      <c r="E163" s="99"/>
      <c r="F163" s="99"/>
      <c r="G163" s="96"/>
      <c r="H163" s="96"/>
      <c r="I163" s="96"/>
      <c r="J163" s="96"/>
      <c r="K163" s="99"/>
      <c r="L163" s="99"/>
      <c r="M163" s="96"/>
      <c r="N163" s="96"/>
      <c r="O163" s="79"/>
    </row>
    <row r="164" customFormat="false" ht="15" hidden="false" customHeight="false" outlineLevel="0" collapsed="false">
      <c r="A164" s="98"/>
      <c r="B164" s="79"/>
      <c r="C164" s="80" t="str">
        <f aca="false">IF(B164="","",IFERROR(INDEX(الموظفون!$C$6:$C$105,MATCH(B164,الموظفون!$B$6:$B$105,0)),"✖ رقم غير موجود"))</f>
        <v/>
      </c>
      <c r="D164" s="99"/>
      <c r="E164" s="99"/>
      <c r="F164" s="99"/>
      <c r="G164" s="96"/>
      <c r="H164" s="96"/>
      <c r="I164" s="96"/>
      <c r="J164" s="96"/>
      <c r="K164" s="99"/>
      <c r="L164" s="99"/>
      <c r="M164" s="96"/>
      <c r="N164" s="96"/>
      <c r="O164" s="79"/>
    </row>
    <row r="165" customFormat="false" ht="15" hidden="false" customHeight="false" outlineLevel="0" collapsed="false">
      <c r="A165" s="98"/>
      <c r="B165" s="79"/>
      <c r="C165" s="102" t="str">
        <f aca="false">IF(B165="","",IFERROR(INDEX(الموظفون!$C$6:$C$105,MATCH(B165,الموظفون!$B$6:$B$105,0)),"✖ رقم غير موجود"))</f>
        <v/>
      </c>
      <c r="D165" s="99"/>
      <c r="E165" s="99"/>
      <c r="F165" s="99"/>
      <c r="G165" s="96"/>
      <c r="H165" s="96"/>
      <c r="I165" s="96"/>
      <c r="J165" s="96"/>
      <c r="K165" s="99"/>
      <c r="L165" s="99"/>
      <c r="M165" s="96"/>
      <c r="N165" s="96"/>
      <c r="O165" s="79"/>
    </row>
    <row r="166" customFormat="false" ht="15" hidden="false" customHeight="false" outlineLevel="0" collapsed="false">
      <c r="A166" s="98"/>
      <c r="B166" s="79"/>
      <c r="C166" s="80" t="str">
        <f aca="false">IF(B166="","",IFERROR(INDEX(الموظفون!$C$6:$C$105,MATCH(B166,الموظفون!$B$6:$B$105,0)),"✖ رقم غير موجود"))</f>
        <v/>
      </c>
      <c r="D166" s="99"/>
      <c r="E166" s="99"/>
      <c r="F166" s="99"/>
      <c r="G166" s="96"/>
      <c r="H166" s="96"/>
      <c r="I166" s="96"/>
      <c r="J166" s="96"/>
      <c r="K166" s="99"/>
      <c r="L166" s="99"/>
      <c r="M166" s="96"/>
      <c r="N166" s="96"/>
      <c r="O166" s="79"/>
    </row>
    <row r="167" customFormat="false" ht="15" hidden="false" customHeight="false" outlineLevel="0" collapsed="false">
      <c r="A167" s="98"/>
      <c r="B167" s="79"/>
      <c r="C167" s="102" t="str">
        <f aca="false">IF(B167="","",IFERROR(INDEX(الموظفون!$C$6:$C$105,MATCH(B167,الموظفون!$B$6:$B$105,0)),"✖ رقم غير موجود"))</f>
        <v/>
      </c>
      <c r="D167" s="99"/>
      <c r="E167" s="99"/>
      <c r="F167" s="99"/>
      <c r="G167" s="96"/>
      <c r="H167" s="96"/>
      <c r="I167" s="96"/>
      <c r="J167" s="96"/>
      <c r="K167" s="99"/>
      <c r="L167" s="99"/>
      <c r="M167" s="96"/>
      <c r="N167" s="96"/>
      <c r="O167" s="79"/>
    </row>
    <row r="168" customFormat="false" ht="15" hidden="false" customHeight="false" outlineLevel="0" collapsed="false">
      <c r="A168" s="98"/>
      <c r="B168" s="79"/>
      <c r="C168" s="80" t="str">
        <f aca="false">IF(B168="","",IFERROR(INDEX(الموظفون!$C$6:$C$105,MATCH(B168,الموظفون!$B$6:$B$105,0)),"✖ رقم غير موجود"))</f>
        <v/>
      </c>
      <c r="D168" s="99"/>
      <c r="E168" s="99"/>
      <c r="F168" s="99"/>
      <c r="G168" s="96"/>
      <c r="H168" s="96"/>
      <c r="I168" s="96"/>
      <c r="J168" s="96"/>
      <c r="K168" s="99"/>
      <c r="L168" s="99"/>
      <c r="M168" s="96"/>
      <c r="N168" s="96"/>
      <c r="O168" s="79"/>
    </row>
    <row r="169" customFormat="false" ht="15" hidden="false" customHeight="false" outlineLevel="0" collapsed="false">
      <c r="A169" s="98"/>
      <c r="B169" s="79"/>
      <c r="C169" s="102" t="str">
        <f aca="false">IF(B169="","",IFERROR(INDEX(الموظفون!$C$6:$C$105,MATCH(B169,الموظفون!$B$6:$B$105,0)),"✖ رقم غير موجود"))</f>
        <v/>
      </c>
      <c r="D169" s="99"/>
      <c r="E169" s="99"/>
      <c r="F169" s="99"/>
      <c r="G169" s="96"/>
      <c r="H169" s="96"/>
      <c r="I169" s="96"/>
      <c r="J169" s="96"/>
      <c r="K169" s="99"/>
      <c r="L169" s="99"/>
      <c r="M169" s="96"/>
      <c r="N169" s="96"/>
      <c r="O169" s="79"/>
    </row>
    <row r="170" customFormat="false" ht="15" hidden="false" customHeight="false" outlineLevel="0" collapsed="false">
      <c r="A170" s="98"/>
      <c r="B170" s="79"/>
      <c r="C170" s="80" t="str">
        <f aca="false">IF(B170="","",IFERROR(INDEX(الموظفون!$C$6:$C$105,MATCH(B170,الموظفون!$B$6:$B$105,0)),"✖ رقم غير موجود"))</f>
        <v/>
      </c>
      <c r="D170" s="99"/>
      <c r="E170" s="99"/>
      <c r="F170" s="99"/>
      <c r="G170" s="96"/>
      <c r="H170" s="96"/>
      <c r="I170" s="96"/>
      <c r="J170" s="96"/>
      <c r="K170" s="99"/>
      <c r="L170" s="99"/>
      <c r="M170" s="96"/>
      <c r="N170" s="96"/>
      <c r="O170" s="79"/>
    </row>
    <row r="171" customFormat="false" ht="15" hidden="false" customHeight="false" outlineLevel="0" collapsed="false">
      <c r="A171" s="98"/>
      <c r="B171" s="79"/>
      <c r="C171" s="102" t="str">
        <f aca="false">IF(B171="","",IFERROR(INDEX(الموظفون!$C$6:$C$105,MATCH(B171,الموظفون!$B$6:$B$105,0)),"✖ رقم غير موجود"))</f>
        <v/>
      </c>
      <c r="D171" s="99"/>
      <c r="E171" s="99"/>
      <c r="F171" s="99"/>
      <c r="G171" s="96"/>
      <c r="H171" s="96"/>
      <c r="I171" s="96"/>
      <c r="J171" s="96"/>
      <c r="K171" s="99"/>
      <c r="L171" s="99"/>
      <c r="M171" s="96"/>
      <c r="N171" s="96"/>
      <c r="O171" s="79"/>
    </row>
    <row r="172" customFormat="false" ht="15" hidden="false" customHeight="false" outlineLevel="0" collapsed="false">
      <c r="A172" s="98"/>
      <c r="B172" s="79"/>
      <c r="C172" s="80" t="str">
        <f aca="false">IF(B172="","",IFERROR(INDEX(الموظفون!$C$6:$C$105,MATCH(B172,الموظفون!$B$6:$B$105,0)),"✖ رقم غير موجود"))</f>
        <v/>
      </c>
      <c r="D172" s="99"/>
      <c r="E172" s="99"/>
      <c r="F172" s="99"/>
      <c r="G172" s="96"/>
      <c r="H172" s="96"/>
      <c r="I172" s="96"/>
      <c r="J172" s="96"/>
      <c r="K172" s="99"/>
      <c r="L172" s="99"/>
      <c r="M172" s="96"/>
      <c r="N172" s="96"/>
      <c r="O172" s="79"/>
    </row>
    <row r="173" customFormat="false" ht="15" hidden="false" customHeight="false" outlineLevel="0" collapsed="false">
      <c r="A173" s="98"/>
      <c r="B173" s="79"/>
      <c r="C173" s="102" t="str">
        <f aca="false">IF(B173="","",IFERROR(INDEX(الموظفون!$C$6:$C$105,MATCH(B173,الموظفون!$B$6:$B$105,0)),"✖ رقم غير موجود"))</f>
        <v/>
      </c>
      <c r="D173" s="99"/>
      <c r="E173" s="99"/>
      <c r="F173" s="99"/>
      <c r="G173" s="96"/>
      <c r="H173" s="96"/>
      <c r="I173" s="96"/>
      <c r="J173" s="96"/>
      <c r="K173" s="99"/>
      <c r="L173" s="99"/>
      <c r="M173" s="96"/>
      <c r="N173" s="96"/>
      <c r="O173" s="79"/>
    </row>
    <row r="174" customFormat="false" ht="15" hidden="false" customHeight="false" outlineLevel="0" collapsed="false">
      <c r="A174" s="98"/>
      <c r="B174" s="79"/>
      <c r="C174" s="80" t="str">
        <f aca="false">IF(B174="","",IFERROR(INDEX(الموظفون!$C$6:$C$105,MATCH(B174,الموظفون!$B$6:$B$105,0)),"✖ رقم غير موجود"))</f>
        <v/>
      </c>
      <c r="D174" s="99"/>
      <c r="E174" s="99"/>
      <c r="F174" s="99"/>
      <c r="G174" s="96"/>
      <c r="H174" s="96"/>
      <c r="I174" s="96"/>
      <c r="J174" s="96"/>
      <c r="K174" s="99"/>
      <c r="L174" s="99"/>
      <c r="M174" s="96"/>
      <c r="N174" s="96"/>
      <c r="O174" s="79"/>
    </row>
    <row r="175" customFormat="false" ht="15" hidden="false" customHeight="false" outlineLevel="0" collapsed="false">
      <c r="A175" s="98"/>
      <c r="B175" s="79"/>
      <c r="C175" s="102" t="str">
        <f aca="false">IF(B175="","",IFERROR(INDEX(الموظفون!$C$6:$C$105,MATCH(B175,الموظفون!$B$6:$B$105,0)),"✖ رقم غير موجود"))</f>
        <v/>
      </c>
      <c r="D175" s="99"/>
      <c r="E175" s="99"/>
      <c r="F175" s="99"/>
      <c r="G175" s="96"/>
      <c r="H175" s="96"/>
      <c r="I175" s="96"/>
      <c r="J175" s="96"/>
      <c r="K175" s="99"/>
      <c r="L175" s="99"/>
      <c r="M175" s="96"/>
      <c r="N175" s="96"/>
      <c r="O175" s="79"/>
    </row>
    <row r="176" customFormat="false" ht="15" hidden="false" customHeight="false" outlineLevel="0" collapsed="false">
      <c r="A176" s="98"/>
      <c r="B176" s="79"/>
      <c r="C176" s="80" t="str">
        <f aca="false">IF(B176="","",IFERROR(INDEX(الموظفون!$C$6:$C$105,MATCH(B176,الموظفون!$B$6:$B$105,0)),"✖ رقم غير موجود"))</f>
        <v/>
      </c>
      <c r="D176" s="99"/>
      <c r="E176" s="99"/>
      <c r="F176" s="99"/>
      <c r="G176" s="96"/>
      <c r="H176" s="96"/>
      <c r="I176" s="96"/>
      <c r="J176" s="96"/>
      <c r="K176" s="99"/>
      <c r="L176" s="99"/>
      <c r="M176" s="96"/>
      <c r="N176" s="96"/>
      <c r="O176" s="79"/>
    </row>
    <row r="177" customFormat="false" ht="15" hidden="false" customHeight="false" outlineLevel="0" collapsed="false">
      <c r="A177" s="98"/>
      <c r="B177" s="79"/>
      <c r="C177" s="102" t="str">
        <f aca="false">IF(B177="","",IFERROR(INDEX(الموظفون!$C$6:$C$105,MATCH(B177,الموظفون!$B$6:$B$105,0)),"✖ رقم غير موجود"))</f>
        <v/>
      </c>
      <c r="D177" s="99"/>
      <c r="E177" s="99"/>
      <c r="F177" s="99"/>
      <c r="G177" s="96"/>
      <c r="H177" s="96"/>
      <c r="I177" s="96"/>
      <c r="J177" s="96"/>
      <c r="K177" s="99"/>
      <c r="L177" s="99"/>
      <c r="M177" s="96"/>
      <c r="N177" s="96"/>
      <c r="O177" s="79"/>
    </row>
    <row r="178" customFormat="false" ht="15" hidden="false" customHeight="false" outlineLevel="0" collapsed="false">
      <c r="A178" s="98"/>
      <c r="B178" s="79"/>
      <c r="C178" s="80" t="str">
        <f aca="false">IF(B178="","",IFERROR(INDEX(الموظفون!$C$6:$C$105,MATCH(B178,الموظفون!$B$6:$B$105,0)),"✖ رقم غير موجود"))</f>
        <v/>
      </c>
      <c r="D178" s="99"/>
      <c r="E178" s="99"/>
      <c r="F178" s="99"/>
      <c r="G178" s="96"/>
      <c r="H178" s="96"/>
      <c r="I178" s="96"/>
      <c r="J178" s="96"/>
      <c r="K178" s="99"/>
      <c r="L178" s="99"/>
      <c r="M178" s="96"/>
      <c r="N178" s="96"/>
      <c r="O178" s="79"/>
    </row>
    <row r="179" customFormat="false" ht="15" hidden="false" customHeight="false" outlineLevel="0" collapsed="false">
      <c r="A179" s="98"/>
      <c r="B179" s="79"/>
      <c r="C179" s="102" t="str">
        <f aca="false">IF(B179="","",IFERROR(INDEX(الموظفون!$C$6:$C$105,MATCH(B179,الموظفون!$B$6:$B$105,0)),"✖ رقم غير موجود"))</f>
        <v/>
      </c>
      <c r="D179" s="99"/>
      <c r="E179" s="99"/>
      <c r="F179" s="99"/>
      <c r="G179" s="96"/>
      <c r="H179" s="96"/>
      <c r="I179" s="96"/>
      <c r="J179" s="96"/>
      <c r="K179" s="99"/>
      <c r="L179" s="99"/>
      <c r="M179" s="96"/>
      <c r="N179" s="96"/>
      <c r="O179" s="79"/>
    </row>
    <row r="180" customFormat="false" ht="15" hidden="false" customHeight="false" outlineLevel="0" collapsed="false">
      <c r="A180" s="98"/>
      <c r="B180" s="79"/>
      <c r="C180" s="80" t="str">
        <f aca="false">IF(B180="","",IFERROR(INDEX(الموظفون!$C$6:$C$105,MATCH(B180,الموظفون!$B$6:$B$105,0)),"✖ رقم غير موجود"))</f>
        <v/>
      </c>
      <c r="D180" s="99"/>
      <c r="E180" s="99"/>
      <c r="F180" s="99"/>
      <c r="G180" s="96"/>
      <c r="H180" s="96"/>
      <c r="I180" s="96"/>
      <c r="J180" s="96"/>
      <c r="K180" s="99"/>
      <c r="L180" s="99"/>
      <c r="M180" s="96"/>
      <c r="N180" s="96"/>
      <c r="O180" s="79"/>
    </row>
    <row r="181" customFormat="false" ht="15" hidden="false" customHeight="false" outlineLevel="0" collapsed="false">
      <c r="A181" s="98"/>
      <c r="B181" s="79"/>
      <c r="C181" s="102" t="str">
        <f aca="false">IF(B181="","",IFERROR(INDEX(الموظفون!$C$6:$C$105,MATCH(B181,الموظفون!$B$6:$B$105,0)),"✖ رقم غير موجود"))</f>
        <v/>
      </c>
      <c r="D181" s="99"/>
      <c r="E181" s="99"/>
      <c r="F181" s="99"/>
      <c r="G181" s="96"/>
      <c r="H181" s="96"/>
      <c r="I181" s="96"/>
      <c r="J181" s="96"/>
      <c r="K181" s="99"/>
      <c r="L181" s="99"/>
      <c r="M181" s="96"/>
      <c r="N181" s="96"/>
      <c r="O181" s="79"/>
    </row>
    <row r="182" customFormat="false" ht="15" hidden="false" customHeight="false" outlineLevel="0" collapsed="false">
      <c r="A182" s="98"/>
      <c r="B182" s="79"/>
      <c r="C182" s="80" t="str">
        <f aca="false">IF(B182="","",IFERROR(INDEX(الموظفون!$C$6:$C$105,MATCH(B182,الموظفون!$B$6:$B$105,0)),"✖ رقم غير موجود"))</f>
        <v/>
      </c>
      <c r="D182" s="99"/>
      <c r="E182" s="99"/>
      <c r="F182" s="99"/>
      <c r="G182" s="96"/>
      <c r="H182" s="96"/>
      <c r="I182" s="96"/>
      <c r="J182" s="96"/>
      <c r="K182" s="99"/>
      <c r="L182" s="99"/>
      <c r="M182" s="96"/>
      <c r="N182" s="96"/>
      <c r="O182" s="79"/>
    </row>
    <row r="183" customFormat="false" ht="15" hidden="false" customHeight="false" outlineLevel="0" collapsed="false">
      <c r="A183" s="98"/>
      <c r="B183" s="79"/>
      <c r="C183" s="102" t="str">
        <f aca="false">IF(B183="","",IFERROR(INDEX(الموظفون!$C$6:$C$105,MATCH(B183,الموظفون!$B$6:$B$105,0)),"✖ رقم غير موجود"))</f>
        <v/>
      </c>
      <c r="D183" s="99"/>
      <c r="E183" s="99"/>
      <c r="F183" s="99"/>
      <c r="G183" s="96"/>
      <c r="H183" s="96"/>
      <c r="I183" s="96"/>
      <c r="J183" s="96"/>
      <c r="K183" s="99"/>
      <c r="L183" s="99"/>
      <c r="M183" s="96"/>
      <c r="N183" s="96"/>
      <c r="O183" s="79"/>
    </row>
    <row r="184" customFormat="false" ht="15" hidden="false" customHeight="false" outlineLevel="0" collapsed="false">
      <c r="A184" s="98"/>
      <c r="B184" s="79"/>
      <c r="C184" s="80" t="str">
        <f aca="false">IF(B184="","",IFERROR(INDEX(الموظفون!$C$6:$C$105,MATCH(B184,الموظفون!$B$6:$B$105,0)),"✖ رقم غير موجود"))</f>
        <v/>
      </c>
      <c r="D184" s="99"/>
      <c r="E184" s="99"/>
      <c r="F184" s="99"/>
      <c r="G184" s="96"/>
      <c r="H184" s="96"/>
      <c r="I184" s="96"/>
      <c r="J184" s="96"/>
      <c r="K184" s="99"/>
      <c r="L184" s="99"/>
      <c r="M184" s="96"/>
      <c r="N184" s="96"/>
      <c r="O184" s="79"/>
    </row>
    <row r="185" customFormat="false" ht="15" hidden="false" customHeight="false" outlineLevel="0" collapsed="false">
      <c r="A185" s="98"/>
      <c r="B185" s="79"/>
      <c r="C185" s="102" t="str">
        <f aca="false">IF(B185="","",IFERROR(INDEX(الموظفون!$C$6:$C$105,MATCH(B185,الموظفون!$B$6:$B$105,0)),"✖ رقم غير موجود"))</f>
        <v/>
      </c>
      <c r="D185" s="99"/>
      <c r="E185" s="99"/>
      <c r="F185" s="99"/>
      <c r="G185" s="96"/>
      <c r="H185" s="96"/>
      <c r="I185" s="96"/>
      <c r="J185" s="96"/>
      <c r="K185" s="99"/>
      <c r="L185" s="99"/>
      <c r="M185" s="96"/>
      <c r="N185" s="96"/>
      <c r="O185" s="79"/>
    </row>
    <row r="186" customFormat="false" ht="15" hidden="false" customHeight="false" outlineLevel="0" collapsed="false">
      <c r="A186" s="98"/>
      <c r="B186" s="79"/>
      <c r="C186" s="80" t="str">
        <f aca="false">IF(B186="","",IFERROR(INDEX(الموظفون!$C$6:$C$105,MATCH(B186,الموظفون!$B$6:$B$105,0)),"✖ رقم غير موجود"))</f>
        <v/>
      </c>
      <c r="D186" s="99"/>
      <c r="E186" s="99"/>
      <c r="F186" s="99"/>
      <c r="G186" s="96"/>
      <c r="H186" s="96"/>
      <c r="I186" s="96"/>
      <c r="J186" s="96"/>
      <c r="K186" s="99"/>
      <c r="L186" s="99"/>
      <c r="M186" s="96"/>
      <c r="N186" s="96"/>
      <c r="O186" s="79"/>
    </row>
    <row r="187" customFormat="false" ht="15" hidden="false" customHeight="false" outlineLevel="0" collapsed="false">
      <c r="A187" s="98"/>
      <c r="B187" s="79"/>
      <c r="C187" s="102" t="str">
        <f aca="false">IF(B187="","",IFERROR(INDEX(الموظفون!$C$6:$C$105,MATCH(B187,الموظفون!$B$6:$B$105,0)),"✖ رقم غير موجود"))</f>
        <v/>
      </c>
      <c r="D187" s="99"/>
      <c r="E187" s="99"/>
      <c r="F187" s="99"/>
      <c r="G187" s="96"/>
      <c r="H187" s="96"/>
      <c r="I187" s="96"/>
      <c r="J187" s="96"/>
      <c r="K187" s="99"/>
      <c r="L187" s="99"/>
      <c r="M187" s="96"/>
      <c r="N187" s="96"/>
      <c r="O187" s="79"/>
    </row>
    <row r="188" customFormat="false" ht="15" hidden="false" customHeight="false" outlineLevel="0" collapsed="false">
      <c r="A188" s="98"/>
      <c r="B188" s="79"/>
      <c r="C188" s="80" t="str">
        <f aca="false">IF(B188="","",IFERROR(INDEX(الموظفون!$C$6:$C$105,MATCH(B188,الموظفون!$B$6:$B$105,0)),"✖ رقم غير موجود"))</f>
        <v/>
      </c>
      <c r="D188" s="99"/>
      <c r="E188" s="99"/>
      <c r="F188" s="99"/>
      <c r="G188" s="96"/>
      <c r="H188" s="96"/>
      <c r="I188" s="96"/>
      <c r="J188" s="96"/>
      <c r="K188" s="99"/>
      <c r="L188" s="99"/>
      <c r="M188" s="96"/>
      <c r="N188" s="96"/>
      <c r="O188" s="79"/>
    </row>
    <row r="189" customFormat="false" ht="15" hidden="false" customHeight="false" outlineLevel="0" collapsed="false">
      <c r="A189" s="98"/>
      <c r="B189" s="79"/>
      <c r="C189" s="102" t="str">
        <f aca="false">IF(B189="","",IFERROR(INDEX(الموظفون!$C$6:$C$105,MATCH(B189,الموظفون!$B$6:$B$105,0)),"✖ رقم غير موجود"))</f>
        <v/>
      </c>
      <c r="D189" s="99"/>
      <c r="E189" s="99"/>
      <c r="F189" s="99"/>
      <c r="G189" s="96"/>
      <c r="H189" s="96"/>
      <c r="I189" s="96"/>
      <c r="J189" s="96"/>
      <c r="K189" s="99"/>
      <c r="L189" s="99"/>
      <c r="M189" s="96"/>
      <c r="N189" s="96"/>
      <c r="O189" s="79"/>
    </row>
    <row r="190" customFormat="false" ht="15" hidden="false" customHeight="false" outlineLevel="0" collapsed="false">
      <c r="A190" s="98"/>
      <c r="B190" s="79"/>
      <c r="C190" s="80" t="str">
        <f aca="false">IF(B190="","",IFERROR(INDEX(الموظفون!$C$6:$C$105,MATCH(B190,الموظفون!$B$6:$B$105,0)),"✖ رقم غير موجود"))</f>
        <v/>
      </c>
      <c r="D190" s="99"/>
      <c r="E190" s="99"/>
      <c r="F190" s="99"/>
      <c r="G190" s="96"/>
      <c r="H190" s="96"/>
      <c r="I190" s="96"/>
      <c r="J190" s="96"/>
      <c r="K190" s="99"/>
      <c r="L190" s="99"/>
      <c r="M190" s="96"/>
      <c r="N190" s="96"/>
      <c r="O190" s="79"/>
    </row>
    <row r="191" customFormat="false" ht="15" hidden="false" customHeight="false" outlineLevel="0" collapsed="false">
      <c r="A191" s="98"/>
      <c r="B191" s="79"/>
      <c r="C191" s="102" t="str">
        <f aca="false">IF(B191="","",IFERROR(INDEX(الموظفون!$C$6:$C$105,MATCH(B191,الموظفون!$B$6:$B$105,0)),"✖ رقم غير موجود"))</f>
        <v/>
      </c>
      <c r="D191" s="99"/>
      <c r="E191" s="99"/>
      <c r="F191" s="99"/>
      <c r="G191" s="96"/>
      <c r="H191" s="96"/>
      <c r="I191" s="96"/>
      <c r="J191" s="96"/>
      <c r="K191" s="99"/>
      <c r="L191" s="99"/>
      <c r="M191" s="96"/>
      <c r="N191" s="96"/>
      <c r="O191" s="79"/>
    </row>
    <row r="192" customFormat="false" ht="15" hidden="false" customHeight="false" outlineLevel="0" collapsed="false">
      <c r="A192" s="98"/>
      <c r="B192" s="79"/>
      <c r="C192" s="80" t="str">
        <f aca="false">IF(B192="","",IFERROR(INDEX(الموظفون!$C$6:$C$105,MATCH(B192,الموظفون!$B$6:$B$105,0)),"✖ رقم غير موجود"))</f>
        <v/>
      </c>
      <c r="D192" s="99"/>
      <c r="E192" s="99"/>
      <c r="F192" s="99"/>
      <c r="G192" s="96"/>
      <c r="H192" s="96"/>
      <c r="I192" s="96"/>
      <c r="J192" s="96"/>
      <c r="K192" s="99"/>
      <c r="L192" s="99"/>
      <c r="M192" s="96"/>
      <c r="N192" s="96"/>
      <c r="O192" s="79"/>
    </row>
    <row r="193" customFormat="false" ht="15" hidden="false" customHeight="false" outlineLevel="0" collapsed="false">
      <c r="A193" s="98"/>
      <c r="B193" s="79"/>
      <c r="C193" s="102" t="str">
        <f aca="false">IF(B193="","",IFERROR(INDEX(الموظفون!$C$6:$C$105,MATCH(B193,الموظفون!$B$6:$B$105,0)),"✖ رقم غير موجود"))</f>
        <v/>
      </c>
      <c r="D193" s="99"/>
      <c r="E193" s="99"/>
      <c r="F193" s="99"/>
      <c r="G193" s="96"/>
      <c r="H193" s="96"/>
      <c r="I193" s="96"/>
      <c r="J193" s="96"/>
      <c r="K193" s="99"/>
      <c r="L193" s="99"/>
      <c r="M193" s="96"/>
      <c r="N193" s="96"/>
      <c r="O193" s="79"/>
    </row>
    <row r="194" customFormat="false" ht="15" hidden="false" customHeight="false" outlineLevel="0" collapsed="false">
      <c r="A194" s="98"/>
      <c r="B194" s="79"/>
      <c r="C194" s="80" t="str">
        <f aca="false">IF(B194="","",IFERROR(INDEX(الموظفون!$C$6:$C$105,MATCH(B194,الموظفون!$B$6:$B$105,0)),"✖ رقم غير موجود"))</f>
        <v/>
      </c>
      <c r="D194" s="99"/>
      <c r="E194" s="99"/>
      <c r="F194" s="99"/>
      <c r="G194" s="96"/>
      <c r="H194" s="96"/>
      <c r="I194" s="96"/>
      <c r="J194" s="96"/>
      <c r="K194" s="99"/>
      <c r="L194" s="99"/>
      <c r="M194" s="96"/>
      <c r="N194" s="96"/>
      <c r="O194" s="79"/>
    </row>
    <row r="195" customFormat="false" ht="15" hidden="false" customHeight="false" outlineLevel="0" collapsed="false">
      <c r="A195" s="98"/>
      <c r="B195" s="79"/>
      <c r="C195" s="102" t="str">
        <f aca="false">IF(B195="","",IFERROR(INDEX(الموظفون!$C$6:$C$105,MATCH(B195,الموظفون!$B$6:$B$105,0)),"✖ رقم غير موجود"))</f>
        <v/>
      </c>
      <c r="D195" s="99"/>
      <c r="E195" s="99"/>
      <c r="F195" s="99"/>
      <c r="G195" s="96"/>
      <c r="H195" s="96"/>
      <c r="I195" s="96"/>
      <c r="J195" s="96"/>
      <c r="K195" s="99"/>
      <c r="L195" s="99"/>
      <c r="M195" s="96"/>
      <c r="N195" s="96"/>
      <c r="O195" s="79"/>
    </row>
    <row r="196" customFormat="false" ht="15" hidden="false" customHeight="false" outlineLevel="0" collapsed="false">
      <c r="A196" s="98"/>
      <c r="B196" s="79"/>
      <c r="C196" s="80" t="str">
        <f aca="false">IF(B196="","",IFERROR(INDEX(الموظفون!$C$6:$C$105,MATCH(B196,الموظفون!$B$6:$B$105,0)),"✖ رقم غير موجود"))</f>
        <v/>
      </c>
      <c r="D196" s="99"/>
      <c r="E196" s="99"/>
      <c r="F196" s="99"/>
      <c r="G196" s="96"/>
      <c r="H196" s="96"/>
      <c r="I196" s="96"/>
      <c r="J196" s="96"/>
      <c r="K196" s="99"/>
      <c r="L196" s="99"/>
      <c r="M196" s="96"/>
      <c r="N196" s="96"/>
      <c r="O196" s="79"/>
    </row>
    <row r="197" customFormat="false" ht="15" hidden="false" customHeight="false" outlineLevel="0" collapsed="false">
      <c r="A197" s="98"/>
      <c r="B197" s="79"/>
      <c r="C197" s="102" t="str">
        <f aca="false">IF(B197="","",IFERROR(INDEX(الموظفون!$C$6:$C$105,MATCH(B197,الموظفون!$B$6:$B$105,0)),"✖ رقم غير موجود"))</f>
        <v/>
      </c>
      <c r="D197" s="99"/>
      <c r="E197" s="99"/>
      <c r="F197" s="99"/>
      <c r="G197" s="96"/>
      <c r="H197" s="96"/>
      <c r="I197" s="96"/>
      <c r="J197" s="96"/>
      <c r="K197" s="99"/>
      <c r="L197" s="99"/>
      <c r="M197" s="96"/>
      <c r="N197" s="96"/>
      <c r="O197" s="79"/>
    </row>
    <row r="198" customFormat="false" ht="15" hidden="false" customHeight="false" outlineLevel="0" collapsed="false">
      <c r="A198" s="98"/>
      <c r="B198" s="79"/>
      <c r="C198" s="80" t="str">
        <f aca="false">IF(B198="","",IFERROR(INDEX(الموظفون!$C$6:$C$105,MATCH(B198,الموظفون!$B$6:$B$105,0)),"✖ رقم غير موجود"))</f>
        <v/>
      </c>
      <c r="D198" s="99"/>
      <c r="E198" s="99"/>
      <c r="F198" s="99"/>
      <c r="G198" s="96"/>
      <c r="H198" s="96"/>
      <c r="I198" s="96"/>
      <c r="J198" s="96"/>
      <c r="K198" s="99"/>
      <c r="L198" s="99"/>
      <c r="M198" s="96"/>
      <c r="N198" s="96"/>
      <c r="O198" s="79"/>
    </row>
    <row r="199" customFormat="false" ht="15" hidden="false" customHeight="false" outlineLevel="0" collapsed="false">
      <c r="A199" s="98"/>
      <c r="B199" s="79"/>
      <c r="C199" s="102" t="str">
        <f aca="false">IF(B199="","",IFERROR(INDEX(الموظفون!$C$6:$C$105,MATCH(B199,الموظفون!$B$6:$B$105,0)),"✖ رقم غير موجود"))</f>
        <v/>
      </c>
      <c r="D199" s="99"/>
      <c r="E199" s="99"/>
      <c r="F199" s="99"/>
      <c r="G199" s="96"/>
      <c r="H199" s="96"/>
      <c r="I199" s="96"/>
      <c r="J199" s="96"/>
      <c r="K199" s="99"/>
      <c r="L199" s="99"/>
      <c r="M199" s="96"/>
      <c r="N199" s="96"/>
      <c r="O199" s="79"/>
    </row>
    <row r="200" customFormat="false" ht="15" hidden="false" customHeight="false" outlineLevel="0" collapsed="false">
      <c r="A200" s="98"/>
      <c r="B200" s="79"/>
      <c r="C200" s="80" t="str">
        <f aca="false">IF(B200="","",IFERROR(INDEX(الموظفون!$C$6:$C$105,MATCH(B200,الموظفون!$B$6:$B$105,0)),"✖ رقم غير موجود"))</f>
        <v/>
      </c>
      <c r="D200" s="99"/>
      <c r="E200" s="99"/>
      <c r="F200" s="99"/>
      <c r="G200" s="96"/>
      <c r="H200" s="96"/>
      <c r="I200" s="96"/>
      <c r="J200" s="96"/>
      <c r="K200" s="99"/>
      <c r="L200" s="99"/>
      <c r="M200" s="96"/>
      <c r="N200" s="96"/>
      <c r="O200" s="79"/>
    </row>
    <row r="201" customFormat="false" ht="15" hidden="false" customHeight="false" outlineLevel="0" collapsed="false">
      <c r="A201" s="98"/>
      <c r="B201" s="79"/>
      <c r="C201" s="102" t="str">
        <f aca="false">IF(B201="","",IFERROR(INDEX(الموظفون!$C$6:$C$105,MATCH(B201,الموظفون!$B$6:$B$105,0)),"✖ رقم غير موجود"))</f>
        <v/>
      </c>
      <c r="D201" s="99"/>
      <c r="E201" s="99"/>
      <c r="F201" s="99"/>
      <c r="G201" s="96"/>
      <c r="H201" s="96"/>
      <c r="I201" s="96"/>
      <c r="J201" s="96"/>
      <c r="K201" s="99"/>
      <c r="L201" s="99"/>
      <c r="M201" s="96"/>
      <c r="N201" s="96"/>
      <c r="O201" s="79"/>
    </row>
    <row r="202" customFormat="false" ht="15" hidden="false" customHeight="false" outlineLevel="0" collapsed="false">
      <c r="A202" s="98"/>
      <c r="B202" s="79"/>
      <c r="C202" s="80" t="str">
        <f aca="false">IF(B202="","",IFERROR(INDEX(الموظفون!$C$6:$C$105,MATCH(B202,الموظفون!$B$6:$B$105,0)),"✖ رقم غير موجود"))</f>
        <v/>
      </c>
      <c r="D202" s="99"/>
      <c r="E202" s="99"/>
      <c r="F202" s="99"/>
      <c r="G202" s="96"/>
      <c r="H202" s="96"/>
      <c r="I202" s="96"/>
      <c r="J202" s="96"/>
      <c r="K202" s="99"/>
      <c r="L202" s="99"/>
      <c r="M202" s="96"/>
      <c r="N202" s="96"/>
      <c r="O202" s="79"/>
    </row>
    <row r="203" customFormat="false" ht="15" hidden="false" customHeight="false" outlineLevel="0" collapsed="false">
      <c r="A203" s="98"/>
      <c r="B203" s="79"/>
      <c r="C203" s="102" t="str">
        <f aca="false">IF(B203="","",IFERROR(INDEX(الموظفون!$C$6:$C$105,MATCH(B203,الموظفون!$B$6:$B$105,0)),"✖ رقم غير موجود"))</f>
        <v/>
      </c>
      <c r="D203" s="99"/>
      <c r="E203" s="99"/>
      <c r="F203" s="99"/>
      <c r="G203" s="96"/>
      <c r="H203" s="96"/>
      <c r="I203" s="96"/>
      <c r="J203" s="96"/>
      <c r="K203" s="99"/>
      <c r="L203" s="99"/>
      <c r="M203" s="96"/>
      <c r="N203" s="96"/>
      <c r="O203" s="79"/>
    </row>
    <row r="204" customFormat="false" ht="15" hidden="false" customHeight="false" outlineLevel="0" collapsed="false">
      <c r="A204" s="98"/>
      <c r="B204" s="79"/>
      <c r="C204" s="80" t="str">
        <f aca="false">IF(B204="","",IFERROR(INDEX(الموظفون!$C$6:$C$105,MATCH(B204,الموظفون!$B$6:$B$105,0)),"✖ رقم غير موجود"))</f>
        <v/>
      </c>
      <c r="D204" s="99"/>
      <c r="E204" s="99"/>
      <c r="F204" s="99"/>
      <c r="G204" s="96"/>
      <c r="H204" s="96"/>
      <c r="I204" s="96"/>
      <c r="J204" s="96"/>
      <c r="K204" s="99"/>
      <c r="L204" s="99"/>
      <c r="M204" s="96"/>
      <c r="N204" s="96"/>
      <c r="O204" s="79"/>
    </row>
    <row r="205" customFormat="false" ht="15" hidden="false" customHeight="false" outlineLevel="0" collapsed="false">
      <c r="A205" s="98"/>
      <c r="B205" s="79"/>
      <c r="C205" s="102" t="str">
        <f aca="false">IF(B205="","",IFERROR(INDEX(الموظفون!$C$6:$C$105,MATCH(B205,الموظفون!$B$6:$B$105,0)),"✖ رقم غير موجود"))</f>
        <v/>
      </c>
      <c r="D205" s="99"/>
      <c r="E205" s="99"/>
      <c r="F205" s="99"/>
      <c r="G205" s="96"/>
      <c r="H205" s="96"/>
      <c r="I205" s="96"/>
      <c r="J205" s="96"/>
      <c r="K205" s="99"/>
      <c r="L205" s="99"/>
      <c r="M205" s="96"/>
      <c r="N205" s="96"/>
      <c r="O205" s="79"/>
    </row>
    <row r="206" customFormat="false" ht="15" hidden="false" customHeight="false" outlineLevel="0" collapsed="false">
      <c r="A206" s="98"/>
      <c r="B206" s="79"/>
      <c r="C206" s="80" t="str">
        <f aca="false">IF(B206="","",IFERROR(INDEX(الموظفون!$C$6:$C$105,MATCH(B206,الموظفون!$B$6:$B$105,0)),"✖ رقم غير موجود"))</f>
        <v/>
      </c>
      <c r="D206" s="99"/>
      <c r="E206" s="99"/>
      <c r="F206" s="99"/>
      <c r="G206" s="96"/>
      <c r="H206" s="96"/>
      <c r="I206" s="96"/>
      <c r="J206" s="96"/>
      <c r="K206" s="99"/>
      <c r="L206" s="99"/>
      <c r="M206" s="96"/>
      <c r="N206" s="96"/>
      <c r="O206" s="79"/>
    </row>
    <row r="207" customFormat="false" ht="15" hidden="false" customHeight="false" outlineLevel="0" collapsed="false">
      <c r="A207" s="98"/>
      <c r="B207" s="79"/>
      <c r="C207" s="102" t="str">
        <f aca="false">IF(B207="","",IFERROR(INDEX(الموظفون!$C$6:$C$105,MATCH(B207,الموظفون!$B$6:$B$105,0)),"✖ رقم غير موجود"))</f>
        <v/>
      </c>
      <c r="D207" s="99"/>
      <c r="E207" s="99"/>
      <c r="F207" s="99"/>
      <c r="G207" s="96"/>
      <c r="H207" s="96"/>
      <c r="I207" s="96"/>
      <c r="J207" s="96"/>
      <c r="K207" s="99"/>
      <c r="L207" s="99"/>
      <c r="M207" s="96"/>
      <c r="N207" s="96"/>
      <c r="O207" s="79"/>
    </row>
    <row r="208" customFormat="false" ht="15" hidden="false" customHeight="false" outlineLevel="0" collapsed="false">
      <c r="A208" s="98"/>
      <c r="B208" s="79"/>
      <c r="C208" s="80" t="str">
        <f aca="false">IF(B208="","",IFERROR(INDEX(الموظفون!$C$6:$C$105,MATCH(B208,الموظفون!$B$6:$B$105,0)),"✖ رقم غير موجود"))</f>
        <v/>
      </c>
      <c r="D208" s="99"/>
      <c r="E208" s="99"/>
      <c r="F208" s="99"/>
      <c r="G208" s="96"/>
      <c r="H208" s="96"/>
      <c r="I208" s="96"/>
      <c r="J208" s="96"/>
      <c r="K208" s="99"/>
      <c r="L208" s="99"/>
      <c r="M208" s="96"/>
      <c r="N208" s="96"/>
      <c r="O208" s="79"/>
    </row>
    <row r="209" customFormat="false" ht="15" hidden="false" customHeight="false" outlineLevel="0" collapsed="false">
      <c r="A209" s="98"/>
      <c r="B209" s="79"/>
      <c r="C209" s="102" t="str">
        <f aca="false">IF(B209="","",IFERROR(INDEX(الموظفون!$C$6:$C$105,MATCH(B209,الموظفون!$B$6:$B$105,0)),"✖ رقم غير موجود"))</f>
        <v/>
      </c>
      <c r="D209" s="99"/>
      <c r="E209" s="99"/>
      <c r="F209" s="99"/>
      <c r="G209" s="96"/>
      <c r="H209" s="96"/>
      <c r="I209" s="96"/>
      <c r="J209" s="96"/>
      <c r="K209" s="99"/>
      <c r="L209" s="99"/>
      <c r="M209" s="96"/>
      <c r="N209" s="96"/>
      <c r="O209" s="79"/>
    </row>
    <row r="210" customFormat="false" ht="15" hidden="false" customHeight="false" outlineLevel="0" collapsed="false">
      <c r="A210" s="98"/>
      <c r="B210" s="79"/>
      <c r="C210" s="80" t="str">
        <f aca="false">IF(B210="","",IFERROR(INDEX(الموظفون!$C$6:$C$105,MATCH(B210,الموظفون!$B$6:$B$105,0)),"✖ رقم غير موجود"))</f>
        <v/>
      </c>
      <c r="D210" s="99"/>
      <c r="E210" s="99"/>
      <c r="F210" s="99"/>
      <c r="G210" s="96"/>
      <c r="H210" s="96"/>
      <c r="I210" s="96"/>
      <c r="J210" s="96"/>
      <c r="K210" s="99"/>
      <c r="L210" s="99"/>
      <c r="M210" s="96"/>
      <c r="N210" s="96"/>
      <c r="O210" s="79"/>
    </row>
    <row r="211" customFormat="false" ht="15" hidden="false" customHeight="false" outlineLevel="0" collapsed="false">
      <c r="A211" s="98"/>
      <c r="B211" s="79"/>
      <c r="C211" s="102" t="str">
        <f aca="false">IF(B211="","",IFERROR(INDEX(الموظفون!$C$6:$C$105,MATCH(B211,الموظفون!$B$6:$B$105,0)),"✖ رقم غير موجود"))</f>
        <v/>
      </c>
      <c r="D211" s="99"/>
      <c r="E211" s="99"/>
      <c r="F211" s="99"/>
      <c r="G211" s="96"/>
      <c r="H211" s="96"/>
      <c r="I211" s="96"/>
      <c r="J211" s="96"/>
      <c r="K211" s="99"/>
      <c r="L211" s="99"/>
      <c r="M211" s="96"/>
      <c r="N211" s="96"/>
      <c r="O211" s="79"/>
    </row>
    <row r="212" customFormat="false" ht="15" hidden="false" customHeight="false" outlineLevel="0" collapsed="false">
      <c r="A212" s="98"/>
      <c r="B212" s="79"/>
      <c r="C212" s="80" t="str">
        <f aca="false">IF(B212="","",IFERROR(INDEX(الموظفون!$C$6:$C$105,MATCH(B212,الموظفون!$B$6:$B$105,0)),"✖ رقم غير موجود"))</f>
        <v/>
      </c>
      <c r="D212" s="99"/>
      <c r="E212" s="99"/>
      <c r="F212" s="99"/>
      <c r="G212" s="96"/>
      <c r="H212" s="96"/>
      <c r="I212" s="96"/>
      <c r="J212" s="96"/>
      <c r="K212" s="99"/>
      <c r="L212" s="99"/>
      <c r="M212" s="96"/>
      <c r="N212" s="96"/>
      <c r="O212" s="79"/>
    </row>
    <row r="213" customFormat="false" ht="15" hidden="false" customHeight="false" outlineLevel="0" collapsed="false">
      <c r="A213" s="98"/>
      <c r="B213" s="79"/>
      <c r="C213" s="102" t="str">
        <f aca="false">IF(B213="","",IFERROR(INDEX(الموظفون!$C$6:$C$105,MATCH(B213,الموظفون!$B$6:$B$105,0)),"✖ رقم غير موجود"))</f>
        <v/>
      </c>
      <c r="D213" s="99"/>
      <c r="E213" s="99"/>
      <c r="F213" s="99"/>
      <c r="G213" s="96"/>
      <c r="H213" s="96"/>
      <c r="I213" s="96"/>
      <c r="J213" s="96"/>
      <c r="K213" s="99"/>
      <c r="L213" s="99"/>
      <c r="M213" s="96"/>
      <c r="N213" s="96"/>
      <c r="O213" s="79"/>
    </row>
    <row r="214" customFormat="false" ht="15" hidden="false" customHeight="false" outlineLevel="0" collapsed="false">
      <c r="A214" s="98"/>
      <c r="B214" s="79"/>
      <c r="C214" s="80" t="str">
        <f aca="false">IF(B214="","",IFERROR(INDEX(الموظفون!$C$6:$C$105,MATCH(B214,الموظفون!$B$6:$B$105,0)),"✖ رقم غير موجود"))</f>
        <v/>
      </c>
      <c r="D214" s="99"/>
      <c r="E214" s="99"/>
      <c r="F214" s="99"/>
      <c r="G214" s="96"/>
      <c r="H214" s="96"/>
      <c r="I214" s="96"/>
      <c r="J214" s="96"/>
      <c r="K214" s="99"/>
      <c r="L214" s="99"/>
      <c r="M214" s="96"/>
      <c r="N214" s="96"/>
      <c r="O214" s="79"/>
    </row>
    <row r="215" customFormat="false" ht="15" hidden="false" customHeight="false" outlineLevel="0" collapsed="false">
      <c r="A215" s="98"/>
      <c r="B215" s="79"/>
      <c r="C215" s="102" t="str">
        <f aca="false">IF(B215="","",IFERROR(INDEX(الموظفون!$C$6:$C$105,MATCH(B215,الموظفون!$B$6:$B$105,0)),"✖ رقم غير موجود"))</f>
        <v/>
      </c>
      <c r="D215" s="99"/>
      <c r="E215" s="99"/>
      <c r="F215" s="99"/>
      <c r="G215" s="96"/>
      <c r="H215" s="96"/>
      <c r="I215" s="96"/>
      <c r="J215" s="96"/>
      <c r="K215" s="99"/>
      <c r="L215" s="99"/>
      <c r="M215" s="96"/>
      <c r="N215" s="96"/>
      <c r="O215" s="79"/>
    </row>
    <row r="216" customFormat="false" ht="15" hidden="false" customHeight="false" outlineLevel="0" collapsed="false">
      <c r="A216" s="98"/>
      <c r="B216" s="79"/>
      <c r="C216" s="80" t="str">
        <f aca="false">IF(B216="","",IFERROR(INDEX(الموظفون!$C$6:$C$105,MATCH(B216,الموظفون!$B$6:$B$105,0)),"✖ رقم غير موجود"))</f>
        <v/>
      </c>
      <c r="D216" s="99"/>
      <c r="E216" s="99"/>
      <c r="F216" s="99"/>
      <c r="G216" s="96"/>
      <c r="H216" s="96"/>
      <c r="I216" s="96"/>
      <c r="J216" s="96"/>
      <c r="K216" s="99"/>
      <c r="L216" s="99"/>
      <c r="M216" s="96"/>
      <c r="N216" s="96"/>
      <c r="O216" s="79"/>
    </row>
    <row r="217" customFormat="false" ht="15" hidden="false" customHeight="false" outlineLevel="0" collapsed="false">
      <c r="A217" s="98"/>
      <c r="B217" s="79"/>
      <c r="C217" s="102" t="str">
        <f aca="false">IF(B217="","",IFERROR(INDEX(الموظفون!$C$6:$C$105,MATCH(B217,الموظفون!$B$6:$B$105,0)),"✖ رقم غير موجود"))</f>
        <v/>
      </c>
      <c r="D217" s="99"/>
      <c r="E217" s="99"/>
      <c r="F217" s="99"/>
      <c r="G217" s="96"/>
      <c r="H217" s="96"/>
      <c r="I217" s="96"/>
      <c r="J217" s="96"/>
      <c r="K217" s="99"/>
      <c r="L217" s="99"/>
      <c r="M217" s="96"/>
      <c r="N217" s="96"/>
      <c r="O217" s="79"/>
    </row>
    <row r="218" customFormat="false" ht="15" hidden="false" customHeight="false" outlineLevel="0" collapsed="false">
      <c r="A218" s="98"/>
      <c r="B218" s="79"/>
      <c r="C218" s="80" t="str">
        <f aca="false">IF(B218="","",IFERROR(INDEX(الموظفون!$C$6:$C$105,MATCH(B218,الموظفون!$B$6:$B$105,0)),"✖ رقم غير موجود"))</f>
        <v/>
      </c>
      <c r="D218" s="99"/>
      <c r="E218" s="99"/>
      <c r="F218" s="99"/>
      <c r="G218" s="96"/>
      <c r="H218" s="96"/>
      <c r="I218" s="96"/>
      <c r="J218" s="96"/>
      <c r="K218" s="99"/>
      <c r="L218" s="99"/>
      <c r="M218" s="96"/>
      <c r="N218" s="96"/>
      <c r="O218" s="79"/>
    </row>
    <row r="219" customFormat="false" ht="15" hidden="false" customHeight="false" outlineLevel="0" collapsed="false">
      <c r="A219" s="98"/>
      <c r="B219" s="79"/>
      <c r="C219" s="102" t="str">
        <f aca="false">IF(B219="","",IFERROR(INDEX(الموظفون!$C$6:$C$105,MATCH(B219,الموظفون!$B$6:$B$105,0)),"✖ رقم غير موجود"))</f>
        <v/>
      </c>
      <c r="D219" s="99"/>
      <c r="E219" s="99"/>
      <c r="F219" s="99"/>
      <c r="G219" s="96"/>
      <c r="H219" s="96"/>
      <c r="I219" s="96"/>
      <c r="J219" s="96"/>
      <c r="K219" s="99"/>
      <c r="L219" s="99"/>
      <c r="M219" s="96"/>
      <c r="N219" s="96"/>
      <c r="O219" s="79"/>
    </row>
    <row r="220" customFormat="false" ht="15" hidden="false" customHeight="false" outlineLevel="0" collapsed="false">
      <c r="A220" s="98"/>
      <c r="B220" s="79"/>
      <c r="C220" s="80" t="str">
        <f aca="false">IF(B220="","",IFERROR(INDEX(الموظفون!$C$6:$C$105,MATCH(B220,الموظفون!$B$6:$B$105,0)),"✖ رقم غير موجود"))</f>
        <v/>
      </c>
      <c r="D220" s="99"/>
      <c r="E220" s="99"/>
      <c r="F220" s="99"/>
      <c r="G220" s="96"/>
      <c r="H220" s="96"/>
      <c r="I220" s="96"/>
      <c r="J220" s="96"/>
      <c r="K220" s="99"/>
      <c r="L220" s="99"/>
      <c r="M220" s="96"/>
      <c r="N220" s="96"/>
      <c r="O220" s="79"/>
    </row>
    <row r="221" customFormat="false" ht="15" hidden="false" customHeight="false" outlineLevel="0" collapsed="false">
      <c r="A221" s="98"/>
      <c r="B221" s="79"/>
      <c r="C221" s="102" t="str">
        <f aca="false">IF(B221="","",IFERROR(INDEX(الموظفون!$C$6:$C$105,MATCH(B221,الموظفون!$B$6:$B$105,0)),"✖ رقم غير موجود"))</f>
        <v/>
      </c>
      <c r="D221" s="99"/>
      <c r="E221" s="99"/>
      <c r="F221" s="99"/>
      <c r="G221" s="96"/>
      <c r="H221" s="96"/>
      <c r="I221" s="96"/>
      <c r="J221" s="96"/>
      <c r="K221" s="99"/>
      <c r="L221" s="99"/>
      <c r="M221" s="96"/>
      <c r="N221" s="96"/>
      <c r="O221" s="79"/>
    </row>
    <row r="222" customFormat="false" ht="15" hidden="false" customHeight="false" outlineLevel="0" collapsed="false">
      <c r="A222" s="98"/>
      <c r="B222" s="79"/>
      <c r="C222" s="80" t="str">
        <f aca="false">IF(B222="","",IFERROR(INDEX(الموظفون!$C$6:$C$105,MATCH(B222,الموظفون!$B$6:$B$105,0)),"✖ رقم غير موجود"))</f>
        <v/>
      </c>
      <c r="D222" s="99"/>
      <c r="E222" s="99"/>
      <c r="F222" s="99"/>
      <c r="G222" s="96"/>
      <c r="H222" s="96"/>
      <c r="I222" s="96"/>
      <c r="J222" s="96"/>
      <c r="K222" s="99"/>
      <c r="L222" s="99"/>
      <c r="M222" s="96"/>
      <c r="N222" s="96"/>
      <c r="O222" s="79"/>
    </row>
    <row r="223" customFormat="false" ht="15" hidden="false" customHeight="false" outlineLevel="0" collapsed="false">
      <c r="A223" s="98"/>
      <c r="B223" s="79"/>
      <c r="C223" s="102" t="str">
        <f aca="false">IF(B223="","",IFERROR(INDEX(الموظفون!$C$6:$C$105,MATCH(B223,الموظفون!$B$6:$B$105,0)),"✖ رقم غير موجود"))</f>
        <v/>
      </c>
      <c r="D223" s="99"/>
      <c r="E223" s="99"/>
      <c r="F223" s="99"/>
      <c r="G223" s="96"/>
      <c r="H223" s="96"/>
      <c r="I223" s="96"/>
      <c r="J223" s="96"/>
      <c r="K223" s="99"/>
      <c r="L223" s="99"/>
      <c r="M223" s="96"/>
      <c r="N223" s="96"/>
      <c r="O223" s="79"/>
    </row>
    <row r="224" customFormat="false" ht="15" hidden="false" customHeight="false" outlineLevel="0" collapsed="false">
      <c r="A224" s="98"/>
      <c r="B224" s="79"/>
      <c r="C224" s="80" t="str">
        <f aca="false">IF(B224="","",IFERROR(INDEX(الموظفون!$C$6:$C$105,MATCH(B224,الموظفون!$B$6:$B$105,0)),"✖ رقم غير موجود"))</f>
        <v/>
      </c>
      <c r="D224" s="99"/>
      <c r="E224" s="99"/>
      <c r="F224" s="99"/>
      <c r="G224" s="96"/>
      <c r="H224" s="96"/>
      <c r="I224" s="96"/>
      <c r="J224" s="96"/>
      <c r="K224" s="99"/>
      <c r="L224" s="99"/>
      <c r="M224" s="96"/>
      <c r="N224" s="96"/>
      <c r="O224" s="79"/>
    </row>
    <row r="225" customFormat="false" ht="15" hidden="false" customHeight="false" outlineLevel="0" collapsed="false">
      <c r="A225" s="98"/>
      <c r="B225" s="79"/>
      <c r="C225" s="102" t="str">
        <f aca="false">IF(B225="","",IFERROR(INDEX(الموظفون!$C$6:$C$105,MATCH(B225,الموظفون!$B$6:$B$105,0)),"✖ رقم غير موجود"))</f>
        <v/>
      </c>
      <c r="D225" s="99"/>
      <c r="E225" s="99"/>
      <c r="F225" s="99"/>
      <c r="G225" s="96"/>
      <c r="H225" s="96"/>
      <c r="I225" s="96"/>
      <c r="J225" s="96"/>
      <c r="K225" s="99"/>
      <c r="L225" s="99"/>
      <c r="M225" s="96"/>
      <c r="N225" s="96"/>
      <c r="O225" s="79"/>
    </row>
    <row r="226" customFormat="false" ht="15" hidden="false" customHeight="false" outlineLevel="0" collapsed="false">
      <c r="A226" s="98"/>
      <c r="B226" s="79"/>
      <c r="C226" s="80" t="str">
        <f aca="false">IF(B226="","",IFERROR(INDEX(الموظفون!$C$6:$C$105,MATCH(B226,الموظفون!$B$6:$B$105,0)),"✖ رقم غير موجود"))</f>
        <v/>
      </c>
      <c r="D226" s="99"/>
      <c r="E226" s="99"/>
      <c r="F226" s="99"/>
      <c r="G226" s="96"/>
      <c r="H226" s="96"/>
      <c r="I226" s="96"/>
      <c r="J226" s="96"/>
      <c r="K226" s="99"/>
      <c r="L226" s="99"/>
      <c r="M226" s="96"/>
      <c r="N226" s="96"/>
      <c r="O226" s="79"/>
    </row>
    <row r="227" customFormat="false" ht="15" hidden="false" customHeight="false" outlineLevel="0" collapsed="false">
      <c r="A227" s="98"/>
      <c r="B227" s="79"/>
      <c r="C227" s="102" t="str">
        <f aca="false">IF(B227="","",IFERROR(INDEX(الموظفون!$C$6:$C$105,MATCH(B227,الموظفون!$B$6:$B$105,0)),"✖ رقم غير موجود"))</f>
        <v/>
      </c>
      <c r="D227" s="99"/>
      <c r="E227" s="99"/>
      <c r="F227" s="99"/>
      <c r="G227" s="96"/>
      <c r="H227" s="96"/>
      <c r="I227" s="96"/>
      <c r="J227" s="96"/>
      <c r="K227" s="99"/>
      <c r="L227" s="99"/>
      <c r="M227" s="96"/>
      <c r="N227" s="96"/>
      <c r="O227" s="79"/>
    </row>
    <row r="228" customFormat="false" ht="15" hidden="false" customHeight="false" outlineLevel="0" collapsed="false">
      <c r="A228" s="98"/>
      <c r="B228" s="79"/>
      <c r="C228" s="80" t="str">
        <f aca="false">IF(B228="","",IFERROR(INDEX(الموظفون!$C$6:$C$105,MATCH(B228,الموظفون!$B$6:$B$105,0)),"✖ رقم غير موجود"))</f>
        <v/>
      </c>
      <c r="D228" s="99"/>
      <c r="E228" s="99"/>
      <c r="F228" s="99"/>
      <c r="G228" s="96"/>
      <c r="H228" s="96"/>
      <c r="I228" s="96"/>
      <c r="J228" s="96"/>
      <c r="K228" s="99"/>
      <c r="L228" s="99"/>
      <c r="M228" s="96"/>
      <c r="N228" s="96"/>
      <c r="O228" s="79"/>
    </row>
    <row r="229" customFormat="false" ht="15" hidden="false" customHeight="false" outlineLevel="0" collapsed="false">
      <c r="A229" s="98"/>
      <c r="B229" s="79"/>
      <c r="C229" s="102" t="str">
        <f aca="false">IF(B229="","",IFERROR(INDEX(الموظفون!$C$6:$C$105,MATCH(B229,الموظفون!$B$6:$B$105,0)),"✖ رقم غير موجود"))</f>
        <v/>
      </c>
      <c r="D229" s="99"/>
      <c r="E229" s="99"/>
      <c r="F229" s="99"/>
      <c r="G229" s="96"/>
      <c r="H229" s="96"/>
      <c r="I229" s="96"/>
      <c r="J229" s="96"/>
      <c r="K229" s="99"/>
      <c r="L229" s="99"/>
      <c r="M229" s="96"/>
      <c r="N229" s="96"/>
      <c r="O229" s="79"/>
    </row>
    <row r="230" customFormat="false" ht="15" hidden="false" customHeight="false" outlineLevel="0" collapsed="false">
      <c r="A230" s="98"/>
      <c r="B230" s="79"/>
      <c r="C230" s="80" t="str">
        <f aca="false">IF(B230="","",IFERROR(INDEX(الموظفون!$C$6:$C$105,MATCH(B230,الموظفون!$B$6:$B$105,0)),"✖ رقم غير موجود"))</f>
        <v/>
      </c>
      <c r="D230" s="99"/>
      <c r="E230" s="99"/>
      <c r="F230" s="99"/>
      <c r="G230" s="96"/>
      <c r="H230" s="96"/>
      <c r="I230" s="96"/>
      <c r="J230" s="96"/>
      <c r="K230" s="99"/>
      <c r="L230" s="99"/>
      <c r="M230" s="96"/>
      <c r="N230" s="96"/>
      <c r="O230" s="79"/>
    </row>
    <row r="231" customFormat="false" ht="15" hidden="false" customHeight="false" outlineLevel="0" collapsed="false">
      <c r="A231" s="98"/>
      <c r="B231" s="79"/>
      <c r="C231" s="102" t="str">
        <f aca="false">IF(B231="","",IFERROR(INDEX(الموظفون!$C$6:$C$105,MATCH(B231,الموظفون!$B$6:$B$105,0)),"✖ رقم غير موجود"))</f>
        <v/>
      </c>
      <c r="D231" s="99"/>
      <c r="E231" s="99"/>
      <c r="F231" s="99"/>
      <c r="G231" s="96"/>
      <c r="H231" s="96"/>
      <c r="I231" s="96"/>
      <c r="J231" s="96"/>
      <c r="K231" s="99"/>
      <c r="L231" s="99"/>
      <c r="M231" s="96"/>
      <c r="N231" s="96"/>
      <c r="O231" s="79"/>
    </row>
    <row r="232" customFormat="false" ht="15" hidden="false" customHeight="false" outlineLevel="0" collapsed="false">
      <c r="A232" s="98"/>
      <c r="B232" s="79"/>
      <c r="C232" s="80" t="str">
        <f aca="false">IF(B232="","",IFERROR(INDEX(الموظفون!$C$6:$C$105,MATCH(B232,الموظفون!$B$6:$B$105,0)),"✖ رقم غير موجود"))</f>
        <v/>
      </c>
      <c r="D232" s="99"/>
      <c r="E232" s="99"/>
      <c r="F232" s="99"/>
      <c r="G232" s="96"/>
      <c r="H232" s="96"/>
      <c r="I232" s="96"/>
      <c r="J232" s="96"/>
      <c r="K232" s="99"/>
      <c r="L232" s="99"/>
      <c r="M232" s="96"/>
      <c r="N232" s="96"/>
      <c r="O232" s="79"/>
    </row>
    <row r="233" customFormat="false" ht="15" hidden="false" customHeight="false" outlineLevel="0" collapsed="false">
      <c r="A233" s="98"/>
      <c r="B233" s="79"/>
      <c r="C233" s="102" t="str">
        <f aca="false">IF(B233="","",IFERROR(INDEX(الموظفون!$C$6:$C$105,MATCH(B233,الموظفون!$B$6:$B$105,0)),"✖ رقم غير موجود"))</f>
        <v/>
      </c>
      <c r="D233" s="99"/>
      <c r="E233" s="99"/>
      <c r="F233" s="99"/>
      <c r="G233" s="96"/>
      <c r="H233" s="96"/>
      <c r="I233" s="96"/>
      <c r="J233" s="96"/>
      <c r="K233" s="99"/>
      <c r="L233" s="99"/>
      <c r="M233" s="96"/>
      <c r="N233" s="96"/>
      <c r="O233" s="79"/>
    </row>
    <row r="234" customFormat="false" ht="15" hidden="false" customHeight="false" outlineLevel="0" collapsed="false">
      <c r="A234" s="98"/>
      <c r="B234" s="79"/>
      <c r="C234" s="80" t="str">
        <f aca="false">IF(B234="","",IFERROR(INDEX(الموظفون!$C$6:$C$105,MATCH(B234,الموظفون!$B$6:$B$105,0)),"✖ رقم غير موجود"))</f>
        <v/>
      </c>
      <c r="D234" s="99"/>
      <c r="E234" s="99"/>
      <c r="F234" s="99"/>
      <c r="G234" s="96"/>
      <c r="H234" s="96"/>
      <c r="I234" s="96"/>
      <c r="J234" s="96"/>
      <c r="K234" s="99"/>
      <c r="L234" s="99"/>
      <c r="M234" s="96"/>
      <c r="N234" s="96"/>
      <c r="O234" s="79"/>
    </row>
    <row r="235" customFormat="false" ht="15" hidden="false" customHeight="false" outlineLevel="0" collapsed="false">
      <c r="A235" s="98"/>
      <c r="B235" s="79"/>
      <c r="C235" s="102" t="str">
        <f aca="false">IF(B235="","",IFERROR(INDEX(الموظفون!$C$6:$C$105,MATCH(B235,الموظفون!$B$6:$B$105,0)),"✖ رقم غير موجود"))</f>
        <v/>
      </c>
      <c r="D235" s="99"/>
      <c r="E235" s="99"/>
      <c r="F235" s="99"/>
      <c r="G235" s="96"/>
      <c r="H235" s="96"/>
      <c r="I235" s="96"/>
      <c r="J235" s="96"/>
      <c r="K235" s="99"/>
      <c r="L235" s="99"/>
      <c r="M235" s="96"/>
      <c r="N235" s="96"/>
      <c r="O235" s="79"/>
    </row>
    <row r="236" customFormat="false" ht="15" hidden="false" customHeight="false" outlineLevel="0" collapsed="false">
      <c r="A236" s="98"/>
      <c r="B236" s="79"/>
      <c r="C236" s="80" t="str">
        <f aca="false">IF(B236="","",IFERROR(INDEX(الموظفون!$C$6:$C$105,MATCH(B236,الموظفون!$B$6:$B$105,0)),"✖ رقم غير موجود"))</f>
        <v/>
      </c>
      <c r="D236" s="99"/>
      <c r="E236" s="99"/>
      <c r="F236" s="99"/>
      <c r="G236" s="96"/>
      <c r="H236" s="96"/>
      <c r="I236" s="96"/>
      <c r="J236" s="96"/>
      <c r="K236" s="99"/>
      <c r="L236" s="99"/>
      <c r="M236" s="96"/>
      <c r="N236" s="96"/>
      <c r="O236" s="79"/>
    </row>
    <row r="237" customFormat="false" ht="15" hidden="false" customHeight="false" outlineLevel="0" collapsed="false">
      <c r="A237" s="98"/>
      <c r="B237" s="79"/>
      <c r="C237" s="102" t="str">
        <f aca="false">IF(B237="","",IFERROR(INDEX(الموظفون!$C$6:$C$105,MATCH(B237,الموظفون!$B$6:$B$105,0)),"✖ رقم غير موجود"))</f>
        <v/>
      </c>
      <c r="D237" s="99"/>
      <c r="E237" s="99"/>
      <c r="F237" s="99"/>
      <c r="G237" s="96"/>
      <c r="H237" s="96"/>
      <c r="I237" s="96"/>
      <c r="J237" s="96"/>
      <c r="K237" s="99"/>
      <c r="L237" s="99"/>
      <c r="M237" s="96"/>
      <c r="N237" s="96"/>
      <c r="O237" s="79"/>
    </row>
    <row r="238" customFormat="false" ht="15" hidden="false" customHeight="false" outlineLevel="0" collapsed="false">
      <c r="A238" s="98"/>
      <c r="B238" s="79"/>
      <c r="C238" s="80" t="str">
        <f aca="false">IF(B238="","",IFERROR(INDEX(الموظفون!$C$6:$C$105,MATCH(B238,الموظفون!$B$6:$B$105,0)),"✖ رقم غير موجود"))</f>
        <v/>
      </c>
      <c r="D238" s="99"/>
      <c r="E238" s="99"/>
      <c r="F238" s="99"/>
      <c r="G238" s="96"/>
      <c r="H238" s="96"/>
      <c r="I238" s="96"/>
      <c r="J238" s="96"/>
      <c r="K238" s="99"/>
      <c r="L238" s="99"/>
      <c r="M238" s="96"/>
      <c r="N238" s="96"/>
      <c r="O238" s="79"/>
    </row>
    <row r="239" customFormat="false" ht="15" hidden="false" customHeight="false" outlineLevel="0" collapsed="false">
      <c r="A239" s="98"/>
      <c r="B239" s="79"/>
      <c r="C239" s="102" t="str">
        <f aca="false">IF(B239="","",IFERROR(INDEX(الموظفون!$C$6:$C$105,MATCH(B239,الموظفون!$B$6:$B$105,0)),"✖ رقم غير موجود"))</f>
        <v/>
      </c>
      <c r="D239" s="99"/>
      <c r="E239" s="99"/>
      <c r="F239" s="99"/>
      <c r="G239" s="96"/>
      <c r="H239" s="96"/>
      <c r="I239" s="96"/>
      <c r="J239" s="96"/>
      <c r="K239" s="99"/>
      <c r="L239" s="99"/>
      <c r="M239" s="96"/>
      <c r="N239" s="96"/>
      <c r="O239" s="79"/>
    </row>
    <row r="240" customFormat="false" ht="15" hidden="false" customHeight="false" outlineLevel="0" collapsed="false">
      <c r="A240" s="98"/>
      <c r="B240" s="79"/>
      <c r="C240" s="80" t="str">
        <f aca="false">IF(B240="","",IFERROR(INDEX(الموظفون!$C$6:$C$105,MATCH(B240,الموظفون!$B$6:$B$105,0)),"✖ رقم غير موجود"))</f>
        <v/>
      </c>
      <c r="D240" s="99"/>
      <c r="E240" s="99"/>
      <c r="F240" s="99"/>
      <c r="G240" s="96"/>
      <c r="H240" s="96"/>
      <c r="I240" s="96"/>
      <c r="J240" s="96"/>
      <c r="K240" s="99"/>
      <c r="L240" s="99"/>
      <c r="M240" s="96"/>
      <c r="N240" s="96"/>
      <c r="O240" s="79"/>
    </row>
    <row r="241" customFormat="false" ht="15" hidden="false" customHeight="false" outlineLevel="0" collapsed="false">
      <c r="A241" s="98"/>
      <c r="B241" s="79"/>
      <c r="C241" s="102" t="str">
        <f aca="false">IF(B241="","",IFERROR(INDEX(الموظفون!$C$6:$C$105,MATCH(B241,الموظفون!$B$6:$B$105,0)),"✖ رقم غير موجود"))</f>
        <v/>
      </c>
      <c r="D241" s="99"/>
      <c r="E241" s="99"/>
      <c r="F241" s="99"/>
      <c r="G241" s="96"/>
      <c r="H241" s="96"/>
      <c r="I241" s="96"/>
      <c r="J241" s="96"/>
      <c r="K241" s="99"/>
      <c r="L241" s="99"/>
      <c r="M241" s="96"/>
      <c r="N241" s="96"/>
      <c r="O241" s="79"/>
    </row>
    <row r="242" customFormat="false" ht="15" hidden="false" customHeight="false" outlineLevel="0" collapsed="false">
      <c r="A242" s="98"/>
      <c r="B242" s="79"/>
      <c r="C242" s="80" t="str">
        <f aca="false">IF(B242="","",IFERROR(INDEX(الموظفون!$C$6:$C$105,MATCH(B242,الموظفون!$B$6:$B$105,0)),"✖ رقم غير موجود"))</f>
        <v/>
      </c>
      <c r="D242" s="99"/>
      <c r="E242" s="99"/>
      <c r="F242" s="99"/>
      <c r="G242" s="96"/>
      <c r="H242" s="96"/>
      <c r="I242" s="96"/>
      <c r="J242" s="96"/>
      <c r="K242" s="99"/>
      <c r="L242" s="99"/>
      <c r="M242" s="96"/>
      <c r="N242" s="96"/>
      <c r="O242" s="79"/>
    </row>
    <row r="243" customFormat="false" ht="15" hidden="false" customHeight="false" outlineLevel="0" collapsed="false">
      <c r="A243" s="98"/>
      <c r="B243" s="79"/>
      <c r="C243" s="102" t="str">
        <f aca="false">IF(B243="","",IFERROR(INDEX(الموظفون!$C$6:$C$105,MATCH(B243,الموظفون!$B$6:$B$105,0)),"✖ رقم غير موجود"))</f>
        <v/>
      </c>
      <c r="D243" s="99"/>
      <c r="E243" s="99"/>
      <c r="F243" s="99"/>
      <c r="G243" s="96"/>
      <c r="H243" s="96"/>
      <c r="I243" s="96"/>
      <c r="J243" s="96"/>
      <c r="K243" s="99"/>
      <c r="L243" s="99"/>
      <c r="M243" s="96"/>
      <c r="N243" s="96"/>
      <c r="O243" s="79"/>
    </row>
    <row r="244" customFormat="false" ht="15" hidden="false" customHeight="false" outlineLevel="0" collapsed="false">
      <c r="A244" s="98"/>
      <c r="B244" s="79"/>
      <c r="C244" s="80" t="str">
        <f aca="false">IF(B244="","",IFERROR(INDEX(الموظفون!$C$6:$C$105,MATCH(B244,الموظفون!$B$6:$B$105,0)),"✖ رقم غير موجود"))</f>
        <v/>
      </c>
      <c r="D244" s="99"/>
      <c r="E244" s="99"/>
      <c r="F244" s="99"/>
      <c r="G244" s="96"/>
      <c r="H244" s="96"/>
      <c r="I244" s="96"/>
      <c r="J244" s="96"/>
      <c r="K244" s="99"/>
      <c r="L244" s="99"/>
      <c r="M244" s="96"/>
      <c r="N244" s="96"/>
      <c r="O244" s="79"/>
    </row>
    <row r="245" customFormat="false" ht="15" hidden="false" customHeight="false" outlineLevel="0" collapsed="false">
      <c r="A245" s="98"/>
      <c r="B245" s="79"/>
      <c r="C245" s="102" t="str">
        <f aca="false">IF(B245="","",IFERROR(INDEX(الموظفون!$C$6:$C$105,MATCH(B245,الموظفون!$B$6:$B$105,0)),"✖ رقم غير موجود"))</f>
        <v/>
      </c>
      <c r="D245" s="99"/>
      <c r="E245" s="99"/>
      <c r="F245" s="99"/>
      <c r="G245" s="96"/>
      <c r="H245" s="96"/>
      <c r="I245" s="96"/>
      <c r="J245" s="96"/>
      <c r="K245" s="99"/>
      <c r="L245" s="99"/>
      <c r="M245" s="96"/>
      <c r="N245" s="96"/>
      <c r="O245" s="79"/>
    </row>
    <row r="246" customFormat="false" ht="15" hidden="false" customHeight="false" outlineLevel="0" collapsed="false">
      <c r="A246" s="98"/>
      <c r="B246" s="79"/>
      <c r="C246" s="80" t="str">
        <f aca="false">IF(B246="","",IFERROR(INDEX(الموظفون!$C$6:$C$105,MATCH(B246,الموظفون!$B$6:$B$105,0)),"✖ رقم غير موجود"))</f>
        <v/>
      </c>
      <c r="D246" s="99"/>
      <c r="E246" s="99"/>
      <c r="F246" s="99"/>
      <c r="G246" s="96"/>
      <c r="H246" s="96"/>
      <c r="I246" s="96"/>
      <c r="J246" s="96"/>
      <c r="K246" s="99"/>
      <c r="L246" s="99"/>
      <c r="M246" s="96"/>
      <c r="N246" s="96"/>
      <c r="O246" s="79"/>
    </row>
    <row r="247" customFormat="false" ht="15" hidden="false" customHeight="false" outlineLevel="0" collapsed="false">
      <c r="A247" s="98"/>
      <c r="B247" s="79"/>
      <c r="C247" s="102" t="str">
        <f aca="false">IF(B247="","",IFERROR(INDEX(الموظفون!$C$6:$C$105,MATCH(B247,الموظفون!$B$6:$B$105,0)),"✖ رقم غير موجود"))</f>
        <v/>
      </c>
      <c r="D247" s="99"/>
      <c r="E247" s="99"/>
      <c r="F247" s="99"/>
      <c r="G247" s="96"/>
      <c r="H247" s="96"/>
      <c r="I247" s="96"/>
      <c r="J247" s="96"/>
      <c r="K247" s="99"/>
      <c r="L247" s="99"/>
      <c r="M247" s="96"/>
      <c r="N247" s="96"/>
      <c r="O247" s="79"/>
    </row>
    <row r="248" customFormat="false" ht="15" hidden="false" customHeight="false" outlineLevel="0" collapsed="false">
      <c r="A248" s="98"/>
      <c r="B248" s="79"/>
      <c r="C248" s="80" t="str">
        <f aca="false">IF(B248="","",IFERROR(INDEX(الموظفون!$C$6:$C$105,MATCH(B248,الموظفون!$B$6:$B$105,0)),"✖ رقم غير موجود"))</f>
        <v/>
      </c>
      <c r="D248" s="99"/>
      <c r="E248" s="99"/>
      <c r="F248" s="99"/>
      <c r="G248" s="96"/>
      <c r="H248" s="96"/>
      <c r="I248" s="96"/>
      <c r="J248" s="96"/>
      <c r="K248" s="99"/>
      <c r="L248" s="99"/>
      <c r="M248" s="96"/>
      <c r="N248" s="96"/>
      <c r="O248" s="79"/>
    </row>
    <row r="249" customFormat="false" ht="15" hidden="false" customHeight="false" outlineLevel="0" collapsed="false">
      <c r="A249" s="98"/>
      <c r="B249" s="79"/>
      <c r="C249" s="102" t="str">
        <f aca="false">IF(B249="","",IFERROR(INDEX(الموظفون!$C$6:$C$105,MATCH(B249,الموظفون!$B$6:$B$105,0)),"✖ رقم غير موجود"))</f>
        <v/>
      </c>
      <c r="D249" s="99"/>
      <c r="E249" s="99"/>
      <c r="F249" s="99"/>
      <c r="G249" s="96"/>
      <c r="H249" s="96"/>
      <c r="I249" s="96"/>
      <c r="J249" s="96"/>
      <c r="K249" s="99"/>
      <c r="L249" s="99"/>
      <c r="M249" s="96"/>
      <c r="N249" s="96"/>
      <c r="O249" s="79"/>
    </row>
    <row r="250" customFormat="false" ht="15" hidden="false" customHeight="false" outlineLevel="0" collapsed="false">
      <c r="A250" s="98"/>
      <c r="B250" s="79"/>
      <c r="C250" s="80" t="str">
        <f aca="false">IF(B250="","",IFERROR(INDEX(الموظفون!$C$6:$C$105,MATCH(B250,الموظفون!$B$6:$B$105,0)),"✖ رقم غير موجود"))</f>
        <v/>
      </c>
      <c r="D250" s="99"/>
      <c r="E250" s="99"/>
      <c r="F250" s="99"/>
      <c r="G250" s="96"/>
      <c r="H250" s="96"/>
      <c r="I250" s="96"/>
      <c r="J250" s="96"/>
      <c r="K250" s="99"/>
      <c r="L250" s="99"/>
      <c r="M250" s="96"/>
      <c r="N250" s="96"/>
      <c r="O250" s="79"/>
    </row>
    <row r="251" customFormat="false" ht="15" hidden="false" customHeight="false" outlineLevel="0" collapsed="false">
      <c r="A251" s="98"/>
      <c r="B251" s="79"/>
      <c r="C251" s="102" t="str">
        <f aca="false">IF(B251="","",IFERROR(INDEX(الموظفون!$C$6:$C$105,MATCH(B251,الموظفون!$B$6:$B$105,0)),"✖ رقم غير موجود"))</f>
        <v/>
      </c>
      <c r="D251" s="99"/>
      <c r="E251" s="99"/>
      <c r="F251" s="99"/>
      <c r="G251" s="96"/>
      <c r="H251" s="96"/>
      <c r="I251" s="96"/>
      <c r="J251" s="96"/>
      <c r="K251" s="99"/>
      <c r="L251" s="99"/>
      <c r="M251" s="96"/>
      <c r="N251" s="96"/>
      <c r="O251" s="79"/>
    </row>
    <row r="252" customFormat="false" ht="15" hidden="false" customHeight="false" outlineLevel="0" collapsed="false">
      <c r="A252" s="98"/>
      <c r="B252" s="79"/>
      <c r="C252" s="80" t="str">
        <f aca="false">IF(B252="","",IFERROR(INDEX(الموظفون!$C$6:$C$105,MATCH(B252,الموظفون!$B$6:$B$105,0)),"✖ رقم غير موجود"))</f>
        <v/>
      </c>
      <c r="D252" s="99"/>
      <c r="E252" s="99"/>
      <c r="F252" s="99"/>
      <c r="G252" s="96"/>
      <c r="H252" s="96"/>
      <c r="I252" s="96"/>
      <c r="J252" s="96"/>
      <c r="K252" s="99"/>
      <c r="L252" s="99"/>
      <c r="M252" s="96"/>
      <c r="N252" s="96"/>
      <c r="O252" s="79"/>
    </row>
    <row r="253" customFormat="false" ht="15" hidden="false" customHeight="false" outlineLevel="0" collapsed="false">
      <c r="A253" s="98"/>
      <c r="B253" s="79"/>
      <c r="C253" s="102" t="str">
        <f aca="false">IF(B253="","",IFERROR(INDEX(الموظفون!$C$6:$C$105,MATCH(B253,الموظفون!$B$6:$B$105,0)),"✖ رقم غير موجود"))</f>
        <v/>
      </c>
      <c r="D253" s="99"/>
      <c r="E253" s="99"/>
      <c r="F253" s="99"/>
      <c r="G253" s="96"/>
      <c r="H253" s="96"/>
      <c r="I253" s="96"/>
      <c r="J253" s="96"/>
      <c r="K253" s="99"/>
      <c r="L253" s="99"/>
      <c r="M253" s="96"/>
      <c r="N253" s="96"/>
      <c r="O253" s="79"/>
    </row>
    <row r="254" customFormat="false" ht="15" hidden="false" customHeight="false" outlineLevel="0" collapsed="false">
      <c r="A254" s="98"/>
      <c r="B254" s="79"/>
      <c r="C254" s="80" t="str">
        <f aca="false">IF(B254="","",IFERROR(INDEX(الموظفون!$C$6:$C$105,MATCH(B254,الموظفون!$B$6:$B$105,0)),"✖ رقم غير موجود"))</f>
        <v/>
      </c>
      <c r="D254" s="99"/>
      <c r="E254" s="99"/>
      <c r="F254" s="99"/>
      <c r="G254" s="96"/>
      <c r="H254" s="96"/>
      <c r="I254" s="96"/>
      <c r="J254" s="96"/>
      <c r="K254" s="99"/>
      <c r="L254" s="99"/>
      <c r="M254" s="96"/>
      <c r="N254" s="96"/>
      <c r="O254" s="79"/>
    </row>
    <row r="255" customFormat="false" ht="15" hidden="false" customHeight="false" outlineLevel="0" collapsed="false">
      <c r="A255" s="98"/>
      <c r="B255" s="79"/>
      <c r="C255" s="102" t="str">
        <f aca="false">IF(B255="","",IFERROR(INDEX(الموظفون!$C$6:$C$105,MATCH(B255,الموظفون!$B$6:$B$105,0)),"✖ رقم غير موجود"))</f>
        <v/>
      </c>
      <c r="D255" s="99"/>
      <c r="E255" s="99"/>
      <c r="F255" s="99"/>
      <c r="G255" s="96"/>
      <c r="H255" s="96"/>
      <c r="I255" s="96"/>
      <c r="J255" s="96"/>
      <c r="K255" s="99"/>
      <c r="L255" s="99"/>
      <c r="M255" s="96"/>
      <c r="N255" s="96"/>
      <c r="O255" s="79"/>
    </row>
    <row r="256" customFormat="false" ht="15" hidden="false" customHeight="false" outlineLevel="0" collapsed="false">
      <c r="A256" s="98"/>
      <c r="B256" s="79"/>
      <c r="C256" s="80" t="str">
        <f aca="false">IF(B256="","",IFERROR(INDEX(الموظفون!$C$6:$C$105,MATCH(B256,الموظفون!$B$6:$B$105,0)),"✖ رقم غير موجود"))</f>
        <v/>
      </c>
      <c r="D256" s="99"/>
      <c r="E256" s="99"/>
      <c r="F256" s="99"/>
      <c r="G256" s="96"/>
      <c r="H256" s="96"/>
      <c r="I256" s="96"/>
      <c r="J256" s="96"/>
      <c r="K256" s="99"/>
      <c r="L256" s="99"/>
      <c r="M256" s="96"/>
      <c r="N256" s="96"/>
      <c r="O256" s="79"/>
    </row>
    <row r="257" customFormat="false" ht="15" hidden="false" customHeight="false" outlineLevel="0" collapsed="false">
      <c r="A257" s="98"/>
      <c r="B257" s="79"/>
      <c r="C257" s="102" t="str">
        <f aca="false">IF(B257="","",IFERROR(INDEX(الموظفون!$C$6:$C$105,MATCH(B257,الموظفون!$B$6:$B$105,0)),"✖ رقم غير موجود"))</f>
        <v/>
      </c>
      <c r="D257" s="99"/>
      <c r="E257" s="99"/>
      <c r="F257" s="99"/>
      <c r="G257" s="96"/>
      <c r="H257" s="96"/>
      <c r="I257" s="96"/>
      <c r="J257" s="96"/>
      <c r="K257" s="99"/>
      <c r="L257" s="99"/>
      <c r="M257" s="96"/>
      <c r="N257" s="96"/>
      <c r="O257" s="79"/>
    </row>
    <row r="258" customFormat="false" ht="15" hidden="false" customHeight="false" outlineLevel="0" collapsed="false">
      <c r="A258" s="98"/>
      <c r="B258" s="79"/>
      <c r="C258" s="80" t="str">
        <f aca="false">IF(B258="","",IFERROR(INDEX(الموظفون!$C$6:$C$105,MATCH(B258,الموظفون!$B$6:$B$105,0)),"✖ رقم غير موجود"))</f>
        <v/>
      </c>
      <c r="D258" s="99"/>
      <c r="E258" s="99"/>
      <c r="F258" s="99"/>
      <c r="G258" s="96"/>
      <c r="H258" s="96"/>
      <c r="I258" s="96"/>
      <c r="J258" s="96"/>
      <c r="K258" s="99"/>
      <c r="L258" s="99"/>
      <c r="M258" s="96"/>
      <c r="N258" s="96"/>
      <c r="O258" s="79"/>
    </row>
    <row r="259" customFormat="false" ht="15" hidden="false" customHeight="false" outlineLevel="0" collapsed="false">
      <c r="A259" s="98"/>
      <c r="B259" s="79"/>
      <c r="C259" s="102" t="str">
        <f aca="false">IF(B259="","",IFERROR(INDEX(الموظفون!$C$6:$C$105,MATCH(B259,الموظفون!$B$6:$B$105,0)),"✖ رقم غير موجود"))</f>
        <v/>
      </c>
      <c r="D259" s="99"/>
      <c r="E259" s="99"/>
      <c r="F259" s="99"/>
      <c r="G259" s="96"/>
      <c r="H259" s="96"/>
      <c r="I259" s="96"/>
      <c r="J259" s="96"/>
      <c r="K259" s="99"/>
      <c r="L259" s="99"/>
      <c r="M259" s="96"/>
      <c r="N259" s="96"/>
      <c r="O259" s="79"/>
    </row>
    <row r="260" customFormat="false" ht="15" hidden="false" customHeight="false" outlineLevel="0" collapsed="false">
      <c r="A260" s="98"/>
      <c r="B260" s="79"/>
      <c r="C260" s="80" t="str">
        <f aca="false">IF(B260="","",IFERROR(INDEX(الموظفون!$C$6:$C$105,MATCH(B260,الموظفون!$B$6:$B$105,0)),"✖ رقم غير موجود"))</f>
        <v/>
      </c>
      <c r="D260" s="99"/>
      <c r="E260" s="99"/>
      <c r="F260" s="99"/>
      <c r="G260" s="96"/>
      <c r="H260" s="96"/>
      <c r="I260" s="96"/>
      <c r="J260" s="96"/>
      <c r="K260" s="99"/>
      <c r="L260" s="99"/>
      <c r="M260" s="96"/>
      <c r="N260" s="96"/>
      <c r="O260" s="79"/>
    </row>
    <row r="261" customFormat="false" ht="15" hidden="false" customHeight="false" outlineLevel="0" collapsed="false">
      <c r="A261" s="98"/>
      <c r="B261" s="79"/>
      <c r="C261" s="102" t="str">
        <f aca="false">IF(B261="","",IFERROR(INDEX(الموظفون!$C$6:$C$105,MATCH(B261,الموظفون!$B$6:$B$105,0)),"✖ رقم غير موجود"))</f>
        <v/>
      </c>
      <c r="D261" s="99"/>
      <c r="E261" s="99"/>
      <c r="F261" s="99"/>
      <c r="G261" s="96"/>
      <c r="H261" s="96"/>
      <c r="I261" s="96"/>
      <c r="J261" s="96"/>
      <c r="K261" s="99"/>
      <c r="L261" s="99"/>
      <c r="M261" s="96"/>
      <c r="N261" s="96"/>
      <c r="O261" s="79"/>
    </row>
    <row r="262" customFormat="false" ht="15" hidden="false" customHeight="false" outlineLevel="0" collapsed="false">
      <c r="A262" s="98"/>
      <c r="B262" s="79"/>
      <c r="C262" s="80" t="str">
        <f aca="false">IF(B262="","",IFERROR(INDEX(الموظفون!$C$6:$C$105,MATCH(B262,الموظفون!$B$6:$B$105,0)),"✖ رقم غير موجود"))</f>
        <v/>
      </c>
      <c r="D262" s="99"/>
      <c r="E262" s="99"/>
      <c r="F262" s="99"/>
      <c r="G262" s="96"/>
      <c r="H262" s="96"/>
      <c r="I262" s="96"/>
      <c r="J262" s="96"/>
      <c r="K262" s="99"/>
      <c r="L262" s="99"/>
      <c r="M262" s="96"/>
      <c r="N262" s="96"/>
      <c r="O262" s="79"/>
    </row>
    <row r="263" customFormat="false" ht="15" hidden="false" customHeight="false" outlineLevel="0" collapsed="false">
      <c r="A263" s="98"/>
      <c r="B263" s="79"/>
      <c r="C263" s="102" t="str">
        <f aca="false">IF(B263="","",IFERROR(INDEX(الموظفون!$C$6:$C$105,MATCH(B263,الموظفون!$B$6:$B$105,0)),"✖ رقم غير موجود"))</f>
        <v/>
      </c>
      <c r="D263" s="99"/>
      <c r="E263" s="99"/>
      <c r="F263" s="99"/>
      <c r="G263" s="96"/>
      <c r="H263" s="96"/>
      <c r="I263" s="96"/>
      <c r="J263" s="96"/>
      <c r="K263" s="99"/>
      <c r="L263" s="99"/>
      <c r="M263" s="96"/>
      <c r="N263" s="96"/>
      <c r="O263" s="79"/>
    </row>
    <row r="264" customFormat="false" ht="15" hidden="false" customHeight="false" outlineLevel="0" collapsed="false">
      <c r="A264" s="98"/>
      <c r="B264" s="79"/>
      <c r="C264" s="80" t="str">
        <f aca="false">IF(B264="","",IFERROR(INDEX(الموظفون!$C$6:$C$105,MATCH(B264,الموظفون!$B$6:$B$105,0)),"✖ رقم غير موجود"))</f>
        <v/>
      </c>
      <c r="D264" s="99"/>
      <c r="E264" s="99"/>
      <c r="F264" s="99"/>
      <c r="G264" s="96"/>
      <c r="H264" s="96"/>
      <c r="I264" s="96"/>
      <c r="J264" s="96"/>
      <c r="K264" s="99"/>
      <c r="L264" s="99"/>
      <c r="M264" s="96"/>
      <c r="N264" s="96"/>
      <c r="O264" s="79"/>
    </row>
    <row r="265" customFormat="false" ht="15" hidden="false" customHeight="false" outlineLevel="0" collapsed="false">
      <c r="A265" s="98"/>
      <c r="B265" s="79"/>
      <c r="C265" s="102" t="str">
        <f aca="false">IF(B265="","",IFERROR(INDEX(الموظفون!$C$6:$C$105,MATCH(B265,الموظفون!$B$6:$B$105,0)),"✖ رقم غير موجود"))</f>
        <v/>
      </c>
      <c r="D265" s="99"/>
      <c r="E265" s="99"/>
      <c r="F265" s="99"/>
      <c r="G265" s="96"/>
      <c r="H265" s="96"/>
      <c r="I265" s="96"/>
      <c r="J265" s="96"/>
      <c r="K265" s="99"/>
      <c r="L265" s="99"/>
      <c r="M265" s="96"/>
      <c r="N265" s="96"/>
      <c r="O265" s="79"/>
    </row>
    <row r="266" customFormat="false" ht="15" hidden="false" customHeight="false" outlineLevel="0" collapsed="false">
      <c r="A266" s="98"/>
      <c r="B266" s="79"/>
      <c r="C266" s="80" t="str">
        <f aca="false">IF(B266="","",IFERROR(INDEX(الموظفون!$C$6:$C$105,MATCH(B266,الموظفون!$B$6:$B$105,0)),"✖ رقم غير موجود"))</f>
        <v/>
      </c>
      <c r="D266" s="99"/>
      <c r="E266" s="99"/>
      <c r="F266" s="99"/>
      <c r="G266" s="96"/>
      <c r="H266" s="96"/>
      <c r="I266" s="96"/>
      <c r="J266" s="96"/>
      <c r="K266" s="99"/>
      <c r="L266" s="99"/>
      <c r="M266" s="96"/>
      <c r="N266" s="96"/>
      <c r="O266" s="79"/>
    </row>
    <row r="267" customFormat="false" ht="15" hidden="false" customHeight="false" outlineLevel="0" collapsed="false">
      <c r="A267" s="98"/>
      <c r="B267" s="79"/>
      <c r="C267" s="102" t="str">
        <f aca="false">IF(B267="","",IFERROR(INDEX(الموظفون!$C$6:$C$105,MATCH(B267,الموظفون!$B$6:$B$105,0)),"✖ رقم غير موجود"))</f>
        <v/>
      </c>
      <c r="D267" s="99"/>
      <c r="E267" s="99"/>
      <c r="F267" s="99"/>
      <c r="G267" s="96"/>
      <c r="H267" s="96"/>
      <c r="I267" s="96"/>
      <c r="J267" s="96"/>
      <c r="K267" s="99"/>
      <c r="L267" s="99"/>
      <c r="M267" s="96"/>
      <c r="N267" s="96"/>
      <c r="O267" s="79"/>
    </row>
    <row r="268" customFormat="false" ht="15" hidden="false" customHeight="false" outlineLevel="0" collapsed="false">
      <c r="A268" s="98"/>
      <c r="B268" s="79"/>
      <c r="C268" s="80" t="str">
        <f aca="false">IF(B268="","",IFERROR(INDEX(الموظفون!$C$6:$C$105,MATCH(B268,الموظفون!$B$6:$B$105,0)),"✖ رقم غير موجود"))</f>
        <v/>
      </c>
      <c r="D268" s="99"/>
      <c r="E268" s="99"/>
      <c r="F268" s="99"/>
      <c r="G268" s="96"/>
      <c r="H268" s="96"/>
      <c r="I268" s="96"/>
      <c r="J268" s="96"/>
      <c r="K268" s="99"/>
      <c r="L268" s="99"/>
      <c r="M268" s="96"/>
      <c r="N268" s="96"/>
      <c r="O268" s="79"/>
    </row>
    <row r="269" customFormat="false" ht="15" hidden="false" customHeight="false" outlineLevel="0" collapsed="false">
      <c r="A269" s="98"/>
      <c r="B269" s="79"/>
      <c r="C269" s="102" t="str">
        <f aca="false">IF(B269="","",IFERROR(INDEX(الموظفون!$C$6:$C$105,MATCH(B269,الموظفون!$B$6:$B$105,0)),"✖ رقم غير موجود"))</f>
        <v/>
      </c>
      <c r="D269" s="99"/>
      <c r="E269" s="99"/>
      <c r="F269" s="99"/>
      <c r="G269" s="96"/>
      <c r="H269" s="96"/>
      <c r="I269" s="96"/>
      <c r="J269" s="96"/>
      <c r="K269" s="99"/>
      <c r="L269" s="99"/>
      <c r="M269" s="96"/>
      <c r="N269" s="96"/>
      <c r="O269" s="79"/>
    </row>
    <row r="270" customFormat="false" ht="15" hidden="false" customHeight="false" outlineLevel="0" collapsed="false">
      <c r="A270" s="98"/>
      <c r="B270" s="79"/>
      <c r="C270" s="80" t="str">
        <f aca="false">IF(B270="","",IFERROR(INDEX(الموظفون!$C$6:$C$105,MATCH(B270,الموظفون!$B$6:$B$105,0)),"✖ رقم غير موجود"))</f>
        <v/>
      </c>
      <c r="D270" s="99"/>
      <c r="E270" s="99"/>
      <c r="F270" s="99"/>
      <c r="G270" s="96"/>
      <c r="H270" s="96"/>
      <c r="I270" s="96"/>
      <c r="J270" s="96"/>
      <c r="K270" s="99"/>
      <c r="L270" s="99"/>
      <c r="M270" s="96"/>
      <c r="N270" s="96"/>
      <c r="O270" s="79"/>
    </row>
    <row r="271" customFormat="false" ht="15" hidden="false" customHeight="false" outlineLevel="0" collapsed="false">
      <c r="A271" s="98"/>
      <c r="B271" s="79"/>
      <c r="C271" s="102" t="str">
        <f aca="false">IF(B271="","",IFERROR(INDEX(الموظفون!$C$6:$C$105,MATCH(B271,الموظفون!$B$6:$B$105,0)),"✖ رقم غير موجود"))</f>
        <v/>
      </c>
      <c r="D271" s="99"/>
      <c r="E271" s="99"/>
      <c r="F271" s="99"/>
      <c r="G271" s="96"/>
      <c r="H271" s="96"/>
      <c r="I271" s="96"/>
      <c r="J271" s="96"/>
      <c r="K271" s="99"/>
      <c r="L271" s="99"/>
      <c r="M271" s="96"/>
      <c r="N271" s="96"/>
      <c r="O271" s="79"/>
    </row>
    <row r="272" customFormat="false" ht="15" hidden="false" customHeight="false" outlineLevel="0" collapsed="false">
      <c r="A272" s="98"/>
      <c r="B272" s="79"/>
      <c r="C272" s="80" t="str">
        <f aca="false">IF(B272="","",IFERROR(INDEX(الموظفون!$C$6:$C$105,MATCH(B272,الموظفون!$B$6:$B$105,0)),"✖ رقم غير موجود"))</f>
        <v/>
      </c>
      <c r="D272" s="99"/>
      <c r="E272" s="99"/>
      <c r="F272" s="99"/>
      <c r="G272" s="96"/>
      <c r="H272" s="96"/>
      <c r="I272" s="96"/>
      <c r="J272" s="96"/>
      <c r="K272" s="99"/>
      <c r="L272" s="99"/>
      <c r="M272" s="96"/>
      <c r="N272" s="96"/>
      <c r="O272" s="79"/>
    </row>
    <row r="273" customFormat="false" ht="15" hidden="false" customHeight="false" outlineLevel="0" collapsed="false">
      <c r="A273" s="98"/>
      <c r="B273" s="79"/>
      <c r="C273" s="102" t="str">
        <f aca="false">IF(B273="","",IFERROR(INDEX(الموظفون!$C$6:$C$105,MATCH(B273,الموظفون!$B$6:$B$105,0)),"✖ رقم غير موجود"))</f>
        <v/>
      </c>
      <c r="D273" s="99"/>
      <c r="E273" s="99"/>
      <c r="F273" s="99"/>
      <c r="G273" s="96"/>
      <c r="H273" s="96"/>
      <c r="I273" s="96"/>
      <c r="J273" s="96"/>
      <c r="K273" s="99"/>
      <c r="L273" s="99"/>
      <c r="M273" s="96"/>
      <c r="N273" s="96"/>
      <c r="O273" s="79"/>
    </row>
    <row r="274" customFormat="false" ht="15" hidden="false" customHeight="false" outlineLevel="0" collapsed="false">
      <c r="A274" s="98"/>
      <c r="B274" s="79"/>
      <c r="C274" s="80" t="str">
        <f aca="false">IF(B274="","",IFERROR(INDEX(الموظفون!$C$6:$C$105,MATCH(B274,الموظفون!$B$6:$B$105,0)),"✖ رقم غير موجود"))</f>
        <v/>
      </c>
      <c r="D274" s="99"/>
      <c r="E274" s="99"/>
      <c r="F274" s="99"/>
      <c r="G274" s="96"/>
      <c r="H274" s="96"/>
      <c r="I274" s="96"/>
      <c r="J274" s="96"/>
      <c r="K274" s="99"/>
      <c r="L274" s="99"/>
      <c r="M274" s="96"/>
      <c r="N274" s="96"/>
      <c r="O274" s="79"/>
    </row>
    <row r="275" customFormat="false" ht="15" hidden="false" customHeight="false" outlineLevel="0" collapsed="false">
      <c r="A275" s="98"/>
      <c r="B275" s="79"/>
      <c r="C275" s="102" t="str">
        <f aca="false">IF(B275="","",IFERROR(INDEX(الموظفون!$C$6:$C$105,MATCH(B275,الموظفون!$B$6:$B$105,0)),"✖ رقم غير موجود"))</f>
        <v/>
      </c>
      <c r="D275" s="99"/>
      <c r="E275" s="99"/>
      <c r="F275" s="99"/>
      <c r="G275" s="96"/>
      <c r="H275" s="96"/>
      <c r="I275" s="96"/>
      <c r="J275" s="96"/>
      <c r="K275" s="99"/>
      <c r="L275" s="99"/>
      <c r="M275" s="96"/>
      <c r="N275" s="96"/>
      <c r="O275" s="79"/>
    </row>
    <row r="276" customFormat="false" ht="15" hidden="false" customHeight="false" outlineLevel="0" collapsed="false">
      <c r="A276" s="98"/>
      <c r="B276" s="79"/>
      <c r="C276" s="80" t="str">
        <f aca="false">IF(B276="","",IFERROR(INDEX(الموظفون!$C$6:$C$105,MATCH(B276,الموظفون!$B$6:$B$105,0)),"✖ رقم غير موجود"))</f>
        <v/>
      </c>
      <c r="D276" s="99"/>
      <c r="E276" s="99"/>
      <c r="F276" s="99"/>
      <c r="G276" s="96"/>
      <c r="H276" s="96"/>
      <c r="I276" s="96"/>
      <c r="J276" s="96"/>
      <c r="K276" s="99"/>
      <c r="L276" s="99"/>
      <c r="M276" s="96"/>
      <c r="N276" s="96"/>
      <c r="O276" s="79"/>
    </row>
    <row r="277" customFormat="false" ht="15" hidden="false" customHeight="false" outlineLevel="0" collapsed="false">
      <c r="A277" s="98"/>
      <c r="B277" s="79"/>
      <c r="C277" s="102" t="str">
        <f aca="false">IF(B277="","",IFERROR(INDEX(الموظفون!$C$6:$C$105,MATCH(B277,الموظفون!$B$6:$B$105,0)),"✖ رقم غير موجود"))</f>
        <v/>
      </c>
      <c r="D277" s="99"/>
      <c r="E277" s="99"/>
      <c r="F277" s="99"/>
      <c r="G277" s="96"/>
      <c r="H277" s="96"/>
      <c r="I277" s="96"/>
      <c r="J277" s="96"/>
      <c r="K277" s="99"/>
      <c r="L277" s="99"/>
      <c r="M277" s="96"/>
      <c r="N277" s="96"/>
      <c r="O277" s="79"/>
    </row>
    <row r="278" customFormat="false" ht="15" hidden="false" customHeight="false" outlineLevel="0" collapsed="false">
      <c r="A278" s="98"/>
      <c r="B278" s="79"/>
      <c r="C278" s="80" t="str">
        <f aca="false">IF(B278="","",IFERROR(INDEX(الموظفون!$C$6:$C$105,MATCH(B278,الموظفون!$B$6:$B$105,0)),"✖ رقم غير موجود"))</f>
        <v/>
      </c>
      <c r="D278" s="99"/>
      <c r="E278" s="99"/>
      <c r="F278" s="99"/>
      <c r="G278" s="96"/>
      <c r="H278" s="96"/>
      <c r="I278" s="96"/>
      <c r="J278" s="96"/>
      <c r="K278" s="99"/>
      <c r="L278" s="99"/>
      <c r="M278" s="96"/>
      <c r="N278" s="96"/>
      <c r="O278" s="79"/>
    </row>
    <row r="279" customFormat="false" ht="15" hidden="false" customHeight="false" outlineLevel="0" collapsed="false">
      <c r="A279" s="98"/>
      <c r="B279" s="79"/>
      <c r="C279" s="102" t="str">
        <f aca="false">IF(B279="","",IFERROR(INDEX(الموظفون!$C$6:$C$105,MATCH(B279,الموظفون!$B$6:$B$105,0)),"✖ رقم غير موجود"))</f>
        <v/>
      </c>
      <c r="D279" s="99"/>
      <c r="E279" s="99"/>
      <c r="F279" s="99"/>
      <c r="G279" s="96"/>
      <c r="H279" s="96"/>
      <c r="I279" s="96"/>
      <c r="J279" s="96"/>
      <c r="K279" s="99"/>
      <c r="L279" s="99"/>
      <c r="M279" s="96"/>
      <c r="N279" s="96"/>
      <c r="O279" s="79"/>
    </row>
    <row r="280" customFormat="false" ht="15" hidden="false" customHeight="false" outlineLevel="0" collapsed="false">
      <c r="A280" s="98"/>
      <c r="B280" s="79"/>
      <c r="C280" s="80" t="str">
        <f aca="false">IF(B280="","",IFERROR(INDEX(الموظفون!$C$6:$C$105,MATCH(B280,الموظفون!$B$6:$B$105,0)),"✖ رقم غير موجود"))</f>
        <v/>
      </c>
      <c r="D280" s="99"/>
      <c r="E280" s="99"/>
      <c r="F280" s="99"/>
      <c r="G280" s="96"/>
      <c r="H280" s="96"/>
      <c r="I280" s="96"/>
      <c r="J280" s="96"/>
      <c r="K280" s="99"/>
      <c r="L280" s="99"/>
      <c r="M280" s="96"/>
      <c r="N280" s="96"/>
      <c r="O280" s="79"/>
    </row>
    <row r="281" customFormat="false" ht="15" hidden="false" customHeight="false" outlineLevel="0" collapsed="false">
      <c r="A281" s="98"/>
      <c r="B281" s="79"/>
      <c r="C281" s="102" t="str">
        <f aca="false">IF(B281="","",IFERROR(INDEX(الموظفون!$C$6:$C$105,MATCH(B281,الموظفون!$B$6:$B$105,0)),"✖ رقم غير موجود"))</f>
        <v/>
      </c>
      <c r="D281" s="99"/>
      <c r="E281" s="99"/>
      <c r="F281" s="99"/>
      <c r="G281" s="96"/>
      <c r="H281" s="96"/>
      <c r="I281" s="96"/>
      <c r="J281" s="96"/>
      <c r="K281" s="99"/>
      <c r="L281" s="99"/>
      <c r="M281" s="96"/>
      <c r="N281" s="96"/>
      <c r="O281" s="79"/>
    </row>
    <row r="282" customFormat="false" ht="15" hidden="false" customHeight="false" outlineLevel="0" collapsed="false">
      <c r="A282" s="98"/>
      <c r="B282" s="79"/>
      <c r="C282" s="80" t="str">
        <f aca="false">IF(B282="","",IFERROR(INDEX(الموظفون!$C$6:$C$105,MATCH(B282,الموظفون!$B$6:$B$105,0)),"✖ رقم غير موجود"))</f>
        <v/>
      </c>
      <c r="D282" s="99"/>
      <c r="E282" s="99"/>
      <c r="F282" s="99"/>
      <c r="G282" s="96"/>
      <c r="H282" s="96"/>
      <c r="I282" s="96"/>
      <c r="J282" s="96"/>
      <c r="K282" s="99"/>
      <c r="L282" s="99"/>
      <c r="M282" s="96"/>
      <c r="N282" s="96"/>
      <c r="O282" s="79"/>
    </row>
    <row r="283" customFormat="false" ht="15" hidden="false" customHeight="false" outlineLevel="0" collapsed="false">
      <c r="A283" s="98"/>
      <c r="B283" s="79"/>
      <c r="C283" s="102" t="str">
        <f aca="false">IF(B283="","",IFERROR(INDEX(الموظفون!$C$6:$C$105,MATCH(B283,الموظفون!$B$6:$B$105,0)),"✖ رقم غير موجود"))</f>
        <v/>
      </c>
      <c r="D283" s="99"/>
      <c r="E283" s="99"/>
      <c r="F283" s="99"/>
      <c r="G283" s="96"/>
      <c r="H283" s="96"/>
      <c r="I283" s="96"/>
      <c r="J283" s="96"/>
      <c r="K283" s="99"/>
      <c r="L283" s="99"/>
      <c r="M283" s="96"/>
      <c r="N283" s="96"/>
      <c r="O283" s="79"/>
    </row>
    <row r="284" customFormat="false" ht="15" hidden="false" customHeight="false" outlineLevel="0" collapsed="false">
      <c r="A284" s="98"/>
      <c r="B284" s="79"/>
      <c r="C284" s="80" t="str">
        <f aca="false">IF(B284="","",IFERROR(INDEX(الموظفون!$C$6:$C$105,MATCH(B284,الموظفون!$B$6:$B$105,0)),"✖ رقم غير موجود"))</f>
        <v/>
      </c>
      <c r="D284" s="99"/>
      <c r="E284" s="99"/>
      <c r="F284" s="99"/>
      <c r="G284" s="96"/>
      <c r="H284" s="96"/>
      <c r="I284" s="96"/>
      <c r="J284" s="96"/>
      <c r="K284" s="99"/>
      <c r="L284" s="99"/>
      <c r="M284" s="96"/>
      <c r="N284" s="96"/>
      <c r="O284" s="79"/>
    </row>
    <row r="285" customFormat="false" ht="15" hidden="false" customHeight="false" outlineLevel="0" collapsed="false">
      <c r="A285" s="98"/>
      <c r="B285" s="79"/>
      <c r="C285" s="102" t="str">
        <f aca="false">IF(B285="","",IFERROR(INDEX(الموظفون!$C$6:$C$105,MATCH(B285,الموظفون!$B$6:$B$105,0)),"✖ رقم غير موجود"))</f>
        <v/>
      </c>
      <c r="D285" s="99"/>
      <c r="E285" s="99"/>
      <c r="F285" s="99"/>
      <c r="G285" s="96"/>
      <c r="H285" s="96"/>
      <c r="I285" s="96"/>
      <c r="J285" s="96"/>
      <c r="K285" s="99"/>
      <c r="L285" s="99"/>
      <c r="M285" s="96"/>
      <c r="N285" s="96"/>
      <c r="O285" s="79"/>
    </row>
    <row r="286" customFormat="false" ht="15" hidden="false" customHeight="false" outlineLevel="0" collapsed="false">
      <c r="A286" s="98"/>
      <c r="B286" s="79"/>
      <c r="C286" s="80" t="str">
        <f aca="false">IF(B286="","",IFERROR(INDEX(الموظفون!$C$6:$C$105,MATCH(B286,الموظفون!$B$6:$B$105,0)),"✖ رقم غير موجود"))</f>
        <v/>
      </c>
      <c r="D286" s="99"/>
      <c r="E286" s="99"/>
      <c r="F286" s="99"/>
      <c r="G286" s="96"/>
      <c r="H286" s="96"/>
      <c r="I286" s="96"/>
      <c r="J286" s="96"/>
      <c r="K286" s="99"/>
      <c r="L286" s="99"/>
      <c r="M286" s="96"/>
      <c r="N286" s="96"/>
      <c r="O286" s="79"/>
    </row>
    <row r="287" customFormat="false" ht="15" hidden="false" customHeight="false" outlineLevel="0" collapsed="false">
      <c r="A287" s="98"/>
      <c r="B287" s="79"/>
      <c r="C287" s="102" t="str">
        <f aca="false">IF(B287="","",IFERROR(INDEX(الموظفون!$C$6:$C$105,MATCH(B287,الموظفون!$B$6:$B$105,0)),"✖ رقم غير موجود"))</f>
        <v/>
      </c>
      <c r="D287" s="99"/>
      <c r="E287" s="99"/>
      <c r="F287" s="99"/>
      <c r="G287" s="96"/>
      <c r="H287" s="96"/>
      <c r="I287" s="96"/>
      <c r="J287" s="96"/>
      <c r="K287" s="99"/>
      <c r="L287" s="99"/>
      <c r="M287" s="96"/>
      <c r="N287" s="96"/>
      <c r="O287" s="79"/>
    </row>
    <row r="288" customFormat="false" ht="15" hidden="false" customHeight="false" outlineLevel="0" collapsed="false">
      <c r="A288" s="98"/>
      <c r="B288" s="79"/>
      <c r="C288" s="80" t="str">
        <f aca="false">IF(B288="","",IFERROR(INDEX(الموظفون!$C$6:$C$105,MATCH(B288,الموظفون!$B$6:$B$105,0)),"✖ رقم غير موجود"))</f>
        <v/>
      </c>
      <c r="D288" s="99"/>
      <c r="E288" s="99"/>
      <c r="F288" s="99"/>
      <c r="G288" s="96"/>
      <c r="H288" s="96"/>
      <c r="I288" s="96"/>
      <c r="J288" s="96"/>
      <c r="K288" s="99"/>
      <c r="L288" s="99"/>
      <c r="M288" s="96"/>
      <c r="N288" s="96"/>
      <c r="O288" s="79"/>
    </row>
    <row r="289" customFormat="false" ht="15" hidden="false" customHeight="false" outlineLevel="0" collapsed="false">
      <c r="A289" s="98"/>
      <c r="B289" s="79"/>
      <c r="C289" s="102" t="str">
        <f aca="false">IF(B289="","",IFERROR(INDEX(الموظفون!$C$6:$C$105,MATCH(B289,الموظفون!$B$6:$B$105,0)),"✖ رقم غير موجود"))</f>
        <v/>
      </c>
      <c r="D289" s="99"/>
      <c r="E289" s="99"/>
      <c r="F289" s="99"/>
      <c r="G289" s="96"/>
      <c r="H289" s="96"/>
      <c r="I289" s="96"/>
      <c r="J289" s="96"/>
      <c r="K289" s="99"/>
      <c r="L289" s="99"/>
      <c r="M289" s="96"/>
      <c r="N289" s="96"/>
      <c r="O289" s="79"/>
    </row>
    <row r="290" customFormat="false" ht="15" hidden="false" customHeight="false" outlineLevel="0" collapsed="false">
      <c r="A290" s="98"/>
      <c r="B290" s="79"/>
      <c r="C290" s="80" t="str">
        <f aca="false">IF(B290="","",IFERROR(INDEX(الموظفون!$C$6:$C$105,MATCH(B290,الموظفون!$B$6:$B$105,0)),"✖ رقم غير موجود"))</f>
        <v/>
      </c>
      <c r="D290" s="99"/>
      <c r="E290" s="99"/>
      <c r="F290" s="99"/>
      <c r="G290" s="96"/>
      <c r="H290" s="96"/>
      <c r="I290" s="96"/>
      <c r="J290" s="96"/>
      <c r="K290" s="99"/>
      <c r="L290" s="99"/>
      <c r="M290" s="96"/>
      <c r="N290" s="96"/>
      <c r="O290" s="79"/>
    </row>
    <row r="291" customFormat="false" ht="15" hidden="false" customHeight="false" outlineLevel="0" collapsed="false">
      <c r="A291" s="98"/>
      <c r="B291" s="79"/>
      <c r="C291" s="102" t="str">
        <f aca="false">IF(B291="","",IFERROR(INDEX(الموظفون!$C$6:$C$105,MATCH(B291,الموظفون!$B$6:$B$105,0)),"✖ رقم غير موجود"))</f>
        <v/>
      </c>
      <c r="D291" s="99"/>
      <c r="E291" s="99"/>
      <c r="F291" s="99"/>
      <c r="G291" s="96"/>
      <c r="H291" s="96"/>
      <c r="I291" s="96"/>
      <c r="J291" s="96"/>
      <c r="K291" s="99"/>
      <c r="L291" s="99"/>
      <c r="M291" s="96"/>
      <c r="N291" s="96"/>
      <c r="O291" s="79"/>
    </row>
    <row r="292" customFormat="false" ht="15" hidden="false" customHeight="false" outlineLevel="0" collapsed="false">
      <c r="A292" s="98"/>
      <c r="B292" s="79"/>
      <c r="C292" s="80" t="str">
        <f aca="false">IF(B292="","",IFERROR(INDEX(الموظفون!$C$6:$C$105,MATCH(B292,الموظفون!$B$6:$B$105,0)),"✖ رقم غير موجود"))</f>
        <v/>
      </c>
      <c r="D292" s="99"/>
      <c r="E292" s="99"/>
      <c r="F292" s="99"/>
      <c r="G292" s="96"/>
      <c r="H292" s="96"/>
      <c r="I292" s="96"/>
      <c r="J292" s="96"/>
      <c r="K292" s="99"/>
      <c r="L292" s="99"/>
      <c r="M292" s="96"/>
      <c r="N292" s="96"/>
      <c r="O292" s="79"/>
    </row>
    <row r="293" customFormat="false" ht="15" hidden="false" customHeight="false" outlineLevel="0" collapsed="false">
      <c r="A293" s="98"/>
      <c r="B293" s="79"/>
      <c r="C293" s="102" t="str">
        <f aca="false">IF(B293="","",IFERROR(INDEX(الموظفون!$C$6:$C$105,MATCH(B293,الموظفون!$B$6:$B$105,0)),"✖ رقم غير موجود"))</f>
        <v/>
      </c>
      <c r="D293" s="99"/>
      <c r="E293" s="99"/>
      <c r="F293" s="99"/>
      <c r="G293" s="96"/>
      <c r="H293" s="96"/>
      <c r="I293" s="96"/>
      <c r="J293" s="96"/>
      <c r="K293" s="99"/>
      <c r="L293" s="99"/>
      <c r="M293" s="96"/>
      <c r="N293" s="96"/>
      <c r="O293" s="79"/>
    </row>
    <row r="294" customFormat="false" ht="15" hidden="false" customHeight="false" outlineLevel="0" collapsed="false">
      <c r="A294" s="98"/>
      <c r="B294" s="79"/>
      <c r="C294" s="80" t="str">
        <f aca="false">IF(B294="","",IFERROR(INDEX(الموظفون!$C$6:$C$105,MATCH(B294,الموظفون!$B$6:$B$105,0)),"✖ رقم غير موجود"))</f>
        <v/>
      </c>
      <c r="D294" s="99"/>
      <c r="E294" s="99"/>
      <c r="F294" s="99"/>
      <c r="G294" s="96"/>
      <c r="H294" s="96"/>
      <c r="I294" s="96"/>
      <c r="J294" s="96"/>
      <c r="K294" s="99"/>
      <c r="L294" s="99"/>
      <c r="M294" s="96"/>
      <c r="N294" s="96"/>
      <c r="O294" s="79"/>
    </row>
    <row r="295" customFormat="false" ht="15" hidden="false" customHeight="false" outlineLevel="0" collapsed="false">
      <c r="A295" s="98"/>
      <c r="B295" s="79"/>
      <c r="C295" s="102" t="str">
        <f aca="false">IF(B295="","",IFERROR(INDEX(الموظفون!$C$6:$C$105,MATCH(B295,الموظفون!$B$6:$B$105,0)),"✖ رقم غير موجود"))</f>
        <v/>
      </c>
      <c r="D295" s="99"/>
      <c r="E295" s="99"/>
      <c r="F295" s="99"/>
      <c r="G295" s="96"/>
      <c r="H295" s="96"/>
      <c r="I295" s="96"/>
      <c r="J295" s="96"/>
      <c r="K295" s="99"/>
      <c r="L295" s="99"/>
      <c r="M295" s="96"/>
      <c r="N295" s="96"/>
      <c r="O295" s="79"/>
    </row>
    <row r="296" customFormat="false" ht="15" hidden="false" customHeight="false" outlineLevel="0" collapsed="false">
      <c r="A296" s="98"/>
      <c r="B296" s="79"/>
      <c r="C296" s="80" t="str">
        <f aca="false">IF(B296="","",IFERROR(INDEX(الموظفون!$C$6:$C$105,MATCH(B296,الموظفون!$B$6:$B$105,0)),"✖ رقم غير موجود"))</f>
        <v/>
      </c>
      <c r="D296" s="99"/>
      <c r="E296" s="99"/>
      <c r="F296" s="99"/>
      <c r="G296" s="96"/>
      <c r="H296" s="96"/>
      <c r="I296" s="96"/>
      <c r="J296" s="96"/>
      <c r="K296" s="99"/>
      <c r="L296" s="99"/>
      <c r="M296" s="96"/>
      <c r="N296" s="96"/>
      <c r="O296" s="79"/>
    </row>
    <row r="297" customFormat="false" ht="15" hidden="false" customHeight="false" outlineLevel="0" collapsed="false">
      <c r="A297" s="98"/>
      <c r="B297" s="79"/>
      <c r="C297" s="102" t="str">
        <f aca="false">IF(B297="","",IFERROR(INDEX(الموظفون!$C$6:$C$105,MATCH(B297,الموظفون!$B$6:$B$105,0)),"✖ رقم غير موجود"))</f>
        <v/>
      </c>
      <c r="D297" s="99"/>
      <c r="E297" s="99"/>
      <c r="F297" s="99"/>
      <c r="G297" s="96"/>
      <c r="H297" s="96"/>
      <c r="I297" s="96"/>
      <c r="J297" s="96"/>
      <c r="K297" s="99"/>
      <c r="L297" s="99"/>
      <c r="M297" s="96"/>
      <c r="N297" s="96"/>
      <c r="O297" s="79"/>
    </row>
    <row r="298" customFormat="false" ht="15" hidden="false" customHeight="false" outlineLevel="0" collapsed="false">
      <c r="A298" s="98"/>
      <c r="B298" s="79"/>
      <c r="C298" s="80" t="str">
        <f aca="false">IF(B298="","",IFERROR(INDEX(الموظفون!$C$6:$C$105,MATCH(B298,الموظفون!$B$6:$B$105,0)),"✖ رقم غير موجود"))</f>
        <v/>
      </c>
      <c r="D298" s="99"/>
      <c r="E298" s="99"/>
      <c r="F298" s="99"/>
      <c r="G298" s="96"/>
      <c r="H298" s="96"/>
      <c r="I298" s="96"/>
      <c r="J298" s="96"/>
      <c r="K298" s="99"/>
      <c r="L298" s="99"/>
      <c r="M298" s="96"/>
      <c r="N298" s="96"/>
      <c r="O298" s="79"/>
    </row>
    <row r="299" customFormat="false" ht="15" hidden="false" customHeight="false" outlineLevel="0" collapsed="false">
      <c r="A299" s="98"/>
      <c r="B299" s="79"/>
      <c r="C299" s="102" t="str">
        <f aca="false">IF(B299="","",IFERROR(INDEX(الموظفون!$C$6:$C$105,MATCH(B299,الموظفون!$B$6:$B$105,0)),"✖ رقم غير موجود"))</f>
        <v/>
      </c>
      <c r="D299" s="99"/>
      <c r="E299" s="99"/>
      <c r="F299" s="99"/>
      <c r="G299" s="96"/>
      <c r="H299" s="96"/>
      <c r="I299" s="96"/>
      <c r="J299" s="96"/>
      <c r="K299" s="99"/>
      <c r="L299" s="99"/>
      <c r="M299" s="96"/>
      <c r="N299" s="96"/>
      <c r="O299" s="79"/>
    </row>
    <row r="300" customFormat="false" ht="15" hidden="false" customHeight="false" outlineLevel="0" collapsed="false">
      <c r="A300" s="98"/>
      <c r="B300" s="79"/>
      <c r="C300" s="80" t="str">
        <f aca="false">IF(B300="","",IFERROR(INDEX(الموظفون!$C$6:$C$105,MATCH(B300,الموظفون!$B$6:$B$105,0)),"✖ رقم غير موجود"))</f>
        <v/>
      </c>
      <c r="D300" s="99"/>
      <c r="E300" s="99"/>
      <c r="F300" s="99"/>
      <c r="G300" s="96"/>
      <c r="H300" s="96"/>
      <c r="I300" s="96"/>
      <c r="J300" s="96"/>
      <c r="K300" s="99"/>
      <c r="L300" s="99"/>
      <c r="M300" s="96"/>
      <c r="N300" s="96"/>
      <c r="O300" s="79"/>
    </row>
    <row r="301" customFormat="false" ht="15" hidden="false" customHeight="false" outlineLevel="0" collapsed="false">
      <c r="A301" s="98"/>
      <c r="B301" s="79"/>
      <c r="C301" s="102" t="str">
        <f aca="false">IF(B301="","",IFERROR(INDEX(الموظفون!$C$6:$C$105,MATCH(B301,الموظفون!$B$6:$B$105,0)),"✖ رقم غير موجود"))</f>
        <v/>
      </c>
      <c r="D301" s="99"/>
      <c r="E301" s="99"/>
      <c r="F301" s="99"/>
      <c r="G301" s="96"/>
      <c r="H301" s="96"/>
      <c r="I301" s="96"/>
      <c r="J301" s="96"/>
      <c r="K301" s="99"/>
      <c r="L301" s="99"/>
      <c r="M301" s="96"/>
      <c r="N301" s="96"/>
      <c r="O301" s="79"/>
    </row>
    <row r="302" customFormat="false" ht="15" hidden="false" customHeight="false" outlineLevel="0" collapsed="false">
      <c r="A302" s="98"/>
      <c r="B302" s="79"/>
      <c r="C302" s="80" t="str">
        <f aca="false">IF(B302="","",IFERROR(INDEX(الموظفون!$C$6:$C$105,MATCH(B302,الموظفون!$B$6:$B$105,0)),"✖ رقم غير موجود"))</f>
        <v/>
      </c>
      <c r="D302" s="99"/>
      <c r="E302" s="99"/>
      <c r="F302" s="99"/>
      <c r="G302" s="96"/>
      <c r="H302" s="96"/>
      <c r="I302" s="96"/>
      <c r="J302" s="96"/>
      <c r="K302" s="99"/>
      <c r="L302" s="99"/>
      <c r="M302" s="96"/>
      <c r="N302" s="96"/>
      <c r="O302" s="79"/>
    </row>
    <row r="303" customFormat="false" ht="15" hidden="false" customHeight="false" outlineLevel="0" collapsed="false">
      <c r="A303" s="98"/>
      <c r="B303" s="79"/>
      <c r="C303" s="102" t="str">
        <f aca="false">IF(B303="","",IFERROR(INDEX(الموظفون!$C$6:$C$105,MATCH(B303,الموظفون!$B$6:$B$105,0)),"✖ رقم غير موجود"))</f>
        <v/>
      </c>
      <c r="D303" s="99"/>
      <c r="E303" s="99"/>
      <c r="F303" s="99"/>
      <c r="G303" s="96"/>
      <c r="H303" s="96"/>
      <c r="I303" s="96"/>
      <c r="J303" s="96"/>
      <c r="K303" s="99"/>
      <c r="L303" s="99"/>
      <c r="M303" s="96"/>
      <c r="N303" s="96"/>
      <c r="O303" s="79"/>
    </row>
    <row r="304" customFormat="false" ht="15" hidden="false" customHeight="false" outlineLevel="0" collapsed="false">
      <c r="A304" s="98"/>
      <c r="B304" s="79"/>
      <c r="C304" s="80" t="str">
        <f aca="false">IF(B304="","",IFERROR(INDEX(الموظفون!$C$6:$C$105,MATCH(B304,الموظفون!$B$6:$B$105,0)),"✖ رقم غير موجود"))</f>
        <v/>
      </c>
      <c r="D304" s="99"/>
      <c r="E304" s="99"/>
      <c r="F304" s="99"/>
      <c r="G304" s="96"/>
      <c r="H304" s="96"/>
      <c r="I304" s="96"/>
      <c r="J304" s="96"/>
      <c r="K304" s="99"/>
      <c r="L304" s="99"/>
      <c r="M304" s="96"/>
      <c r="N304" s="96"/>
      <c r="O304" s="79"/>
    </row>
    <row r="305" customFormat="false" ht="15" hidden="false" customHeight="false" outlineLevel="0" collapsed="false">
      <c r="A305" s="98"/>
      <c r="B305" s="79"/>
      <c r="C305" s="102" t="str">
        <f aca="false">IF(B305="","",IFERROR(INDEX(الموظفون!$C$6:$C$105,MATCH(B305,الموظفون!$B$6:$B$105,0)),"✖ رقم غير موجود"))</f>
        <v/>
      </c>
      <c r="D305" s="99"/>
      <c r="E305" s="99"/>
      <c r="F305" s="99"/>
      <c r="G305" s="96"/>
      <c r="H305" s="96"/>
      <c r="I305" s="96"/>
      <c r="J305" s="96"/>
      <c r="K305" s="99"/>
      <c r="L305" s="99"/>
      <c r="M305" s="96"/>
      <c r="N305" s="96"/>
      <c r="O305" s="79"/>
    </row>
    <row r="306" customFormat="false" ht="15" hidden="false" customHeight="false" outlineLevel="0" collapsed="false">
      <c r="A306" s="98"/>
      <c r="B306" s="79"/>
      <c r="C306" s="80" t="str">
        <f aca="false">IF(B306="","",IFERROR(INDEX(الموظفون!$C$6:$C$105,MATCH(B306,الموظفون!$B$6:$B$105,0)),"✖ رقم غير موجود"))</f>
        <v/>
      </c>
      <c r="D306" s="99"/>
      <c r="E306" s="99"/>
      <c r="F306" s="99"/>
      <c r="G306" s="96"/>
      <c r="H306" s="96"/>
      <c r="I306" s="96"/>
      <c r="J306" s="96"/>
      <c r="K306" s="99"/>
      <c r="L306" s="99"/>
      <c r="M306" s="96"/>
      <c r="N306" s="96"/>
      <c r="O306" s="79"/>
    </row>
    <row r="307" customFormat="false" ht="15" hidden="false" customHeight="false" outlineLevel="0" collapsed="false">
      <c r="A307" s="98"/>
      <c r="B307" s="79"/>
      <c r="C307" s="102" t="str">
        <f aca="false">IF(B307="","",IFERROR(INDEX(الموظفون!$C$6:$C$105,MATCH(B307,الموظفون!$B$6:$B$105,0)),"✖ رقم غير موجود"))</f>
        <v/>
      </c>
      <c r="D307" s="99"/>
      <c r="E307" s="99"/>
      <c r="F307" s="99"/>
      <c r="G307" s="96"/>
      <c r="H307" s="96"/>
      <c r="I307" s="96"/>
      <c r="J307" s="96"/>
      <c r="K307" s="99"/>
      <c r="L307" s="99"/>
      <c r="M307" s="96"/>
      <c r="N307" s="96"/>
      <c r="O307" s="79"/>
    </row>
    <row r="308" customFormat="false" ht="15" hidden="false" customHeight="false" outlineLevel="0" collapsed="false">
      <c r="A308" s="98"/>
      <c r="B308" s="79"/>
      <c r="C308" s="80" t="str">
        <f aca="false">IF(B308="","",IFERROR(INDEX(الموظفون!$C$6:$C$105,MATCH(B308,الموظفون!$B$6:$B$105,0)),"✖ رقم غير موجود"))</f>
        <v/>
      </c>
      <c r="D308" s="99"/>
      <c r="E308" s="99"/>
      <c r="F308" s="99"/>
      <c r="G308" s="96"/>
      <c r="H308" s="96"/>
      <c r="I308" s="96"/>
      <c r="J308" s="96"/>
      <c r="K308" s="99"/>
      <c r="L308" s="99"/>
      <c r="M308" s="96"/>
      <c r="N308" s="96"/>
      <c r="O308" s="79"/>
    </row>
    <row r="309" customFormat="false" ht="15" hidden="false" customHeight="false" outlineLevel="0" collapsed="false">
      <c r="A309" s="98"/>
      <c r="B309" s="79"/>
      <c r="C309" s="102" t="str">
        <f aca="false">IF(B309="","",IFERROR(INDEX(الموظفون!$C$6:$C$105,MATCH(B309,الموظفون!$B$6:$B$105,0)),"✖ رقم غير موجود"))</f>
        <v/>
      </c>
      <c r="D309" s="99"/>
      <c r="E309" s="99"/>
      <c r="F309" s="99"/>
      <c r="G309" s="96"/>
      <c r="H309" s="96"/>
      <c r="I309" s="96"/>
      <c r="J309" s="96"/>
      <c r="K309" s="99"/>
      <c r="L309" s="99"/>
      <c r="M309" s="96"/>
      <c r="N309" s="96"/>
      <c r="O309" s="79"/>
    </row>
    <row r="310" customFormat="false" ht="15" hidden="false" customHeight="false" outlineLevel="0" collapsed="false">
      <c r="A310" s="98"/>
      <c r="B310" s="79"/>
      <c r="C310" s="80" t="str">
        <f aca="false">IF(B310="","",IFERROR(INDEX(الموظفون!$C$6:$C$105,MATCH(B310,الموظفون!$B$6:$B$105,0)),"✖ رقم غير موجود"))</f>
        <v/>
      </c>
      <c r="D310" s="99"/>
      <c r="E310" s="99"/>
      <c r="F310" s="99"/>
      <c r="G310" s="96"/>
      <c r="H310" s="96"/>
      <c r="I310" s="96"/>
      <c r="J310" s="96"/>
      <c r="K310" s="99"/>
      <c r="L310" s="99"/>
      <c r="M310" s="96"/>
      <c r="N310" s="96"/>
      <c r="O310" s="79"/>
    </row>
    <row r="311" customFormat="false" ht="15" hidden="false" customHeight="false" outlineLevel="0" collapsed="false">
      <c r="A311" s="98"/>
      <c r="B311" s="79"/>
      <c r="C311" s="102" t="str">
        <f aca="false">IF(B311="","",IFERROR(INDEX(الموظفون!$C$6:$C$105,MATCH(B311,الموظفون!$B$6:$B$105,0)),"✖ رقم غير موجود"))</f>
        <v/>
      </c>
      <c r="D311" s="99"/>
      <c r="E311" s="99"/>
      <c r="F311" s="99"/>
      <c r="G311" s="96"/>
      <c r="H311" s="96"/>
      <c r="I311" s="96"/>
      <c r="J311" s="96"/>
      <c r="K311" s="99"/>
      <c r="L311" s="99"/>
      <c r="M311" s="96"/>
      <c r="N311" s="96"/>
      <c r="O311" s="79"/>
    </row>
    <row r="312" customFormat="false" ht="15" hidden="false" customHeight="false" outlineLevel="0" collapsed="false">
      <c r="A312" s="98"/>
      <c r="B312" s="79"/>
      <c r="C312" s="80" t="str">
        <f aca="false">IF(B312="","",IFERROR(INDEX(الموظفون!$C$6:$C$105,MATCH(B312,الموظفون!$B$6:$B$105,0)),"✖ رقم غير موجود"))</f>
        <v/>
      </c>
      <c r="D312" s="99"/>
      <c r="E312" s="99"/>
      <c r="F312" s="99"/>
      <c r="G312" s="96"/>
      <c r="H312" s="96"/>
      <c r="I312" s="96"/>
      <c r="J312" s="96"/>
      <c r="K312" s="99"/>
      <c r="L312" s="99"/>
      <c r="M312" s="96"/>
      <c r="N312" s="96"/>
      <c r="O312" s="79"/>
    </row>
    <row r="313" customFormat="false" ht="15" hidden="false" customHeight="false" outlineLevel="0" collapsed="false">
      <c r="A313" s="98"/>
      <c r="B313" s="79"/>
      <c r="C313" s="102" t="str">
        <f aca="false">IF(B313="","",IFERROR(INDEX(الموظفون!$C$6:$C$105,MATCH(B313,الموظفون!$B$6:$B$105,0)),"✖ رقم غير موجود"))</f>
        <v/>
      </c>
      <c r="D313" s="99"/>
      <c r="E313" s="99"/>
      <c r="F313" s="99"/>
      <c r="G313" s="96"/>
      <c r="H313" s="96"/>
      <c r="I313" s="96"/>
      <c r="J313" s="96"/>
      <c r="K313" s="99"/>
      <c r="L313" s="99"/>
      <c r="M313" s="96"/>
      <c r="N313" s="96"/>
      <c r="O313" s="79"/>
    </row>
    <row r="314" customFormat="false" ht="15" hidden="false" customHeight="false" outlineLevel="0" collapsed="false">
      <c r="A314" s="98"/>
      <c r="B314" s="79"/>
      <c r="C314" s="80" t="str">
        <f aca="false">IF(B314="","",IFERROR(INDEX(الموظفون!$C$6:$C$105,MATCH(B314,الموظفون!$B$6:$B$105,0)),"✖ رقم غير موجود"))</f>
        <v/>
      </c>
      <c r="D314" s="99"/>
      <c r="E314" s="99"/>
      <c r="F314" s="99"/>
      <c r="G314" s="96"/>
      <c r="H314" s="96"/>
      <c r="I314" s="96"/>
      <c r="J314" s="96"/>
      <c r="K314" s="99"/>
      <c r="L314" s="99"/>
      <c r="M314" s="96"/>
      <c r="N314" s="96"/>
      <c r="O314" s="79"/>
    </row>
    <row r="315" customFormat="false" ht="15" hidden="false" customHeight="false" outlineLevel="0" collapsed="false">
      <c r="A315" s="98"/>
      <c r="B315" s="79"/>
      <c r="C315" s="102" t="str">
        <f aca="false">IF(B315="","",IFERROR(INDEX(الموظفون!$C$6:$C$105,MATCH(B315,الموظفون!$B$6:$B$105,0)),"✖ رقم غير موجود"))</f>
        <v/>
      </c>
      <c r="D315" s="99"/>
      <c r="E315" s="99"/>
      <c r="F315" s="99"/>
      <c r="G315" s="96"/>
      <c r="H315" s="96"/>
      <c r="I315" s="96"/>
      <c r="J315" s="96"/>
      <c r="K315" s="99"/>
      <c r="L315" s="99"/>
      <c r="M315" s="96"/>
      <c r="N315" s="96"/>
      <c r="O315" s="79"/>
    </row>
    <row r="316" customFormat="false" ht="15" hidden="false" customHeight="false" outlineLevel="0" collapsed="false">
      <c r="A316" s="98"/>
      <c r="B316" s="79"/>
      <c r="C316" s="80" t="str">
        <f aca="false">IF(B316="","",IFERROR(INDEX(الموظفون!$C$6:$C$105,MATCH(B316,الموظفون!$B$6:$B$105,0)),"✖ رقم غير موجود"))</f>
        <v/>
      </c>
      <c r="D316" s="99"/>
      <c r="E316" s="99"/>
      <c r="F316" s="99"/>
      <c r="G316" s="96"/>
      <c r="H316" s="96"/>
      <c r="I316" s="96"/>
      <c r="J316" s="96"/>
      <c r="K316" s="99"/>
      <c r="L316" s="99"/>
      <c r="M316" s="96"/>
      <c r="N316" s="96"/>
      <c r="O316" s="79"/>
    </row>
    <row r="317" customFormat="false" ht="15" hidden="false" customHeight="false" outlineLevel="0" collapsed="false">
      <c r="A317" s="98"/>
      <c r="B317" s="79"/>
      <c r="C317" s="102" t="str">
        <f aca="false">IF(B317="","",IFERROR(INDEX(الموظفون!$C$6:$C$105,MATCH(B317,الموظفون!$B$6:$B$105,0)),"✖ رقم غير موجود"))</f>
        <v/>
      </c>
      <c r="D317" s="99"/>
      <c r="E317" s="99"/>
      <c r="F317" s="99"/>
      <c r="G317" s="96"/>
      <c r="H317" s="96"/>
      <c r="I317" s="96"/>
      <c r="J317" s="96"/>
      <c r="K317" s="99"/>
      <c r="L317" s="99"/>
      <c r="M317" s="96"/>
      <c r="N317" s="96"/>
      <c r="O317" s="79"/>
    </row>
    <row r="318" customFormat="false" ht="15" hidden="false" customHeight="false" outlineLevel="0" collapsed="false">
      <c r="A318" s="98"/>
      <c r="B318" s="79"/>
      <c r="C318" s="80" t="str">
        <f aca="false">IF(B318="","",IFERROR(INDEX(الموظفون!$C$6:$C$105,MATCH(B318,الموظفون!$B$6:$B$105,0)),"✖ رقم غير موجود"))</f>
        <v/>
      </c>
      <c r="D318" s="99"/>
      <c r="E318" s="99"/>
      <c r="F318" s="99"/>
      <c r="G318" s="96"/>
      <c r="H318" s="96"/>
      <c r="I318" s="96"/>
      <c r="J318" s="96"/>
      <c r="K318" s="99"/>
      <c r="L318" s="99"/>
      <c r="M318" s="96"/>
      <c r="N318" s="96"/>
      <c r="O318" s="79"/>
    </row>
    <row r="319" customFormat="false" ht="15" hidden="false" customHeight="false" outlineLevel="0" collapsed="false">
      <c r="A319" s="98"/>
      <c r="B319" s="79"/>
      <c r="C319" s="102" t="str">
        <f aca="false">IF(B319="","",IFERROR(INDEX(الموظفون!$C$6:$C$105,MATCH(B319,الموظفون!$B$6:$B$105,0)),"✖ رقم غير موجود"))</f>
        <v/>
      </c>
      <c r="D319" s="99"/>
      <c r="E319" s="99"/>
      <c r="F319" s="99"/>
      <c r="G319" s="96"/>
      <c r="H319" s="96"/>
      <c r="I319" s="96"/>
      <c r="J319" s="96"/>
      <c r="K319" s="99"/>
      <c r="L319" s="99"/>
      <c r="M319" s="96"/>
      <c r="N319" s="96"/>
      <c r="O319" s="79"/>
    </row>
    <row r="320" customFormat="false" ht="15" hidden="false" customHeight="false" outlineLevel="0" collapsed="false">
      <c r="A320" s="98"/>
      <c r="B320" s="79"/>
      <c r="C320" s="80" t="str">
        <f aca="false">IF(B320="","",IFERROR(INDEX(الموظفون!$C$6:$C$105,MATCH(B320,الموظفون!$B$6:$B$105,0)),"✖ رقم غير موجود"))</f>
        <v/>
      </c>
      <c r="D320" s="99"/>
      <c r="E320" s="99"/>
      <c r="F320" s="99"/>
      <c r="G320" s="96"/>
      <c r="H320" s="96"/>
      <c r="I320" s="96"/>
      <c r="J320" s="96"/>
      <c r="K320" s="99"/>
      <c r="L320" s="99"/>
      <c r="M320" s="96"/>
      <c r="N320" s="96"/>
      <c r="O320" s="79"/>
    </row>
    <row r="321" customFormat="false" ht="15" hidden="false" customHeight="false" outlineLevel="0" collapsed="false">
      <c r="A321" s="98"/>
      <c r="B321" s="79"/>
      <c r="C321" s="102" t="str">
        <f aca="false">IF(B321="","",IFERROR(INDEX(الموظفون!$C$6:$C$105,MATCH(B321,الموظفون!$B$6:$B$105,0)),"✖ رقم غير موجود"))</f>
        <v/>
      </c>
      <c r="D321" s="99"/>
      <c r="E321" s="99"/>
      <c r="F321" s="99"/>
      <c r="G321" s="96"/>
      <c r="H321" s="96"/>
      <c r="I321" s="96"/>
      <c r="J321" s="96"/>
      <c r="K321" s="99"/>
      <c r="L321" s="99"/>
      <c r="M321" s="96"/>
      <c r="N321" s="96"/>
      <c r="O321" s="79"/>
    </row>
    <row r="322" customFormat="false" ht="15" hidden="false" customHeight="false" outlineLevel="0" collapsed="false">
      <c r="A322" s="98"/>
      <c r="B322" s="79"/>
      <c r="C322" s="80" t="str">
        <f aca="false">IF(B322="","",IFERROR(INDEX(الموظفون!$C$6:$C$105,MATCH(B322,الموظفون!$B$6:$B$105,0)),"✖ رقم غير موجود"))</f>
        <v/>
      </c>
      <c r="D322" s="99"/>
      <c r="E322" s="99"/>
      <c r="F322" s="99"/>
      <c r="G322" s="96"/>
      <c r="H322" s="96"/>
      <c r="I322" s="96"/>
      <c r="J322" s="96"/>
      <c r="K322" s="99"/>
      <c r="L322" s="99"/>
      <c r="M322" s="96"/>
      <c r="N322" s="96"/>
      <c r="O322" s="79"/>
    </row>
    <row r="323" customFormat="false" ht="15" hidden="false" customHeight="false" outlineLevel="0" collapsed="false">
      <c r="A323" s="98"/>
      <c r="B323" s="79"/>
      <c r="C323" s="102" t="str">
        <f aca="false">IF(B323="","",IFERROR(INDEX(الموظفون!$C$6:$C$105,MATCH(B323,الموظفون!$B$6:$B$105,0)),"✖ رقم غير موجود"))</f>
        <v/>
      </c>
      <c r="D323" s="99"/>
      <c r="E323" s="99"/>
      <c r="F323" s="99"/>
      <c r="G323" s="96"/>
      <c r="H323" s="96"/>
      <c r="I323" s="96"/>
      <c r="J323" s="96"/>
      <c r="K323" s="99"/>
      <c r="L323" s="99"/>
      <c r="M323" s="96"/>
      <c r="N323" s="96"/>
      <c r="O323" s="79"/>
    </row>
    <row r="324" customFormat="false" ht="15" hidden="false" customHeight="false" outlineLevel="0" collapsed="false">
      <c r="A324" s="98"/>
      <c r="B324" s="79"/>
      <c r="C324" s="80" t="str">
        <f aca="false">IF(B324="","",IFERROR(INDEX(الموظفون!$C$6:$C$105,MATCH(B324,الموظفون!$B$6:$B$105,0)),"✖ رقم غير موجود"))</f>
        <v/>
      </c>
      <c r="D324" s="99"/>
      <c r="E324" s="99"/>
      <c r="F324" s="99"/>
      <c r="G324" s="96"/>
      <c r="H324" s="96"/>
      <c r="I324" s="96"/>
      <c r="J324" s="96"/>
      <c r="K324" s="99"/>
      <c r="L324" s="99"/>
      <c r="M324" s="96"/>
      <c r="N324" s="96"/>
      <c r="O324" s="79"/>
    </row>
    <row r="325" customFormat="false" ht="15" hidden="false" customHeight="false" outlineLevel="0" collapsed="false">
      <c r="A325" s="98"/>
      <c r="B325" s="79"/>
      <c r="C325" s="102" t="str">
        <f aca="false">IF(B325="","",IFERROR(INDEX(الموظفون!$C$6:$C$105,MATCH(B325,الموظفون!$B$6:$B$105,0)),"✖ رقم غير موجود"))</f>
        <v/>
      </c>
      <c r="D325" s="99"/>
      <c r="E325" s="99"/>
      <c r="F325" s="99"/>
      <c r="G325" s="96"/>
      <c r="H325" s="96"/>
      <c r="I325" s="96"/>
      <c r="J325" s="96"/>
      <c r="K325" s="99"/>
      <c r="L325" s="99"/>
      <c r="M325" s="96"/>
      <c r="N325" s="96"/>
      <c r="O325" s="79"/>
    </row>
    <row r="326" customFormat="false" ht="15" hidden="false" customHeight="false" outlineLevel="0" collapsed="false">
      <c r="A326" s="98"/>
      <c r="B326" s="79"/>
      <c r="C326" s="80" t="str">
        <f aca="false">IF(B326="","",IFERROR(INDEX(الموظفون!$C$6:$C$105,MATCH(B326,الموظفون!$B$6:$B$105,0)),"✖ رقم غير موجود"))</f>
        <v/>
      </c>
      <c r="D326" s="99"/>
      <c r="E326" s="99"/>
      <c r="F326" s="99"/>
      <c r="G326" s="96"/>
      <c r="H326" s="96"/>
      <c r="I326" s="96"/>
      <c r="J326" s="96"/>
      <c r="K326" s="99"/>
      <c r="L326" s="99"/>
      <c r="M326" s="96"/>
      <c r="N326" s="96"/>
      <c r="O326" s="79"/>
    </row>
    <row r="327" customFormat="false" ht="15" hidden="false" customHeight="false" outlineLevel="0" collapsed="false">
      <c r="A327" s="98"/>
      <c r="B327" s="79"/>
      <c r="C327" s="102" t="str">
        <f aca="false">IF(B327="","",IFERROR(INDEX(الموظفون!$C$6:$C$105,MATCH(B327,الموظفون!$B$6:$B$105,0)),"✖ رقم غير موجود"))</f>
        <v/>
      </c>
      <c r="D327" s="99"/>
      <c r="E327" s="99"/>
      <c r="F327" s="99"/>
      <c r="G327" s="96"/>
      <c r="H327" s="96"/>
      <c r="I327" s="96"/>
      <c r="J327" s="96"/>
      <c r="K327" s="99"/>
      <c r="L327" s="99"/>
      <c r="M327" s="96"/>
      <c r="N327" s="96"/>
      <c r="O327" s="79"/>
    </row>
    <row r="328" customFormat="false" ht="15" hidden="false" customHeight="false" outlineLevel="0" collapsed="false">
      <c r="A328" s="98"/>
      <c r="B328" s="79"/>
      <c r="C328" s="80" t="str">
        <f aca="false">IF(B328="","",IFERROR(INDEX(الموظفون!$C$6:$C$105,MATCH(B328,الموظفون!$B$6:$B$105,0)),"✖ رقم غير موجود"))</f>
        <v/>
      </c>
      <c r="D328" s="99"/>
      <c r="E328" s="99"/>
      <c r="F328" s="99"/>
      <c r="G328" s="96"/>
      <c r="H328" s="96"/>
      <c r="I328" s="96"/>
      <c r="J328" s="96"/>
      <c r="K328" s="99"/>
      <c r="L328" s="99"/>
      <c r="M328" s="96"/>
      <c r="N328" s="96"/>
      <c r="O328" s="79"/>
    </row>
    <row r="329" customFormat="false" ht="15" hidden="false" customHeight="false" outlineLevel="0" collapsed="false">
      <c r="A329" s="98"/>
      <c r="B329" s="79"/>
      <c r="C329" s="102" t="str">
        <f aca="false">IF(B329="","",IFERROR(INDEX(الموظفون!$C$6:$C$105,MATCH(B329,الموظفون!$B$6:$B$105,0)),"✖ رقم غير موجود"))</f>
        <v/>
      </c>
      <c r="D329" s="99"/>
      <c r="E329" s="99"/>
      <c r="F329" s="99"/>
      <c r="G329" s="96"/>
      <c r="H329" s="96"/>
      <c r="I329" s="96"/>
      <c r="J329" s="96"/>
      <c r="K329" s="99"/>
      <c r="L329" s="99"/>
      <c r="M329" s="96"/>
      <c r="N329" s="96"/>
      <c r="O329" s="79"/>
    </row>
    <row r="330" customFormat="false" ht="15" hidden="false" customHeight="false" outlineLevel="0" collapsed="false">
      <c r="A330" s="98"/>
      <c r="B330" s="79"/>
      <c r="C330" s="80" t="str">
        <f aca="false">IF(B330="","",IFERROR(INDEX(الموظفون!$C$6:$C$105,MATCH(B330,الموظفون!$B$6:$B$105,0)),"✖ رقم غير موجود"))</f>
        <v/>
      </c>
      <c r="D330" s="99"/>
      <c r="E330" s="99"/>
      <c r="F330" s="99"/>
      <c r="G330" s="96"/>
      <c r="H330" s="96"/>
      <c r="I330" s="96"/>
      <c r="J330" s="96"/>
      <c r="K330" s="99"/>
      <c r="L330" s="99"/>
      <c r="M330" s="96"/>
      <c r="N330" s="96"/>
      <c r="O330" s="79"/>
    </row>
    <row r="331" customFormat="false" ht="15" hidden="false" customHeight="false" outlineLevel="0" collapsed="false">
      <c r="A331" s="98"/>
      <c r="B331" s="79"/>
      <c r="C331" s="102" t="str">
        <f aca="false">IF(B331="","",IFERROR(INDEX(الموظفون!$C$6:$C$105,MATCH(B331,الموظفون!$B$6:$B$105,0)),"✖ رقم غير موجود"))</f>
        <v/>
      </c>
      <c r="D331" s="99"/>
      <c r="E331" s="99"/>
      <c r="F331" s="99"/>
      <c r="G331" s="96"/>
      <c r="H331" s="96"/>
      <c r="I331" s="96"/>
      <c r="J331" s="96"/>
      <c r="K331" s="99"/>
      <c r="L331" s="99"/>
      <c r="M331" s="96"/>
      <c r="N331" s="96"/>
      <c r="O331" s="79"/>
    </row>
    <row r="332" customFormat="false" ht="15" hidden="false" customHeight="false" outlineLevel="0" collapsed="false">
      <c r="A332" s="98"/>
      <c r="B332" s="79"/>
      <c r="C332" s="80" t="str">
        <f aca="false">IF(B332="","",IFERROR(INDEX(الموظفون!$C$6:$C$105,MATCH(B332,الموظفون!$B$6:$B$105,0)),"✖ رقم غير موجود"))</f>
        <v/>
      </c>
      <c r="D332" s="99"/>
      <c r="E332" s="99"/>
      <c r="F332" s="99"/>
      <c r="G332" s="96"/>
      <c r="H332" s="96"/>
      <c r="I332" s="96"/>
      <c r="J332" s="96"/>
      <c r="K332" s="99"/>
      <c r="L332" s="99"/>
      <c r="M332" s="96"/>
      <c r="N332" s="96"/>
      <c r="O332" s="79"/>
    </row>
    <row r="333" customFormat="false" ht="15" hidden="false" customHeight="false" outlineLevel="0" collapsed="false">
      <c r="A333" s="98"/>
      <c r="B333" s="79"/>
      <c r="C333" s="102" t="str">
        <f aca="false">IF(B333="","",IFERROR(INDEX(الموظفون!$C$6:$C$105,MATCH(B333,الموظفون!$B$6:$B$105,0)),"✖ رقم غير موجود"))</f>
        <v/>
      </c>
      <c r="D333" s="99"/>
      <c r="E333" s="99"/>
      <c r="F333" s="99"/>
      <c r="G333" s="96"/>
      <c r="H333" s="96"/>
      <c r="I333" s="96"/>
      <c r="J333" s="96"/>
      <c r="K333" s="99"/>
      <c r="L333" s="99"/>
      <c r="M333" s="96"/>
      <c r="N333" s="96"/>
      <c r="O333" s="79"/>
    </row>
    <row r="334" customFormat="false" ht="15" hidden="false" customHeight="false" outlineLevel="0" collapsed="false">
      <c r="A334" s="98"/>
      <c r="B334" s="79"/>
      <c r="C334" s="80" t="str">
        <f aca="false">IF(B334="","",IFERROR(INDEX(الموظفون!$C$6:$C$105,MATCH(B334,الموظفون!$B$6:$B$105,0)),"✖ رقم غير موجود"))</f>
        <v/>
      </c>
      <c r="D334" s="99"/>
      <c r="E334" s="99"/>
      <c r="F334" s="99"/>
      <c r="G334" s="96"/>
      <c r="H334" s="96"/>
      <c r="I334" s="96"/>
      <c r="J334" s="96"/>
      <c r="K334" s="99"/>
      <c r="L334" s="99"/>
      <c r="M334" s="96"/>
      <c r="N334" s="96"/>
      <c r="O334" s="79"/>
    </row>
    <row r="335" customFormat="false" ht="15" hidden="false" customHeight="false" outlineLevel="0" collapsed="false">
      <c r="A335" s="98"/>
      <c r="B335" s="79"/>
      <c r="C335" s="102" t="str">
        <f aca="false">IF(B335="","",IFERROR(INDEX(الموظفون!$C$6:$C$105,MATCH(B335,الموظفون!$B$6:$B$105,0)),"✖ رقم غير موجود"))</f>
        <v/>
      </c>
      <c r="D335" s="99"/>
      <c r="E335" s="99"/>
      <c r="F335" s="99"/>
      <c r="G335" s="96"/>
      <c r="H335" s="96"/>
      <c r="I335" s="96"/>
      <c r="J335" s="96"/>
      <c r="K335" s="99"/>
      <c r="L335" s="99"/>
      <c r="M335" s="96"/>
      <c r="N335" s="96"/>
      <c r="O335" s="79"/>
    </row>
    <row r="336" customFormat="false" ht="15" hidden="false" customHeight="false" outlineLevel="0" collapsed="false">
      <c r="A336" s="98"/>
      <c r="B336" s="79"/>
      <c r="C336" s="80" t="str">
        <f aca="false">IF(B336="","",IFERROR(INDEX(الموظفون!$C$6:$C$105,MATCH(B336,الموظفون!$B$6:$B$105,0)),"✖ رقم غير موجود"))</f>
        <v/>
      </c>
      <c r="D336" s="99"/>
      <c r="E336" s="99"/>
      <c r="F336" s="99"/>
      <c r="G336" s="96"/>
      <c r="H336" s="96"/>
      <c r="I336" s="96"/>
      <c r="J336" s="96"/>
      <c r="K336" s="99"/>
      <c r="L336" s="99"/>
      <c r="M336" s="96"/>
      <c r="N336" s="96"/>
      <c r="O336" s="79"/>
    </row>
    <row r="337" customFormat="false" ht="15" hidden="false" customHeight="false" outlineLevel="0" collapsed="false">
      <c r="A337" s="98"/>
      <c r="B337" s="79"/>
      <c r="C337" s="102" t="str">
        <f aca="false">IF(B337="","",IFERROR(INDEX(الموظفون!$C$6:$C$105,MATCH(B337,الموظفون!$B$6:$B$105,0)),"✖ رقم غير موجود"))</f>
        <v/>
      </c>
      <c r="D337" s="99"/>
      <c r="E337" s="99"/>
      <c r="F337" s="99"/>
      <c r="G337" s="96"/>
      <c r="H337" s="96"/>
      <c r="I337" s="96"/>
      <c r="J337" s="96"/>
      <c r="K337" s="99"/>
      <c r="L337" s="99"/>
      <c r="M337" s="96"/>
      <c r="N337" s="96"/>
      <c r="O337" s="79"/>
    </row>
    <row r="338" customFormat="false" ht="15" hidden="false" customHeight="false" outlineLevel="0" collapsed="false">
      <c r="A338" s="98"/>
      <c r="B338" s="79"/>
      <c r="C338" s="80" t="str">
        <f aca="false">IF(B338="","",IFERROR(INDEX(الموظفون!$C$6:$C$105,MATCH(B338,الموظفون!$B$6:$B$105,0)),"✖ رقم غير موجود"))</f>
        <v/>
      </c>
      <c r="D338" s="99"/>
      <c r="E338" s="99"/>
      <c r="F338" s="99"/>
      <c r="G338" s="96"/>
      <c r="H338" s="96"/>
      <c r="I338" s="96"/>
      <c r="J338" s="96"/>
      <c r="K338" s="99"/>
      <c r="L338" s="99"/>
      <c r="M338" s="96"/>
      <c r="N338" s="96"/>
      <c r="O338" s="79"/>
    </row>
    <row r="339" customFormat="false" ht="15" hidden="false" customHeight="false" outlineLevel="0" collapsed="false">
      <c r="A339" s="98"/>
      <c r="B339" s="79"/>
      <c r="C339" s="102" t="str">
        <f aca="false">IF(B339="","",IFERROR(INDEX(الموظفون!$C$6:$C$105,MATCH(B339,الموظفون!$B$6:$B$105,0)),"✖ رقم غير موجود"))</f>
        <v/>
      </c>
      <c r="D339" s="99"/>
      <c r="E339" s="99"/>
      <c r="F339" s="99"/>
      <c r="G339" s="96"/>
      <c r="H339" s="96"/>
      <c r="I339" s="96"/>
      <c r="J339" s="96"/>
      <c r="K339" s="99"/>
      <c r="L339" s="99"/>
      <c r="M339" s="96"/>
      <c r="N339" s="96"/>
      <c r="O339" s="79"/>
    </row>
    <row r="340" customFormat="false" ht="15" hidden="false" customHeight="false" outlineLevel="0" collapsed="false">
      <c r="A340" s="98"/>
      <c r="B340" s="79"/>
      <c r="C340" s="80" t="str">
        <f aca="false">IF(B340="","",IFERROR(INDEX(الموظفون!$C$6:$C$105,MATCH(B340,الموظفون!$B$6:$B$105,0)),"✖ رقم غير موجود"))</f>
        <v/>
      </c>
      <c r="D340" s="99"/>
      <c r="E340" s="99"/>
      <c r="F340" s="99"/>
      <c r="G340" s="96"/>
      <c r="H340" s="96"/>
      <c r="I340" s="96"/>
      <c r="J340" s="96"/>
      <c r="K340" s="99"/>
      <c r="L340" s="99"/>
      <c r="M340" s="96"/>
      <c r="N340" s="96"/>
      <c r="O340" s="79"/>
    </row>
    <row r="341" customFormat="false" ht="15" hidden="false" customHeight="false" outlineLevel="0" collapsed="false">
      <c r="A341" s="98"/>
      <c r="B341" s="79"/>
      <c r="C341" s="102" t="str">
        <f aca="false">IF(B341="","",IFERROR(INDEX(الموظفون!$C$6:$C$105,MATCH(B341,الموظفون!$B$6:$B$105,0)),"✖ رقم غير موجود"))</f>
        <v/>
      </c>
      <c r="D341" s="99"/>
      <c r="E341" s="99"/>
      <c r="F341" s="99"/>
      <c r="G341" s="96"/>
      <c r="H341" s="96"/>
      <c r="I341" s="96"/>
      <c r="J341" s="96"/>
      <c r="K341" s="99"/>
      <c r="L341" s="99"/>
      <c r="M341" s="96"/>
      <c r="N341" s="96"/>
      <c r="O341" s="79"/>
    </row>
    <row r="342" customFormat="false" ht="15" hidden="false" customHeight="false" outlineLevel="0" collapsed="false">
      <c r="A342" s="98"/>
      <c r="B342" s="79"/>
      <c r="C342" s="80" t="str">
        <f aca="false">IF(B342="","",IFERROR(INDEX(الموظفون!$C$6:$C$105,MATCH(B342,الموظفون!$B$6:$B$105,0)),"✖ رقم غير موجود"))</f>
        <v/>
      </c>
      <c r="D342" s="99"/>
      <c r="E342" s="99"/>
      <c r="F342" s="99"/>
      <c r="G342" s="96"/>
      <c r="H342" s="96"/>
      <c r="I342" s="96"/>
      <c r="J342" s="96"/>
      <c r="K342" s="99"/>
      <c r="L342" s="99"/>
      <c r="M342" s="96"/>
      <c r="N342" s="96"/>
      <c r="O342" s="79"/>
    </row>
    <row r="343" customFormat="false" ht="15" hidden="false" customHeight="false" outlineLevel="0" collapsed="false">
      <c r="A343" s="98"/>
      <c r="B343" s="79"/>
      <c r="C343" s="102" t="str">
        <f aca="false">IF(B343="","",IFERROR(INDEX(الموظفون!$C$6:$C$105,MATCH(B343,الموظفون!$B$6:$B$105,0)),"✖ رقم غير موجود"))</f>
        <v/>
      </c>
      <c r="D343" s="99"/>
      <c r="E343" s="99"/>
      <c r="F343" s="99"/>
      <c r="G343" s="96"/>
      <c r="H343" s="96"/>
      <c r="I343" s="96"/>
      <c r="J343" s="96"/>
      <c r="K343" s="99"/>
      <c r="L343" s="99"/>
      <c r="M343" s="96"/>
      <c r="N343" s="96"/>
      <c r="O343" s="79"/>
    </row>
    <row r="344" customFormat="false" ht="15" hidden="false" customHeight="false" outlineLevel="0" collapsed="false">
      <c r="A344" s="98"/>
      <c r="B344" s="79"/>
      <c r="C344" s="80" t="str">
        <f aca="false">IF(B344="","",IFERROR(INDEX(الموظفون!$C$6:$C$105,MATCH(B344,الموظفون!$B$6:$B$105,0)),"✖ رقم غير موجود"))</f>
        <v/>
      </c>
      <c r="D344" s="99"/>
      <c r="E344" s="99"/>
      <c r="F344" s="99"/>
      <c r="G344" s="96"/>
      <c r="H344" s="96"/>
      <c r="I344" s="96"/>
      <c r="J344" s="96"/>
      <c r="K344" s="99"/>
      <c r="L344" s="99"/>
      <c r="M344" s="96"/>
      <c r="N344" s="96"/>
      <c r="O344" s="79"/>
    </row>
    <row r="345" customFormat="false" ht="15" hidden="false" customHeight="false" outlineLevel="0" collapsed="false">
      <c r="A345" s="98"/>
      <c r="B345" s="79"/>
      <c r="C345" s="102" t="str">
        <f aca="false">IF(B345="","",IFERROR(INDEX(الموظفون!$C$6:$C$105,MATCH(B345,الموظفون!$B$6:$B$105,0)),"✖ رقم غير موجود"))</f>
        <v/>
      </c>
      <c r="D345" s="99"/>
      <c r="E345" s="99"/>
      <c r="F345" s="99"/>
      <c r="G345" s="96"/>
      <c r="H345" s="96"/>
      <c r="I345" s="96"/>
      <c r="J345" s="96"/>
      <c r="K345" s="99"/>
      <c r="L345" s="99"/>
      <c r="M345" s="96"/>
      <c r="N345" s="96"/>
      <c r="O345" s="79"/>
    </row>
    <row r="346" customFormat="false" ht="15" hidden="false" customHeight="false" outlineLevel="0" collapsed="false">
      <c r="A346" s="98"/>
      <c r="B346" s="79"/>
      <c r="C346" s="80" t="str">
        <f aca="false">IF(B346="","",IFERROR(INDEX(الموظفون!$C$6:$C$105,MATCH(B346,الموظفون!$B$6:$B$105,0)),"✖ رقم غير موجود"))</f>
        <v/>
      </c>
      <c r="D346" s="99"/>
      <c r="E346" s="99"/>
      <c r="F346" s="99"/>
      <c r="G346" s="96"/>
      <c r="H346" s="96"/>
      <c r="I346" s="96"/>
      <c r="J346" s="96"/>
      <c r="K346" s="99"/>
      <c r="L346" s="99"/>
      <c r="M346" s="96"/>
      <c r="N346" s="96"/>
      <c r="O346" s="79"/>
    </row>
    <row r="347" customFormat="false" ht="15" hidden="false" customHeight="false" outlineLevel="0" collapsed="false">
      <c r="A347" s="98"/>
      <c r="B347" s="79"/>
      <c r="C347" s="102" t="str">
        <f aca="false">IF(B347="","",IFERROR(INDEX(الموظفون!$C$6:$C$105,MATCH(B347,الموظفون!$B$6:$B$105,0)),"✖ رقم غير موجود"))</f>
        <v/>
      </c>
      <c r="D347" s="99"/>
      <c r="E347" s="99"/>
      <c r="F347" s="99"/>
      <c r="G347" s="96"/>
      <c r="H347" s="96"/>
      <c r="I347" s="96"/>
      <c r="J347" s="96"/>
      <c r="K347" s="99"/>
      <c r="L347" s="99"/>
      <c r="M347" s="96"/>
      <c r="N347" s="96"/>
      <c r="O347" s="79"/>
    </row>
    <row r="348" customFormat="false" ht="15" hidden="false" customHeight="false" outlineLevel="0" collapsed="false">
      <c r="A348" s="98"/>
      <c r="B348" s="79"/>
      <c r="C348" s="80" t="str">
        <f aca="false">IF(B348="","",IFERROR(INDEX(الموظفون!$C$6:$C$105,MATCH(B348,الموظفون!$B$6:$B$105,0)),"✖ رقم غير موجود"))</f>
        <v/>
      </c>
      <c r="D348" s="99"/>
      <c r="E348" s="99"/>
      <c r="F348" s="99"/>
      <c r="G348" s="96"/>
      <c r="H348" s="96"/>
      <c r="I348" s="96"/>
      <c r="J348" s="96"/>
      <c r="K348" s="99"/>
      <c r="L348" s="99"/>
      <c r="M348" s="96"/>
      <c r="N348" s="96"/>
      <c r="O348" s="79"/>
    </row>
    <row r="349" customFormat="false" ht="15" hidden="false" customHeight="false" outlineLevel="0" collapsed="false">
      <c r="A349" s="98"/>
      <c r="B349" s="79"/>
      <c r="C349" s="102" t="str">
        <f aca="false">IF(B349="","",IFERROR(INDEX(الموظفون!$C$6:$C$105,MATCH(B349,الموظفون!$B$6:$B$105,0)),"✖ رقم غير موجود"))</f>
        <v/>
      </c>
      <c r="D349" s="99"/>
      <c r="E349" s="99"/>
      <c r="F349" s="99"/>
      <c r="G349" s="96"/>
      <c r="H349" s="96"/>
      <c r="I349" s="96"/>
      <c r="J349" s="96"/>
      <c r="K349" s="99"/>
      <c r="L349" s="99"/>
      <c r="M349" s="96"/>
      <c r="N349" s="96"/>
      <c r="O349" s="79"/>
    </row>
    <row r="350" customFormat="false" ht="15" hidden="false" customHeight="false" outlineLevel="0" collapsed="false">
      <c r="A350" s="98"/>
      <c r="B350" s="79"/>
      <c r="C350" s="80" t="str">
        <f aca="false">IF(B350="","",IFERROR(INDEX(الموظفون!$C$6:$C$105,MATCH(B350,الموظفون!$B$6:$B$105,0)),"✖ رقم غير موجود"))</f>
        <v/>
      </c>
      <c r="D350" s="99"/>
      <c r="E350" s="99"/>
      <c r="F350" s="99"/>
      <c r="G350" s="96"/>
      <c r="H350" s="96"/>
      <c r="I350" s="96"/>
      <c r="J350" s="96"/>
      <c r="K350" s="99"/>
      <c r="L350" s="99"/>
      <c r="M350" s="96"/>
      <c r="N350" s="96"/>
      <c r="O350" s="79"/>
    </row>
    <row r="351" customFormat="false" ht="15" hidden="false" customHeight="false" outlineLevel="0" collapsed="false">
      <c r="A351" s="98"/>
      <c r="B351" s="79"/>
      <c r="C351" s="102" t="str">
        <f aca="false">IF(B351="","",IFERROR(INDEX(الموظفون!$C$6:$C$105,MATCH(B351,الموظفون!$B$6:$B$105,0)),"✖ رقم غير موجود"))</f>
        <v/>
      </c>
      <c r="D351" s="99"/>
      <c r="E351" s="99"/>
      <c r="F351" s="99"/>
      <c r="G351" s="96"/>
      <c r="H351" s="96"/>
      <c r="I351" s="96"/>
      <c r="J351" s="96"/>
      <c r="K351" s="99"/>
      <c r="L351" s="99"/>
      <c r="M351" s="96"/>
      <c r="N351" s="96"/>
      <c r="O351" s="79"/>
    </row>
    <row r="352" customFormat="false" ht="15" hidden="false" customHeight="false" outlineLevel="0" collapsed="false">
      <c r="A352" s="98"/>
      <c r="B352" s="79"/>
      <c r="C352" s="80" t="str">
        <f aca="false">IF(B352="","",IFERROR(INDEX(الموظفون!$C$6:$C$105,MATCH(B352,الموظفون!$B$6:$B$105,0)),"✖ رقم غير موجود"))</f>
        <v/>
      </c>
      <c r="D352" s="99"/>
      <c r="E352" s="99"/>
      <c r="F352" s="99"/>
      <c r="G352" s="96"/>
      <c r="H352" s="96"/>
      <c r="I352" s="96"/>
      <c r="J352" s="96"/>
      <c r="K352" s="99"/>
      <c r="L352" s="99"/>
      <c r="M352" s="96"/>
      <c r="N352" s="96"/>
      <c r="O352" s="79"/>
    </row>
    <row r="353" customFormat="false" ht="15" hidden="false" customHeight="false" outlineLevel="0" collapsed="false">
      <c r="A353" s="98"/>
      <c r="B353" s="79"/>
      <c r="C353" s="102" t="str">
        <f aca="false">IF(B353="","",IFERROR(INDEX(الموظفون!$C$6:$C$105,MATCH(B353,الموظفون!$B$6:$B$105,0)),"✖ رقم غير موجود"))</f>
        <v/>
      </c>
      <c r="D353" s="99"/>
      <c r="E353" s="99"/>
      <c r="F353" s="99"/>
      <c r="G353" s="96"/>
      <c r="H353" s="96"/>
      <c r="I353" s="96"/>
      <c r="J353" s="96"/>
      <c r="K353" s="99"/>
      <c r="L353" s="99"/>
      <c r="M353" s="96"/>
      <c r="N353" s="96"/>
      <c r="O353" s="79"/>
    </row>
    <row r="354" customFormat="false" ht="15" hidden="false" customHeight="false" outlineLevel="0" collapsed="false">
      <c r="A354" s="98"/>
      <c r="B354" s="79"/>
      <c r="C354" s="80" t="str">
        <f aca="false">IF(B354="","",IFERROR(INDEX(الموظفون!$C$6:$C$105,MATCH(B354,الموظفون!$B$6:$B$105,0)),"✖ رقم غير موجود"))</f>
        <v/>
      </c>
      <c r="D354" s="99"/>
      <c r="E354" s="99"/>
      <c r="F354" s="99"/>
      <c r="G354" s="96"/>
      <c r="H354" s="96"/>
      <c r="I354" s="96"/>
      <c r="J354" s="96"/>
      <c r="K354" s="99"/>
      <c r="L354" s="99"/>
      <c r="M354" s="96"/>
      <c r="N354" s="96"/>
      <c r="O354" s="79"/>
    </row>
    <row r="355" customFormat="false" ht="15" hidden="false" customHeight="false" outlineLevel="0" collapsed="false">
      <c r="A355" s="98"/>
      <c r="B355" s="79"/>
      <c r="C355" s="102" t="str">
        <f aca="false">IF(B355="","",IFERROR(INDEX(الموظفون!$C$6:$C$105,MATCH(B355,الموظفون!$B$6:$B$105,0)),"✖ رقم غير موجود"))</f>
        <v/>
      </c>
      <c r="D355" s="99"/>
      <c r="E355" s="99"/>
      <c r="F355" s="99"/>
      <c r="G355" s="96"/>
      <c r="H355" s="96"/>
      <c r="I355" s="96"/>
      <c r="J355" s="96"/>
      <c r="K355" s="99"/>
      <c r="L355" s="99"/>
      <c r="M355" s="96"/>
      <c r="N355" s="96"/>
      <c r="O355" s="79"/>
    </row>
    <row r="356" customFormat="false" ht="15" hidden="false" customHeight="false" outlineLevel="0" collapsed="false">
      <c r="A356" s="98"/>
      <c r="B356" s="79"/>
      <c r="C356" s="80" t="str">
        <f aca="false">IF(B356="","",IFERROR(INDEX(الموظفون!$C$6:$C$105,MATCH(B356,الموظفون!$B$6:$B$105,0)),"✖ رقم غير موجود"))</f>
        <v/>
      </c>
      <c r="D356" s="99"/>
      <c r="E356" s="99"/>
      <c r="F356" s="99"/>
      <c r="G356" s="96"/>
      <c r="H356" s="96"/>
      <c r="I356" s="96"/>
      <c r="J356" s="96"/>
      <c r="K356" s="99"/>
      <c r="L356" s="99"/>
      <c r="M356" s="96"/>
      <c r="N356" s="96"/>
      <c r="O356" s="79"/>
    </row>
    <row r="357" customFormat="false" ht="15" hidden="false" customHeight="false" outlineLevel="0" collapsed="false">
      <c r="A357" s="98"/>
      <c r="B357" s="79"/>
      <c r="C357" s="102" t="str">
        <f aca="false">IF(B357="","",IFERROR(INDEX(الموظفون!$C$6:$C$105,MATCH(B357,الموظفون!$B$6:$B$105,0)),"✖ رقم غير موجود"))</f>
        <v/>
      </c>
      <c r="D357" s="99"/>
      <c r="E357" s="99"/>
      <c r="F357" s="99"/>
      <c r="G357" s="96"/>
      <c r="H357" s="96"/>
      <c r="I357" s="96"/>
      <c r="J357" s="96"/>
      <c r="K357" s="99"/>
      <c r="L357" s="99"/>
      <c r="M357" s="96"/>
      <c r="N357" s="96"/>
      <c r="O357" s="79"/>
    </row>
    <row r="358" customFormat="false" ht="15" hidden="false" customHeight="false" outlineLevel="0" collapsed="false">
      <c r="A358" s="98"/>
      <c r="B358" s="79"/>
      <c r="C358" s="80" t="str">
        <f aca="false">IF(B358="","",IFERROR(INDEX(الموظفون!$C$6:$C$105,MATCH(B358,الموظفون!$B$6:$B$105,0)),"✖ رقم غير موجود"))</f>
        <v/>
      </c>
      <c r="D358" s="99"/>
      <c r="E358" s="99"/>
      <c r="F358" s="99"/>
      <c r="G358" s="96"/>
      <c r="H358" s="96"/>
      <c r="I358" s="96"/>
      <c r="J358" s="96"/>
      <c r="K358" s="99"/>
      <c r="L358" s="99"/>
      <c r="M358" s="96"/>
      <c r="N358" s="96"/>
      <c r="O358" s="79"/>
    </row>
    <row r="359" customFormat="false" ht="15" hidden="false" customHeight="false" outlineLevel="0" collapsed="false">
      <c r="A359" s="98"/>
      <c r="B359" s="79"/>
      <c r="C359" s="102" t="str">
        <f aca="false">IF(B359="","",IFERROR(INDEX(الموظفون!$C$6:$C$105,MATCH(B359,الموظفون!$B$6:$B$105,0)),"✖ رقم غير موجود"))</f>
        <v/>
      </c>
      <c r="D359" s="99"/>
      <c r="E359" s="99"/>
      <c r="F359" s="99"/>
      <c r="G359" s="96"/>
      <c r="H359" s="96"/>
      <c r="I359" s="96"/>
      <c r="J359" s="96"/>
      <c r="K359" s="99"/>
      <c r="L359" s="99"/>
      <c r="M359" s="96"/>
      <c r="N359" s="96"/>
      <c r="O359" s="79"/>
    </row>
    <row r="360" customFormat="false" ht="15" hidden="false" customHeight="false" outlineLevel="0" collapsed="false">
      <c r="A360" s="98"/>
      <c r="B360" s="79"/>
      <c r="C360" s="80" t="str">
        <f aca="false">IF(B360="","",IFERROR(INDEX(الموظفون!$C$6:$C$105,MATCH(B360,الموظفون!$B$6:$B$105,0)),"✖ رقم غير موجود"))</f>
        <v/>
      </c>
      <c r="D360" s="99"/>
      <c r="E360" s="99"/>
      <c r="F360" s="99"/>
      <c r="G360" s="96"/>
      <c r="H360" s="96"/>
      <c r="I360" s="96"/>
      <c r="J360" s="96"/>
      <c r="K360" s="99"/>
      <c r="L360" s="99"/>
      <c r="M360" s="96"/>
      <c r="N360" s="96"/>
      <c r="O360" s="79"/>
    </row>
    <row r="361" customFormat="false" ht="15" hidden="false" customHeight="false" outlineLevel="0" collapsed="false">
      <c r="A361" s="98"/>
      <c r="B361" s="79"/>
      <c r="C361" s="102" t="str">
        <f aca="false">IF(B361="","",IFERROR(INDEX(الموظفون!$C$6:$C$105,MATCH(B361,الموظفون!$B$6:$B$105,0)),"✖ رقم غير موجود"))</f>
        <v/>
      </c>
      <c r="D361" s="99"/>
      <c r="E361" s="99"/>
      <c r="F361" s="99"/>
      <c r="G361" s="96"/>
      <c r="H361" s="96"/>
      <c r="I361" s="96"/>
      <c r="J361" s="96"/>
      <c r="K361" s="99"/>
      <c r="L361" s="99"/>
      <c r="M361" s="96"/>
      <c r="N361" s="96"/>
      <c r="O361" s="79"/>
    </row>
    <row r="362" customFormat="false" ht="15" hidden="false" customHeight="false" outlineLevel="0" collapsed="false">
      <c r="A362" s="98"/>
      <c r="B362" s="79"/>
      <c r="C362" s="80" t="str">
        <f aca="false">IF(B362="","",IFERROR(INDEX(الموظفون!$C$6:$C$105,MATCH(B362,الموظفون!$B$6:$B$105,0)),"✖ رقم غير موجود"))</f>
        <v/>
      </c>
      <c r="D362" s="99"/>
      <c r="E362" s="99"/>
      <c r="F362" s="99"/>
      <c r="G362" s="96"/>
      <c r="H362" s="96"/>
      <c r="I362" s="96"/>
      <c r="J362" s="96"/>
      <c r="K362" s="99"/>
      <c r="L362" s="99"/>
      <c r="M362" s="96"/>
      <c r="N362" s="96"/>
      <c r="O362" s="79"/>
    </row>
    <row r="363" customFormat="false" ht="15" hidden="false" customHeight="false" outlineLevel="0" collapsed="false">
      <c r="A363" s="98"/>
      <c r="B363" s="79"/>
      <c r="C363" s="102" t="str">
        <f aca="false">IF(B363="","",IFERROR(INDEX(الموظفون!$C$6:$C$105,MATCH(B363,الموظفون!$B$6:$B$105,0)),"✖ رقم غير موجود"))</f>
        <v/>
      </c>
      <c r="D363" s="99"/>
      <c r="E363" s="99"/>
      <c r="F363" s="99"/>
      <c r="G363" s="96"/>
      <c r="H363" s="96"/>
      <c r="I363" s="96"/>
      <c r="J363" s="96"/>
      <c r="K363" s="99"/>
      <c r="L363" s="99"/>
      <c r="M363" s="96"/>
      <c r="N363" s="96"/>
      <c r="O363" s="79"/>
    </row>
    <row r="364" customFormat="false" ht="15" hidden="false" customHeight="false" outlineLevel="0" collapsed="false">
      <c r="A364" s="98"/>
      <c r="B364" s="79"/>
      <c r="C364" s="80" t="str">
        <f aca="false">IF(B364="","",IFERROR(INDEX(الموظفون!$C$6:$C$105,MATCH(B364,الموظفون!$B$6:$B$105,0)),"✖ رقم غير موجود"))</f>
        <v/>
      </c>
      <c r="D364" s="99"/>
      <c r="E364" s="99"/>
      <c r="F364" s="99"/>
      <c r="G364" s="96"/>
      <c r="H364" s="96"/>
      <c r="I364" s="96"/>
      <c r="J364" s="96"/>
      <c r="K364" s="99"/>
      <c r="L364" s="99"/>
      <c r="M364" s="96"/>
      <c r="N364" s="96"/>
      <c r="O364" s="79"/>
    </row>
    <row r="365" customFormat="false" ht="15" hidden="false" customHeight="false" outlineLevel="0" collapsed="false">
      <c r="A365" s="98"/>
      <c r="B365" s="79"/>
      <c r="C365" s="102" t="str">
        <f aca="false">IF(B365="","",IFERROR(INDEX(الموظفون!$C$6:$C$105,MATCH(B365,الموظفون!$B$6:$B$105,0)),"✖ رقم غير موجود"))</f>
        <v/>
      </c>
      <c r="D365" s="99"/>
      <c r="E365" s="99"/>
      <c r="F365" s="99"/>
      <c r="G365" s="96"/>
      <c r="H365" s="96"/>
      <c r="I365" s="96"/>
      <c r="J365" s="96"/>
      <c r="K365" s="99"/>
      <c r="L365" s="99"/>
      <c r="M365" s="96"/>
      <c r="N365" s="96"/>
      <c r="O365" s="79"/>
    </row>
    <row r="366" customFormat="false" ht="15" hidden="false" customHeight="false" outlineLevel="0" collapsed="false">
      <c r="A366" s="98"/>
      <c r="B366" s="79"/>
      <c r="C366" s="80" t="str">
        <f aca="false">IF(B366="","",IFERROR(INDEX(الموظفون!$C$6:$C$105,MATCH(B366,الموظفون!$B$6:$B$105,0)),"✖ رقم غير موجود"))</f>
        <v/>
      </c>
      <c r="D366" s="99"/>
      <c r="E366" s="99"/>
      <c r="F366" s="99"/>
      <c r="G366" s="96"/>
      <c r="H366" s="96"/>
      <c r="I366" s="96"/>
      <c r="J366" s="96"/>
      <c r="K366" s="99"/>
      <c r="L366" s="99"/>
      <c r="M366" s="96"/>
      <c r="N366" s="96"/>
      <c r="O366" s="79"/>
    </row>
    <row r="367" customFormat="false" ht="15" hidden="false" customHeight="false" outlineLevel="0" collapsed="false">
      <c r="A367" s="98"/>
      <c r="B367" s="79"/>
      <c r="C367" s="102" t="str">
        <f aca="false">IF(B367="","",IFERROR(INDEX(الموظفون!$C$6:$C$105,MATCH(B367,الموظفون!$B$6:$B$105,0)),"✖ رقم غير موجود"))</f>
        <v/>
      </c>
      <c r="D367" s="99"/>
      <c r="E367" s="99"/>
      <c r="F367" s="99"/>
      <c r="G367" s="96"/>
      <c r="H367" s="96"/>
      <c r="I367" s="96"/>
      <c r="J367" s="96"/>
      <c r="K367" s="99"/>
      <c r="L367" s="99"/>
      <c r="M367" s="96"/>
      <c r="N367" s="96"/>
      <c r="O367" s="79"/>
    </row>
    <row r="368" customFormat="false" ht="15" hidden="false" customHeight="false" outlineLevel="0" collapsed="false">
      <c r="A368" s="98"/>
      <c r="B368" s="79"/>
      <c r="C368" s="80" t="str">
        <f aca="false">IF(B368="","",IFERROR(INDEX(الموظفون!$C$6:$C$105,MATCH(B368,الموظفون!$B$6:$B$105,0)),"✖ رقم غير موجود"))</f>
        <v/>
      </c>
      <c r="D368" s="99"/>
      <c r="E368" s="99"/>
      <c r="F368" s="99"/>
      <c r="G368" s="96"/>
      <c r="H368" s="96"/>
      <c r="I368" s="96"/>
      <c r="J368" s="96"/>
      <c r="K368" s="99"/>
      <c r="L368" s="99"/>
      <c r="M368" s="96"/>
      <c r="N368" s="96"/>
      <c r="O368" s="79"/>
    </row>
    <row r="369" customFormat="false" ht="15" hidden="false" customHeight="false" outlineLevel="0" collapsed="false">
      <c r="A369" s="98"/>
      <c r="B369" s="79"/>
      <c r="C369" s="102" t="str">
        <f aca="false">IF(B369="","",IFERROR(INDEX(الموظفون!$C$6:$C$105,MATCH(B369,الموظفون!$B$6:$B$105,0)),"✖ رقم غير موجود"))</f>
        <v/>
      </c>
      <c r="D369" s="99"/>
      <c r="E369" s="99"/>
      <c r="F369" s="99"/>
      <c r="G369" s="96"/>
      <c r="H369" s="96"/>
      <c r="I369" s="96"/>
      <c r="J369" s="96"/>
      <c r="K369" s="99"/>
      <c r="L369" s="99"/>
      <c r="M369" s="96"/>
      <c r="N369" s="96"/>
      <c r="O369" s="79"/>
    </row>
    <row r="370" customFormat="false" ht="15" hidden="false" customHeight="false" outlineLevel="0" collapsed="false">
      <c r="A370" s="98"/>
      <c r="B370" s="79"/>
      <c r="C370" s="80" t="str">
        <f aca="false">IF(B370="","",IFERROR(INDEX(الموظفون!$C$6:$C$105,MATCH(B370,الموظفون!$B$6:$B$105,0)),"✖ رقم غير موجود"))</f>
        <v/>
      </c>
      <c r="D370" s="99"/>
      <c r="E370" s="99"/>
      <c r="F370" s="99"/>
      <c r="G370" s="96"/>
      <c r="H370" s="96"/>
      <c r="I370" s="96"/>
      <c r="J370" s="96"/>
      <c r="K370" s="99"/>
      <c r="L370" s="99"/>
      <c r="M370" s="96"/>
      <c r="N370" s="96"/>
      <c r="O370" s="79"/>
    </row>
    <row r="371" customFormat="false" ht="15" hidden="false" customHeight="false" outlineLevel="0" collapsed="false">
      <c r="A371" s="98"/>
      <c r="B371" s="79"/>
      <c r="C371" s="102" t="str">
        <f aca="false">IF(B371="","",IFERROR(INDEX(الموظفون!$C$6:$C$105,MATCH(B371,الموظفون!$B$6:$B$105,0)),"✖ رقم غير موجود"))</f>
        <v/>
      </c>
      <c r="D371" s="99"/>
      <c r="E371" s="99"/>
      <c r="F371" s="99"/>
      <c r="G371" s="96"/>
      <c r="H371" s="96"/>
      <c r="I371" s="96"/>
      <c r="J371" s="96"/>
      <c r="K371" s="99"/>
      <c r="L371" s="99"/>
      <c r="M371" s="96"/>
      <c r="N371" s="96"/>
      <c r="O371" s="79"/>
    </row>
    <row r="372" customFormat="false" ht="15" hidden="false" customHeight="false" outlineLevel="0" collapsed="false">
      <c r="A372" s="98"/>
      <c r="B372" s="79"/>
      <c r="C372" s="80" t="str">
        <f aca="false">IF(B372="","",IFERROR(INDEX(الموظفون!$C$6:$C$105,MATCH(B372,الموظفون!$B$6:$B$105,0)),"✖ رقم غير موجود"))</f>
        <v/>
      </c>
      <c r="D372" s="99"/>
      <c r="E372" s="99"/>
      <c r="F372" s="99"/>
      <c r="G372" s="96"/>
      <c r="H372" s="96"/>
      <c r="I372" s="96"/>
      <c r="J372" s="96"/>
      <c r="K372" s="99"/>
      <c r="L372" s="99"/>
      <c r="M372" s="96"/>
      <c r="N372" s="96"/>
      <c r="O372" s="79"/>
    </row>
    <row r="373" customFormat="false" ht="15" hidden="false" customHeight="false" outlineLevel="0" collapsed="false">
      <c r="A373" s="98"/>
      <c r="B373" s="79"/>
      <c r="C373" s="102" t="str">
        <f aca="false">IF(B373="","",IFERROR(INDEX(الموظفون!$C$6:$C$105,MATCH(B373,الموظفون!$B$6:$B$105,0)),"✖ رقم غير موجود"))</f>
        <v/>
      </c>
      <c r="D373" s="99"/>
      <c r="E373" s="99"/>
      <c r="F373" s="99"/>
      <c r="G373" s="96"/>
      <c r="H373" s="96"/>
      <c r="I373" s="96"/>
      <c r="J373" s="96"/>
      <c r="K373" s="99"/>
      <c r="L373" s="99"/>
      <c r="M373" s="96"/>
      <c r="N373" s="96"/>
      <c r="O373" s="79"/>
    </row>
    <row r="374" customFormat="false" ht="15" hidden="false" customHeight="false" outlineLevel="0" collapsed="false">
      <c r="A374" s="98"/>
      <c r="B374" s="79"/>
      <c r="C374" s="80" t="str">
        <f aca="false">IF(B374="","",IFERROR(INDEX(الموظفون!$C$6:$C$105,MATCH(B374,الموظفون!$B$6:$B$105,0)),"✖ رقم غير موجود"))</f>
        <v/>
      </c>
      <c r="D374" s="99"/>
      <c r="E374" s="99"/>
      <c r="F374" s="99"/>
      <c r="G374" s="96"/>
      <c r="H374" s="96"/>
      <c r="I374" s="96"/>
      <c r="J374" s="96"/>
      <c r="K374" s="99"/>
      <c r="L374" s="99"/>
      <c r="M374" s="96"/>
      <c r="N374" s="96"/>
      <c r="O374" s="79"/>
    </row>
    <row r="375" customFormat="false" ht="15" hidden="false" customHeight="false" outlineLevel="0" collapsed="false">
      <c r="A375" s="98"/>
      <c r="B375" s="79"/>
      <c r="C375" s="102" t="str">
        <f aca="false">IF(B375="","",IFERROR(INDEX(الموظفون!$C$6:$C$105,MATCH(B375,الموظفون!$B$6:$B$105,0)),"✖ رقم غير موجود"))</f>
        <v/>
      </c>
      <c r="D375" s="99"/>
      <c r="E375" s="99"/>
      <c r="F375" s="99"/>
      <c r="G375" s="96"/>
      <c r="H375" s="96"/>
      <c r="I375" s="96"/>
      <c r="J375" s="96"/>
      <c r="K375" s="99"/>
      <c r="L375" s="99"/>
      <c r="M375" s="96"/>
      <c r="N375" s="96"/>
      <c r="O375" s="79"/>
    </row>
    <row r="376" customFormat="false" ht="15" hidden="false" customHeight="false" outlineLevel="0" collapsed="false">
      <c r="A376" s="98"/>
      <c r="B376" s="79"/>
      <c r="C376" s="80" t="str">
        <f aca="false">IF(B376="","",IFERROR(INDEX(الموظفون!$C$6:$C$105,MATCH(B376,الموظفون!$B$6:$B$105,0)),"✖ رقم غير موجود"))</f>
        <v/>
      </c>
      <c r="D376" s="99"/>
      <c r="E376" s="99"/>
      <c r="F376" s="99"/>
      <c r="G376" s="96"/>
      <c r="H376" s="96"/>
      <c r="I376" s="96"/>
      <c r="J376" s="96"/>
      <c r="K376" s="99"/>
      <c r="L376" s="99"/>
      <c r="M376" s="96"/>
      <c r="N376" s="96"/>
      <c r="O376" s="79"/>
    </row>
    <row r="377" customFormat="false" ht="15" hidden="false" customHeight="false" outlineLevel="0" collapsed="false">
      <c r="A377" s="98"/>
      <c r="B377" s="79"/>
      <c r="C377" s="102" t="str">
        <f aca="false">IF(B377="","",IFERROR(INDEX(الموظفون!$C$6:$C$105,MATCH(B377,الموظفون!$B$6:$B$105,0)),"✖ رقم غير موجود"))</f>
        <v/>
      </c>
      <c r="D377" s="99"/>
      <c r="E377" s="99"/>
      <c r="F377" s="99"/>
      <c r="G377" s="96"/>
      <c r="H377" s="96"/>
      <c r="I377" s="96"/>
      <c r="J377" s="96"/>
      <c r="K377" s="99"/>
      <c r="L377" s="99"/>
      <c r="M377" s="96"/>
      <c r="N377" s="96"/>
      <c r="O377" s="79"/>
    </row>
    <row r="378" customFormat="false" ht="15" hidden="false" customHeight="false" outlineLevel="0" collapsed="false">
      <c r="A378" s="98"/>
      <c r="B378" s="79"/>
      <c r="C378" s="80" t="str">
        <f aca="false">IF(B378="","",IFERROR(INDEX(الموظفون!$C$6:$C$105,MATCH(B378,الموظفون!$B$6:$B$105,0)),"✖ رقم غير موجود"))</f>
        <v/>
      </c>
      <c r="D378" s="99"/>
      <c r="E378" s="99"/>
      <c r="F378" s="99"/>
      <c r="G378" s="96"/>
      <c r="H378" s="96"/>
      <c r="I378" s="96"/>
      <c r="J378" s="96"/>
      <c r="K378" s="99"/>
      <c r="L378" s="99"/>
      <c r="M378" s="96"/>
      <c r="N378" s="96"/>
      <c r="O378" s="79"/>
    </row>
    <row r="379" customFormat="false" ht="15" hidden="false" customHeight="false" outlineLevel="0" collapsed="false">
      <c r="A379" s="98"/>
      <c r="B379" s="79"/>
      <c r="C379" s="102" t="str">
        <f aca="false">IF(B379="","",IFERROR(INDEX(الموظفون!$C$6:$C$105,MATCH(B379,الموظفون!$B$6:$B$105,0)),"✖ رقم غير موجود"))</f>
        <v/>
      </c>
      <c r="D379" s="99"/>
      <c r="E379" s="99"/>
      <c r="F379" s="99"/>
      <c r="G379" s="96"/>
      <c r="H379" s="96"/>
      <c r="I379" s="96"/>
      <c r="J379" s="96"/>
      <c r="K379" s="99"/>
      <c r="L379" s="99"/>
      <c r="M379" s="96"/>
      <c r="N379" s="96"/>
      <c r="O379" s="79"/>
    </row>
    <row r="380" customFormat="false" ht="15" hidden="false" customHeight="false" outlineLevel="0" collapsed="false">
      <c r="A380" s="98"/>
      <c r="B380" s="79"/>
      <c r="C380" s="80" t="str">
        <f aca="false">IF(B380="","",IFERROR(INDEX(الموظفون!$C$6:$C$105,MATCH(B380,الموظفون!$B$6:$B$105,0)),"✖ رقم غير موجود"))</f>
        <v/>
      </c>
      <c r="D380" s="99"/>
      <c r="E380" s="99"/>
      <c r="F380" s="99"/>
      <c r="G380" s="96"/>
      <c r="H380" s="96"/>
      <c r="I380" s="96"/>
      <c r="J380" s="96"/>
      <c r="K380" s="99"/>
      <c r="L380" s="99"/>
      <c r="M380" s="96"/>
      <c r="N380" s="96"/>
      <c r="O380" s="79"/>
    </row>
    <row r="381" customFormat="false" ht="15" hidden="false" customHeight="false" outlineLevel="0" collapsed="false">
      <c r="A381" s="98"/>
      <c r="B381" s="79"/>
      <c r="C381" s="102" t="str">
        <f aca="false">IF(B381="","",IFERROR(INDEX(الموظفون!$C$6:$C$105,MATCH(B381,الموظفون!$B$6:$B$105,0)),"✖ رقم غير موجود"))</f>
        <v/>
      </c>
      <c r="D381" s="99"/>
      <c r="E381" s="99"/>
      <c r="F381" s="99"/>
      <c r="G381" s="96"/>
      <c r="H381" s="96"/>
      <c r="I381" s="96"/>
      <c r="J381" s="96"/>
      <c r="K381" s="99"/>
      <c r="L381" s="99"/>
      <c r="M381" s="96"/>
      <c r="N381" s="96"/>
      <c r="O381" s="79"/>
    </row>
    <row r="382" customFormat="false" ht="15" hidden="false" customHeight="false" outlineLevel="0" collapsed="false">
      <c r="A382" s="98"/>
      <c r="B382" s="79"/>
      <c r="C382" s="80" t="str">
        <f aca="false">IF(B382="","",IFERROR(INDEX(الموظفون!$C$6:$C$105,MATCH(B382,الموظفون!$B$6:$B$105,0)),"✖ رقم غير موجود"))</f>
        <v/>
      </c>
      <c r="D382" s="99"/>
      <c r="E382" s="99"/>
      <c r="F382" s="99"/>
      <c r="G382" s="96"/>
      <c r="H382" s="96"/>
      <c r="I382" s="96"/>
      <c r="J382" s="96"/>
      <c r="K382" s="99"/>
      <c r="L382" s="99"/>
      <c r="M382" s="96"/>
      <c r="N382" s="96"/>
      <c r="O382" s="79"/>
    </row>
    <row r="383" customFormat="false" ht="15" hidden="false" customHeight="false" outlineLevel="0" collapsed="false">
      <c r="A383" s="98"/>
      <c r="B383" s="79"/>
      <c r="C383" s="102" t="str">
        <f aca="false">IF(B383="","",IFERROR(INDEX(الموظفون!$C$6:$C$105,MATCH(B383,الموظفون!$B$6:$B$105,0)),"✖ رقم غير موجود"))</f>
        <v/>
      </c>
      <c r="D383" s="99"/>
      <c r="E383" s="99"/>
      <c r="F383" s="99"/>
      <c r="G383" s="96"/>
      <c r="H383" s="96"/>
      <c r="I383" s="96"/>
      <c r="J383" s="96"/>
      <c r="K383" s="99"/>
      <c r="L383" s="99"/>
      <c r="M383" s="96"/>
      <c r="N383" s="96"/>
      <c r="O383" s="79"/>
    </row>
    <row r="384" customFormat="false" ht="15" hidden="false" customHeight="false" outlineLevel="0" collapsed="false">
      <c r="A384" s="98"/>
      <c r="B384" s="79"/>
      <c r="C384" s="80" t="str">
        <f aca="false">IF(B384="","",IFERROR(INDEX(الموظفون!$C$6:$C$105,MATCH(B384,الموظفون!$B$6:$B$105,0)),"✖ رقم غير موجود"))</f>
        <v/>
      </c>
      <c r="D384" s="99"/>
      <c r="E384" s="99"/>
      <c r="F384" s="99"/>
      <c r="G384" s="96"/>
      <c r="H384" s="96"/>
      <c r="I384" s="96"/>
      <c r="J384" s="96"/>
      <c r="K384" s="99"/>
      <c r="L384" s="99"/>
      <c r="M384" s="96"/>
      <c r="N384" s="96"/>
      <c r="O384" s="79"/>
    </row>
    <row r="385" customFormat="false" ht="15" hidden="false" customHeight="false" outlineLevel="0" collapsed="false">
      <c r="A385" s="98"/>
      <c r="B385" s="79"/>
      <c r="C385" s="102" t="str">
        <f aca="false">IF(B385="","",IFERROR(INDEX(الموظفون!$C$6:$C$105,MATCH(B385,الموظفون!$B$6:$B$105,0)),"✖ رقم غير موجود"))</f>
        <v/>
      </c>
      <c r="D385" s="99"/>
      <c r="E385" s="99"/>
      <c r="F385" s="99"/>
      <c r="G385" s="96"/>
      <c r="H385" s="96"/>
      <c r="I385" s="96"/>
      <c r="J385" s="96"/>
      <c r="K385" s="99"/>
      <c r="L385" s="99"/>
      <c r="M385" s="96"/>
      <c r="N385" s="96"/>
      <c r="O385" s="79"/>
    </row>
    <row r="386" customFormat="false" ht="15" hidden="false" customHeight="false" outlineLevel="0" collapsed="false">
      <c r="A386" s="98"/>
      <c r="B386" s="79"/>
      <c r="C386" s="80" t="str">
        <f aca="false">IF(B386="","",IFERROR(INDEX(الموظفون!$C$6:$C$105,MATCH(B386,الموظفون!$B$6:$B$105,0)),"✖ رقم غير موجود"))</f>
        <v/>
      </c>
      <c r="D386" s="99"/>
      <c r="E386" s="99"/>
      <c r="F386" s="99"/>
      <c r="G386" s="96"/>
      <c r="H386" s="96"/>
      <c r="I386" s="96"/>
      <c r="J386" s="96"/>
      <c r="K386" s="99"/>
      <c r="L386" s="99"/>
      <c r="M386" s="96"/>
      <c r="N386" s="96"/>
      <c r="O386" s="79"/>
    </row>
    <row r="387" customFormat="false" ht="15" hidden="false" customHeight="false" outlineLevel="0" collapsed="false">
      <c r="A387" s="98"/>
      <c r="B387" s="79"/>
      <c r="C387" s="102" t="str">
        <f aca="false">IF(B387="","",IFERROR(INDEX(الموظفون!$C$6:$C$105,MATCH(B387,الموظفون!$B$6:$B$105,0)),"✖ رقم غير موجود"))</f>
        <v/>
      </c>
      <c r="D387" s="99"/>
      <c r="E387" s="99"/>
      <c r="F387" s="99"/>
      <c r="G387" s="96"/>
      <c r="H387" s="96"/>
      <c r="I387" s="96"/>
      <c r="J387" s="96"/>
      <c r="K387" s="99"/>
      <c r="L387" s="99"/>
      <c r="M387" s="96"/>
      <c r="N387" s="96"/>
      <c r="O387" s="79"/>
    </row>
    <row r="388" customFormat="false" ht="15" hidden="false" customHeight="false" outlineLevel="0" collapsed="false">
      <c r="A388" s="98"/>
      <c r="B388" s="79"/>
      <c r="C388" s="80" t="str">
        <f aca="false">IF(B388="","",IFERROR(INDEX(الموظفون!$C$6:$C$105,MATCH(B388,الموظفون!$B$6:$B$105,0)),"✖ رقم غير موجود"))</f>
        <v/>
      </c>
      <c r="D388" s="99"/>
      <c r="E388" s="99"/>
      <c r="F388" s="99"/>
      <c r="G388" s="96"/>
      <c r="H388" s="96"/>
      <c r="I388" s="96"/>
      <c r="J388" s="96"/>
      <c r="K388" s="99"/>
      <c r="L388" s="99"/>
      <c r="M388" s="96"/>
      <c r="N388" s="96"/>
      <c r="O388" s="79"/>
    </row>
    <row r="389" customFormat="false" ht="15" hidden="false" customHeight="false" outlineLevel="0" collapsed="false">
      <c r="A389" s="98"/>
      <c r="B389" s="79"/>
      <c r="C389" s="102" t="str">
        <f aca="false">IF(B389="","",IFERROR(INDEX(الموظفون!$C$6:$C$105,MATCH(B389,الموظفون!$B$6:$B$105,0)),"✖ رقم غير موجود"))</f>
        <v/>
      </c>
      <c r="D389" s="99"/>
      <c r="E389" s="99"/>
      <c r="F389" s="99"/>
      <c r="G389" s="96"/>
      <c r="H389" s="96"/>
      <c r="I389" s="96"/>
      <c r="J389" s="96"/>
      <c r="K389" s="99"/>
      <c r="L389" s="99"/>
      <c r="M389" s="96"/>
      <c r="N389" s="96"/>
      <c r="O389" s="79"/>
    </row>
    <row r="390" customFormat="false" ht="15" hidden="false" customHeight="false" outlineLevel="0" collapsed="false">
      <c r="A390" s="98"/>
      <c r="B390" s="79"/>
      <c r="C390" s="80" t="str">
        <f aca="false">IF(B390="","",IFERROR(INDEX(الموظفون!$C$6:$C$105,MATCH(B390,الموظفون!$B$6:$B$105,0)),"✖ رقم غير موجود"))</f>
        <v/>
      </c>
      <c r="D390" s="99"/>
      <c r="E390" s="99"/>
      <c r="F390" s="99"/>
      <c r="G390" s="96"/>
      <c r="H390" s="96"/>
      <c r="I390" s="96"/>
      <c r="J390" s="96"/>
      <c r="K390" s="99"/>
      <c r="L390" s="99"/>
      <c r="M390" s="96"/>
      <c r="N390" s="96"/>
      <c r="O390" s="79"/>
    </row>
    <row r="391" customFormat="false" ht="15" hidden="false" customHeight="false" outlineLevel="0" collapsed="false">
      <c r="A391" s="98"/>
      <c r="B391" s="79"/>
      <c r="C391" s="102" t="str">
        <f aca="false">IF(B391="","",IFERROR(INDEX(الموظفون!$C$6:$C$105,MATCH(B391,الموظفون!$B$6:$B$105,0)),"✖ رقم غير موجود"))</f>
        <v/>
      </c>
      <c r="D391" s="99"/>
      <c r="E391" s="99"/>
      <c r="F391" s="99"/>
      <c r="G391" s="96"/>
      <c r="H391" s="96"/>
      <c r="I391" s="96"/>
      <c r="J391" s="96"/>
      <c r="K391" s="99"/>
      <c r="L391" s="99"/>
      <c r="M391" s="96"/>
      <c r="N391" s="96"/>
      <c r="O391" s="79"/>
    </row>
    <row r="392" customFormat="false" ht="15" hidden="false" customHeight="false" outlineLevel="0" collapsed="false">
      <c r="A392" s="98"/>
      <c r="B392" s="79"/>
      <c r="C392" s="80" t="str">
        <f aca="false">IF(B392="","",IFERROR(INDEX(الموظفون!$C$6:$C$105,MATCH(B392,الموظفون!$B$6:$B$105,0)),"✖ رقم غير موجود"))</f>
        <v/>
      </c>
      <c r="D392" s="99"/>
      <c r="E392" s="99"/>
      <c r="F392" s="99"/>
      <c r="G392" s="96"/>
      <c r="H392" s="96"/>
      <c r="I392" s="96"/>
      <c r="J392" s="96"/>
      <c r="K392" s="99"/>
      <c r="L392" s="99"/>
      <c r="M392" s="96"/>
      <c r="N392" s="96"/>
      <c r="O392" s="79"/>
    </row>
    <row r="393" customFormat="false" ht="15" hidden="false" customHeight="false" outlineLevel="0" collapsed="false">
      <c r="A393" s="98"/>
      <c r="B393" s="79"/>
      <c r="C393" s="102" t="str">
        <f aca="false">IF(B393="","",IFERROR(INDEX(الموظفون!$C$6:$C$105,MATCH(B393,الموظفون!$B$6:$B$105,0)),"✖ رقم غير موجود"))</f>
        <v/>
      </c>
      <c r="D393" s="99"/>
      <c r="E393" s="99"/>
      <c r="F393" s="99"/>
      <c r="G393" s="96"/>
      <c r="H393" s="96"/>
      <c r="I393" s="96"/>
      <c r="J393" s="96"/>
      <c r="K393" s="99"/>
      <c r="L393" s="99"/>
      <c r="M393" s="96"/>
      <c r="N393" s="96"/>
      <c r="O393" s="79"/>
    </row>
    <row r="394" customFormat="false" ht="15" hidden="false" customHeight="false" outlineLevel="0" collapsed="false">
      <c r="A394" s="98"/>
      <c r="B394" s="79"/>
      <c r="C394" s="80" t="str">
        <f aca="false">IF(B394="","",IFERROR(INDEX(الموظفون!$C$6:$C$105,MATCH(B394,الموظفون!$B$6:$B$105,0)),"✖ رقم غير موجود"))</f>
        <v/>
      </c>
      <c r="D394" s="99"/>
      <c r="E394" s="99"/>
      <c r="F394" s="99"/>
      <c r="G394" s="96"/>
      <c r="H394" s="96"/>
      <c r="I394" s="96"/>
      <c r="J394" s="96"/>
      <c r="K394" s="99"/>
      <c r="L394" s="99"/>
      <c r="M394" s="96"/>
      <c r="N394" s="96"/>
      <c r="O394" s="79"/>
    </row>
    <row r="395" customFormat="false" ht="15" hidden="false" customHeight="false" outlineLevel="0" collapsed="false">
      <c r="A395" s="98"/>
      <c r="B395" s="79"/>
      <c r="C395" s="102" t="str">
        <f aca="false">IF(B395="","",IFERROR(INDEX(الموظفون!$C$6:$C$105,MATCH(B395,الموظفون!$B$6:$B$105,0)),"✖ رقم غير موجود"))</f>
        <v/>
      </c>
      <c r="D395" s="99"/>
      <c r="E395" s="99"/>
      <c r="F395" s="99"/>
      <c r="G395" s="96"/>
      <c r="H395" s="96"/>
      <c r="I395" s="96"/>
      <c r="J395" s="96"/>
      <c r="K395" s="99"/>
      <c r="L395" s="99"/>
      <c r="M395" s="96"/>
      <c r="N395" s="96"/>
      <c r="O395" s="79"/>
    </row>
    <row r="396" customFormat="false" ht="15" hidden="false" customHeight="false" outlineLevel="0" collapsed="false">
      <c r="A396" s="98"/>
      <c r="B396" s="79"/>
      <c r="C396" s="80" t="str">
        <f aca="false">IF(B396="","",IFERROR(INDEX(الموظفون!$C$6:$C$105,MATCH(B396,الموظفون!$B$6:$B$105,0)),"✖ رقم غير موجود"))</f>
        <v/>
      </c>
      <c r="D396" s="99"/>
      <c r="E396" s="99"/>
      <c r="F396" s="99"/>
      <c r="G396" s="96"/>
      <c r="H396" s="96"/>
      <c r="I396" s="96"/>
      <c r="J396" s="96"/>
      <c r="K396" s="99"/>
      <c r="L396" s="99"/>
      <c r="M396" s="96"/>
      <c r="N396" s="96"/>
      <c r="O396" s="79"/>
    </row>
    <row r="397" customFormat="false" ht="15" hidden="false" customHeight="false" outlineLevel="0" collapsed="false">
      <c r="A397" s="98"/>
      <c r="B397" s="79"/>
      <c r="C397" s="102" t="str">
        <f aca="false">IF(B397="","",IFERROR(INDEX(الموظفون!$C$6:$C$105,MATCH(B397,الموظفون!$B$6:$B$105,0)),"✖ رقم غير موجود"))</f>
        <v/>
      </c>
      <c r="D397" s="99"/>
      <c r="E397" s="99"/>
      <c r="F397" s="99"/>
      <c r="G397" s="96"/>
      <c r="H397" s="96"/>
      <c r="I397" s="96"/>
      <c r="J397" s="96"/>
      <c r="K397" s="99"/>
      <c r="L397" s="99"/>
      <c r="M397" s="96"/>
      <c r="N397" s="96"/>
      <c r="O397" s="79"/>
    </row>
    <row r="398" customFormat="false" ht="15" hidden="false" customHeight="false" outlineLevel="0" collapsed="false">
      <c r="A398" s="98"/>
      <c r="B398" s="79"/>
      <c r="C398" s="80" t="str">
        <f aca="false">IF(B398="","",IFERROR(INDEX(الموظفون!$C$6:$C$105,MATCH(B398,الموظفون!$B$6:$B$105,0)),"✖ رقم غير موجود"))</f>
        <v/>
      </c>
      <c r="D398" s="99"/>
      <c r="E398" s="99"/>
      <c r="F398" s="99"/>
      <c r="G398" s="96"/>
      <c r="H398" s="96"/>
      <c r="I398" s="96"/>
      <c r="J398" s="96"/>
      <c r="K398" s="99"/>
      <c r="L398" s="99"/>
      <c r="M398" s="96"/>
      <c r="N398" s="96"/>
      <c r="O398" s="79"/>
    </row>
    <row r="399" customFormat="false" ht="15" hidden="false" customHeight="false" outlineLevel="0" collapsed="false">
      <c r="A399" s="98"/>
      <c r="B399" s="79"/>
      <c r="C399" s="102" t="str">
        <f aca="false">IF(B399="","",IFERROR(INDEX(الموظفون!$C$6:$C$105,MATCH(B399,الموظفون!$B$6:$B$105,0)),"✖ رقم غير موجود"))</f>
        <v/>
      </c>
      <c r="D399" s="99"/>
      <c r="E399" s="99"/>
      <c r="F399" s="99"/>
      <c r="G399" s="96"/>
      <c r="H399" s="96"/>
      <c r="I399" s="96"/>
      <c r="J399" s="96"/>
      <c r="K399" s="99"/>
      <c r="L399" s="99"/>
      <c r="M399" s="96"/>
      <c r="N399" s="96"/>
      <c r="O399" s="79"/>
    </row>
    <row r="400" customFormat="false" ht="15" hidden="false" customHeight="false" outlineLevel="0" collapsed="false">
      <c r="A400" s="98"/>
      <c r="B400" s="79"/>
      <c r="C400" s="80" t="str">
        <f aca="false">IF(B400="","",IFERROR(INDEX(الموظفون!$C$6:$C$105,MATCH(B400,الموظفون!$B$6:$B$105,0)),"✖ رقم غير موجود"))</f>
        <v/>
      </c>
      <c r="D400" s="99"/>
      <c r="E400" s="99"/>
      <c r="F400" s="99"/>
      <c r="G400" s="96"/>
      <c r="H400" s="96"/>
      <c r="I400" s="96"/>
      <c r="J400" s="96"/>
      <c r="K400" s="99"/>
      <c r="L400" s="99"/>
      <c r="M400" s="96"/>
      <c r="N400" s="96"/>
      <c r="O400" s="79"/>
    </row>
    <row r="401" customFormat="false" ht="15" hidden="false" customHeight="false" outlineLevel="0" collapsed="false">
      <c r="A401" s="98"/>
      <c r="B401" s="79"/>
      <c r="C401" s="102" t="str">
        <f aca="false">IF(B401="","",IFERROR(INDEX(الموظفون!$C$6:$C$105,MATCH(B401,الموظفون!$B$6:$B$105,0)),"✖ رقم غير موجود"))</f>
        <v/>
      </c>
      <c r="D401" s="99"/>
      <c r="E401" s="99"/>
      <c r="F401" s="99"/>
      <c r="G401" s="96"/>
      <c r="H401" s="96"/>
      <c r="I401" s="96"/>
      <c r="J401" s="96"/>
      <c r="K401" s="99"/>
      <c r="L401" s="99"/>
      <c r="M401" s="96"/>
      <c r="N401" s="96"/>
      <c r="O401" s="79"/>
    </row>
    <row r="402" customFormat="false" ht="15" hidden="false" customHeight="false" outlineLevel="0" collapsed="false">
      <c r="A402" s="98"/>
      <c r="B402" s="79"/>
      <c r="C402" s="80" t="str">
        <f aca="false">IF(B402="","",IFERROR(INDEX(الموظفون!$C$6:$C$105,MATCH(B402,الموظفون!$B$6:$B$105,0)),"✖ رقم غير موجود"))</f>
        <v/>
      </c>
      <c r="D402" s="99"/>
      <c r="E402" s="99"/>
      <c r="F402" s="99"/>
      <c r="G402" s="96"/>
      <c r="H402" s="96"/>
      <c r="I402" s="96"/>
      <c r="J402" s="96"/>
      <c r="K402" s="99"/>
      <c r="L402" s="99"/>
      <c r="M402" s="96"/>
      <c r="N402" s="96"/>
      <c r="O402" s="79"/>
    </row>
    <row r="403" customFormat="false" ht="15" hidden="false" customHeight="false" outlineLevel="0" collapsed="false">
      <c r="A403" s="98"/>
      <c r="B403" s="79"/>
      <c r="C403" s="102" t="str">
        <f aca="false">IF(B403="","",IFERROR(INDEX(الموظفون!$C$6:$C$105,MATCH(B403,الموظفون!$B$6:$B$105,0)),"✖ رقم غير موجود"))</f>
        <v/>
      </c>
      <c r="D403" s="99"/>
      <c r="E403" s="99"/>
      <c r="F403" s="99"/>
      <c r="G403" s="96"/>
      <c r="H403" s="96"/>
      <c r="I403" s="96"/>
      <c r="J403" s="96"/>
      <c r="K403" s="99"/>
      <c r="L403" s="99"/>
      <c r="M403" s="96"/>
      <c r="N403" s="96"/>
      <c r="O403" s="79"/>
    </row>
    <row r="404" customFormat="false" ht="15" hidden="false" customHeight="false" outlineLevel="0" collapsed="false">
      <c r="A404" s="98"/>
      <c r="B404" s="79"/>
      <c r="C404" s="80" t="str">
        <f aca="false">IF(B404="","",IFERROR(INDEX(الموظفون!$C$6:$C$105,MATCH(B404,الموظفون!$B$6:$B$105,0)),"✖ رقم غير موجود"))</f>
        <v/>
      </c>
      <c r="D404" s="99"/>
      <c r="E404" s="99"/>
      <c r="F404" s="99"/>
      <c r="G404" s="96"/>
      <c r="H404" s="96"/>
      <c r="I404" s="96"/>
      <c r="J404" s="96"/>
      <c r="K404" s="99"/>
      <c r="L404" s="99"/>
      <c r="M404" s="96"/>
      <c r="N404" s="96"/>
      <c r="O404" s="79"/>
    </row>
    <row r="405" customFormat="false" ht="15" hidden="false" customHeight="false" outlineLevel="0" collapsed="false">
      <c r="A405" s="98"/>
      <c r="B405" s="79"/>
      <c r="C405" s="102" t="str">
        <f aca="false">IF(B405="","",IFERROR(INDEX(الموظفون!$C$6:$C$105,MATCH(B405,الموظفون!$B$6:$B$105,0)),"✖ رقم غير موجود"))</f>
        <v/>
      </c>
      <c r="D405" s="99"/>
      <c r="E405" s="99"/>
      <c r="F405" s="99"/>
      <c r="G405" s="96"/>
      <c r="H405" s="96"/>
      <c r="I405" s="96"/>
      <c r="J405" s="96"/>
      <c r="K405" s="99"/>
      <c r="L405" s="99"/>
      <c r="M405" s="96"/>
      <c r="N405" s="96"/>
      <c r="O405" s="79"/>
    </row>
    <row r="406" customFormat="false" ht="15" hidden="false" customHeight="false" outlineLevel="0" collapsed="false">
      <c r="A406" s="98"/>
      <c r="B406" s="79"/>
      <c r="C406" s="80" t="str">
        <f aca="false">IF(B406="","",IFERROR(INDEX(الموظفون!$C$6:$C$105,MATCH(B406,الموظفون!$B$6:$B$105,0)),"✖ رقم غير موجود"))</f>
        <v/>
      </c>
      <c r="D406" s="99"/>
      <c r="E406" s="99"/>
      <c r="F406" s="99"/>
      <c r="G406" s="96"/>
      <c r="H406" s="96"/>
      <c r="I406" s="96"/>
      <c r="J406" s="96"/>
      <c r="K406" s="99"/>
      <c r="L406" s="99"/>
      <c r="M406" s="96"/>
      <c r="N406" s="96"/>
      <c r="O406" s="79"/>
    </row>
    <row r="407" customFormat="false" ht="15" hidden="false" customHeight="false" outlineLevel="0" collapsed="false">
      <c r="A407" s="98"/>
      <c r="B407" s="79"/>
      <c r="C407" s="102" t="str">
        <f aca="false">IF(B407="","",IFERROR(INDEX(الموظفون!$C$6:$C$105,MATCH(B407,الموظفون!$B$6:$B$105,0)),"✖ رقم غير موجود"))</f>
        <v/>
      </c>
      <c r="D407" s="99"/>
      <c r="E407" s="99"/>
      <c r="F407" s="99"/>
      <c r="G407" s="96"/>
      <c r="H407" s="96"/>
      <c r="I407" s="96"/>
      <c r="J407" s="96"/>
      <c r="K407" s="99"/>
      <c r="L407" s="99"/>
      <c r="M407" s="96"/>
      <c r="N407" s="96"/>
      <c r="O407" s="79"/>
    </row>
    <row r="408" customFormat="false" ht="15" hidden="false" customHeight="false" outlineLevel="0" collapsed="false">
      <c r="A408" s="98"/>
      <c r="B408" s="79"/>
      <c r="C408" s="80" t="str">
        <f aca="false">IF(B408="","",IFERROR(INDEX(الموظفون!$C$6:$C$105,MATCH(B408,الموظفون!$B$6:$B$105,0)),"✖ رقم غير موجود"))</f>
        <v/>
      </c>
      <c r="D408" s="99"/>
      <c r="E408" s="99"/>
      <c r="F408" s="99"/>
      <c r="G408" s="96"/>
      <c r="H408" s="96"/>
      <c r="I408" s="96"/>
      <c r="J408" s="96"/>
      <c r="K408" s="99"/>
      <c r="L408" s="99"/>
      <c r="M408" s="96"/>
      <c r="N408" s="96"/>
      <c r="O408" s="79"/>
    </row>
    <row r="409" customFormat="false" ht="15" hidden="false" customHeight="false" outlineLevel="0" collapsed="false">
      <c r="A409" s="98"/>
      <c r="B409" s="79"/>
      <c r="C409" s="102" t="str">
        <f aca="false">IF(B409="","",IFERROR(INDEX(الموظفون!$C$6:$C$105,MATCH(B409,الموظفون!$B$6:$B$105,0)),"✖ رقم غير موجود"))</f>
        <v/>
      </c>
      <c r="D409" s="99"/>
      <c r="E409" s="99"/>
      <c r="F409" s="99"/>
      <c r="G409" s="96"/>
      <c r="H409" s="96"/>
      <c r="I409" s="96"/>
      <c r="J409" s="96"/>
      <c r="K409" s="99"/>
      <c r="L409" s="99"/>
      <c r="M409" s="96"/>
      <c r="N409" s="96"/>
      <c r="O409" s="79"/>
    </row>
    <row r="410" customFormat="false" ht="15" hidden="false" customHeight="false" outlineLevel="0" collapsed="false">
      <c r="A410" s="98"/>
      <c r="B410" s="79"/>
      <c r="C410" s="80" t="str">
        <f aca="false">IF(B410="","",IFERROR(INDEX(الموظفون!$C$6:$C$105,MATCH(B410,الموظفون!$B$6:$B$105,0)),"✖ رقم غير موجود"))</f>
        <v/>
      </c>
      <c r="D410" s="99"/>
      <c r="E410" s="99"/>
      <c r="F410" s="99"/>
      <c r="G410" s="96"/>
      <c r="H410" s="96"/>
      <c r="I410" s="96"/>
      <c r="J410" s="96"/>
      <c r="K410" s="99"/>
      <c r="L410" s="99"/>
      <c r="M410" s="96"/>
      <c r="N410" s="96"/>
      <c r="O410" s="79"/>
    </row>
    <row r="411" customFormat="false" ht="15" hidden="false" customHeight="false" outlineLevel="0" collapsed="false">
      <c r="A411" s="98"/>
      <c r="B411" s="79"/>
      <c r="C411" s="102" t="str">
        <f aca="false">IF(B411="","",IFERROR(INDEX(الموظفون!$C$6:$C$105,MATCH(B411,الموظفون!$B$6:$B$105,0)),"✖ رقم غير موجود"))</f>
        <v/>
      </c>
      <c r="D411" s="99"/>
      <c r="E411" s="99"/>
      <c r="F411" s="99"/>
      <c r="G411" s="96"/>
      <c r="H411" s="96"/>
      <c r="I411" s="96"/>
      <c r="J411" s="96"/>
      <c r="K411" s="99"/>
      <c r="L411" s="99"/>
      <c r="M411" s="96"/>
      <c r="N411" s="96"/>
      <c r="O411" s="79"/>
    </row>
    <row r="412" customFormat="false" ht="15" hidden="false" customHeight="false" outlineLevel="0" collapsed="false">
      <c r="A412" s="98"/>
      <c r="B412" s="79"/>
      <c r="C412" s="80" t="str">
        <f aca="false">IF(B412="","",IFERROR(INDEX(الموظفون!$C$6:$C$105,MATCH(B412,الموظفون!$B$6:$B$105,0)),"✖ رقم غير موجود"))</f>
        <v/>
      </c>
      <c r="D412" s="99"/>
      <c r="E412" s="99"/>
      <c r="F412" s="99"/>
      <c r="G412" s="96"/>
      <c r="H412" s="96"/>
      <c r="I412" s="96"/>
      <c r="J412" s="96"/>
      <c r="K412" s="99"/>
      <c r="L412" s="99"/>
      <c r="M412" s="96"/>
      <c r="N412" s="96"/>
      <c r="O412" s="79"/>
    </row>
    <row r="413" customFormat="false" ht="15" hidden="false" customHeight="false" outlineLevel="0" collapsed="false">
      <c r="A413" s="98"/>
      <c r="B413" s="79"/>
      <c r="C413" s="102" t="str">
        <f aca="false">IF(B413="","",IFERROR(INDEX(الموظفون!$C$6:$C$105,MATCH(B413,الموظفون!$B$6:$B$105,0)),"✖ رقم غير موجود"))</f>
        <v/>
      </c>
      <c r="D413" s="99"/>
      <c r="E413" s="99"/>
      <c r="F413" s="99"/>
      <c r="G413" s="96"/>
      <c r="H413" s="96"/>
      <c r="I413" s="96"/>
      <c r="J413" s="96"/>
      <c r="K413" s="99"/>
      <c r="L413" s="99"/>
      <c r="M413" s="96"/>
      <c r="N413" s="96"/>
      <c r="O413" s="79"/>
    </row>
    <row r="414" customFormat="false" ht="15" hidden="false" customHeight="false" outlineLevel="0" collapsed="false">
      <c r="A414" s="98"/>
      <c r="B414" s="79"/>
      <c r="C414" s="80" t="str">
        <f aca="false">IF(B414="","",IFERROR(INDEX(الموظفون!$C$6:$C$105,MATCH(B414,الموظفون!$B$6:$B$105,0)),"✖ رقم غير موجود"))</f>
        <v/>
      </c>
      <c r="D414" s="99"/>
      <c r="E414" s="99"/>
      <c r="F414" s="99"/>
      <c r="G414" s="96"/>
      <c r="H414" s="96"/>
      <c r="I414" s="96"/>
      <c r="J414" s="96"/>
      <c r="K414" s="99"/>
      <c r="L414" s="99"/>
      <c r="M414" s="96"/>
      <c r="N414" s="96"/>
      <c r="O414" s="79"/>
    </row>
    <row r="415" customFormat="false" ht="15" hidden="false" customHeight="false" outlineLevel="0" collapsed="false">
      <c r="A415" s="98"/>
      <c r="B415" s="79"/>
      <c r="C415" s="102" t="str">
        <f aca="false">IF(B415="","",IFERROR(INDEX(الموظفون!$C$6:$C$105,MATCH(B415,الموظفون!$B$6:$B$105,0)),"✖ رقم غير موجود"))</f>
        <v/>
      </c>
      <c r="D415" s="99"/>
      <c r="E415" s="99"/>
      <c r="F415" s="99"/>
      <c r="G415" s="96"/>
      <c r="H415" s="96"/>
      <c r="I415" s="96"/>
      <c r="J415" s="96"/>
      <c r="K415" s="99"/>
      <c r="L415" s="99"/>
      <c r="M415" s="96"/>
      <c r="N415" s="96"/>
      <c r="O415" s="79"/>
    </row>
    <row r="416" customFormat="false" ht="15" hidden="false" customHeight="false" outlineLevel="0" collapsed="false">
      <c r="A416" s="98"/>
      <c r="B416" s="79"/>
      <c r="C416" s="80" t="str">
        <f aca="false">IF(B416="","",IFERROR(INDEX(الموظفون!$C$6:$C$105,MATCH(B416,الموظفون!$B$6:$B$105,0)),"✖ رقم غير موجود"))</f>
        <v/>
      </c>
      <c r="D416" s="99"/>
      <c r="E416" s="99"/>
      <c r="F416" s="99"/>
      <c r="G416" s="96"/>
      <c r="H416" s="96"/>
      <c r="I416" s="96"/>
      <c r="J416" s="96"/>
      <c r="K416" s="99"/>
      <c r="L416" s="99"/>
      <c r="M416" s="96"/>
      <c r="N416" s="96"/>
      <c r="O416" s="79"/>
    </row>
    <row r="417" customFormat="false" ht="15" hidden="false" customHeight="false" outlineLevel="0" collapsed="false">
      <c r="A417" s="98"/>
      <c r="B417" s="79"/>
      <c r="C417" s="102" t="str">
        <f aca="false">IF(B417="","",IFERROR(INDEX(الموظفون!$C$6:$C$105,MATCH(B417,الموظفون!$B$6:$B$105,0)),"✖ رقم غير موجود"))</f>
        <v/>
      </c>
      <c r="D417" s="99"/>
      <c r="E417" s="99"/>
      <c r="F417" s="99"/>
      <c r="G417" s="96"/>
      <c r="H417" s="96"/>
      <c r="I417" s="96"/>
      <c r="J417" s="96"/>
      <c r="K417" s="99"/>
      <c r="L417" s="99"/>
      <c r="M417" s="96"/>
      <c r="N417" s="96"/>
      <c r="O417" s="79"/>
    </row>
    <row r="418" customFormat="false" ht="15" hidden="false" customHeight="false" outlineLevel="0" collapsed="false">
      <c r="A418" s="98"/>
      <c r="B418" s="79"/>
      <c r="C418" s="80" t="str">
        <f aca="false">IF(B418="","",IFERROR(INDEX(الموظفون!$C$6:$C$105,MATCH(B418,الموظفون!$B$6:$B$105,0)),"✖ رقم غير موجود"))</f>
        <v/>
      </c>
      <c r="D418" s="99"/>
      <c r="E418" s="99"/>
      <c r="F418" s="99"/>
      <c r="G418" s="96"/>
      <c r="H418" s="96"/>
      <c r="I418" s="96"/>
      <c r="J418" s="96"/>
      <c r="K418" s="99"/>
      <c r="L418" s="99"/>
      <c r="M418" s="96"/>
      <c r="N418" s="96"/>
      <c r="O418" s="79"/>
    </row>
    <row r="419" customFormat="false" ht="15" hidden="false" customHeight="false" outlineLevel="0" collapsed="false">
      <c r="A419" s="98"/>
      <c r="B419" s="79"/>
      <c r="C419" s="102" t="str">
        <f aca="false">IF(B419="","",IFERROR(INDEX(الموظفون!$C$6:$C$105,MATCH(B419,الموظفون!$B$6:$B$105,0)),"✖ رقم غير موجود"))</f>
        <v/>
      </c>
      <c r="D419" s="99"/>
      <c r="E419" s="99"/>
      <c r="F419" s="99"/>
      <c r="G419" s="96"/>
      <c r="H419" s="96"/>
      <c r="I419" s="96"/>
      <c r="J419" s="96"/>
      <c r="K419" s="99"/>
      <c r="L419" s="99"/>
      <c r="M419" s="96"/>
      <c r="N419" s="96"/>
      <c r="O419" s="79"/>
    </row>
    <row r="420" customFormat="false" ht="15" hidden="false" customHeight="false" outlineLevel="0" collapsed="false">
      <c r="A420" s="98"/>
      <c r="B420" s="79"/>
      <c r="C420" s="80" t="str">
        <f aca="false">IF(B420="","",IFERROR(INDEX(الموظفون!$C$6:$C$105,MATCH(B420,الموظفون!$B$6:$B$105,0)),"✖ رقم غير موجود"))</f>
        <v/>
      </c>
      <c r="D420" s="99"/>
      <c r="E420" s="99"/>
      <c r="F420" s="99"/>
      <c r="G420" s="96"/>
      <c r="H420" s="96"/>
      <c r="I420" s="96"/>
      <c r="J420" s="96"/>
      <c r="K420" s="99"/>
      <c r="L420" s="99"/>
      <c r="M420" s="96"/>
      <c r="N420" s="96"/>
      <c r="O420" s="79"/>
    </row>
    <row r="421" customFormat="false" ht="15" hidden="false" customHeight="false" outlineLevel="0" collapsed="false">
      <c r="A421" s="98"/>
      <c r="B421" s="79"/>
      <c r="C421" s="102" t="str">
        <f aca="false">IF(B421="","",IFERROR(INDEX(الموظفون!$C$6:$C$105,MATCH(B421,الموظفون!$B$6:$B$105,0)),"✖ رقم غير موجود"))</f>
        <v/>
      </c>
      <c r="D421" s="99"/>
      <c r="E421" s="99"/>
      <c r="F421" s="99"/>
      <c r="G421" s="96"/>
      <c r="H421" s="96"/>
      <c r="I421" s="96"/>
      <c r="J421" s="96"/>
      <c r="K421" s="99"/>
      <c r="L421" s="99"/>
      <c r="M421" s="96"/>
      <c r="N421" s="96"/>
      <c r="O421" s="79"/>
    </row>
    <row r="422" customFormat="false" ht="15" hidden="false" customHeight="false" outlineLevel="0" collapsed="false">
      <c r="A422" s="98"/>
      <c r="B422" s="79"/>
      <c r="C422" s="80" t="str">
        <f aca="false">IF(B422="","",IFERROR(INDEX(الموظفون!$C$6:$C$105,MATCH(B422,الموظفون!$B$6:$B$105,0)),"✖ رقم غير موجود"))</f>
        <v/>
      </c>
      <c r="D422" s="99"/>
      <c r="E422" s="99"/>
      <c r="F422" s="99"/>
      <c r="G422" s="96"/>
      <c r="H422" s="96"/>
      <c r="I422" s="96"/>
      <c r="J422" s="96"/>
      <c r="K422" s="99"/>
      <c r="L422" s="99"/>
      <c r="M422" s="96"/>
      <c r="N422" s="96"/>
      <c r="O422" s="79"/>
    </row>
    <row r="423" customFormat="false" ht="15" hidden="false" customHeight="false" outlineLevel="0" collapsed="false">
      <c r="A423" s="98"/>
      <c r="B423" s="79"/>
      <c r="C423" s="102" t="str">
        <f aca="false">IF(B423="","",IFERROR(INDEX(الموظفون!$C$6:$C$105,MATCH(B423,الموظفون!$B$6:$B$105,0)),"✖ رقم غير موجود"))</f>
        <v/>
      </c>
      <c r="D423" s="99"/>
      <c r="E423" s="99"/>
      <c r="F423" s="99"/>
      <c r="G423" s="96"/>
      <c r="H423" s="96"/>
      <c r="I423" s="96"/>
      <c r="J423" s="96"/>
      <c r="K423" s="99"/>
      <c r="L423" s="99"/>
      <c r="M423" s="96"/>
      <c r="N423" s="96"/>
      <c r="O423" s="79"/>
    </row>
    <row r="424" customFormat="false" ht="15" hidden="false" customHeight="false" outlineLevel="0" collapsed="false">
      <c r="A424" s="98"/>
      <c r="B424" s="79"/>
      <c r="C424" s="80" t="str">
        <f aca="false">IF(B424="","",IFERROR(INDEX(الموظفون!$C$6:$C$105,MATCH(B424,الموظفون!$B$6:$B$105,0)),"✖ رقم غير موجود"))</f>
        <v/>
      </c>
      <c r="D424" s="99"/>
      <c r="E424" s="99"/>
      <c r="F424" s="99"/>
      <c r="G424" s="96"/>
      <c r="H424" s="96"/>
      <c r="I424" s="96"/>
      <c r="J424" s="96"/>
      <c r="K424" s="99"/>
      <c r="L424" s="99"/>
      <c r="M424" s="96"/>
      <c r="N424" s="96"/>
      <c r="O424" s="79"/>
    </row>
    <row r="425" customFormat="false" ht="15" hidden="false" customHeight="false" outlineLevel="0" collapsed="false">
      <c r="A425" s="98"/>
      <c r="B425" s="79"/>
      <c r="C425" s="102" t="str">
        <f aca="false">IF(B425="","",IFERROR(INDEX(الموظفون!$C$6:$C$105,MATCH(B425,الموظفون!$B$6:$B$105,0)),"✖ رقم غير موجود"))</f>
        <v/>
      </c>
      <c r="D425" s="99"/>
      <c r="E425" s="99"/>
      <c r="F425" s="99"/>
      <c r="G425" s="96"/>
      <c r="H425" s="96"/>
      <c r="I425" s="96"/>
      <c r="J425" s="96"/>
      <c r="K425" s="99"/>
      <c r="L425" s="99"/>
      <c r="M425" s="96"/>
      <c r="N425" s="96"/>
      <c r="O425" s="79"/>
    </row>
    <row r="426" customFormat="false" ht="15" hidden="false" customHeight="false" outlineLevel="0" collapsed="false">
      <c r="A426" s="98"/>
      <c r="B426" s="79"/>
      <c r="C426" s="80" t="str">
        <f aca="false">IF(B426="","",IFERROR(INDEX(الموظفون!$C$6:$C$105,MATCH(B426,الموظفون!$B$6:$B$105,0)),"✖ رقم غير موجود"))</f>
        <v/>
      </c>
      <c r="D426" s="99"/>
      <c r="E426" s="99"/>
      <c r="F426" s="99"/>
      <c r="G426" s="96"/>
      <c r="H426" s="96"/>
      <c r="I426" s="96"/>
      <c r="J426" s="96"/>
      <c r="K426" s="99"/>
      <c r="L426" s="99"/>
      <c r="M426" s="96"/>
      <c r="N426" s="96"/>
      <c r="O426" s="79"/>
    </row>
    <row r="427" customFormat="false" ht="15" hidden="false" customHeight="false" outlineLevel="0" collapsed="false">
      <c r="A427" s="98"/>
      <c r="B427" s="79"/>
      <c r="C427" s="102" t="str">
        <f aca="false">IF(B427="","",IFERROR(INDEX(الموظفون!$C$6:$C$105,MATCH(B427,الموظفون!$B$6:$B$105,0)),"✖ رقم غير موجود"))</f>
        <v/>
      </c>
      <c r="D427" s="99"/>
      <c r="E427" s="99"/>
      <c r="F427" s="99"/>
      <c r="G427" s="96"/>
      <c r="H427" s="96"/>
      <c r="I427" s="96"/>
      <c r="J427" s="96"/>
      <c r="K427" s="99"/>
      <c r="L427" s="99"/>
      <c r="M427" s="96"/>
      <c r="N427" s="96"/>
      <c r="O427" s="79"/>
    </row>
    <row r="428" customFormat="false" ht="15" hidden="false" customHeight="false" outlineLevel="0" collapsed="false">
      <c r="A428" s="98"/>
      <c r="B428" s="79"/>
      <c r="C428" s="80" t="str">
        <f aca="false">IF(B428="","",IFERROR(INDEX(الموظفون!$C$6:$C$105,MATCH(B428,الموظفون!$B$6:$B$105,0)),"✖ رقم غير موجود"))</f>
        <v/>
      </c>
      <c r="D428" s="99"/>
      <c r="E428" s="99"/>
      <c r="F428" s="99"/>
      <c r="G428" s="96"/>
      <c r="H428" s="96"/>
      <c r="I428" s="96"/>
      <c r="J428" s="96"/>
      <c r="K428" s="99"/>
      <c r="L428" s="99"/>
      <c r="M428" s="96"/>
      <c r="N428" s="96"/>
      <c r="O428" s="79"/>
    </row>
    <row r="429" customFormat="false" ht="15" hidden="false" customHeight="false" outlineLevel="0" collapsed="false">
      <c r="A429" s="98"/>
      <c r="B429" s="79"/>
      <c r="C429" s="102" t="str">
        <f aca="false">IF(B429="","",IFERROR(INDEX(الموظفون!$C$6:$C$105,MATCH(B429,الموظفون!$B$6:$B$105,0)),"✖ رقم غير موجود"))</f>
        <v/>
      </c>
      <c r="D429" s="99"/>
      <c r="E429" s="99"/>
      <c r="F429" s="99"/>
      <c r="G429" s="96"/>
      <c r="H429" s="96"/>
      <c r="I429" s="96"/>
      <c r="J429" s="96"/>
      <c r="K429" s="99"/>
      <c r="L429" s="99"/>
      <c r="M429" s="96"/>
      <c r="N429" s="96"/>
      <c r="O429" s="79"/>
    </row>
    <row r="430" customFormat="false" ht="15" hidden="false" customHeight="false" outlineLevel="0" collapsed="false">
      <c r="A430" s="98"/>
      <c r="B430" s="79"/>
      <c r="C430" s="80" t="str">
        <f aca="false">IF(B430="","",IFERROR(INDEX(الموظفون!$C$6:$C$105,MATCH(B430,الموظفون!$B$6:$B$105,0)),"✖ رقم غير موجود"))</f>
        <v/>
      </c>
      <c r="D430" s="99"/>
      <c r="E430" s="99"/>
      <c r="F430" s="99"/>
      <c r="G430" s="96"/>
      <c r="H430" s="96"/>
      <c r="I430" s="96"/>
      <c r="J430" s="96"/>
      <c r="K430" s="99"/>
      <c r="L430" s="99"/>
      <c r="M430" s="96"/>
      <c r="N430" s="96"/>
      <c r="O430" s="79"/>
    </row>
    <row r="431" customFormat="false" ht="15" hidden="false" customHeight="false" outlineLevel="0" collapsed="false">
      <c r="A431" s="98"/>
      <c r="B431" s="79"/>
      <c r="C431" s="102" t="str">
        <f aca="false">IF(B431="","",IFERROR(INDEX(الموظفون!$C$6:$C$105,MATCH(B431,الموظفون!$B$6:$B$105,0)),"✖ رقم غير موجود"))</f>
        <v/>
      </c>
      <c r="D431" s="99"/>
      <c r="E431" s="99"/>
      <c r="F431" s="99"/>
      <c r="G431" s="96"/>
      <c r="H431" s="96"/>
      <c r="I431" s="96"/>
      <c r="J431" s="96"/>
      <c r="K431" s="99"/>
      <c r="L431" s="99"/>
      <c r="M431" s="96"/>
      <c r="N431" s="96"/>
      <c r="O431" s="79"/>
    </row>
    <row r="432" customFormat="false" ht="15" hidden="false" customHeight="false" outlineLevel="0" collapsed="false">
      <c r="A432" s="98"/>
      <c r="B432" s="79"/>
      <c r="C432" s="80" t="str">
        <f aca="false">IF(B432="","",IFERROR(INDEX(الموظفون!$C$6:$C$105,MATCH(B432,الموظفون!$B$6:$B$105,0)),"✖ رقم غير موجود"))</f>
        <v/>
      </c>
      <c r="D432" s="99"/>
      <c r="E432" s="99"/>
      <c r="F432" s="99"/>
      <c r="G432" s="96"/>
      <c r="H432" s="96"/>
      <c r="I432" s="96"/>
      <c r="J432" s="96"/>
      <c r="K432" s="99"/>
      <c r="L432" s="99"/>
      <c r="M432" s="96"/>
      <c r="N432" s="96"/>
      <c r="O432" s="79"/>
    </row>
    <row r="433" customFormat="false" ht="15" hidden="false" customHeight="false" outlineLevel="0" collapsed="false">
      <c r="A433" s="98"/>
      <c r="B433" s="79"/>
      <c r="C433" s="102" t="str">
        <f aca="false">IF(B433="","",IFERROR(INDEX(الموظفون!$C$6:$C$105,MATCH(B433,الموظفون!$B$6:$B$105,0)),"✖ رقم غير موجود"))</f>
        <v/>
      </c>
      <c r="D433" s="99"/>
      <c r="E433" s="99"/>
      <c r="F433" s="99"/>
      <c r="G433" s="96"/>
      <c r="H433" s="96"/>
      <c r="I433" s="96"/>
      <c r="J433" s="96"/>
      <c r="K433" s="99"/>
      <c r="L433" s="99"/>
      <c r="M433" s="96"/>
      <c r="N433" s="96"/>
      <c r="O433" s="79"/>
    </row>
    <row r="434" customFormat="false" ht="15" hidden="false" customHeight="false" outlineLevel="0" collapsed="false">
      <c r="A434" s="98"/>
      <c r="B434" s="79"/>
      <c r="C434" s="80" t="str">
        <f aca="false">IF(B434="","",IFERROR(INDEX(الموظفون!$C$6:$C$105,MATCH(B434,الموظفون!$B$6:$B$105,0)),"✖ رقم غير موجود"))</f>
        <v/>
      </c>
      <c r="D434" s="99"/>
      <c r="E434" s="99"/>
      <c r="F434" s="99"/>
      <c r="G434" s="96"/>
      <c r="H434" s="96"/>
      <c r="I434" s="96"/>
      <c r="J434" s="96"/>
      <c r="K434" s="99"/>
      <c r="L434" s="99"/>
      <c r="M434" s="96"/>
      <c r="N434" s="96"/>
      <c r="O434" s="79"/>
    </row>
    <row r="435" customFormat="false" ht="15" hidden="false" customHeight="false" outlineLevel="0" collapsed="false">
      <c r="A435" s="98"/>
      <c r="B435" s="79"/>
      <c r="C435" s="102" t="str">
        <f aca="false">IF(B435="","",IFERROR(INDEX(الموظفون!$C$6:$C$105,MATCH(B435,الموظفون!$B$6:$B$105,0)),"✖ رقم غير موجود"))</f>
        <v/>
      </c>
      <c r="D435" s="99"/>
      <c r="E435" s="99"/>
      <c r="F435" s="99"/>
      <c r="G435" s="96"/>
      <c r="H435" s="96"/>
      <c r="I435" s="96"/>
      <c r="J435" s="96"/>
      <c r="K435" s="99"/>
      <c r="L435" s="99"/>
      <c r="M435" s="96"/>
      <c r="N435" s="96"/>
      <c r="O435" s="79"/>
    </row>
    <row r="436" customFormat="false" ht="15" hidden="false" customHeight="false" outlineLevel="0" collapsed="false">
      <c r="A436" s="98"/>
      <c r="B436" s="79"/>
      <c r="C436" s="80" t="str">
        <f aca="false">IF(B436="","",IFERROR(INDEX(الموظفون!$C$6:$C$105,MATCH(B436,الموظفون!$B$6:$B$105,0)),"✖ رقم غير موجود"))</f>
        <v/>
      </c>
      <c r="D436" s="99"/>
      <c r="E436" s="99"/>
      <c r="F436" s="99"/>
      <c r="G436" s="96"/>
      <c r="H436" s="96"/>
      <c r="I436" s="96"/>
      <c r="J436" s="96"/>
      <c r="K436" s="99"/>
      <c r="L436" s="99"/>
      <c r="M436" s="96"/>
      <c r="N436" s="96"/>
      <c r="O436" s="79"/>
    </row>
    <row r="437" customFormat="false" ht="15" hidden="false" customHeight="false" outlineLevel="0" collapsed="false">
      <c r="A437" s="98"/>
      <c r="B437" s="79"/>
      <c r="C437" s="102" t="str">
        <f aca="false">IF(B437="","",IFERROR(INDEX(الموظفون!$C$6:$C$105,MATCH(B437,الموظفون!$B$6:$B$105,0)),"✖ رقم غير موجود"))</f>
        <v/>
      </c>
      <c r="D437" s="99"/>
      <c r="E437" s="99"/>
      <c r="F437" s="99"/>
      <c r="G437" s="96"/>
      <c r="H437" s="96"/>
      <c r="I437" s="96"/>
      <c r="J437" s="96"/>
      <c r="K437" s="99"/>
      <c r="L437" s="99"/>
      <c r="M437" s="96"/>
      <c r="N437" s="96"/>
      <c r="O437" s="79"/>
    </row>
    <row r="438" customFormat="false" ht="15" hidden="false" customHeight="false" outlineLevel="0" collapsed="false">
      <c r="A438" s="98"/>
      <c r="B438" s="79"/>
      <c r="C438" s="80" t="str">
        <f aca="false">IF(B438="","",IFERROR(INDEX(الموظفون!$C$6:$C$105,MATCH(B438,الموظفون!$B$6:$B$105,0)),"✖ رقم غير موجود"))</f>
        <v/>
      </c>
      <c r="D438" s="99"/>
      <c r="E438" s="99"/>
      <c r="F438" s="99"/>
      <c r="G438" s="96"/>
      <c r="H438" s="96"/>
      <c r="I438" s="96"/>
      <c r="J438" s="96"/>
      <c r="K438" s="99"/>
      <c r="L438" s="99"/>
      <c r="M438" s="96"/>
      <c r="N438" s="96"/>
      <c r="O438" s="79"/>
    </row>
    <row r="439" customFormat="false" ht="15" hidden="false" customHeight="false" outlineLevel="0" collapsed="false">
      <c r="A439" s="98"/>
      <c r="B439" s="79"/>
      <c r="C439" s="102" t="str">
        <f aca="false">IF(B439="","",IFERROR(INDEX(الموظفون!$C$6:$C$105,MATCH(B439,الموظفون!$B$6:$B$105,0)),"✖ رقم غير موجود"))</f>
        <v/>
      </c>
      <c r="D439" s="99"/>
      <c r="E439" s="99"/>
      <c r="F439" s="99"/>
      <c r="G439" s="96"/>
      <c r="H439" s="96"/>
      <c r="I439" s="96"/>
      <c r="J439" s="96"/>
      <c r="K439" s="99"/>
      <c r="L439" s="99"/>
      <c r="M439" s="96"/>
      <c r="N439" s="96"/>
      <c r="O439" s="79"/>
    </row>
    <row r="440" customFormat="false" ht="15" hidden="false" customHeight="false" outlineLevel="0" collapsed="false">
      <c r="A440" s="98"/>
      <c r="B440" s="79"/>
      <c r="C440" s="80" t="str">
        <f aca="false">IF(B440="","",IFERROR(INDEX(الموظفون!$C$6:$C$105,MATCH(B440,الموظفون!$B$6:$B$105,0)),"✖ رقم غير موجود"))</f>
        <v/>
      </c>
      <c r="D440" s="99"/>
      <c r="E440" s="99"/>
      <c r="F440" s="99"/>
      <c r="G440" s="96"/>
      <c r="H440" s="96"/>
      <c r="I440" s="96"/>
      <c r="J440" s="96"/>
      <c r="K440" s="99"/>
      <c r="L440" s="99"/>
      <c r="M440" s="96"/>
      <c r="N440" s="96"/>
      <c r="O440" s="79"/>
    </row>
    <row r="441" customFormat="false" ht="15" hidden="false" customHeight="false" outlineLevel="0" collapsed="false">
      <c r="A441" s="98"/>
      <c r="B441" s="79"/>
      <c r="C441" s="102" t="str">
        <f aca="false">IF(B441="","",IFERROR(INDEX(الموظفون!$C$6:$C$105,MATCH(B441,الموظفون!$B$6:$B$105,0)),"✖ رقم غير موجود"))</f>
        <v/>
      </c>
      <c r="D441" s="99"/>
      <c r="E441" s="99"/>
      <c r="F441" s="99"/>
      <c r="G441" s="96"/>
      <c r="H441" s="96"/>
      <c r="I441" s="96"/>
      <c r="J441" s="96"/>
      <c r="K441" s="99"/>
      <c r="L441" s="99"/>
      <c r="M441" s="96"/>
      <c r="N441" s="96"/>
      <c r="O441" s="79"/>
    </row>
    <row r="442" customFormat="false" ht="15" hidden="false" customHeight="false" outlineLevel="0" collapsed="false">
      <c r="A442" s="98"/>
      <c r="B442" s="79"/>
      <c r="C442" s="80" t="str">
        <f aca="false">IF(B442="","",IFERROR(INDEX(الموظفون!$C$6:$C$105,MATCH(B442,الموظفون!$B$6:$B$105,0)),"✖ رقم غير موجود"))</f>
        <v/>
      </c>
      <c r="D442" s="99"/>
      <c r="E442" s="99"/>
      <c r="F442" s="99"/>
      <c r="G442" s="96"/>
      <c r="H442" s="96"/>
      <c r="I442" s="96"/>
      <c r="J442" s="96"/>
      <c r="K442" s="99"/>
      <c r="L442" s="99"/>
      <c r="M442" s="96"/>
      <c r="N442" s="96"/>
      <c r="O442" s="79"/>
    </row>
    <row r="443" customFormat="false" ht="15" hidden="false" customHeight="false" outlineLevel="0" collapsed="false">
      <c r="A443" s="98"/>
      <c r="B443" s="79"/>
      <c r="C443" s="102" t="str">
        <f aca="false">IF(B443="","",IFERROR(INDEX(الموظفون!$C$6:$C$105,MATCH(B443,الموظفون!$B$6:$B$105,0)),"✖ رقم غير موجود"))</f>
        <v/>
      </c>
      <c r="D443" s="99"/>
      <c r="E443" s="99"/>
      <c r="F443" s="99"/>
      <c r="G443" s="96"/>
      <c r="H443" s="96"/>
      <c r="I443" s="96"/>
      <c r="J443" s="96"/>
      <c r="K443" s="99"/>
      <c r="L443" s="99"/>
      <c r="M443" s="96"/>
      <c r="N443" s="96"/>
      <c r="O443" s="79"/>
    </row>
    <row r="444" customFormat="false" ht="15" hidden="false" customHeight="false" outlineLevel="0" collapsed="false">
      <c r="A444" s="98"/>
      <c r="B444" s="79"/>
      <c r="C444" s="80" t="str">
        <f aca="false">IF(B444="","",IFERROR(INDEX(الموظفون!$C$6:$C$105,MATCH(B444,الموظفون!$B$6:$B$105,0)),"✖ رقم غير موجود"))</f>
        <v/>
      </c>
      <c r="D444" s="99"/>
      <c r="E444" s="99"/>
      <c r="F444" s="99"/>
      <c r="G444" s="96"/>
      <c r="H444" s="96"/>
      <c r="I444" s="96"/>
      <c r="J444" s="96"/>
      <c r="K444" s="99"/>
      <c r="L444" s="99"/>
      <c r="M444" s="96"/>
      <c r="N444" s="96"/>
      <c r="O444" s="79"/>
    </row>
    <row r="445" customFormat="false" ht="15" hidden="false" customHeight="false" outlineLevel="0" collapsed="false">
      <c r="A445" s="98"/>
      <c r="B445" s="79"/>
      <c r="C445" s="102" t="str">
        <f aca="false">IF(B445="","",IFERROR(INDEX(الموظفون!$C$6:$C$105,MATCH(B445,الموظفون!$B$6:$B$105,0)),"✖ رقم غير موجود"))</f>
        <v/>
      </c>
      <c r="D445" s="99"/>
      <c r="E445" s="99"/>
      <c r="F445" s="99"/>
      <c r="G445" s="96"/>
      <c r="H445" s="96"/>
      <c r="I445" s="96"/>
      <c r="J445" s="96"/>
      <c r="K445" s="99"/>
      <c r="L445" s="99"/>
      <c r="M445" s="96"/>
      <c r="N445" s="96"/>
      <c r="O445" s="79"/>
    </row>
    <row r="446" customFormat="false" ht="15" hidden="false" customHeight="false" outlineLevel="0" collapsed="false">
      <c r="A446" s="98"/>
      <c r="B446" s="79"/>
      <c r="C446" s="80" t="str">
        <f aca="false">IF(B446="","",IFERROR(INDEX(الموظفون!$C$6:$C$105,MATCH(B446,الموظفون!$B$6:$B$105,0)),"✖ رقم غير موجود"))</f>
        <v/>
      </c>
      <c r="D446" s="99"/>
      <c r="E446" s="99"/>
      <c r="F446" s="99"/>
      <c r="G446" s="96"/>
      <c r="H446" s="96"/>
      <c r="I446" s="96"/>
      <c r="J446" s="96"/>
      <c r="K446" s="99"/>
      <c r="L446" s="99"/>
      <c r="M446" s="96"/>
      <c r="N446" s="96"/>
      <c r="O446" s="79"/>
    </row>
    <row r="447" customFormat="false" ht="15" hidden="false" customHeight="false" outlineLevel="0" collapsed="false">
      <c r="A447" s="98"/>
      <c r="B447" s="79"/>
      <c r="C447" s="102" t="str">
        <f aca="false">IF(B447="","",IFERROR(INDEX(الموظفون!$C$6:$C$105,MATCH(B447,الموظفون!$B$6:$B$105,0)),"✖ رقم غير موجود"))</f>
        <v/>
      </c>
      <c r="D447" s="99"/>
      <c r="E447" s="99"/>
      <c r="F447" s="99"/>
      <c r="G447" s="96"/>
      <c r="H447" s="96"/>
      <c r="I447" s="96"/>
      <c r="J447" s="96"/>
      <c r="K447" s="99"/>
      <c r="L447" s="99"/>
      <c r="M447" s="96"/>
      <c r="N447" s="96"/>
      <c r="O447" s="79"/>
    </row>
    <row r="448" customFormat="false" ht="15" hidden="false" customHeight="false" outlineLevel="0" collapsed="false">
      <c r="A448" s="98"/>
      <c r="B448" s="79"/>
      <c r="C448" s="80" t="str">
        <f aca="false">IF(B448="","",IFERROR(INDEX(الموظفون!$C$6:$C$105,MATCH(B448,الموظفون!$B$6:$B$105,0)),"✖ رقم غير موجود"))</f>
        <v/>
      </c>
      <c r="D448" s="99"/>
      <c r="E448" s="99"/>
      <c r="F448" s="99"/>
      <c r="G448" s="96"/>
      <c r="H448" s="96"/>
      <c r="I448" s="96"/>
      <c r="J448" s="96"/>
      <c r="K448" s="99"/>
      <c r="L448" s="99"/>
      <c r="M448" s="96"/>
      <c r="N448" s="96"/>
      <c r="O448" s="79"/>
    </row>
    <row r="449" customFormat="false" ht="15" hidden="false" customHeight="false" outlineLevel="0" collapsed="false">
      <c r="A449" s="98"/>
      <c r="B449" s="79"/>
      <c r="C449" s="102" t="str">
        <f aca="false">IF(B449="","",IFERROR(INDEX(الموظفون!$C$6:$C$105,MATCH(B449,الموظفون!$B$6:$B$105,0)),"✖ رقم غير موجود"))</f>
        <v/>
      </c>
      <c r="D449" s="99"/>
      <c r="E449" s="99"/>
      <c r="F449" s="99"/>
      <c r="G449" s="96"/>
      <c r="H449" s="96"/>
      <c r="I449" s="96"/>
      <c r="J449" s="96"/>
      <c r="K449" s="99"/>
      <c r="L449" s="99"/>
      <c r="M449" s="96"/>
      <c r="N449" s="96"/>
      <c r="O449" s="79"/>
    </row>
    <row r="450" customFormat="false" ht="15" hidden="false" customHeight="false" outlineLevel="0" collapsed="false">
      <c r="A450" s="98"/>
      <c r="B450" s="79"/>
      <c r="C450" s="80" t="str">
        <f aca="false">IF(B450="","",IFERROR(INDEX(الموظفون!$C$6:$C$105,MATCH(B450,الموظفون!$B$6:$B$105,0)),"✖ رقم غير موجود"))</f>
        <v/>
      </c>
      <c r="D450" s="99"/>
      <c r="E450" s="99"/>
      <c r="F450" s="99"/>
      <c r="G450" s="96"/>
      <c r="H450" s="96"/>
      <c r="I450" s="96"/>
      <c r="J450" s="96"/>
      <c r="K450" s="99"/>
      <c r="L450" s="99"/>
      <c r="M450" s="96"/>
      <c r="N450" s="96"/>
      <c r="O450" s="79"/>
    </row>
    <row r="451" customFormat="false" ht="15" hidden="false" customHeight="false" outlineLevel="0" collapsed="false">
      <c r="A451" s="98"/>
      <c r="B451" s="79"/>
      <c r="C451" s="102" t="str">
        <f aca="false">IF(B451="","",IFERROR(INDEX(الموظفون!$C$6:$C$105,MATCH(B451,الموظفون!$B$6:$B$105,0)),"✖ رقم غير موجود"))</f>
        <v/>
      </c>
      <c r="D451" s="99"/>
      <c r="E451" s="99"/>
      <c r="F451" s="99"/>
      <c r="G451" s="96"/>
      <c r="H451" s="96"/>
      <c r="I451" s="96"/>
      <c r="J451" s="96"/>
      <c r="K451" s="99"/>
      <c r="L451" s="99"/>
      <c r="M451" s="96"/>
      <c r="N451" s="96"/>
      <c r="O451" s="79"/>
    </row>
    <row r="452" customFormat="false" ht="15" hidden="false" customHeight="false" outlineLevel="0" collapsed="false">
      <c r="A452" s="98"/>
      <c r="B452" s="79"/>
      <c r="C452" s="80" t="str">
        <f aca="false">IF(B452="","",IFERROR(INDEX(الموظفون!$C$6:$C$105,MATCH(B452,الموظفون!$B$6:$B$105,0)),"✖ رقم غير موجود"))</f>
        <v/>
      </c>
      <c r="D452" s="99"/>
      <c r="E452" s="99"/>
      <c r="F452" s="99"/>
      <c r="G452" s="96"/>
      <c r="H452" s="96"/>
      <c r="I452" s="96"/>
      <c r="J452" s="96"/>
      <c r="K452" s="99"/>
      <c r="L452" s="99"/>
      <c r="M452" s="96"/>
      <c r="N452" s="96"/>
      <c r="O452" s="79"/>
    </row>
    <row r="453" customFormat="false" ht="15" hidden="false" customHeight="false" outlineLevel="0" collapsed="false">
      <c r="A453" s="98"/>
      <c r="B453" s="79"/>
      <c r="C453" s="102" t="str">
        <f aca="false">IF(B453="","",IFERROR(INDEX(الموظفون!$C$6:$C$105,MATCH(B453,الموظفون!$B$6:$B$105,0)),"✖ رقم غير موجود"))</f>
        <v/>
      </c>
      <c r="D453" s="99"/>
      <c r="E453" s="99"/>
      <c r="F453" s="99"/>
      <c r="G453" s="96"/>
      <c r="H453" s="96"/>
      <c r="I453" s="96"/>
      <c r="J453" s="96"/>
      <c r="K453" s="99"/>
      <c r="L453" s="99"/>
      <c r="M453" s="96"/>
      <c r="N453" s="96"/>
      <c r="O453" s="79"/>
    </row>
    <row r="454" customFormat="false" ht="15" hidden="false" customHeight="false" outlineLevel="0" collapsed="false">
      <c r="A454" s="98"/>
      <c r="B454" s="79"/>
      <c r="C454" s="80" t="str">
        <f aca="false">IF(B454="","",IFERROR(INDEX(الموظفون!$C$6:$C$105,MATCH(B454,الموظفون!$B$6:$B$105,0)),"✖ رقم غير موجود"))</f>
        <v/>
      </c>
      <c r="D454" s="99"/>
      <c r="E454" s="99"/>
      <c r="F454" s="99"/>
      <c r="G454" s="96"/>
      <c r="H454" s="96"/>
      <c r="I454" s="96"/>
      <c r="J454" s="96"/>
      <c r="K454" s="99"/>
      <c r="L454" s="99"/>
      <c r="M454" s="96"/>
      <c r="N454" s="96"/>
      <c r="O454" s="79"/>
    </row>
    <row r="455" customFormat="false" ht="15" hidden="false" customHeight="false" outlineLevel="0" collapsed="false">
      <c r="A455" s="98"/>
      <c r="B455" s="79"/>
      <c r="C455" s="102" t="str">
        <f aca="false">IF(B455="","",IFERROR(INDEX(الموظفون!$C$6:$C$105,MATCH(B455,الموظفون!$B$6:$B$105,0)),"✖ رقم غير موجود"))</f>
        <v/>
      </c>
      <c r="D455" s="99"/>
      <c r="E455" s="99"/>
      <c r="F455" s="99"/>
      <c r="G455" s="96"/>
      <c r="H455" s="96"/>
      <c r="I455" s="96"/>
      <c r="J455" s="96"/>
      <c r="K455" s="99"/>
      <c r="L455" s="99"/>
      <c r="M455" s="96"/>
      <c r="N455" s="96"/>
      <c r="O455" s="79"/>
    </row>
    <row r="456" customFormat="false" ht="15" hidden="false" customHeight="false" outlineLevel="0" collapsed="false">
      <c r="A456" s="98"/>
      <c r="B456" s="79"/>
      <c r="C456" s="80" t="str">
        <f aca="false">IF(B456="","",IFERROR(INDEX(الموظفون!$C$6:$C$105,MATCH(B456,الموظفون!$B$6:$B$105,0)),"✖ رقم غير موجود"))</f>
        <v/>
      </c>
      <c r="D456" s="99"/>
      <c r="E456" s="99"/>
      <c r="F456" s="99"/>
      <c r="G456" s="96"/>
      <c r="H456" s="96"/>
      <c r="I456" s="96"/>
      <c r="J456" s="96"/>
      <c r="K456" s="99"/>
      <c r="L456" s="99"/>
      <c r="M456" s="96"/>
      <c r="N456" s="96"/>
      <c r="O456" s="79"/>
    </row>
    <row r="457" customFormat="false" ht="15" hidden="false" customHeight="false" outlineLevel="0" collapsed="false">
      <c r="A457" s="98"/>
      <c r="B457" s="79"/>
      <c r="C457" s="102" t="str">
        <f aca="false">IF(B457="","",IFERROR(INDEX(الموظفون!$C$6:$C$105,MATCH(B457,الموظفون!$B$6:$B$105,0)),"✖ رقم غير موجود"))</f>
        <v/>
      </c>
      <c r="D457" s="99"/>
      <c r="E457" s="99"/>
      <c r="F457" s="99"/>
      <c r="G457" s="96"/>
      <c r="H457" s="96"/>
      <c r="I457" s="96"/>
      <c r="J457" s="96"/>
      <c r="K457" s="99"/>
      <c r="L457" s="99"/>
      <c r="M457" s="96"/>
      <c r="N457" s="96"/>
      <c r="O457" s="79"/>
    </row>
    <row r="458" customFormat="false" ht="15" hidden="false" customHeight="false" outlineLevel="0" collapsed="false">
      <c r="A458" s="98"/>
      <c r="B458" s="79"/>
      <c r="C458" s="80" t="str">
        <f aca="false">IF(B458="","",IFERROR(INDEX(الموظفون!$C$6:$C$105,MATCH(B458,الموظفون!$B$6:$B$105,0)),"✖ رقم غير موجود"))</f>
        <v/>
      </c>
      <c r="D458" s="99"/>
      <c r="E458" s="99"/>
      <c r="F458" s="99"/>
      <c r="G458" s="96"/>
      <c r="H458" s="96"/>
      <c r="I458" s="96"/>
      <c r="J458" s="96"/>
      <c r="K458" s="99"/>
      <c r="L458" s="99"/>
      <c r="M458" s="96"/>
      <c r="N458" s="96"/>
      <c r="O458" s="79"/>
    </row>
    <row r="459" customFormat="false" ht="15" hidden="false" customHeight="false" outlineLevel="0" collapsed="false">
      <c r="A459" s="98"/>
      <c r="B459" s="79"/>
      <c r="C459" s="102" t="str">
        <f aca="false">IF(B459="","",IFERROR(INDEX(الموظفون!$C$6:$C$105,MATCH(B459,الموظفون!$B$6:$B$105,0)),"✖ رقم غير موجود"))</f>
        <v/>
      </c>
      <c r="D459" s="99"/>
      <c r="E459" s="99"/>
      <c r="F459" s="99"/>
      <c r="G459" s="96"/>
      <c r="H459" s="96"/>
      <c r="I459" s="96"/>
      <c r="J459" s="96"/>
      <c r="K459" s="99"/>
      <c r="L459" s="99"/>
      <c r="M459" s="96"/>
      <c r="N459" s="96"/>
      <c r="O459" s="79"/>
    </row>
    <row r="460" customFormat="false" ht="15" hidden="false" customHeight="false" outlineLevel="0" collapsed="false">
      <c r="A460" s="98"/>
      <c r="B460" s="79"/>
      <c r="C460" s="80" t="str">
        <f aca="false">IF(B460="","",IFERROR(INDEX(الموظفون!$C$6:$C$105,MATCH(B460,الموظفون!$B$6:$B$105,0)),"✖ رقم غير موجود"))</f>
        <v/>
      </c>
      <c r="D460" s="99"/>
      <c r="E460" s="99"/>
      <c r="F460" s="99"/>
      <c r="G460" s="96"/>
      <c r="H460" s="96"/>
      <c r="I460" s="96"/>
      <c r="J460" s="96"/>
      <c r="K460" s="99"/>
      <c r="L460" s="99"/>
      <c r="M460" s="96"/>
      <c r="N460" s="96"/>
      <c r="O460" s="79"/>
    </row>
    <row r="461" customFormat="false" ht="15" hidden="false" customHeight="false" outlineLevel="0" collapsed="false">
      <c r="A461" s="98"/>
      <c r="B461" s="79"/>
      <c r="C461" s="102" t="str">
        <f aca="false">IF(B461="","",IFERROR(INDEX(الموظفون!$C$6:$C$105,MATCH(B461,الموظفون!$B$6:$B$105,0)),"✖ رقم غير موجود"))</f>
        <v/>
      </c>
      <c r="D461" s="99"/>
      <c r="E461" s="99"/>
      <c r="F461" s="99"/>
      <c r="G461" s="96"/>
      <c r="H461" s="96"/>
      <c r="I461" s="96"/>
      <c r="J461" s="96"/>
      <c r="K461" s="99"/>
      <c r="L461" s="99"/>
      <c r="M461" s="96"/>
      <c r="N461" s="96"/>
      <c r="O461" s="79"/>
    </row>
    <row r="462" customFormat="false" ht="15" hidden="false" customHeight="false" outlineLevel="0" collapsed="false">
      <c r="A462" s="98"/>
      <c r="B462" s="79"/>
      <c r="C462" s="80" t="str">
        <f aca="false">IF(B462="","",IFERROR(INDEX(الموظفون!$C$6:$C$105,MATCH(B462,الموظفون!$B$6:$B$105,0)),"✖ رقم غير موجود"))</f>
        <v/>
      </c>
      <c r="D462" s="99"/>
      <c r="E462" s="99"/>
      <c r="F462" s="99"/>
      <c r="G462" s="96"/>
      <c r="H462" s="96"/>
      <c r="I462" s="96"/>
      <c r="J462" s="96"/>
      <c r="K462" s="99"/>
      <c r="L462" s="99"/>
      <c r="M462" s="96"/>
      <c r="N462" s="96"/>
      <c r="O462" s="79"/>
    </row>
    <row r="463" customFormat="false" ht="15" hidden="false" customHeight="false" outlineLevel="0" collapsed="false">
      <c r="A463" s="98"/>
      <c r="B463" s="79"/>
      <c r="C463" s="102" t="str">
        <f aca="false">IF(B463="","",IFERROR(INDEX(الموظفون!$C$6:$C$105,MATCH(B463,الموظفون!$B$6:$B$105,0)),"✖ رقم غير موجود"))</f>
        <v/>
      </c>
      <c r="D463" s="99"/>
      <c r="E463" s="99"/>
      <c r="F463" s="99"/>
      <c r="G463" s="96"/>
      <c r="H463" s="96"/>
      <c r="I463" s="96"/>
      <c r="J463" s="96"/>
      <c r="K463" s="99"/>
      <c r="L463" s="99"/>
      <c r="M463" s="96"/>
      <c r="N463" s="96"/>
      <c r="O463" s="79"/>
    </row>
    <row r="464" customFormat="false" ht="15" hidden="false" customHeight="false" outlineLevel="0" collapsed="false">
      <c r="A464" s="98"/>
      <c r="B464" s="79"/>
      <c r="C464" s="80" t="str">
        <f aca="false">IF(B464="","",IFERROR(INDEX(الموظفون!$C$6:$C$105,MATCH(B464,الموظفون!$B$6:$B$105,0)),"✖ رقم غير موجود"))</f>
        <v/>
      </c>
      <c r="D464" s="99"/>
      <c r="E464" s="99"/>
      <c r="F464" s="99"/>
      <c r="G464" s="96"/>
      <c r="H464" s="96"/>
      <c r="I464" s="96"/>
      <c r="J464" s="96"/>
      <c r="K464" s="99"/>
      <c r="L464" s="99"/>
      <c r="M464" s="96"/>
      <c r="N464" s="96"/>
      <c r="O464" s="79"/>
    </row>
    <row r="465" customFormat="false" ht="15" hidden="false" customHeight="false" outlineLevel="0" collapsed="false">
      <c r="A465" s="98"/>
      <c r="B465" s="79"/>
      <c r="C465" s="102" t="str">
        <f aca="false">IF(B465="","",IFERROR(INDEX(الموظفون!$C$6:$C$105,MATCH(B465,الموظفون!$B$6:$B$105,0)),"✖ رقم غير موجود"))</f>
        <v/>
      </c>
      <c r="D465" s="99"/>
      <c r="E465" s="99"/>
      <c r="F465" s="99"/>
      <c r="G465" s="96"/>
      <c r="H465" s="96"/>
      <c r="I465" s="96"/>
      <c r="J465" s="96"/>
      <c r="K465" s="99"/>
      <c r="L465" s="99"/>
      <c r="M465" s="96"/>
      <c r="N465" s="96"/>
      <c r="O465" s="79"/>
    </row>
    <row r="466" customFormat="false" ht="15" hidden="false" customHeight="false" outlineLevel="0" collapsed="false">
      <c r="A466" s="98"/>
      <c r="B466" s="79"/>
      <c r="C466" s="80" t="str">
        <f aca="false">IF(B466="","",IFERROR(INDEX(الموظفون!$C$6:$C$105,MATCH(B466,الموظفون!$B$6:$B$105,0)),"✖ رقم غير موجود"))</f>
        <v/>
      </c>
      <c r="D466" s="99"/>
      <c r="E466" s="99"/>
      <c r="F466" s="99"/>
      <c r="G466" s="96"/>
      <c r="H466" s="96"/>
      <c r="I466" s="96"/>
      <c r="J466" s="96"/>
      <c r="K466" s="99"/>
      <c r="L466" s="99"/>
      <c r="M466" s="96"/>
      <c r="N466" s="96"/>
      <c r="O466" s="79"/>
    </row>
    <row r="467" customFormat="false" ht="15" hidden="false" customHeight="false" outlineLevel="0" collapsed="false">
      <c r="A467" s="98"/>
      <c r="B467" s="79"/>
      <c r="C467" s="102" t="str">
        <f aca="false">IF(B467="","",IFERROR(INDEX(الموظفون!$C$6:$C$105,MATCH(B467,الموظفون!$B$6:$B$105,0)),"✖ رقم غير موجود"))</f>
        <v/>
      </c>
      <c r="D467" s="99"/>
      <c r="E467" s="99"/>
      <c r="F467" s="99"/>
      <c r="G467" s="96"/>
      <c r="H467" s="96"/>
      <c r="I467" s="96"/>
      <c r="J467" s="96"/>
      <c r="K467" s="99"/>
      <c r="L467" s="99"/>
      <c r="M467" s="96"/>
      <c r="N467" s="96"/>
      <c r="O467" s="79"/>
    </row>
    <row r="468" customFormat="false" ht="15" hidden="false" customHeight="false" outlineLevel="0" collapsed="false">
      <c r="A468" s="98"/>
      <c r="B468" s="79"/>
      <c r="C468" s="80" t="str">
        <f aca="false">IF(B468="","",IFERROR(INDEX(الموظفون!$C$6:$C$105,MATCH(B468,الموظفون!$B$6:$B$105,0)),"✖ رقم غير موجود"))</f>
        <v/>
      </c>
      <c r="D468" s="99"/>
      <c r="E468" s="99"/>
      <c r="F468" s="99"/>
      <c r="G468" s="96"/>
      <c r="H468" s="96"/>
      <c r="I468" s="96"/>
      <c r="J468" s="96"/>
      <c r="K468" s="99"/>
      <c r="L468" s="99"/>
      <c r="M468" s="96"/>
      <c r="N468" s="96"/>
      <c r="O468" s="79"/>
    </row>
    <row r="469" customFormat="false" ht="15" hidden="false" customHeight="false" outlineLevel="0" collapsed="false">
      <c r="A469" s="98"/>
      <c r="B469" s="79"/>
      <c r="C469" s="102" t="str">
        <f aca="false">IF(B469="","",IFERROR(INDEX(الموظفون!$C$6:$C$105,MATCH(B469,الموظفون!$B$6:$B$105,0)),"✖ رقم غير موجود"))</f>
        <v/>
      </c>
      <c r="D469" s="99"/>
      <c r="E469" s="99"/>
      <c r="F469" s="99"/>
      <c r="G469" s="96"/>
      <c r="H469" s="96"/>
      <c r="I469" s="96"/>
      <c r="J469" s="96"/>
      <c r="K469" s="99"/>
      <c r="L469" s="99"/>
      <c r="M469" s="96"/>
      <c r="N469" s="96"/>
      <c r="O469" s="79"/>
    </row>
    <row r="470" customFormat="false" ht="15" hidden="false" customHeight="false" outlineLevel="0" collapsed="false">
      <c r="A470" s="98"/>
      <c r="B470" s="79"/>
      <c r="C470" s="80" t="str">
        <f aca="false">IF(B470="","",IFERROR(INDEX(الموظفون!$C$6:$C$105,MATCH(B470,الموظفون!$B$6:$B$105,0)),"✖ رقم غير موجود"))</f>
        <v/>
      </c>
      <c r="D470" s="99"/>
      <c r="E470" s="99"/>
      <c r="F470" s="99"/>
      <c r="G470" s="96"/>
      <c r="H470" s="96"/>
      <c r="I470" s="96"/>
      <c r="J470" s="96"/>
      <c r="K470" s="99"/>
      <c r="L470" s="99"/>
      <c r="M470" s="96"/>
      <c r="N470" s="96"/>
      <c r="O470" s="79"/>
    </row>
    <row r="471" customFormat="false" ht="15" hidden="false" customHeight="false" outlineLevel="0" collapsed="false">
      <c r="A471" s="98"/>
      <c r="B471" s="79"/>
      <c r="C471" s="102" t="str">
        <f aca="false">IF(B471="","",IFERROR(INDEX(الموظفون!$C$6:$C$105,MATCH(B471,الموظفون!$B$6:$B$105,0)),"✖ رقم غير موجود"))</f>
        <v/>
      </c>
      <c r="D471" s="99"/>
      <c r="E471" s="99"/>
      <c r="F471" s="99"/>
      <c r="G471" s="96"/>
      <c r="H471" s="96"/>
      <c r="I471" s="96"/>
      <c r="J471" s="96"/>
      <c r="K471" s="99"/>
      <c r="L471" s="99"/>
      <c r="M471" s="96"/>
      <c r="N471" s="96"/>
      <c r="O471" s="79"/>
    </row>
    <row r="472" customFormat="false" ht="15" hidden="false" customHeight="false" outlineLevel="0" collapsed="false">
      <c r="A472" s="98"/>
      <c r="B472" s="79"/>
      <c r="C472" s="80" t="str">
        <f aca="false">IF(B472="","",IFERROR(INDEX(الموظفون!$C$6:$C$105,MATCH(B472,الموظفون!$B$6:$B$105,0)),"✖ رقم غير موجود"))</f>
        <v/>
      </c>
      <c r="D472" s="99"/>
      <c r="E472" s="99"/>
      <c r="F472" s="99"/>
      <c r="G472" s="96"/>
      <c r="H472" s="96"/>
      <c r="I472" s="96"/>
      <c r="J472" s="96"/>
      <c r="K472" s="99"/>
      <c r="L472" s="99"/>
      <c r="M472" s="96"/>
      <c r="N472" s="96"/>
      <c r="O472" s="79"/>
    </row>
    <row r="473" customFormat="false" ht="15" hidden="false" customHeight="false" outlineLevel="0" collapsed="false">
      <c r="A473" s="98"/>
      <c r="B473" s="79"/>
      <c r="C473" s="102" t="str">
        <f aca="false">IF(B473="","",IFERROR(INDEX(الموظفون!$C$6:$C$105,MATCH(B473,الموظفون!$B$6:$B$105,0)),"✖ رقم غير موجود"))</f>
        <v/>
      </c>
      <c r="D473" s="99"/>
      <c r="E473" s="99"/>
      <c r="F473" s="99"/>
      <c r="G473" s="96"/>
      <c r="H473" s="96"/>
      <c r="I473" s="96"/>
      <c r="J473" s="96"/>
      <c r="K473" s="99"/>
      <c r="L473" s="99"/>
      <c r="M473" s="96"/>
      <c r="N473" s="96"/>
      <c r="O473" s="79"/>
    </row>
    <row r="474" customFormat="false" ht="15" hidden="false" customHeight="false" outlineLevel="0" collapsed="false">
      <c r="A474" s="98"/>
      <c r="B474" s="79"/>
      <c r="C474" s="80" t="str">
        <f aca="false">IF(B474="","",IFERROR(INDEX(الموظفون!$C$6:$C$105,MATCH(B474,الموظفون!$B$6:$B$105,0)),"✖ رقم غير موجود"))</f>
        <v/>
      </c>
      <c r="D474" s="99"/>
      <c r="E474" s="99"/>
      <c r="F474" s="99"/>
      <c r="G474" s="96"/>
      <c r="H474" s="96"/>
      <c r="I474" s="96"/>
      <c r="J474" s="96"/>
      <c r="K474" s="99"/>
      <c r="L474" s="99"/>
      <c r="M474" s="96"/>
      <c r="N474" s="96"/>
      <c r="O474" s="79"/>
    </row>
    <row r="475" customFormat="false" ht="15" hidden="false" customHeight="false" outlineLevel="0" collapsed="false">
      <c r="A475" s="98"/>
      <c r="B475" s="79"/>
      <c r="C475" s="102" t="str">
        <f aca="false">IF(B475="","",IFERROR(INDEX(الموظفون!$C$6:$C$105,MATCH(B475,الموظفون!$B$6:$B$105,0)),"✖ رقم غير موجود"))</f>
        <v/>
      </c>
      <c r="D475" s="99"/>
      <c r="E475" s="99"/>
      <c r="F475" s="99"/>
      <c r="G475" s="96"/>
      <c r="H475" s="96"/>
      <c r="I475" s="96"/>
      <c r="J475" s="96"/>
      <c r="K475" s="99"/>
      <c r="L475" s="99"/>
      <c r="M475" s="96"/>
      <c r="N475" s="96"/>
      <c r="O475" s="79"/>
    </row>
    <row r="476" customFormat="false" ht="15" hidden="false" customHeight="false" outlineLevel="0" collapsed="false">
      <c r="A476" s="98"/>
      <c r="B476" s="79"/>
      <c r="C476" s="80" t="str">
        <f aca="false">IF(B476="","",IFERROR(INDEX(الموظفون!$C$6:$C$105,MATCH(B476,الموظفون!$B$6:$B$105,0)),"✖ رقم غير موجود"))</f>
        <v/>
      </c>
      <c r="D476" s="99"/>
      <c r="E476" s="99"/>
      <c r="F476" s="99"/>
      <c r="G476" s="96"/>
      <c r="H476" s="96"/>
      <c r="I476" s="96"/>
      <c r="J476" s="96"/>
      <c r="K476" s="99"/>
      <c r="L476" s="99"/>
      <c r="M476" s="96"/>
      <c r="N476" s="96"/>
      <c r="O476" s="79"/>
    </row>
    <row r="477" customFormat="false" ht="15" hidden="false" customHeight="false" outlineLevel="0" collapsed="false">
      <c r="A477" s="98"/>
      <c r="B477" s="79"/>
      <c r="C477" s="102" t="str">
        <f aca="false">IF(B477="","",IFERROR(INDEX(الموظفون!$C$6:$C$105,MATCH(B477,الموظفون!$B$6:$B$105,0)),"✖ رقم غير موجود"))</f>
        <v/>
      </c>
      <c r="D477" s="99"/>
      <c r="E477" s="99"/>
      <c r="F477" s="99"/>
      <c r="G477" s="96"/>
      <c r="H477" s="96"/>
      <c r="I477" s="96"/>
      <c r="J477" s="96"/>
      <c r="K477" s="99"/>
      <c r="L477" s="99"/>
      <c r="M477" s="96"/>
      <c r="N477" s="96"/>
      <c r="O477" s="79"/>
    </row>
    <row r="478" customFormat="false" ht="15" hidden="false" customHeight="false" outlineLevel="0" collapsed="false">
      <c r="A478" s="98"/>
      <c r="B478" s="79"/>
      <c r="C478" s="80" t="str">
        <f aca="false">IF(B478="","",IFERROR(INDEX(الموظفون!$C$6:$C$105,MATCH(B478,الموظفون!$B$6:$B$105,0)),"✖ رقم غير موجود"))</f>
        <v/>
      </c>
      <c r="D478" s="99"/>
      <c r="E478" s="99"/>
      <c r="F478" s="99"/>
      <c r="G478" s="96"/>
      <c r="H478" s="96"/>
      <c r="I478" s="96"/>
      <c r="J478" s="96"/>
      <c r="K478" s="99"/>
      <c r="L478" s="99"/>
      <c r="M478" s="96"/>
      <c r="N478" s="96"/>
      <c r="O478" s="79"/>
    </row>
    <row r="479" customFormat="false" ht="15" hidden="false" customHeight="false" outlineLevel="0" collapsed="false">
      <c r="A479" s="98"/>
      <c r="B479" s="79"/>
      <c r="C479" s="102" t="str">
        <f aca="false">IF(B479="","",IFERROR(INDEX(الموظفون!$C$6:$C$105,MATCH(B479,الموظفون!$B$6:$B$105,0)),"✖ رقم غير موجود"))</f>
        <v/>
      </c>
      <c r="D479" s="99"/>
      <c r="E479" s="99"/>
      <c r="F479" s="99"/>
      <c r="G479" s="96"/>
      <c r="H479" s="96"/>
      <c r="I479" s="96"/>
      <c r="J479" s="96"/>
      <c r="K479" s="99"/>
      <c r="L479" s="99"/>
      <c r="M479" s="96"/>
      <c r="N479" s="96"/>
      <c r="O479" s="79"/>
    </row>
    <row r="480" customFormat="false" ht="15" hidden="false" customHeight="false" outlineLevel="0" collapsed="false">
      <c r="A480" s="98"/>
      <c r="B480" s="79"/>
      <c r="C480" s="80" t="str">
        <f aca="false">IF(B480="","",IFERROR(INDEX(الموظفون!$C$6:$C$105,MATCH(B480,الموظفون!$B$6:$B$105,0)),"✖ رقم غير موجود"))</f>
        <v/>
      </c>
      <c r="D480" s="99"/>
      <c r="E480" s="99"/>
      <c r="F480" s="99"/>
      <c r="G480" s="96"/>
      <c r="H480" s="96"/>
      <c r="I480" s="96"/>
      <c r="J480" s="96"/>
      <c r="K480" s="99"/>
      <c r="L480" s="99"/>
      <c r="M480" s="96"/>
      <c r="N480" s="96"/>
      <c r="O480" s="79"/>
    </row>
    <row r="481" customFormat="false" ht="15" hidden="false" customHeight="false" outlineLevel="0" collapsed="false">
      <c r="A481" s="98"/>
      <c r="B481" s="79"/>
      <c r="C481" s="102" t="str">
        <f aca="false">IF(B481="","",IFERROR(INDEX(الموظفون!$C$6:$C$105,MATCH(B481,الموظفون!$B$6:$B$105,0)),"✖ رقم غير موجود"))</f>
        <v/>
      </c>
      <c r="D481" s="99"/>
      <c r="E481" s="99"/>
      <c r="F481" s="99"/>
      <c r="G481" s="96"/>
      <c r="H481" s="96"/>
      <c r="I481" s="96"/>
      <c r="J481" s="96"/>
      <c r="K481" s="99"/>
      <c r="L481" s="99"/>
      <c r="M481" s="96"/>
      <c r="N481" s="96"/>
      <c r="O481" s="79"/>
    </row>
    <row r="482" customFormat="false" ht="15" hidden="false" customHeight="false" outlineLevel="0" collapsed="false">
      <c r="A482" s="98"/>
      <c r="B482" s="79"/>
      <c r="C482" s="80" t="str">
        <f aca="false">IF(B482="","",IFERROR(INDEX(الموظفون!$C$6:$C$105,MATCH(B482,الموظفون!$B$6:$B$105,0)),"✖ رقم غير موجود"))</f>
        <v/>
      </c>
      <c r="D482" s="99"/>
      <c r="E482" s="99"/>
      <c r="F482" s="99"/>
      <c r="G482" s="96"/>
      <c r="H482" s="96"/>
      <c r="I482" s="96"/>
      <c r="J482" s="96"/>
      <c r="K482" s="99"/>
      <c r="L482" s="99"/>
      <c r="M482" s="96"/>
      <c r="N482" s="96"/>
      <c r="O482" s="79"/>
    </row>
    <row r="483" customFormat="false" ht="15" hidden="false" customHeight="false" outlineLevel="0" collapsed="false">
      <c r="A483" s="98"/>
      <c r="B483" s="79"/>
      <c r="C483" s="102" t="str">
        <f aca="false">IF(B483="","",IFERROR(INDEX(الموظفون!$C$6:$C$105,MATCH(B483,الموظفون!$B$6:$B$105,0)),"✖ رقم غير موجود"))</f>
        <v/>
      </c>
      <c r="D483" s="99"/>
      <c r="E483" s="99"/>
      <c r="F483" s="99"/>
      <c r="G483" s="96"/>
      <c r="H483" s="96"/>
      <c r="I483" s="96"/>
      <c r="J483" s="96"/>
      <c r="K483" s="99"/>
      <c r="L483" s="99"/>
      <c r="M483" s="96"/>
      <c r="N483" s="96"/>
      <c r="O483" s="79"/>
    </row>
    <row r="484" customFormat="false" ht="15" hidden="false" customHeight="false" outlineLevel="0" collapsed="false">
      <c r="A484" s="98"/>
      <c r="B484" s="79"/>
      <c r="C484" s="80" t="str">
        <f aca="false">IF(B484="","",IFERROR(INDEX(الموظفون!$C$6:$C$105,MATCH(B484,الموظفون!$B$6:$B$105,0)),"✖ رقم غير موجود"))</f>
        <v/>
      </c>
      <c r="D484" s="99"/>
      <c r="E484" s="99"/>
      <c r="F484" s="99"/>
      <c r="G484" s="96"/>
      <c r="H484" s="96"/>
      <c r="I484" s="96"/>
      <c r="J484" s="96"/>
      <c r="K484" s="99"/>
      <c r="L484" s="99"/>
      <c r="M484" s="96"/>
      <c r="N484" s="96"/>
      <c r="O484" s="79"/>
    </row>
    <row r="485" customFormat="false" ht="15" hidden="false" customHeight="false" outlineLevel="0" collapsed="false">
      <c r="A485" s="98"/>
      <c r="B485" s="79"/>
      <c r="C485" s="102" t="str">
        <f aca="false">IF(B485="","",IFERROR(INDEX(الموظفون!$C$6:$C$105,MATCH(B485,الموظفون!$B$6:$B$105,0)),"✖ رقم غير موجود"))</f>
        <v/>
      </c>
      <c r="D485" s="99"/>
      <c r="E485" s="99"/>
      <c r="F485" s="99"/>
      <c r="G485" s="96"/>
      <c r="H485" s="96"/>
      <c r="I485" s="96"/>
      <c r="J485" s="96"/>
      <c r="K485" s="99"/>
      <c r="L485" s="99"/>
      <c r="M485" s="96"/>
      <c r="N485" s="96"/>
      <c r="O485" s="79"/>
    </row>
    <row r="486" customFormat="false" ht="15" hidden="false" customHeight="false" outlineLevel="0" collapsed="false">
      <c r="A486" s="98"/>
      <c r="B486" s="79"/>
      <c r="C486" s="80" t="str">
        <f aca="false">IF(B486="","",IFERROR(INDEX(الموظفون!$C$6:$C$105,MATCH(B486,الموظفون!$B$6:$B$105,0)),"✖ رقم غير موجود"))</f>
        <v/>
      </c>
      <c r="D486" s="99"/>
      <c r="E486" s="99"/>
      <c r="F486" s="99"/>
      <c r="G486" s="96"/>
      <c r="H486" s="96"/>
      <c r="I486" s="96"/>
      <c r="J486" s="96"/>
      <c r="K486" s="99"/>
      <c r="L486" s="99"/>
      <c r="M486" s="96"/>
      <c r="N486" s="96"/>
      <c r="O486" s="79"/>
    </row>
    <row r="487" customFormat="false" ht="15" hidden="false" customHeight="false" outlineLevel="0" collapsed="false">
      <c r="A487" s="98"/>
      <c r="B487" s="79"/>
      <c r="C487" s="102" t="str">
        <f aca="false">IF(B487="","",IFERROR(INDEX(الموظفون!$C$6:$C$105,MATCH(B487,الموظفون!$B$6:$B$105,0)),"✖ رقم غير موجود"))</f>
        <v/>
      </c>
      <c r="D487" s="99"/>
      <c r="E487" s="99"/>
      <c r="F487" s="99"/>
      <c r="G487" s="96"/>
      <c r="H487" s="96"/>
      <c r="I487" s="96"/>
      <c r="J487" s="96"/>
      <c r="K487" s="99"/>
      <c r="L487" s="99"/>
      <c r="M487" s="96"/>
      <c r="N487" s="96"/>
      <c r="O487" s="79"/>
    </row>
    <row r="488" customFormat="false" ht="15" hidden="false" customHeight="false" outlineLevel="0" collapsed="false">
      <c r="A488" s="98"/>
      <c r="B488" s="79"/>
      <c r="C488" s="80" t="str">
        <f aca="false">IF(B488="","",IFERROR(INDEX(الموظفون!$C$6:$C$105,MATCH(B488,الموظفون!$B$6:$B$105,0)),"✖ رقم غير موجود"))</f>
        <v/>
      </c>
      <c r="D488" s="99"/>
      <c r="E488" s="99"/>
      <c r="F488" s="99"/>
      <c r="G488" s="96"/>
      <c r="H488" s="96"/>
      <c r="I488" s="96"/>
      <c r="J488" s="96"/>
      <c r="K488" s="99"/>
      <c r="L488" s="99"/>
      <c r="M488" s="96"/>
      <c r="N488" s="96"/>
      <c r="O488" s="79"/>
    </row>
    <row r="489" customFormat="false" ht="15" hidden="false" customHeight="false" outlineLevel="0" collapsed="false">
      <c r="A489" s="98"/>
      <c r="B489" s="79"/>
      <c r="C489" s="102" t="str">
        <f aca="false">IF(B489="","",IFERROR(INDEX(الموظفون!$C$6:$C$105,MATCH(B489,الموظفون!$B$6:$B$105,0)),"✖ رقم غير موجود"))</f>
        <v/>
      </c>
      <c r="D489" s="99"/>
      <c r="E489" s="99"/>
      <c r="F489" s="99"/>
      <c r="G489" s="96"/>
      <c r="H489" s="96"/>
      <c r="I489" s="96"/>
      <c r="J489" s="96"/>
      <c r="K489" s="99"/>
      <c r="L489" s="99"/>
      <c r="M489" s="96"/>
      <c r="N489" s="96"/>
      <c r="O489" s="79"/>
    </row>
    <row r="490" customFormat="false" ht="15" hidden="false" customHeight="false" outlineLevel="0" collapsed="false">
      <c r="A490" s="98"/>
      <c r="B490" s="79"/>
      <c r="C490" s="80" t="str">
        <f aca="false">IF(B490="","",IFERROR(INDEX(الموظفون!$C$6:$C$105,MATCH(B490,الموظفون!$B$6:$B$105,0)),"✖ رقم غير موجود"))</f>
        <v/>
      </c>
      <c r="D490" s="99"/>
      <c r="E490" s="99"/>
      <c r="F490" s="99"/>
      <c r="G490" s="96"/>
      <c r="H490" s="96"/>
      <c r="I490" s="96"/>
      <c r="J490" s="96"/>
      <c r="K490" s="99"/>
      <c r="L490" s="99"/>
      <c r="M490" s="96"/>
      <c r="N490" s="96"/>
      <c r="O490" s="79"/>
    </row>
    <row r="491" customFormat="false" ht="15" hidden="false" customHeight="false" outlineLevel="0" collapsed="false">
      <c r="A491" s="98"/>
      <c r="B491" s="79"/>
      <c r="C491" s="102" t="str">
        <f aca="false">IF(B491="","",IFERROR(INDEX(الموظفون!$C$6:$C$105,MATCH(B491,الموظفون!$B$6:$B$105,0)),"✖ رقم غير موجود"))</f>
        <v/>
      </c>
      <c r="D491" s="99"/>
      <c r="E491" s="99"/>
      <c r="F491" s="99"/>
      <c r="G491" s="96"/>
      <c r="H491" s="96"/>
      <c r="I491" s="96"/>
      <c r="J491" s="96"/>
      <c r="K491" s="99"/>
      <c r="L491" s="99"/>
      <c r="M491" s="96"/>
      <c r="N491" s="96"/>
      <c r="O491" s="79"/>
    </row>
    <row r="492" customFormat="false" ht="15" hidden="false" customHeight="false" outlineLevel="0" collapsed="false">
      <c r="A492" s="98"/>
      <c r="B492" s="79"/>
      <c r="C492" s="80" t="str">
        <f aca="false">IF(B492="","",IFERROR(INDEX(الموظفون!$C$6:$C$105,MATCH(B492,الموظفون!$B$6:$B$105,0)),"✖ رقم غير موجود"))</f>
        <v/>
      </c>
      <c r="D492" s="99"/>
      <c r="E492" s="99"/>
      <c r="F492" s="99"/>
      <c r="G492" s="96"/>
      <c r="H492" s="96"/>
      <c r="I492" s="96"/>
      <c r="J492" s="96"/>
      <c r="K492" s="99"/>
      <c r="L492" s="99"/>
      <c r="M492" s="96"/>
      <c r="N492" s="96"/>
      <c r="O492" s="79"/>
    </row>
    <row r="493" customFormat="false" ht="15" hidden="false" customHeight="false" outlineLevel="0" collapsed="false">
      <c r="A493" s="98"/>
      <c r="B493" s="79"/>
      <c r="C493" s="102" t="str">
        <f aca="false">IF(B493="","",IFERROR(INDEX(الموظفون!$C$6:$C$105,MATCH(B493,الموظفون!$B$6:$B$105,0)),"✖ رقم غير موجود"))</f>
        <v/>
      </c>
      <c r="D493" s="99"/>
      <c r="E493" s="99"/>
      <c r="F493" s="99"/>
      <c r="G493" s="96"/>
      <c r="H493" s="96"/>
      <c r="I493" s="96"/>
      <c r="J493" s="96"/>
      <c r="K493" s="99"/>
      <c r="L493" s="99"/>
      <c r="M493" s="96"/>
      <c r="N493" s="96"/>
      <c r="O493" s="79"/>
    </row>
    <row r="494" customFormat="false" ht="15" hidden="false" customHeight="false" outlineLevel="0" collapsed="false">
      <c r="A494" s="98"/>
      <c r="B494" s="79"/>
      <c r="C494" s="80" t="str">
        <f aca="false">IF(B494="","",IFERROR(INDEX(الموظفون!$C$6:$C$105,MATCH(B494,الموظفون!$B$6:$B$105,0)),"✖ رقم غير موجود"))</f>
        <v/>
      </c>
      <c r="D494" s="99"/>
      <c r="E494" s="99"/>
      <c r="F494" s="99"/>
      <c r="G494" s="96"/>
      <c r="H494" s="96"/>
      <c r="I494" s="96"/>
      <c r="J494" s="96"/>
      <c r="K494" s="99"/>
      <c r="L494" s="99"/>
      <c r="M494" s="96"/>
      <c r="N494" s="96"/>
      <c r="O494" s="79"/>
    </row>
    <row r="495" customFormat="false" ht="15" hidden="false" customHeight="false" outlineLevel="0" collapsed="false">
      <c r="A495" s="98"/>
      <c r="B495" s="79"/>
      <c r="C495" s="102" t="str">
        <f aca="false">IF(B495="","",IFERROR(INDEX(الموظفون!$C$6:$C$105,MATCH(B495,الموظفون!$B$6:$B$105,0)),"✖ رقم غير موجود"))</f>
        <v/>
      </c>
      <c r="D495" s="99"/>
      <c r="E495" s="99"/>
      <c r="F495" s="99"/>
      <c r="G495" s="96"/>
      <c r="H495" s="96"/>
      <c r="I495" s="96"/>
      <c r="J495" s="96"/>
      <c r="K495" s="99"/>
      <c r="L495" s="99"/>
      <c r="M495" s="96"/>
      <c r="N495" s="96"/>
      <c r="O495" s="79"/>
    </row>
    <row r="496" customFormat="false" ht="15" hidden="false" customHeight="false" outlineLevel="0" collapsed="false">
      <c r="A496" s="98"/>
      <c r="B496" s="79"/>
      <c r="C496" s="80" t="str">
        <f aca="false">IF(B496="","",IFERROR(INDEX(الموظفون!$C$6:$C$105,MATCH(B496,الموظفون!$B$6:$B$105,0)),"✖ رقم غير موجود"))</f>
        <v/>
      </c>
      <c r="D496" s="99"/>
      <c r="E496" s="99"/>
      <c r="F496" s="99"/>
      <c r="G496" s="96"/>
      <c r="H496" s="96"/>
      <c r="I496" s="96"/>
      <c r="J496" s="96"/>
      <c r="K496" s="99"/>
      <c r="L496" s="99"/>
      <c r="M496" s="96"/>
      <c r="N496" s="96"/>
      <c r="O496" s="79"/>
    </row>
    <row r="497" customFormat="false" ht="15" hidden="false" customHeight="false" outlineLevel="0" collapsed="false">
      <c r="A497" s="98"/>
      <c r="B497" s="79"/>
      <c r="C497" s="102" t="str">
        <f aca="false">IF(B497="","",IFERROR(INDEX(الموظفون!$C$6:$C$105,MATCH(B497,الموظفون!$B$6:$B$105,0)),"✖ رقم غير موجود"))</f>
        <v/>
      </c>
      <c r="D497" s="99"/>
      <c r="E497" s="99"/>
      <c r="F497" s="99"/>
      <c r="G497" s="96"/>
      <c r="H497" s="96"/>
      <c r="I497" s="96"/>
      <c r="J497" s="96"/>
      <c r="K497" s="99"/>
      <c r="L497" s="99"/>
      <c r="M497" s="96"/>
      <c r="N497" s="96"/>
      <c r="O497" s="79"/>
    </row>
    <row r="498" customFormat="false" ht="15" hidden="false" customHeight="false" outlineLevel="0" collapsed="false">
      <c r="A498" s="98"/>
      <c r="B498" s="79"/>
      <c r="C498" s="80" t="str">
        <f aca="false">IF(B498="","",IFERROR(INDEX(الموظفون!$C$6:$C$105,MATCH(B498,الموظفون!$B$6:$B$105,0)),"✖ رقم غير موجود"))</f>
        <v/>
      </c>
      <c r="D498" s="99"/>
      <c r="E498" s="99"/>
      <c r="F498" s="99"/>
      <c r="G498" s="96"/>
      <c r="H498" s="96"/>
      <c r="I498" s="96"/>
      <c r="J498" s="96"/>
      <c r="K498" s="99"/>
      <c r="L498" s="99"/>
      <c r="M498" s="96"/>
      <c r="N498" s="96"/>
      <c r="O498" s="79"/>
    </row>
    <row r="499" customFormat="false" ht="15" hidden="false" customHeight="false" outlineLevel="0" collapsed="false">
      <c r="A499" s="98"/>
      <c r="B499" s="79"/>
      <c r="C499" s="102" t="str">
        <f aca="false">IF(B499="","",IFERROR(INDEX(الموظفون!$C$6:$C$105,MATCH(B499,الموظفون!$B$6:$B$105,0)),"✖ رقم غير موجود"))</f>
        <v/>
      </c>
      <c r="D499" s="99"/>
      <c r="E499" s="99"/>
      <c r="F499" s="99"/>
      <c r="G499" s="96"/>
      <c r="H499" s="96"/>
      <c r="I499" s="96"/>
      <c r="J499" s="96"/>
      <c r="K499" s="99"/>
      <c r="L499" s="99"/>
      <c r="M499" s="96"/>
      <c r="N499" s="96"/>
      <c r="O499" s="79"/>
    </row>
    <row r="500" customFormat="false" ht="15" hidden="false" customHeight="false" outlineLevel="0" collapsed="false">
      <c r="A500" s="98"/>
      <c r="B500" s="79"/>
      <c r="C500" s="80" t="str">
        <f aca="false">IF(B500="","",IFERROR(INDEX(الموظفون!$C$6:$C$105,MATCH(B500,الموظفون!$B$6:$B$105,0)),"✖ رقم غير موجود"))</f>
        <v/>
      </c>
      <c r="D500" s="99"/>
      <c r="E500" s="99"/>
      <c r="F500" s="99"/>
      <c r="G500" s="96"/>
      <c r="H500" s="96"/>
      <c r="I500" s="96"/>
      <c r="J500" s="96"/>
      <c r="K500" s="99"/>
      <c r="L500" s="99"/>
      <c r="M500" s="96"/>
      <c r="N500" s="96"/>
      <c r="O500" s="79"/>
    </row>
    <row r="501" customFormat="false" ht="15" hidden="false" customHeight="false" outlineLevel="0" collapsed="false">
      <c r="A501" s="98"/>
      <c r="B501" s="79"/>
      <c r="C501" s="102" t="str">
        <f aca="false">IF(B501="","",IFERROR(INDEX(الموظفون!$C$6:$C$105,MATCH(B501,الموظفون!$B$6:$B$105,0)),"✖ رقم غير موجود"))</f>
        <v/>
      </c>
      <c r="D501" s="99"/>
      <c r="E501" s="99"/>
      <c r="F501" s="99"/>
      <c r="G501" s="96"/>
      <c r="H501" s="96"/>
      <c r="I501" s="96"/>
      <c r="J501" s="96"/>
      <c r="K501" s="99"/>
      <c r="L501" s="99"/>
      <c r="M501" s="96"/>
      <c r="N501" s="96"/>
      <c r="O501" s="79"/>
    </row>
    <row r="502" customFormat="false" ht="15" hidden="false" customHeight="false" outlineLevel="0" collapsed="false">
      <c r="A502" s="98"/>
      <c r="B502" s="79"/>
      <c r="C502" s="80" t="str">
        <f aca="false">IF(B502="","",IFERROR(INDEX(الموظفون!$C$6:$C$105,MATCH(B502,الموظفون!$B$6:$B$105,0)),"✖ رقم غير موجود"))</f>
        <v/>
      </c>
      <c r="D502" s="99"/>
      <c r="E502" s="99"/>
      <c r="F502" s="99"/>
      <c r="G502" s="96"/>
      <c r="H502" s="96"/>
      <c r="I502" s="96"/>
      <c r="J502" s="96"/>
      <c r="K502" s="99"/>
      <c r="L502" s="99"/>
      <c r="M502" s="96"/>
      <c r="N502" s="96"/>
      <c r="O502" s="79"/>
    </row>
    <row r="503" customFormat="false" ht="15" hidden="false" customHeight="false" outlineLevel="0" collapsed="false">
      <c r="A503" s="98"/>
      <c r="B503" s="79"/>
      <c r="C503" s="102" t="str">
        <f aca="false">IF(B503="","",IFERROR(INDEX(الموظفون!$C$6:$C$105,MATCH(B503,الموظفون!$B$6:$B$105,0)),"✖ رقم غير موجود"))</f>
        <v/>
      </c>
      <c r="D503" s="99"/>
      <c r="E503" s="99"/>
      <c r="F503" s="99"/>
      <c r="G503" s="96"/>
      <c r="H503" s="96"/>
      <c r="I503" s="96"/>
      <c r="J503" s="96"/>
      <c r="K503" s="99"/>
      <c r="L503" s="99"/>
      <c r="M503" s="96"/>
      <c r="N503" s="96"/>
      <c r="O503" s="79"/>
    </row>
    <row r="504" customFormat="false" ht="15" hidden="false" customHeight="false" outlineLevel="0" collapsed="false">
      <c r="A504" s="98"/>
      <c r="B504" s="79"/>
      <c r="C504" s="80" t="str">
        <f aca="false">IF(B504="","",IFERROR(INDEX(الموظفون!$C$6:$C$105,MATCH(B504,الموظفون!$B$6:$B$105,0)),"✖ رقم غير موجود"))</f>
        <v/>
      </c>
      <c r="D504" s="99"/>
      <c r="E504" s="99"/>
      <c r="F504" s="99"/>
      <c r="G504" s="96"/>
      <c r="H504" s="96"/>
      <c r="I504" s="96"/>
      <c r="J504" s="96"/>
      <c r="K504" s="99"/>
      <c r="L504" s="99"/>
      <c r="M504" s="96"/>
      <c r="N504" s="96"/>
      <c r="O504" s="79"/>
    </row>
    <row r="505" customFormat="false" ht="15" hidden="false" customHeight="false" outlineLevel="0" collapsed="false">
      <c r="A505" s="98"/>
      <c r="B505" s="79"/>
      <c r="C505" s="102" t="str">
        <f aca="false">IF(B505="","",IFERROR(INDEX(الموظفون!$C$6:$C$105,MATCH(B505,الموظفون!$B$6:$B$105,0)),"✖ رقم غير موجود"))</f>
        <v/>
      </c>
      <c r="D505" s="99"/>
      <c r="E505" s="99"/>
      <c r="F505" s="99"/>
      <c r="G505" s="96"/>
      <c r="H505" s="96"/>
      <c r="I505" s="96"/>
      <c r="J505" s="96"/>
      <c r="K505" s="99"/>
      <c r="L505" s="99"/>
      <c r="M505" s="96"/>
      <c r="N505" s="96"/>
      <c r="O505" s="79"/>
    </row>
    <row r="506" customFormat="false" ht="15" hidden="false" customHeight="false" outlineLevel="0" collapsed="false">
      <c r="A506" s="98"/>
      <c r="B506" s="79"/>
      <c r="C506" s="80" t="str">
        <f aca="false">IF(B506="","",IFERROR(INDEX(الموظفون!$C$6:$C$105,MATCH(B506,الموظفون!$B$6:$B$105,0)),"✖ رقم غير موجود"))</f>
        <v/>
      </c>
      <c r="D506" s="99"/>
      <c r="E506" s="99"/>
      <c r="F506" s="99"/>
      <c r="G506" s="96"/>
      <c r="H506" s="96"/>
      <c r="I506" s="96"/>
      <c r="J506" s="96"/>
      <c r="K506" s="99"/>
      <c r="L506" s="99"/>
      <c r="M506" s="96"/>
      <c r="N506" s="96"/>
      <c r="O506" s="79"/>
    </row>
    <row r="507" customFormat="false" ht="15" hidden="false" customHeight="false" outlineLevel="0" collapsed="false">
      <c r="A507" s="98"/>
      <c r="B507" s="79"/>
      <c r="C507" s="102" t="str">
        <f aca="false">IF(B507="","",IFERROR(INDEX(الموظفون!$C$6:$C$105,MATCH(B507,الموظفون!$B$6:$B$105,0)),"✖ رقم غير موجود"))</f>
        <v/>
      </c>
      <c r="D507" s="99"/>
      <c r="E507" s="99"/>
      <c r="F507" s="99"/>
      <c r="G507" s="96"/>
      <c r="H507" s="96"/>
      <c r="I507" s="96"/>
      <c r="J507" s="96"/>
      <c r="K507" s="99"/>
      <c r="L507" s="99"/>
      <c r="M507" s="96"/>
      <c r="N507" s="96"/>
      <c r="O507" s="79"/>
    </row>
    <row r="508" customFormat="false" ht="15" hidden="false" customHeight="false" outlineLevel="0" collapsed="false">
      <c r="A508" s="98"/>
      <c r="B508" s="79"/>
      <c r="C508" s="80" t="str">
        <f aca="false">IF(B508="","",IFERROR(INDEX(الموظفون!$C$6:$C$105,MATCH(B508,الموظفون!$B$6:$B$105,0)),"✖ رقم غير موجود"))</f>
        <v/>
      </c>
      <c r="D508" s="99"/>
      <c r="E508" s="99"/>
      <c r="F508" s="99"/>
      <c r="G508" s="96"/>
      <c r="H508" s="96"/>
      <c r="I508" s="96"/>
      <c r="J508" s="96"/>
      <c r="K508" s="99"/>
      <c r="L508" s="99"/>
      <c r="M508" s="96"/>
      <c r="N508" s="96"/>
      <c r="O508" s="79"/>
    </row>
    <row r="509" customFormat="false" ht="15" hidden="false" customHeight="false" outlineLevel="0" collapsed="false">
      <c r="A509" s="98"/>
      <c r="B509" s="79"/>
      <c r="C509" s="102" t="str">
        <f aca="false">IF(B509="","",IFERROR(INDEX(الموظفون!$C$6:$C$105,MATCH(B509,الموظفون!$B$6:$B$105,0)),"✖ رقم غير موجود"))</f>
        <v/>
      </c>
      <c r="D509" s="99"/>
      <c r="E509" s="99"/>
      <c r="F509" s="99"/>
      <c r="G509" s="96"/>
      <c r="H509" s="96"/>
      <c r="I509" s="96"/>
      <c r="J509" s="96"/>
      <c r="K509" s="99"/>
      <c r="L509" s="99"/>
      <c r="M509" s="96"/>
      <c r="N509" s="96"/>
      <c r="O509" s="79"/>
    </row>
    <row r="510" customFormat="false" ht="15" hidden="false" customHeight="false" outlineLevel="0" collapsed="false">
      <c r="A510" s="98"/>
      <c r="B510" s="79"/>
      <c r="C510" s="80" t="str">
        <f aca="false">IF(B510="","",IFERROR(INDEX(الموظفون!$C$6:$C$105,MATCH(B510,الموظفون!$B$6:$B$105,0)),"✖ رقم غير موجود"))</f>
        <v/>
      </c>
      <c r="D510" s="99"/>
      <c r="E510" s="99"/>
      <c r="F510" s="99"/>
      <c r="G510" s="96"/>
      <c r="H510" s="96"/>
      <c r="I510" s="96"/>
      <c r="J510" s="96"/>
      <c r="K510" s="99"/>
      <c r="L510" s="99"/>
      <c r="M510" s="96"/>
      <c r="N510" s="96"/>
      <c r="O510" s="79"/>
    </row>
    <row r="511" customFormat="false" ht="15" hidden="false" customHeight="false" outlineLevel="0" collapsed="false">
      <c r="A511" s="98"/>
      <c r="B511" s="79"/>
      <c r="C511" s="102" t="str">
        <f aca="false">IF(B511="","",IFERROR(INDEX(الموظفون!$C$6:$C$105,MATCH(B511,الموظفون!$B$6:$B$105,0)),"✖ رقم غير موجود"))</f>
        <v/>
      </c>
      <c r="D511" s="99"/>
      <c r="E511" s="99"/>
      <c r="F511" s="99"/>
      <c r="G511" s="96"/>
      <c r="H511" s="96"/>
      <c r="I511" s="96"/>
      <c r="J511" s="96"/>
      <c r="K511" s="99"/>
      <c r="L511" s="99"/>
      <c r="M511" s="96"/>
      <c r="N511" s="96"/>
      <c r="O511" s="79"/>
    </row>
    <row r="512" customFormat="false" ht="15" hidden="false" customHeight="false" outlineLevel="0" collapsed="false">
      <c r="A512" s="98"/>
      <c r="B512" s="79"/>
      <c r="C512" s="80" t="str">
        <f aca="false">IF(B512="","",IFERROR(INDEX(الموظفون!$C$6:$C$105,MATCH(B512,الموظفون!$B$6:$B$105,0)),"✖ رقم غير موجود"))</f>
        <v/>
      </c>
      <c r="D512" s="99"/>
      <c r="E512" s="99"/>
      <c r="F512" s="99"/>
      <c r="G512" s="96"/>
      <c r="H512" s="96"/>
      <c r="I512" s="96"/>
      <c r="J512" s="96"/>
      <c r="K512" s="99"/>
      <c r="L512" s="99"/>
      <c r="M512" s="96"/>
      <c r="N512" s="96"/>
      <c r="O512" s="79"/>
    </row>
    <row r="513" customFormat="false" ht="15" hidden="false" customHeight="false" outlineLevel="0" collapsed="false">
      <c r="A513" s="98"/>
      <c r="B513" s="79"/>
      <c r="C513" s="102" t="str">
        <f aca="false">IF(B513="","",IFERROR(INDEX(الموظفون!$C$6:$C$105,MATCH(B513,الموظفون!$B$6:$B$105,0)),"✖ رقم غير موجود"))</f>
        <v/>
      </c>
      <c r="D513" s="99"/>
      <c r="E513" s="99"/>
      <c r="F513" s="99"/>
      <c r="G513" s="96"/>
      <c r="H513" s="96"/>
      <c r="I513" s="96"/>
      <c r="J513" s="96"/>
      <c r="K513" s="99"/>
      <c r="L513" s="99"/>
      <c r="M513" s="96"/>
      <c r="N513" s="96"/>
      <c r="O513" s="79"/>
    </row>
    <row r="514" customFormat="false" ht="15" hidden="false" customHeight="false" outlineLevel="0" collapsed="false">
      <c r="A514" s="98"/>
      <c r="B514" s="79"/>
      <c r="C514" s="80" t="str">
        <f aca="false">IF(B514="","",IFERROR(INDEX(الموظفون!$C$6:$C$105,MATCH(B514,الموظفون!$B$6:$B$105,0)),"✖ رقم غير موجود"))</f>
        <v/>
      </c>
      <c r="D514" s="99"/>
      <c r="E514" s="99"/>
      <c r="F514" s="99"/>
      <c r="G514" s="96"/>
      <c r="H514" s="96"/>
      <c r="I514" s="96"/>
      <c r="J514" s="96"/>
      <c r="K514" s="99"/>
      <c r="L514" s="99"/>
      <c r="M514" s="96"/>
      <c r="N514" s="96"/>
      <c r="O514" s="79"/>
    </row>
    <row r="515" customFormat="false" ht="15" hidden="false" customHeight="false" outlineLevel="0" collapsed="false">
      <c r="A515" s="98"/>
      <c r="B515" s="79"/>
      <c r="C515" s="102" t="str">
        <f aca="false">IF(B515="","",IFERROR(INDEX(الموظفون!$C$6:$C$105,MATCH(B515,الموظفون!$B$6:$B$105,0)),"✖ رقم غير موجود"))</f>
        <v/>
      </c>
      <c r="D515" s="99"/>
      <c r="E515" s="99"/>
      <c r="F515" s="99"/>
      <c r="G515" s="96"/>
      <c r="H515" s="96"/>
      <c r="I515" s="96"/>
      <c r="J515" s="96"/>
      <c r="K515" s="99"/>
      <c r="L515" s="99"/>
      <c r="M515" s="96"/>
      <c r="N515" s="96"/>
      <c r="O515" s="79"/>
    </row>
    <row r="516" customFormat="false" ht="15" hidden="false" customHeight="false" outlineLevel="0" collapsed="false">
      <c r="A516" s="98"/>
      <c r="B516" s="79"/>
      <c r="C516" s="80" t="str">
        <f aca="false">IF(B516="","",IFERROR(INDEX(الموظفون!$C$6:$C$105,MATCH(B516,الموظفون!$B$6:$B$105,0)),"✖ رقم غير موجود"))</f>
        <v/>
      </c>
      <c r="D516" s="99"/>
      <c r="E516" s="99"/>
      <c r="F516" s="99"/>
      <c r="G516" s="96"/>
      <c r="H516" s="96"/>
      <c r="I516" s="96"/>
      <c r="J516" s="96"/>
      <c r="K516" s="99"/>
      <c r="L516" s="99"/>
      <c r="M516" s="96"/>
      <c r="N516" s="96"/>
      <c r="O516" s="79"/>
    </row>
    <row r="517" customFormat="false" ht="15" hidden="false" customHeight="false" outlineLevel="0" collapsed="false">
      <c r="A517" s="98"/>
      <c r="B517" s="79"/>
      <c r="C517" s="102" t="str">
        <f aca="false">IF(B517="","",IFERROR(INDEX(الموظفون!$C$6:$C$105,MATCH(B517,الموظفون!$B$6:$B$105,0)),"✖ رقم غير موجود"))</f>
        <v/>
      </c>
      <c r="D517" s="99"/>
      <c r="E517" s="99"/>
      <c r="F517" s="99"/>
      <c r="G517" s="96"/>
      <c r="H517" s="96"/>
      <c r="I517" s="96"/>
      <c r="J517" s="96"/>
      <c r="K517" s="99"/>
      <c r="L517" s="99"/>
      <c r="M517" s="96"/>
      <c r="N517" s="96"/>
      <c r="O517" s="79"/>
    </row>
    <row r="518" customFormat="false" ht="15" hidden="false" customHeight="false" outlineLevel="0" collapsed="false">
      <c r="A518" s="98"/>
      <c r="B518" s="79"/>
      <c r="C518" s="80" t="str">
        <f aca="false">IF(B518="","",IFERROR(INDEX(الموظفون!$C$6:$C$105,MATCH(B518,الموظفون!$B$6:$B$105,0)),"✖ رقم غير موجود"))</f>
        <v/>
      </c>
      <c r="D518" s="99"/>
      <c r="E518" s="99"/>
      <c r="F518" s="99"/>
      <c r="G518" s="96"/>
      <c r="H518" s="96"/>
      <c r="I518" s="96"/>
      <c r="J518" s="96"/>
      <c r="K518" s="99"/>
      <c r="L518" s="99"/>
      <c r="M518" s="96"/>
      <c r="N518" s="96"/>
      <c r="O518" s="79"/>
    </row>
    <row r="519" customFormat="false" ht="15" hidden="false" customHeight="false" outlineLevel="0" collapsed="false">
      <c r="A519" s="98"/>
      <c r="B519" s="79"/>
      <c r="C519" s="102" t="str">
        <f aca="false">IF(B519="","",IFERROR(INDEX(الموظفون!$C$6:$C$105,MATCH(B519,الموظفون!$B$6:$B$105,0)),"✖ رقم غير موجود"))</f>
        <v/>
      </c>
      <c r="D519" s="99"/>
      <c r="E519" s="99"/>
      <c r="F519" s="99"/>
      <c r="G519" s="96"/>
      <c r="H519" s="96"/>
      <c r="I519" s="96"/>
      <c r="J519" s="96"/>
      <c r="K519" s="99"/>
      <c r="L519" s="99"/>
      <c r="M519" s="96"/>
      <c r="N519" s="96"/>
      <c r="O519" s="79"/>
    </row>
    <row r="520" customFormat="false" ht="15" hidden="false" customHeight="false" outlineLevel="0" collapsed="false">
      <c r="A520" s="98"/>
      <c r="B520" s="79"/>
      <c r="C520" s="80" t="str">
        <f aca="false">IF(B520="","",IFERROR(INDEX(الموظفون!$C$6:$C$105,MATCH(B520,الموظفون!$B$6:$B$105,0)),"✖ رقم غير موجود"))</f>
        <v/>
      </c>
      <c r="D520" s="99"/>
      <c r="E520" s="99"/>
      <c r="F520" s="99"/>
      <c r="G520" s="96"/>
      <c r="H520" s="96"/>
      <c r="I520" s="96"/>
      <c r="J520" s="96"/>
      <c r="K520" s="99"/>
      <c r="L520" s="99"/>
      <c r="M520" s="96"/>
      <c r="N520" s="96"/>
      <c r="O520" s="79"/>
    </row>
    <row r="521" customFormat="false" ht="15" hidden="false" customHeight="false" outlineLevel="0" collapsed="false">
      <c r="A521" s="98"/>
      <c r="B521" s="79"/>
      <c r="C521" s="102" t="str">
        <f aca="false">IF(B521="","",IFERROR(INDEX(الموظفون!$C$6:$C$105,MATCH(B521,الموظفون!$B$6:$B$105,0)),"✖ رقم غير موجود"))</f>
        <v/>
      </c>
      <c r="D521" s="99"/>
      <c r="E521" s="99"/>
      <c r="F521" s="99"/>
      <c r="G521" s="96"/>
      <c r="H521" s="96"/>
      <c r="I521" s="96"/>
      <c r="J521" s="96"/>
      <c r="K521" s="99"/>
      <c r="L521" s="99"/>
      <c r="M521" s="96"/>
      <c r="N521" s="96"/>
      <c r="O521" s="79"/>
    </row>
    <row r="522" customFormat="false" ht="15" hidden="false" customHeight="false" outlineLevel="0" collapsed="false">
      <c r="A522" s="98"/>
      <c r="B522" s="79"/>
      <c r="C522" s="80" t="str">
        <f aca="false">IF(B522="","",IFERROR(INDEX(الموظفون!$C$6:$C$105,MATCH(B522,الموظفون!$B$6:$B$105,0)),"✖ رقم غير موجود"))</f>
        <v/>
      </c>
      <c r="D522" s="99"/>
      <c r="E522" s="99"/>
      <c r="F522" s="99"/>
      <c r="G522" s="96"/>
      <c r="H522" s="96"/>
      <c r="I522" s="96"/>
      <c r="J522" s="96"/>
      <c r="K522" s="99"/>
      <c r="L522" s="99"/>
      <c r="M522" s="96"/>
      <c r="N522" s="96"/>
      <c r="O522" s="79"/>
    </row>
    <row r="523" customFormat="false" ht="15" hidden="false" customHeight="false" outlineLevel="0" collapsed="false">
      <c r="A523" s="98"/>
      <c r="B523" s="79"/>
      <c r="C523" s="102" t="str">
        <f aca="false">IF(B523="","",IFERROR(INDEX(الموظفون!$C$6:$C$105,MATCH(B523,الموظفون!$B$6:$B$105,0)),"✖ رقم غير موجود"))</f>
        <v/>
      </c>
      <c r="D523" s="99"/>
      <c r="E523" s="99"/>
      <c r="F523" s="99"/>
      <c r="G523" s="96"/>
      <c r="H523" s="96"/>
      <c r="I523" s="96"/>
      <c r="J523" s="96"/>
      <c r="K523" s="99"/>
      <c r="L523" s="99"/>
      <c r="M523" s="96"/>
      <c r="N523" s="96"/>
      <c r="O523" s="79"/>
    </row>
    <row r="524" customFormat="false" ht="15" hidden="false" customHeight="false" outlineLevel="0" collapsed="false">
      <c r="A524" s="98"/>
      <c r="B524" s="79"/>
      <c r="C524" s="80" t="str">
        <f aca="false">IF(B524="","",IFERROR(INDEX(الموظفون!$C$6:$C$105,MATCH(B524,الموظفون!$B$6:$B$105,0)),"✖ رقم غير موجود"))</f>
        <v/>
      </c>
      <c r="D524" s="99"/>
      <c r="E524" s="99"/>
      <c r="F524" s="99"/>
      <c r="G524" s="96"/>
      <c r="H524" s="96"/>
      <c r="I524" s="96"/>
      <c r="J524" s="96"/>
      <c r="K524" s="99"/>
      <c r="L524" s="99"/>
      <c r="M524" s="96"/>
      <c r="N524" s="96"/>
      <c r="O524" s="79"/>
    </row>
    <row r="525" customFormat="false" ht="15" hidden="false" customHeight="false" outlineLevel="0" collapsed="false">
      <c r="A525" s="98"/>
      <c r="B525" s="79"/>
      <c r="C525" s="102" t="str">
        <f aca="false">IF(B525="","",IFERROR(INDEX(الموظفون!$C$6:$C$105,MATCH(B525,الموظفون!$B$6:$B$105,0)),"✖ رقم غير موجود"))</f>
        <v/>
      </c>
      <c r="D525" s="99"/>
      <c r="E525" s="99"/>
      <c r="F525" s="99"/>
      <c r="G525" s="96"/>
      <c r="H525" s="96"/>
      <c r="I525" s="96"/>
      <c r="J525" s="96"/>
      <c r="K525" s="99"/>
      <c r="L525" s="99"/>
      <c r="M525" s="96"/>
      <c r="N525" s="96"/>
      <c r="O525" s="79"/>
    </row>
    <row r="526" customFormat="false" ht="15" hidden="false" customHeight="false" outlineLevel="0" collapsed="false">
      <c r="A526" s="98"/>
      <c r="B526" s="79"/>
      <c r="C526" s="80" t="str">
        <f aca="false">IF(B526="","",IFERROR(INDEX(الموظفون!$C$6:$C$105,MATCH(B526,الموظفون!$B$6:$B$105,0)),"✖ رقم غير موجود"))</f>
        <v/>
      </c>
      <c r="D526" s="99"/>
      <c r="E526" s="99"/>
      <c r="F526" s="99"/>
      <c r="G526" s="96"/>
      <c r="H526" s="96"/>
      <c r="I526" s="96"/>
      <c r="J526" s="96"/>
      <c r="K526" s="99"/>
      <c r="L526" s="99"/>
      <c r="M526" s="96"/>
      <c r="N526" s="96"/>
      <c r="O526" s="79"/>
    </row>
    <row r="527" customFormat="false" ht="15" hidden="false" customHeight="false" outlineLevel="0" collapsed="false">
      <c r="A527" s="98"/>
      <c r="B527" s="79"/>
      <c r="C527" s="102" t="str">
        <f aca="false">IF(B527="","",IFERROR(INDEX(الموظفون!$C$6:$C$105,MATCH(B527,الموظفون!$B$6:$B$105,0)),"✖ رقم غير موجود"))</f>
        <v/>
      </c>
      <c r="D527" s="99"/>
      <c r="E527" s="99"/>
      <c r="F527" s="99"/>
      <c r="G527" s="96"/>
      <c r="H527" s="96"/>
      <c r="I527" s="96"/>
      <c r="J527" s="96"/>
      <c r="K527" s="99"/>
      <c r="L527" s="99"/>
      <c r="M527" s="96"/>
      <c r="N527" s="96"/>
      <c r="O527" s="79"/>
    </row>
    <row r="528" customFormat="false" ht="15" hidden="false" customHeight="false" outlineLevel="0" collapsed="false">
      <c r="A528" s="98"/>
      <c r="B528" s="79"/>
      <c r="C528" s="80" t="str">
        <f aca="false">IF(B528="","",IFERROR(INDEX(الموظفون!$C$6:$C$105,MATCH(B528,الموظفون!$B$6:$B$105,0)),"✖ رقم غير موجود"))</f>
        <v/>
      </c>
      <c r="D528" s="99"/>
      <c r="E528" s="99"/>
      <c r="F528" s="99"/>
      <c r="G528" s="96"/>
      <c r="H528" s="96"/>
      <c r="I528" s="96"/>
      <c r="J528" s="96"/>
      <c r="K528" s="99"/>
      <c r="L528" s="99"/>
      <c r="M528" s="96"/>
      <c r="N528" s="96"/>
      <c r="O528" s="79"/>
    </row>
    <row r="529" customFormat="false" ht="15" hidden="false" customHeight="false" outlineLevel="0" collapsed="false">
      <c r="A529" s="98"/>
      <c r="B529" s="79"/>
      <c r="C529" s="102" t="str">
        <f aca="false">IF(B529="","",IFERROR(INDEX(الموظفون!$C$6:$C$105,MATCH(B529,الموظفون!$B$6:$B$105,0)),"✖ رقم غير موجود"))</f>
        <v/>
      </c>
      <c r="D529" s="99"/>
      <c r="E529" s="99"/>
      <c r="F529" s="99"/>
      <c r="G529" s="96"/>
      <c r="H529" s="96"/>
      <c r="I529" s="96"/>
      <c r="J529" s="96"/>
      <c r="K529" s="99"/>
      <c r="L529" s="99"/>
      <c r="M529" s="96"/>
      <c r="N529" s="96"/>
      <c r="O529" s="79"/>
    </row>
    <row r="530" customFormat="false" ht="15" hidden="false" customHeight="false" outlineLevel="0" collapsed="false">
      <c r="A530" s="98"/>
      <c r="B530" s="79"/>
      <c r="C530" s="80" t="str">
        <f aca="false">IF(B530="","",IFERROR(INDEX(الموظفون!$C$6:$C$105,MATCH(B530,الموظفون!$B$6:$B$105,0)),"✖ رقم غير موجود"))</f>
        <v/>
      </c>
      <c r="D530" s="99"/>
      <c r="E530" s="99"/>
      <c r="F530" s="99"/>
      <c r="G530" s="96"/>
      <c r="H530" s="96"/>
      <c r="I530" s="96"/>
      <c r="J530" s="96"/>
      <c r="K530" s="99"/>
      <c r="L530" s="99"/>
      <c r="M530" s="96"/>
      <c r="N530" s="96"/>
      <c r="O530" s="79"/>
    </row>
    <row r="531" customFormat="false" ht="15" hidden="false" customHeight="false" outlineLevel="0" collapsed="false">
      <c r="A531" s="98"/>
      <c r="B531" s="79"/>
      <c r="C531" s="102" t="str">
        <f aca="false">IF(B531="","",IFERROR(INDEX(الموظفون!$C$6:$C$105,MATCH(B531,الموظفون!$B$6:$B$105,0)),"✖ رقم غير موجود"))</f>
        <v/>
      </c>
      <c r="D531" s="99"/>
      <c r="E531" s="99"/>
      <c r="F531" s="99"/>
      <c r="G531" s="96"/>
      <c r="H531" s="96"/>
      <c r="I531" s="96"/>
      <c r="J531" s="96"/>
      <c r="K531" s="99"/>
      <c r="L531" s="99"/>
      <c r="M531" s="96"/>
      <c r="N531" s="96"/>
      <c r="O531" s="79"/>
    </row>
    <row r="532" customFormat="false" ht="15" hidden="false" customHeight="false" outlineLevel="0" collapsed="false">
      <c r="A532" s="98"/>
      <c r="B532" s="79"/>
      <c r="C532" s="80" t="str">
        <f aca="false">IF(B532="","",IFERROR(INDEX(الموظفون!$C$6:$C$105,MATCH(B532,الموظفون!$B$6:$B$105,0)),"✖ رقم غير موجود"))</f>
        <v/>
      </c>
      <c r="D532" s="99"/>
      <c r="E532" s="99"/>
      <c r="F532" s="99"/>
      <c r="G532" s="96"/>
      <c r="H532" s="96"/>
      <c r="I532" s="96"/>
      <c r="J532" s="96"/>
      <c r="K532" s="99"/>
      <c r="L532" s="99"/>
      <c r="M532" s="96"/>
      <c r="N532" s="96"/>
      <c r="O532" s="79"/>
    </row>
    <row r="533" customFormat="false" ht="15" hidden="false" customHeight="false" outlineLevel="0" collapsed="false">
      <c r="A533" s="98"/>
      <c r="B533" s="79"/>
      <c r="C533" s="102" t="str">
        <f aca="false">IF(B533="","",IFERROR(INDEX(الموظفون!$C$6:$C$105,MATCH(B533,الموظفون!$B$6:$B$105,0)),"✖ رقم غير موجود"))</f>
        <v/>
      </c>
      <c r="D533" s="99"/>
      <c r="E533" s="99"/>
      <c r="F533" s="99"/>
      <c r="G533" s="96"/>
      <c r="H533" s="96"/>
      <c r="I533" s="96"/>
      <c r="J533" s="96"/>
      <c r="K533" s="99"/>
      <c r="L533" s="99"/>
      <c r="M533" s="96"/>
      <c r="N533" s="96"/>
      <c r="O533" s="79"/>
    </row>
    <row r="534" customFormat="false" ht="15" hidden="false" customHeight="false" outlineLevel="0" collapsed="false">
      <c r="A534" s="98"/>
      <c r="B534" s="79"/>
      <c r="C534" s="80" t="str">
        <f aca="false">IF(B534="","",IFERROR(INDEX(الموظفون!$C$6:$C$105,MATCH(B534,الموظفون!$B$6:$B$105,0)),"✖ رقم غير موجود"))</f>
        <v/>
      </c>
      <c r="D534" s="99"/>
      <c r="E534" s="99"/>
      <c r="F534" s="99"/>
      <c r="G534" s="96"/>
      <c r="H534" s="96"/>
      <c r="I534" s="96"/>
      <c r="J534" s="96"/>
      <c r="K534" s="99"/>
      <c r="L534" s="99"/>
      <c r="M534" s="96"/>
      <c r="N534" s="96"/>
      <c r="O534" s="79"/>
    </row>
    <row r="535" customFormat="false" ht="15" hidden="false" customHeight="false" outlineLevel="0" collapsed="false">
      <c r="A535" s="98"/>
      <c r="B535" s="79"/>
      <c r="C535" s="102" t="str">
        <f aca="false">IF(B535="","",IFERROR(INDEX(الموظفون!$C$6:$C$105,MATCH(B535,الموظفون!$B$6:$B$105,0)),"✖ رقم غير موجود"))</f>
        <v/>
      </c>
      <c r="D535" s="99"/>
      <c r="E535" s="99"/>
      <c r="F535" s="99"/>
      <c r="G535" s="96"/>
      <c r="H535" s="96"/>
      <c r="I535" s="96"/>
      <c r="J535" s="96"/>
      <c r="K535" s="99"/>
      <c r="L535" s="99"/>
      <c r="M535" s="96"/>
      <c r="N535" s="96"/>
      <c r="O535" s="79"/>
    </row>
    <row r="536" customFormat="false" ht="15" hidden="false" customHeight="false" outlineLevel="0" collapsed="false">
      <c r="A536" s="98"/>
      <c r="B536" s="79"/>
      <c r="C536" s="80" t="str">
        <f aca="false">IF(B536="","",IFERROR(INDEX(الموظفون!$C$6:$C$105,MATCH(B536,الموظفون!$B$6:$B$105,0)),"✖ رقم غير موجود"))</f>
        <v/>
      </c>
      <c r="D536" s="99"/>
      <c r="E536" s="99"/>
      <c r="F536" s="99"/>
      <c r="G536" s="96"/>
      <c r="H536" s="96"/>
      <c r="I536" s="96"/>
      <c r="J536" s="96"/>
      <c r="K536" s="99"/>
      <c r="L536" s="99"/>
      <c r="M536" s="96"/>
      <c r="N536" s="96"/>
      <c r="O536" s="79"/>
    </row>
    <row r="537" customFormat="false" ht="15" hidden="false" customHeight="false" outlineLevel="0" collapsed="false">
      <c r="A537" s="98"/>
      <c r="B537" s="79"/>
      <c r="C537" s="102" t="str">
        <f aca="false">IF(B537="","",IFERROR(INDEX(الموظفون!$C$6:$C$105,MATCH(B537,الموظفون!$B$6:$B$105,0)),"✖ رقم غير موجود"))</f>
        <v/>
      </c>
      <c r="D537" s="99"/>
      <c r="E537" s="99"/>
      <c r="F537" s="99"/>
      <c r="G537" s="96"/>
      <c r="H537" s="96"/>
      <c r="I537" s="96"/>
      <c r="J537" s="96"/>
      <c r="K537" s="99"/>
      <c r="L537" s="99"/>
      <c r="M537" s="96"/>
      <c r="N537" s="96"/>
      <c r="O537" s="79"/>
    </row>
    <row r="538" customFormat="false" ht="15" hidden="false" customHeight="false" outlineLevel="0" collapsed="false">
      <c r="A538" s="98"/>
      <c r="B538" s="79"/>
      <c r="C538" s="80" t="str">
        <f aca="false">IF(B538="","",IFERROR(INDEX(الموظفون!$C$6:$C$105,MATCH(B538,الموظفون!$B$6:$B$105,0)),"✖ رقم غير موجود"))</f>
        <v/>
      </c>
      <c r="D538" s="99"/>
      <c r="E538" s="99"/>
      <c r="F538" s="99"/>
      <c r="G538" s="96"/>
      <c r="H538" s="96"/>
      <c r="I538" s="96"/>
      <c r="J538" s="96"/>
      <c r="K538" s="99"/>
      <c r="L538" s="99"/>
      <c r="M538" s="96"/>
      <c r="N538" s="96"/>
      <c r="O538" s="79"/>
    </row>
    <row r="539" customFormat="false" ht="15" hidden="false" customHeight="false" outlineLevel="0" collapsed="false">
      <c r="A539" s="98"/>
      <c r="B539" s="79"/>
      <c r="C539" s="102" t="str">
        <f aca="false">IF(B539="","",IFERROR(INDEX(الموظفون!$C$6:$C$105,MATCH(B539,الموظفون!$B$6:$B$105,0)),"✖ رقم غير موجود"))</f>
        <v/>
      </c>
      <c r="D539" s="99"/>
      <c r="E539" s="99"/>
      <c r="F539" s="99"/>
      <c r="G539" s="96"/>
      <c r="H539" s="96"/>
      <c r="I539" s="96"/>
      <c r="J539" s="96"/>
      <c r="K539" s="99"/>
      <c r="L539" s="99"/>
      <c r="M539" s="96"/>
      <c r="N539" s="96"/>
      <c r="O539" s="79"/>
    </row>
    <row r="540" customFormat="false" ht="15" hidden="false" customHeight="false" outlineLevel="0" collapsed="false">
      <c r="A540" s="98"/>
      <c r="B540" s="79"/>
      <c r="C540" s="80" t="str">
        <f aca="false">IF(B540="","",IFERROR(INDEX(الموظفون!$C$6:$C$105,MATCH(B540,الموظفون!$B$6:$B$105,0)),"✖ رقم غير موجود"))</f>
        <v/>
      </c>
      <c r="D540" s="99"/>
      <c r="E540" s="99"/>
      <c r="F540" s="99"/>
      <c r="G540" s="96"/>
      <c r="H540" s="96"/>
      <c r="I540" s="96"/>
      <c r="J540" s="96"/>
      <c r="K540" s="99"/>
      <c r="L540" s="99"/>
      <c r="M540" s="96"/>
      <c r="N540" s="96"/>
      <c r="O540" s="79"/>
    </row>
    <row r="541" customFormat="false" ht="15" hidden="false" customHeight="false" outlineLevel="0" collapsed="false">
      <c r="A541" s="98"/>
      <c r="B541" s="79"/>
      <c r="C541" s="102" t="str">
        <f aca="false">IF(B541="","",IFERROR(INDEX(الموظفون!$C$6:$C$105,MATCH(B541,الموظفون!$B$6:$B$105,0)),"✖ رقم غير موجود"))</f>
        <v/>
      </c>
      <c r="D541" s="99"/>
      <c r="E541" s="99"/>
      <c r="F541" s="99"/>
      <c r="G541" s="96"/>
      <c r="H541" s="96"/>
      <c r="I541" s="96"/>
      <c r="J541" s="96"/>
      <c r="K541" s="99"/>
      <c r="L541" s="99"/>
      <c r="M541" s="96"/>
      <c r="N541" s="96"/>
      <c r="O541" s="79"/>
    </row>
    <row r="542" customFormat="false" ht="15" hidden="false" customHeight="false" outlineLevel="0" collapsed="false">
      <c r="A542" s="98"/>
      <c r="B542" s="79"/>
      <c r="C542" s="80" t="str">
        <f aca="false">IF(B542="","",IFERROR(INDEX(الموظفون!$C$6:$C$105,MATCH(B542,الموظفون!$B$6:$B$105,0)),"✖ رقم غير موجود"))</f>
        <v/>
      </c>
      <c r="D542" s="99"/>
      <c r="E542" s="99"/>
      <c r="F542" s="99"/>
      <c r="G542" s="96"/>
      <c r="H542" s="96"/>
      <c r="I542" s="96"/>
      <c r="J542" s="96"/>
      <c r="K542" s="99"/>
      <c r="L542" s="99"/>
      <c r="M542" s="96"/>
      <c r="N542" s="96"/>
      <c r="O542" s="79"/>
    </row>
    <row r="543" customFormat="false" ht="15" hidden="false" customHeight="false" outlineLevel="0" collapsed="false">
      <c r="A543" s="98"/>
      <c r="B543" s="79"/>
      <c r="C543" s="102" t="str">
        <f aca="false">IF(B543="","",IFERROR(INDEX(الموظفون!$C$6:$C$105,MATCH(B543,الموظفون!$B$6:$B$105,0)),"✖ رقم غير موجود"))</f>
        <v/>
      </c>
      <c r="D543" s="99"/>
      <c r="E543" s="99"/>
      <c r="F543" s="99"/>
      <c r="G543" s="96"/>
      <c r="H543" s="96"/>
      <c r="I543" s="96"/>
      <c r="J543" s="96"/>
      <c r="K543" s="99"/>
      <c r="L543" s="99"/>
      <c r="M543" s="96"/>
      <c r="N543" s="96"/>
      <c r="O543" s="79"/>
    </row>
    <row r="544" customFormat="false" ht="15" hidden="false" customHeight="false" outlineLevel="0" collapsed="false">
      <c r="A544" s="98"/>
      <c r="B544" s="79"/>
      <c r="C544" s="80" t="str">
        <f aca="false">IF(B544="","",IFERROR(INDEX(الموظفون!$C$6:$C$105,MATCH(B544,الموظفون!$B$6:$B$105,0)),"✖ رقم غير موجود"))</f>
        <v/>
      </c>
      <c r="D544" s="99"/>
      <c r="E544" s="99"/>
      <c r="F544" s="99"/>
      <c r="G544" s="96"/>
      <c r="H544" s="96"/>
      <c r="I544" s="96"/>
      <c r="J544" s="96"/>
      <c r="K544" s="99"/>
      <c r="L544" s="99"/>
      <c r="M544" s="96"/>
      <c r="N544" s="96"/>
      <c r="O544" s="79"/>
    </row>
    <row r="545" customFormat="false" ht="15" hidden="false" customHeight="false" outlineLevel="0" collapsed="false">
      <c r="A545" s="98"/>
      <c r="B545" s="79"/>
      <c r="C545" s="102" t="str">
        <f aca="false">IF(B545="","",IFERROR(INDEX(الموظفون!$C$6:$C$105,MATCH(B545,الموظفون!$B$6:$B$105,0)),"✖ رقم غير موجود"))</f>
        <v/>
      </c>
      <c r="D545" s="99"/>
      <c r="E545" s="99"/>
      <c r="F545" s="99"/>
      <c r="G545" s="96"/>
      <c r="H545" s="96"/>
      <c r="I545" s="96"/>
      <c r="J545" s="96"/>
      <c r="K545" s="99"/>
      <c r="L545" s="99"/>
      <c r="M545" s="96"/>
      <c r="N545" s="96"/>
      <c r="O545" s="79"/>
    </row>
    <row r="546" customFormat="false" ht="15" hidden="false" customHeight="false" outlineLevel="0" collapsed="false">
      <c r="A546" s="98"/>
      <c r="B546" s="79"/>
      <c r="C546" s="80" t="str">
        <f aca="false">IF(B546="","",IFERROR(INDEX(الموظفون!$C$6:$C$105,MATCH(B546,الموظفون!$B$6:$B$105,0)),"✖ رقم غير موجود"))</f>
        <v/>
      </c>
      <c r="D546" s="99"/>
      <c r="E546" s="99"/>
      <c r="F546" s="99"/>
      <c r="G546" s="96"/>
      <c r="H546" s="96"/>
      <c r="I546" s="96"/>
      <c r="J546" s="96"/>
      <c r="K546" s="99"/>
      <c r="L546" s="99"/>
      <c r="M546" s="96"/>
      <c r="N546" s="96"/>
      <c r="O546" s="79"/>
    </row>
    <row r="547" customFormat="false" ht="15" hidden="false" customHeight="false" outlineLevel="0" collapsed="false">
      <c r="A547" s="98"/>
      <c r="B547" s="79"/>
      <c r="C547" s="102" t="str">
        <f aca="false">IF(B547="","",IFERROR(INDEX(الموظفون!$C$6:$C$105,MATCH(B547,الموظفون!$B$6:$B$105,0)),"✖ رقم غير موجود"))</f>
        <v/>
      </c>
      <c r="D547" s="99"/>
      <c r="E547" s="99"/>
      <c r="F547" s="99"/>
      <c r="G547" s="96"/>
      <c r="H547" s="96"/>
      <c r="I547" s="96"/>
      <c r="J547" s="96"/>
      <c r="K547" s="99"/>
      <c r="L547" s="99"/>
      <c r="M547" s="96"/>
      <c r="N547" s="96"/>
      <c r="O547" s="79"/>
    </row>
    <row r="548" customFormat="false" ht="15" hidden="false" customHeight="false" outlineLevel="0" collapsed="false">
      <c r="A548" s="98"/>
      <c r="B548" s="79"/>
      <c r="C548" s="80" t="str">
        <f aca="false">IF(B548="","",IFERROR(INDEX(الموظفون!$C$6:$C$105,MATCH(B548,الموظفون!$B$6:$B$105,0)),"✖ رقم غير موجود"))</f>
        <v/>
      </c>
      <c r="D548" s="99"/>
      <c r="E548" s="99"/>
      <c r="F548" s="99"/>
      <c r="G548" s="96"/>
      <c r="H548" s="96"/>
      <c r="I548" s="96"/>
      <c r="J548" s="96"/>
      <c r="K548" s="99"/>
      <c r="L548" s="99"/>
      <c r="M548" s="96"/>
      <c r="N548" s="96"/>
      <c r="O548" s="79"/>
    </row>
    <row r="549" customFormat="false" ht="15" hidden="false" customHeight="false" outlineLevel="0" collapsed="false">
      <c r="A549" s="98"/>
      <c r="B549" s="79"/>
      <c r="C549" s="102" t="str">
        <f aca="false">IF(B549="","",IFERROR(INDEX(الموظفون!$C$6:$C$105,MATCH(B549,الموظفون!$B$6:$B$105,0)),"✖ رقم غير موجود"))</f>
        <v/>
      </c>
      <c r="D549" s="99"/>
      <c r="E549" s="99"/>
      <c r="F549" s="99"/>
      <c r="G549" s="96"/>
      <c r="H549" s="96"/>
      <c r="I549" s="96"/>
      <c r="J549" s="96"/>
      <c r="K549" s="99"/>
      <c r="L549" s="99"/>
      <c r="M549" s="96"/>
      <c r="N549" s="96"/>
      <c r="O549" s="79"/>
    </row>
    <row r="550" customFormat="false" ht="15" hidden="false" customHeight="false" outlineLevel="0" collapsed="false">
      <c r="A550" s="98"/>
      <c r="B550" s="79"/>
      <c r="C550" s="80" t="str">
        <f aca="false">IF(B550="","",IFERROR(INDEX(الموظفون!$C$6:$C$105,MATCH(B550,الموظفون!$B$6:$B$105,0)),"✖ رقم غير موجود"))</f>
        <v/>
      </c>
      <c r="D550" s="99"/>
      <c r="E550" s="99"/>
      <c r="F550" s="99"/>
      <c r="G550" s="96"/>
      <c r="H550" s="96"/>
      <c r="I550" s="96"/>
      <c r="J550" s="96"/>
      <c r="K550" s="99"/>
      <c r="L550" s="99"/>
      <c r="M550" s="96"/>
      <c r="N550" s="96"/>
      <c r="O550" s="79"/>
    </row>
    <row r="551" customFormat="false" ht="15" hidden="false" customHeight="false" outlineLevel="0" collapsed="false">
      <c r="A551" s="98"/>
      <c r="B551" s="79"/>
      <c r="C551" s="102" t="str">
        <f aca="false">IF(B551="","",IFERROR(INDEX(الموظفون!$C$6:$C$105,MATCH(B551,الموظفون!$B$6:$B$105,0)),"✖ رقم غير موجود"))</f>
        <v/>
      </c>
      <c r="D551" s="99"/>
      <c r="E551" s="99"/>
      <c r="F551" s="99"/>
      <c r="G551" s="96"/>
      <c r="H551" s="96"/>
      <c r="I551" s="96"/>
      <c r="J551" s="96"/>
      <c r="K551" s="99"/>
      <c r="L551" s="99"/>
      <c r="M551" s="96"/>
      <c r="N551" s="96"/>
      <c r="O551" s="79"/>
    </row>
    <row r="552" customFormat="false" ht="15" hidden="false" customHeight="false" outlineLevel="0" collapsed="false">
      <c r="A552" s="98"/>
      <c r="B552" s="79"/>
      <c r="C552" s="80" t="str">
        <f aca="false">IF(B552="","",IFERROR(INDEX(الموظفون!$C$6:$C$105,MATCH(B552,الموظفون!$B$6:$B$105,0)),"✖ رقم غير موجود"))</f>
        <v/>
      </c>
      <c r="D552" s="99"/>
      <c r="E552" s="99"/>
      <c r="F552" s="99"/>
      <c r="G552" s="96"/>
      <c r="H552" s="96"/>
      <c r="I552" s="96"/>
      <c r="J552" s="96"/>
      <c r="K552" s="99"/>
      <c r="L552" s="99"/>
      <c r="M552" s="96"/>
      <c r="N552" s="96"/>
      <c r="O552" s="79"/>
    </row>
    <row r="553" customFormat="false" ht="15" hidden="false" customHeight="false" outlineLevel="0" collapsed="false">
      <c r="A553" s="98"/>
      <c r="B553" s="79"/>
      <c r="C553" s="102" t="str">
        <f aca="false">IF(B553="","",IFERROR(INDEX(الموظفون!$C$6:$C$105,MATCH(B553,الموظفون!$B$6:$B$105,0)),"✖ رقم غير موجود"))</f>
        <v/>
      </c>
      <c r="D553" s="99"/>
      <c r="E553" s="99"/>
      <c r="F553" s="99"/>
      <c r="G553" s="96"/>
      <c r="H553" s="96"/>
      <c r="I553" s="96"/>
      <c r="J553" s="96"/>
      <c r="K553" s="99"/>
      <c r="L553" s="99"/>
      <c r="M553" s="96"/>
      <c r="N553" s="96"/>
      <c r="O553" s="79"/>
    </row>
    <row r="554" customFormat="false" ht="15" hidden="false" customHeight="false" outlineLevel="0" collapsed="false">
      <c r="A554" s="98"/>
      <c r="B554" s="79"/>
      <c r="C554" s="80" t="str">
        <f aca="false">IF(B554="","",IFERROR(INDEX(الموظفون!$C$6:$C$105,MATCH(B554,الموظفون!$B$6:$B$105,0)),"✖ رقم غير موجود"))</f>
        <v/>
      </c>
      <c r="D554" s="99"/>
      <c r="E554" s="99"/>
      <c r="F554" s="99"/>
      <c r="G554" s="96"/>
      <c r="H554" s="96"/>
      <c r="I554" s="96"/>
      <c r="J554" s="96"/>
      <c r="K554" s="99"/>
      <c r="L554" s="99"/>
      <c r="M554" s="96"/>
      <c r="N554" s="96"/>
      <c r="O554" s="79"/>
    </row>
    <row r="555" customFormat="false" ht="15" hidden="false" customHeight="false" outlineLevel="0" collapsed="false">
      <c r="A555" s="98"/>
      <c r="B555" s="79"/>
      <c r="C555" s="102" t="str">
        <f aca="false">IF(B555="","",IFERROR(INDEX(الموظفون!$C$6:$C$105,MATCH(B555,الموظفون!$B$6:$B$105,0)),"✖ رقم غير موجود"))</f>
        <v/>
      </c>
      <c r="D555" s="99"/>
      <c r="E555" s="99"/>
      <c r="F555" s="99"/>
      <c r="G555" s="96"/>
      <c r="H555" s="96"/>
      <c r="I555" s="96"/>
      <c r="J555" s="96"/>
      <c r="K555" s="99"/>
      <c r="L555" s="99"/>
      <c r="M555" s="96"/>
      <c r="N555" s="96"/>
      <c r="O555" s="79"/>
    </row>
    <row r="556" customFormat="false" ht="15" hidden="false" customHeight="false" outlineLevel="0" collapsed="false">
      <c r="A556" s="98"/>
      <c r="B556" s="79"/>
      <c r="C556" s="80" t="str">
        <f aca="false">IF(B556="","",IFERROR(INDEX(الموظفون!$C$6:$C$105,MATCH(B556,الموظفون!$B$6:$B$105,0)),"✖ رقم غير موجود"))</f>
        <v/>
      </c>
      <c r="D556" s="99"/>
      <c r="E556" s="99"/>
      <c r="F556" s="99"/>
      <c r="G556" s="96"/>
      <c r="H556" s="96"/>
      <c r="I556" s="96"/>
      <c r="J556" s="96"/>
      <c r="K556" s="99"/>
      <c r="L556" s="99"/>
      <c r="M556" s="96"/>
      <c r="N556" s="96"/>
      <c r="O556" s="79"/>
    </row>
    <row r="557" customFormat="false" ht="15" hidden="false" customHeight="false" outlineLevel="0" collapsed="false">
      <c r="A557" s="98"/>
      <c r="B557" s="79"/>
      <c r="C557" s="102" t="str">
        <f aca="false">IF(B557="","",IFERROR(INDEX(الموظفون!$C$6:$C$105,MATCH(B557,الموظفون!$B$6:$B$105,0)),"✖ رقم غير موجود"))</f>
        <v/>
      </c>
      <c r="D557" s="99"/>
      <c r="E557" s="99"/>
      <c r="F557" s="99"/>
      <c r="G557" s="96"/>
      <c r="H557" s="96"/>
      <c r="I557" s="96"/>
      <c r="J557" s="96"/>
      <c r="K557" s="99"/>
      <c r="L557" s="99"/>
      <c r="M557" s="96"/>
      <c r="N557" s="96"/>
      <c r="O557" s="79"/>
    </row>
    <row r="558" customFormat="false" ht="15" hidden="false" customHeight="false" outlineLevel="0" collapsed="false">
      <c r="A558" s="98"/>
      <c r="B558" s="79"/>
      <c r="C558" s="80" t="str">
        <f aca="false">IF(B558="","",IFERROR(INDEX(الموظفون!$C$6:$C$105,MATCH(B558,الموظفون!$B$6:$B$105,0)),"✖ رقم غير موجود"))</f>
        <v/>
      </c>
      <c r="D558" s="99"/>
      <c r="E558" s="99"/>
      <c r="F558" s="99"/>
      <c r="G558" s="96"/>
      <c r="H558" s="96"/>
      <c r="I558" s="96"/>
      <c r="J558" s="96"/>
      <c r="K558" s="99"/>
      <c r="L558" s="99"/>
      <c r="M558" s="96"/>
      <c r="N558" s="96"/>
      <c r="O558" s="79"/>
    </row>
    <row r="559" customFormat="false" ht="15" hidden="false" customHeight="false" outlineLevel="0" collapsed="false">
      <c r="A559" s="98"/>
      <c r="B559" s="79"/>
      <c r="C559" s="102" t="str">
        <f aca="false">IF(B559="","",IFERROR(INDEX(الموظفون!$C$6:$C$105,MATCH(B559,الموظفون!$B$6:$B$105,0)),"✖ رقم غير موجود"))</f>
        <v/>
      </c>
      <c r="D559" s="99"/>
      <c r="E559" s="99"/>
      <c r="F559" s="99"/>
      <c r="G559" s="96"/>
      <c r="H559" s="96"/>
      <c r="I559" s="96"/>
      <c r="J559" s="96"/>
      <c r="K559" s="99"/>
      <c r="L559" s="99"/>
      <c r="M559" s="96"/>
      <c r="N559" s="96"/>
      <c r="O559" s="79"/>
    </row>
    <row r="560" customFormat="false" ht="15" hidden="false" customHeight="false" outlineLevel="0" collapsed="false">
      <c r="A560" s="98"/>
      <c r="B560" s="79"/>
      <c r="C560" s="80" t="str">
        <f aca="false">IF(B560="","",IFERROR(INDEX(الموظفون!$C$6:$C$105,MATCH(B560,الموظفون!$B$6:$B$105,0)),"✖ رقم غير موجود"))</f>
        <v/>
      </c>
      <c r="D560" s="99"/>
      <c r="E560" s="99"/>
      <c r="F560" s="99"/>
      <c r="G560" s="96"/>
      <c r="H560" s="96"/>
      <c r="I560" s="96"/>
      <c r="J560" s="96"/>
      <c r="K560" s="99"/>
      <c r="L560" s="99"/>
      <c r="M560" s="96"/>
      <c r="N560" s="96"/>
      <c r="O560" s="79"/>
    </row>
    <row r="561" customFormat="false" ht="15" hidden="false" customHeight="false" outlineLevel="0" collapsed="false">
      <c r="A561" s="98"/>
      <c r="B561" s="79"/>
      <c r="C561" s="102" t="str">
        <f aca="false">IF(B561="","",IFERROR(INDEX(الموظفون!$C$6:$C$105,MATCH(B561,الموظفون!$B$6:$B$105,0)),"✖ رقم غير موجود"))</f>
        <v/>
      </c>
      <c r="D561" s="99"/>
      <c r="E561" s="99"/>
      <c r="F561" s="99"/>
      <c r="G561" s="96"/>
      <c r="H561" s="96"/>
      <c r="I561" s="96"/>
      <c r="J561" s="96"/>
      <c r="K561" s="99"/>
      <c r="L561" s="99"/>
      <c r="M561" s="96"/>
      <c r="N561" s="96"/>
      <c r="O561" s="79"/>
    </row>
    <row r="562" customFormat="false" ht="15" hidden="false" customHeight="false" outlineLevel="0" collapsed="false">
      <c r="A562" s="98"/>
      <c r="B562" s="79"/>
      <c r="C562" s="80" t="str">
        <f aca="false">IF(B562="","",IFERROR(INDEX(الموظفون!$C$6:$C$105,MATCH(B562,الموظفون!$B$6:$B$105,0)),"✖ رقم غير موجود"))</f>
        <v/>
      </c>
      <c r="D562" s="99"/>
      <c r="E562" s="99"/>
      <c r="F562" s="99"/>
      <c r="G562" s="96"/>
      <c r="H562" s="96"/>
      <c r="I562" s="96"/>
      <c r="J562" s="96"/>
      <c r="K562" s="99"/>
      <c r="L562" s="99"/>
      <c r="M562" s="96"/>
      <c r="N562" s="96"/>
      <c r="O562" s="79"/>
    </row>
    <row r="563" customFormat="false" ht="15" hidden="false" customHeight="false" outlineLevel="0" collapsed="false">
      <c r="A563" s="98"/>
      <c r="B563" s="79"/>
      <c r="C563" s="102" t="str">
        <f aca="false">IF(B563="","",IFERROR(INDEX(الموظفون!$C$6:$C$105,MATCH(B563,الموظفون!$B$6:$B$105,0)),"✖ رقم غير موجود"))</f>
        <v/>
      </c>
      <c r="D563" s="99"/>
      <c r="E563" s="99"/>
      <c r="F563" s="99"/>
      <c r="G563" s="96"/>
      <c r="H563" s="96"/>
      <c r="I563" s="96"/>
      <c r="J563" s="96"/>
      <c r="K563" s="99"/>
      <c r="L563" s="99"/>
      <c r="M563" s="96"/>
      <c r="N563" s="96"/>
      <c r="O563" s="79"/>
    </row>
    <row r="564" customFormat="false" ht="15" hidden="false" customHeight="false" outlineLevel="0" collapsed="false">
      <c r="A564" s="98"/>
      <c r="B564" s="79"/>
      <c r="C564" s="80" t="str">
        <f aca="false">IF(B564="","",IFERROR(INDEX(الموظفون!$C$6:$C$105,MATCH(B564,الموظفون!$B$6:$B$105,0)),"✖ رقم غير موجود"))</f>
        <v/>
      </c>
      <c r="D564" s="99"/>
      <c r="E564" s="99"/>
      <c r="F564" s="99"/>
      <c r="G564" s="96"/>
      <c r="H564" s="96"/>
      <c r="I564" s="96"/>
      <c r="J564" s="96"/>
      <c r="K564" s="99"/>
      <c r="L564" s="99"/>
      <c r="M564" s="96"/>
      <c r="N564" s="96"/>
      <c r="O564" s="79"/>
    </row>
    <row r="565" customFormat="false" ht="15" hidden="false" customHeight="false" outlineLevel="0" collapsed="false">
      <c r="A565" s="98"/>
      <c r="B565" s="79"/>
      <c r="C565" s="102" t="str">
        <f aca="false">IF(B565="","",IFERROR(INDEX(الموظفون!$C$6:$C$105,MATCH(B565,الموظفون!$B$6:$B$105,0)),"✖ رقم غير موجود"))</f>
        <v/>
      </c>
      <c r="D565" s="99"/>
      <c r="E565" s="99"/>
      <c r="F565" s="99"/>
      <c r="G565" s="96"/>
      <c r="H565" s="96"/>
      <c r="I565" s="96"/>
      <c r="J565" s="96"/>
      <c r="K565" s="99"/>
      <c r="L565" s="99"/>
      <c r="M565" s="96"/>
      <c r="N565" s="96"/>
      <c r="O565" s="79"/>
    </row>
    <row r="566" customFormat="false" ht="15" hidden="false" customHeight="false" outlineLevel="0" collapsed="false">
      <c r="A566" s="98"/>
      <c r="B566" s="79"/>
      <c r="C566" s="80" t="str">
        <f aca="false">IF(B566="","",IFERROR(INDEX(الموظفون!$C$6:$C$105,MATCH(B566,الموظفون!$B$6:$B$105,0)),"✖ رقم غير موجود"))</f>
        <v/>
      </c>
      <c r="D566" s="99"/>
      <c r="E566" s="99"/>
      <c r="F566" s="99"/>
      <c r="G566" s="96"/>
      <c r="H566" s="96"/>
      <c r="I566" s="96"/>
      <c r="J566" s="96"/>
      <c r="K566" s="99"/>
      <c r="L566" s="99"/>
      <c r="M566" s="96"/>
      <c r="N566" s="96"/>
      <c r="O566" s="79"/>
    </row>
    <row r="567" customFormat="false" ht="15" hidden="false" customHeight="false" outlineLevel="0" collapsed="false">
      <c r="A567" s="98"/>
      <c r="B567" s="79"/>
      <c r="C567" s="102" t="str">
        <f aca="false">IF(B567="","",IFERROR(INDEX(الموظفون!$C$6:$C$105,MATCH(B567,الموظفون!$B$6:$B$105,0)),"✖ رقم غير موجود"))</f>
        <v/>
      </c>
      <c r="D567" s="99"/>
      <c r="E567" s="99"/>
      <c r="F567" s="99"/>
      <c r="G567" s="96"/>
      <c r="H567" s="96"/>
      <c r="I567" s="96"/>
      <c r="J567" s="96"/>
      <c r="K567" s="99"/>
      <c r="L567" s="99"/>
      <c r="M567" s="96"/>
      <c r="N567" s="96"/>
      <c r="O567" s="79"/>
    </row>
    <row r="568" customFormat="false" ht="15" hidden="false" customHeight="false" outlineLevel="0" collapsed="false">
      <c r="A568" s="98"/>
      <c r="B568" s="79"/>
      <c r="C568" s="80" t="str">
        <f aca="false">IF(B568="","",IFERROR(INDEX(الموظفون!$C$6:$C$105,MATCH(B568,الموظفون!$B$6:$B$105,0)),"✖ رقم غير موجود"))</f>
        <v/>
      </c>
      <c r="D568" s="99"/>
      <c r="E568" s="99"/>
      <c r="F568" s="99"/>
      <c r="G568" s="96"/>
      <c r="H568" s="96"/>
      <c r="I568" s="96"/>
      <c r="J568" s="96"/>
      <c r="K568" s="99"/>
      <c r="L568" s="99"/>
      <c r="M568" s="96"/>
      <c r="N568" s="96"/>
      <c r="O568" s="79"/>
    </row>
    <row r="569" customFormat="false" ht="15" hidden="false" customHeight="false" outlineLevel="0" collapsed="false">
      <c r="A569" s="98"/>
      <c r="B569" s="79"/>
      <c r="C569" s="102" t="str">
        <f aca="false">IF(B569="","",IFERROR(INDEX(الموظفون!$C$6:$C$105,MATCH(B569,الموظفون!$B$6:$B$105,0)),"✖ رقم غير موجود"))</f>
        <v/>
      </c>
      <c r="D569" s="99"/>
      <c r="E569" s="99"/>
      <c r="F569" s="99"/>
      <c r="G569" s="96"/>
      <c r="H569" s="96"/>
      <c r="I569" s="96"/>
      <c r="J569" s="96"/>
      <c r="K569" s="99"/>
      <c r="L569" s="99"/>
      <c r="M569" s="96"/>
      <c r="N569" s="96"/>
      <c r="O569" s="79"/>
    </row>
    <row r="570" customFormat="false" ht="15" hidden="false" customHeight="false" outlineLevel="0" collapsed="false">
      <c r="A570" s="98"/>
      <c r="B570" s="79"/>
      <c r="C570" s="80" t="str">
        <f aca="false">IF(B570="","",IFERROR(INDEX(الموظفون!$C$6:$C$105,MATCH(B570,الموظفون!$B$6:$B$105,0)),"✖ رقم غير موجود"))</f>
        <v/>
      </c>
      <c r="D570" s="99"/>
      <c r="E570" s="99"/>
      <c r="F570" s="99"/>
      <c r="G570" s="96"/>
      <c r="H570" s="96"/>
      <c r="I570" s="96"/>
      <c r="J570" s="96"/>
      <c r="K570" s="99"/>
      <c r="L570" s="99"/>
      <c r="M570" s="96"/>
      <c r="N570" s="96"/>
      <c r="O570" s="79"/>
    </row>
    <row r="571" customFormat="false" ht="15" hidden="false" customHeight="false" outlineLevel="0" collapsed="false">
      <c r="A571" s="98"/>
      <c r="B571" s="79"/>
      <c r="C571" s="102" t="str">
        <f aca="false">IF(B571="","",IFERROR(INDEX(الموظفون!$C$6:$C$105,MATCH(B571,الموظفون!$B$6:$B$105,0)),"✖ رقم غير موجود"))</f>
        <v/>
      </c>
      <c r="D571" s="99"/>
      <c r="E571" s="99"/>
      <c r="F571" s="99"/>
      <c r="G571" s="96"/>
      <c r="H571" s="96"/>
      <c r="I571" s="96"/>
      <c r="J571" s="96"/>
      <c r="K571" s="99"/>
      <c r="L571" s="99"/>
      <c r="M571" s="96"/>
      <c r="N571" s="96"/>
      <c r="O571" s="79"/>
    </row>
    <row r="572" customFormat="false" ht="15" hidden="false" customHeight="false" outlineLevel="0" collapsed="false">
      <c r="A572" s="98"/>
      <c r="B572" s="79"/>
      <c r="C572" s="80" t="str">
        <f aca="false">IF(B572="","",IFERROR(INDEX(الموظفون!$C$6:$C$105,MATCH(B572,الموظفون!$B$6:$B$105,0)),"✖ رقم غير موجود"))</f>
        <v/>
      </c>
      <c r="D572" s="99"/>
      <c r="E572" s="99"/>
      <c r="F572" s="99"/>
      <c r="G572" s="96"/>
      <c r="H572" s="96"/>
      <c r="I572" s="96"/>
      <c r="J572" s="96"/>
      <c r="K572" s="99"/>
      <c r="L572" s="99"/>
      <c r="M572" s="96"/>
      <c r="N572" s="96"/>
      <c r="O572" s="79"/>
    </row>
    <row r="573" customFormat="false" ht="15" hidden="false" customHeight="false" outlineLevel="0" collapsed="false">
      <c r="A573" s="98"/>
      <c r="B573" s="79"/>
      <c r="C573" s="102" t="str">
        <f aca="false">IF(B573="","",IFERROR(INDEX(الموظفون!$C$6:$C$105,MATCH(B573,الموظفون!$B$6:$B$105,0)),"✖ رقم غير موجود"))</f>
        <v/>
      </c>
      <c r="D573" s="99"/>
      <c r="E573" s="99"/>
      <c r="F573" s="99"/>
      <c r="G573" s="96"/>
      <c r="H573" s="96"/>
      <c r="I573" s="96"/>
      <c r="J573" s="96"/>
      <c r="K573" s="99"/>
      <c r="L573" s="99"/>
      <c r="M573" s="96"/>
      <c r="N573" s="96"/>
      <c r="O573" s="79"/>
    </row>
    <row r="574" customFormat="false" ht="15" hidden="false" customHeight="false" outlineLevel="0" collapsed="false">
      <c r="A574" s="98"/>
      <c r="B574" s="79"/>
      <c r="C574" s="80" t="str">
        <f aca="false">IF(B574="","",IFERROR(INDEX(الموظفون!$C$6:$C$105,MATCH(B574,الموظفون!$B$6:$B$105,0)),"✖ رقم غير موجود"))</f>
        <v/>
      </c>
      <c r="D574" s="99"/>
      <c r="E574" s="99"/>
      <c r="F574" s="99"/>
      <c r="G574" s="96"/>
      <c r="H574" s="96"/>
      <c r="I574" s="96"/>
      <c r="J574" s="96"/>
      <c r="K574" s="99"/>
      <c r="L574" s="99"/>
      <c r="M574" s="96"/>
      <c r="N574" s="96"/>
      <c r="O574" s="79"/>
    </row>
    <row r="575" customFormat="false" ht="15" hidden="false" customHeight="false" outlineLevel="0" collapsed="false">
      <c r="A575" s="98"/>
      <c r="B575" s="79"/>
      <c r="C575" s="102" t="str">
        <f aca="false">IF(B575="","",IFERROR(INDEX(الموظفون!$C$6:$C$105,MATCH(B575,الموظفون!$B$6:$B$105,0)),"✖ رقم غير موجود"))</f>
        <v/>
      </c>
      <c r="D575" s="99"/>
      <c r="E575" s="99"/>
      <c r="F575" s="99"/>
      <c r="G575" s="96"/>
      <c r="H575" s="96"/>
      <c r="I575" s="96"/>
      <c r="J575" s="96"/>
      <c r="K575" s="99"/>
      <c r="L575" s="99"/>
      <c r="M575" s="96"/>
      <c r="N575" s="96"/>
      <c r="O575" s="79"/>
    </row>
    <row r="576" customFormat="false" ht="15" hidden="false" customHeight="false" outlineLevel="0" collapsed="false">
      <c r="A576" s="98"/>
      <c r="B576" s="79"/>
      <c r="C576" s="80" t="str">
        <f aca="false">IF(B576="","",IFERROR(INDEX(الموظفون!$C$6:$C$105,MATCH(B576,الموظفون!$B$6:$B$105,0)),"✖ رقم غير موجود"))</f>
        <v/>
      </c>
      <c r="D576" s="99"/>
      <c r="E576" s="99"/>
      <c r="F576" s="99"/>
      <c r="G576" s="96"/>
      <c r="H576" s="96"/>
      <c r="I576" s="96"/>
      <c r="J576" s="96"/>
      <c r="K576" s="99"/>
      <c r="L576" s="99"/>
      <c r="M576" s="96"/>
      <c r="N576" s="96"/>
      <c r="O576" s="79"/>
    </row>
    <row r="577" customFormat="false" ht="15" hidden="false" customHeight="false" outlineLevel="0" collapsed="false">
      <c r="A577" s="98"/>
      <c r="B577" s="79"/>
      <c r="C577" s="102" t="str">
        <f aca="false">IF(B577="","",IFERROR(INDEX(الموظفون!$C$6:$C$105,MATCH(B577,الموظفون!$B$6:$B$105,0)),"✖ رقم غير موجود"))</f>
        <v/>
      </c>
      <c r="D577" s="99"/>
      <c r="E577" s="99"/>
      <c r="F577" s="99"/>
      <c r="G577" s="96"/>
      <c r="H577" s="96"/>
      <c r="I577" s="96"/>
      <c r="J577" s="96"/>
      <c r="K577" s="99"/>
      <c r="L577" s="99"/>
      <c r="M577" s="96"/>
      <c r="N577" s="96"/>
      <c r="O577" s="79"/>
    </row>
    <row r="578" customFormat="false" ht="15" hidden="false" customHeight="false" outlineLevel="0" collapsed="false">
      <c r="A578" s="98"/>
      <c r="B578" s="79"/>
      <c r="C578" s="80" t="str">
        <f aca="false">IF(B578="","",IFERROR(INDEX(الموظفون!$C$6:$C$105,MATCH(B578,الموظفون!$B$6:$B$105,0)),"✖ رقم غير موجود"))</f>
        <v/>
      </c>
      <c r="D578" s="99"/>
      <c r="E578" s="99"/>
      <c r="F578" s="99"/>
      <c r="G578" s="96"/>
      <c r="H578" s="96"/>
      <c r="I578" s="96"/>
      <c r="J578" s="96"/>
      <c r="K578" s="99"/>
      <c r="L578" s="99"/>
      <c r="M578" s="96"/>
      <c r="N578" s="96"/>
      <c r="O578" s="79"/>
    </row>
    <row r="579" customFormat="false" ht="15" hidden="false" customHeight="false" outlineLevel="0" collapsed="false">
      <c r="A579" s="98"/>
      <c r="B579" s="79"/>
      <c r="C579" s="102" t="str">
        <f aca="false">IF(B579="","",IFERROR(INDEX(الموظفون!$C$6:$C$105,MATCH(B579,الموظفون!$B$6:$B$105,0)),"✖ رقم غير موجود"))</f>
        <v/>
      </c>
      <c r="D579" s="99"/>
      <c r="E579" s="99"/>
      <c r="F579" s="99"/>
      <c r="G579" s="96"/>
      <c r="H579" s="96"/>
      <c r="I579" s="96"/>
      <c r="J579" s="96"/>
      <c r="K579" s="99"/>
      <c r="L579" s="99"/>
      <c r="M579" s="96"/>
      <c r="N579" s="96"/>
      <c r="O579" s="79"/>
    </row>
    <row r="580" customFormat="false" ht="15" hidden="false" customHeight="false" outlineLevel="0" collapsed="false">
      <c r="A580" s="98"/>
      <c r="B580" s="79"/>
      <c r="C580" s="80" t="str">
        <f aca="false">IF(B580="","",IFERROR(INDEX(الموظفون!$C$6:$C$105,MATCH(B580,الموظفون!$B$6:$B$105,0)),"✖ رقم غير موجود"))</f>
        <v/>
      </c>
      <c r="D580" s="99"/>
      <c r="E580" s="99"/>
      <c r="F580" s="99"/>
      <c r="G580" s="96"/>
      <c r="H580" s="96"/>
      <c r="I580" s="96"/>
      <c r="J580" s="96"/>
      <c r="K580" s="99"/>
      <c r="L580" s="99"/>
      <c r="M580" s="96"/>
      <c r="N580" s="96"/>
      <c r="O580" s="79"/>
    </row>
    <row r="581" customFormat="false" ht="15" hidden="false" customHeight="false" outlineLevel="0" collapsed="false">
      <c r="A581" s="98"/>
      <c r="B581" s="79"/>
      <c r="C581" s="102" t="str">
        <f aca="false">IF(B581="","",IFERROR(INDEX(الموظفون!$C$6:$C$105,MATCH(B581,الموظفون!$B$6:$B$105,0)),"✖ رقم غير موجود"))</f>
        <v/>
      </c>
      <c r="D581" s="99"/>
      <c r="E581" s="99"/>
      <c r="F581" s="99"/>
      <c r="G581" s="96"/>
      <c r="H581" s="96"/>
      <c r="I581" s="96"/>
      <c r="J581" s="96"/>
      <c r="K581" s="99"/>
      <c r="L581" s="99"/>
      <c r="M581" s="96"/>
      <c r="N581" s="96"/>
      <c r="O581" s="79"/>
    </row>
    <row r="582" customFormat="false" ht="15" hidden="false" customHeight="false" outlineLevel="0" collapsed="false">
      <c r="A582" s="98"/>
      <c r="B582" s="79"/>
      <c r="C582" s="80" t="str">
        <f aca="false">IF(B582="","",IFERROR(INDEX(الموظفون!$C$6:$C$105,MATCH(B582,الموظفون!$B$6:$B$105,0)),"✖ رقم غير موجود"))</f>
        <v/>
      </c>
      <c r="D582" s="99"/>
      <c r="E582" s="99"/>
      <c r="F582" s="99"/>
      <c r="G582" s="96"/>
      <c r="H582" s="96"/>
      <c r="I582" s="96"/>
      <c r="J582" s="96"/>
      <c r="K582" s="99"/>
      <c r="L582" s="99"/>
      <c r="M582" s="96"/>
      <c r="N582" s="96"/>
      <c r="O582" s="79"/>
    </row>
    <row r="583" customFormat="false" ht="15" hidden="false" customHeight="false" outlineLevel="0" collapsed="false">
      <c r="A583" s="98"/>
      <c r="B583" s="79"/>
      <c r="C583" s="102" t="str">
        <f aca="false">IF(B583="","",IFERROR(INDEX(الموظفون!$C$6:$C$105,MATCH(B583,الموظفون!$B$6:$B$105,0)),"✖ رقم غير موجود"))</f>
        <v/>
      </c>
      <c r="D583" s="99"/>
      <c r="E583" s="99"/>
      <c r="F583" s="99"/>
      <c r="G583" s="96"/>
      <c r="H583" s="96"/>
      <c r="I583" s="96"/>
      <c r="J583" s="96"/>
      <c r="K583" s="99"/>
      <c r="L583" s="99"/>
      <c r="M583" s="96"/>
      <c r="N583" s="96"/>
      <c r="O583" s="79"/>
    </row>
    <row r="584" customFormat="false" ht="15" hidden="false" customHeight="false" outlineLevel="0" collapsed="false">
      <c r="A584" s="98"/>
      <c r="B584" s="79"/>
      <c r="C584" s="80" t="str">
        <f aca="false">IF(B584="","",IFERROR(INDEX(الموظفون!$C$6:$C$105,MATCH(B584,الموظفون!$B$6:$B$105,0)),"✖ رقم غير موجود"))</f>
        <v/>
      </c>
      <c r="D584" s="99"/>
      <c r="E584" s="99"/>
      <c r="F584" s="99"/>
      <c r="G584" s="96"/>
      <c r="H584" s="96"/>
      <c r="I584" s="96"/>
      <c r="J584" s="96"/>
      <c r="K584" s="99"/>
      <c r="L584" s="99"/>
      <c r="M584" s="96"/>
      <c r="N584" s="96"/>
      <c r="O584" s="79"/>
    </row>
    <row r="585" customFormat="false" ht="15" hidden="false" customHeight="false" outlineLevel="0" collapsed="false">
      <c r="A585" s="98"/>
      <c r="B585" s="79"/>
      <c r="C585" s="102" t="str">
        <f aca="false">IF(B585="","",IFERROR(INDEX(الموظفون!$C$6:$C$105,MATCH(B585,الموظفون!$B$6:$B$105,0)),"✖ رقم غير موجود"))</f>
        <v/>
      </c>
      <c r="D585" s="99"/>
      <c r="E585" s="99"/>
      <c r="F585" s="99"/>
      <c r="G585" s="96"/>
      <c r="H585" s="96"/>
      <c r="I585" s="96"/>
      <c r="J585" s="96"/>
      <c r="K585" s="99"/>
      <c r="L585" s="99"/>
      <c r="M585" s="96"/>
      <c r="N585" s="96"/>
      <c r="O585" s="79"/>
    </row>
    <row r="586" customFormat="false" ht="15" hidden="false" customHeight="false" outlineLevel="0" collapsed="false">
      <c r="A586" s="98"/>
      <c r="B586" s="79"/>
      <c r="C586" s="80" t="str">
        <f aca="false">IF(B586="","",IFERROR(INDEX(الموظفون!$C$6:$C$105,MATCH(B586,الموظفون!$B$6:$B$105,0)),"✖ رقم غير موجود"))</f>
        <v/>
      </c>
      <c r="D586" s="99"/>
      <c r="E586" s="99"/>
      <c r="F586" s="99"/>
      <c r="G586" s="96"/>
      <c r="H586" s="96"/>
      <c r="I586" s="96"/>
      <c r="J586" s="96"/>
      <c r="K586" s="99"/>
      <c r="L586" s="99"/>
      <c r="M586" s="96"/>
      <c r="N586" s="96"/>
      <c r="O586" s="79"/>
    </row>
    <row r="587" customFormat="false" ht="15" hidden="false" customHeight="false" outlineLevel="0" collapsed="false">
      <c r="A587" s="98"/>
      <c r="B587" s="79"/>
      <c r="C587" s="102" t="str">
        <f aca="false">IF(B587="","",IFERROR(INDEX(الموظفون!$C$6:$C$105,MATCH(B587,الموظفون!$B$6:$B$105,0)),"✖ رقم غير موجود"))</f>
        <v/>
      </c>
      <c r="D587" s="99"/>
      <c r="E587" s="99"/>
      <c r="F587" s="99"/>
      <c r="G587" s="96"/>
      <c r="H587" s="96"/>
      <c r="I587" s="96"/>
      <c r="J587" s="96"/>
      <c r="K587" s="99"/>
      <c r="L587" s="99"/>
      <c r="M587" s="96"/>
      <c r="N587" s="96"/>
      <c r="O587" s="79"/>
    </row>
    <row r="588" customFormat="false" ht="15" hidden="false" customHeight="false" outlineLevel="0" collapsed="false">
      <c r="A588" s="98"/>
      <c r="B588" s="79"/>
      <c r="C588" s="80" t="str">
        <f aca="false">IF(B588="","",IFERROR(INDEX(الموظفون!$C$6:$C$105,MATCH(B588,الموظفون!$B$6:$B$105,0)),"✖ رقم غير موجود"))</f>
        <v/>
      </c>
      <c r="D588" s="99"/>
      <c r="E588" s="99"/>
      <c r="F588" s="99"/>
      <c r="G588" s="96"/>
      <c r="H588" s="96"/>
      <c r="I588" s="96"/>
      <c r="J588" s="96"/>
      <c r="K588" s="99"/>
      <c r="L588" s="99"/>
      <c r="M588" s="96"/>
      <c r="N588" s="96"/>
      <c r="O588" s="79"/>
    </row>
    <row r="589" customFormat="false" ht="15" hidden="false" customHeight="false" outlineLevel="0" collapsed="false">
      <c r="A589" s="98"/>
      <c r="B589" s="79"/>
      <c r="C589" s="102" t="str">
        <f aca="false">IF(B589="","",IFERROR(INDEX(الموظفون!$C$6:$C$105,MATCH(B589,الموظفون!$B$6:$B$105,0)),"✖ رقم غير موجود"))</f>
        <v/>
      </c>
      <c r="D589" s="99"/>
      <c r="E589" s="99"/>
      <c r="F589" s="99"/>
      <c r="G589" s="96"/>
      <c r="H589" s="96"/>
      <c r="I589" s="96"/>
      <c r="J589" s="96"/>
      <c r="K589" s="99"/>
      <c r="L589" s="99"/>
      <c r="M589" s="96"/>
      <c r="N589" s="96"/>
      <c r="O589" s="79"/>
    </row>
    <row r="590" customFormat="false" ht="15" hidden="false" customHeight="false" outlineLevel="0" collapsed="false">
      <c r="A590" s="98"/>
      <c r="B590" s="79"/>
      <c r="C590" s="80" t="str">
        <f aca="false">IF(B590="","",IFERROR(INDEX(الموظفون!$C$6:$C$105,MATCH(B590,الموظفون!$B$6:$B$105,0)),"✖ رقم غير موجود"))</f>
        <v/>
      </c>
      <c r="D590" s="99"/>
      <c r="E590" s="99"/>
      <c r="F590" s="99"/>
      <c r="G590" s="96"/>
      <c r="H590" s="96"/>
      <c r="I590" s="96"/>
      <c r="J590" s="96"/>
      <c r="K590" s="99"/>
      <c r="L590" s="99"/>
      <c r="M590" s="96"/>
      <c r="N590" s="96"/>
      <c r="O590" s="79"/>
    </row>
    <row r="591" customFormat="false" ht="15" hidden="false" customHeight="false" outlineLevel="0" collapsed="false">
      <c r="A591" s="98"/>
      <c r="B591" s="79"/>
      <c r="C591" s="102" t="str">
        <f aca="false">IF(B591="","",IFERROR(INDEX(الموظفون!$C$6:$C$105,MATCH(B591,الموظفون!$B$6:$B$105,0)),"✖ رقم غير موجود"))</f>
        <v/>
      </c>
      <c r="D591" s="99"/>
      <c r="E591" s="99"/>
      <c r="F591" s="99"/>
      <c r="G591" s="96"/>
      <c r="H591" s="96"/>
      <c r="I591" s="96"/>
      <c r="J591" s="96"/>
      <c r="K591" s="99"/>
      <c r="L591" s="99"/>
      <c r="M591" s="96"/>
      <c r="N591" s="96"/>
      <c r="O591" s="79"/>
    </row>
    <row r="592" customFormat="false" ht="15" hidden="false" customHeight="false" outlineLevel="0" collapsed="false">
      <c r="A592" s="98"/>
      <c r="B592" s="79"/>
      <c r="C592" s="80" t="str">
        <f aca="false">IF(B592="","",IFERROR(INDEX(الموظفون!$C$6:$C$105,MATCH(B592,الموظفون!$B$6:$B$105,0)),"✖ رقم غير موجود"))</f>
        <v/>
      </c>
      <c r="D592" s="99"/>
      <c r="E592" s="99"/>
      <c r="F592" s="99"/>
      <c r="G592" s="96"/>
      <c r="H592" s="96"/>
      <c r="I592" s="96"/>
      <c r="J592" s="96"/>
      <c r="K592" s="99"/>
      <c r="L592" s="99"/>
      <c r="M592" s="96"/>
      <c r="N592" s="96"/>
      <c r="O592" s="79"/>
    </row>
    <row r="593" customFormat="false" ht="15" hidden="false" customHeight="false" outlineLevel="0" collapsed="false">
      <c r="A593" s="98"/>
      <c r="B593" s="79"/>
      <c r="C593" s="102" t="str">
        <f aca="false">IF(B593="","",IFERROR(INDEX(الموظفون!$C$6:$C$105,MATCH(B593,الموظفون!$B$6:$B$105,0)),"✖ رقم غير موجود"))</f>
        <v/>
      </c>
      <c r="D593" s="99"/>
      <c r="E593" s="99"/>
      <c r="F593" s="99"/>
      <c r="G593" s="96"/>
      <c r="H593" s="96"/>
      <c r="I593" s="96"/>
      <c r="J593" s="96"/>
      <c r="K593" s="99"/>
      <c r="L593" s="99"/>
      <c r="M593" s="96"/>
      <c r="N593" s="96"/>
      <c r="O593" s="79"/>
    </row>
    <row r="594" customFormat="false" ht="15" hidden="false" customHeight="false" outlineLevel="0" collapsed="false">
      <c r="A594" s="98"/>
      <c r="B594" s="79"/>
      <c r="C594" s="80" t="str">
        <f aca="false">IF(B594="","",IFERROR(INDEX(الموظفون!$C$6:$C$105,MATCH(B594,الموظفون!$B$6:$B$105,0)),"✖ رقم غير موجود"))</f>
        <v/>
      </c>
      <c r="D594" s="99"/>
      <c r="E594" s="99"/>
      <c r="F594" s="99"/>
      <c r="G594" s="96"/>
      <c r="H594" s="96"/>
      <c r="I594" s="96"/>
      <c r="J594" s="96"/>
      <c r="K594" s="99"/>
      <c r="L594" s="99"/>
      <c r="M594" s="96"/>
      <c r="N594" s="96"/>
      <c r="O594" s="79"/>
    </row>
    <row r="595" customFormat="false" ht="15" hidden="false" customHeight="false" outlineLevel="0" collapsed="false">
      <c r="A595" s="98"/>
      <c r="B595" s="79"/>
      <c r="C595" s="102" t="str">
        <f aca="false">IF(B595="","",IFERROR(INDEX(الموظفون!$C$6:$C$105,MATCH(B595,الموظفون!$B$6:$B$105,0)),"✖ رقم غير موجود"))</f>
        <v/>
      </c>
      <c r="D595" s="99"/>
      <c r="E595" s="99"/>
      <c r="F595" s="99"/>
      <c r="G595" s="96"/>
      <c r="H595" s="96"/>
      <c r="I595" s="96"/>
      <c r="J595" s="96"/>
      <c r="K595" s="99"/>
      <c r="L595" s="99"/>
      <c r="M595" s="96"/>
      <c r="N595" s="96"/>
      <c r="O595" s="79"/>
    </row>
    <row r="596" customFormat="false" ht="15" hidden="false" customHeight="false" outlineLevel="0" collapsed="false">
      <c r="A596" s="98"/>
      <c r="B596" s="79"/>
      <c r="C596" s="80" t="str">
        <f aca="false">IF(B596="","",IFERROR(INDEX(الموظفون!$C$6:$C$105,MATCH(B596,الموظفون!$B$6:$B$105,0)),"✖ رقم غير موجود"))</f>
        <v/>
      </c>
      <c r="D596" s="99"/>
      <c r="E596" s="99"/>
      <c r="F596" s="99"/>
      <c r="G596" s="96"/>
      <c r="H596" s="96"/>
      <c r="I596" s="96"/>
      <c r="J596" s="96"/>
      <c r="K596" s="99"/>
      <c r="L596" s="99"/>
      <c r="M596" s="96"/>
      <c r="N596" s="96"/>
      <c r="O596" s="79"/>
    </row>
    <row r="597" customFormat="false" ht="15" hidden="false" customHeight="false" outlineLevel="0" collapsed="false">
      <c r="A597" s="98"/>
      <c r="B597" s="79"/>
      <c r="C597" s="102" t="str">
        <f aca="false">IF(B597="","",IFERROR(INDEX(الموظفون!$C$6:$C$105,MATCH(B597,الموظفون!$B$6:$B$105,0)),"✖ رقم غير موجود"))</f>
        <v/>
      </c>
      <c r="D597" s="99"/>
      <c r="E597" s="99"/>
      <c r="F597" s="99"/>
      <c r="G597" s="96"/>
      <c r="H597" s="96"/>
      <c r="I597" s="96"/>
      <c r="J597" s="96"/>
      <c r="K597" s="99"/>
      <c r="L597" s="99"/>
      <c r="M597" s="96"/>
      <c r="N597" s="96"/>
      <c r="O597" s="79"/>
    </row>
    <row r="598" customFormat="false" ht="15" hidden="false" customHeight="false" outlineLevel="0" collapsed="false">
      <c r="A598" s="98"/>
      <c r="B598" s="79"/>
      <c r="C598" s="80" t="str">
        <f aca="false">IF(B598="","",IFERROR(INDEX(الموظفون!$C$6:$C$105,MATCH(B598,الموظفون!$B$6:$B$105,0)),"✖ رقم غير موجود"))</f>
        <v/>
      </c>
      <c r="D598" s="99"/>
      <c r="E598" s="99"/>
      <c r="F598" s="99"/>
      <c r="G598" s="96"/>
      <c r="H598" s="96"/>
      <c r="I598" s="96"/>
      <c r="J598" s="96"/>
      <c r="K598" s="99"/>
      <c r="L598" s="99"/>
      <c r="M598" s="96"/>
      <c r="N598" s="96"/>
      <c r="O598" s="79"/>
    </row>
    <row r="599" customFormat="false" ht="15" hidden="false" customHeight="false" outlineLevel="0" collapsed="false">
      <c r="A599" s="98"/>
      <c r="B599" s="79"/>
      <c r="C599" s="102" t="str">
        <f aca="false">IF(B599="","",IFERROR(INDEX(الموظفون!$C$6:$C$105,MATCH(B599,الموظفون!$B$6:$B$105,0)),"✖ رقم غير موجود"))</f>
        <v/>
      </c>
      <c r="D599" s="99"/>
      <c r="E599" s="99"/>
      <c r="F599" s="99"/>
      <c r="G599" s="96"/>
      <c r="H599" s="96"/>
      <c r="I599" s="96"/>
      <c r="J599" s="96"/>
      <c r="K599" s="99"/>
      <c r="L599" s="99"/>
      <c r="M599" s="96"/>
      <c r="N599" s="96"/>
      <c r="O599" s="79"/>
    </row>
    <row r="600" customFormat="false" ht="15" hidden="false" customHeight="false" outlineLevel="0" collapsed="false">
      <c r="A600" s="98"/>
      <c r="B600" s="79"/>
      <c r="C600" s="80" t="str">
        <f aca="false">IF(B600="","",IFERROR(INDEX(الموظفون!$C$6:$C$105,MATCH(B600,الموظفون!$B$6:$B$105,0)),"✖ رقم غير موجود"))</f>
        <v/>
      </c>
      <c r="D600" s="99"/>
      <c r="E600" s="99"/>
      <c r="F600" s="99"/>
      <c r="G600" s="96"/>
      <c r="H600" s="96"/>
      <c r="I600" s="96"/>
      <c r="J600" s="96"/>
      <c r="K600" s="99"/>
      <c r="L600" s="99"/>
      <c r="M600" s="96"/>
      <c r="N600" s="96"/>
      <c r="O600" s="79"/>
    </row>
    <row r="601" customFormat="false" ht="15" hidden="false" customHeight="false" outlineLevel="0" collapsed="false">
      <c r="A601" s="98"/>
      <c r="B601" s="79"/>
      <c r="C601" s="102" t="str">
        <f aca="false">IF(B601="","",IFERROR(INDEX(الموظفون!$C$6:$C$105,MATCH(B601,الموظفون!$B$6:$B$105,0)),"✖ رقم غير موجود"))</f>
        <v/>
      </c>
      <c r="D601" s="99"/>
      <c r="E601" s="99"/>
      <c r="F601" s="99"/>
      <c r="G601" s="96"/>
      <c r="H601" s="96"/>
      <c r="I601" s="96"/>
      <c r="J601" s="96"/>
      <c r="K601" s="99"/>
      <c r="L601" s="99"/>
      <c r="M601" s="96"/>
      <c r="N601" s="96"/>
      <c r="O601" s="79"/>
    </row>
    <row r="602" customFormat="false" ht="15" hidden="false" customHeight="false" outlineLevel="0" collapsed="false">
      <c r="A602" s="98"/>
      <c r="B602" s="79"/>
      <c r="C602" s="80" t="str">
        <f aca="false">IF(B602="","",IFERROR(INDEX(الموظفون!$C$6:$C$105,MATCH(B602,الموظفون!$B$6:$B$105,0)),"✖ رقم غير موجود"))</f>
        <v/>
      </c>
      <c r="D602" s="99"/>
      <c r="E602" s="99"/>
      <c r="F602" s="99"/>
      <c r="G602" s="96"/>
      <c r="H602" s="96"/>
      <c r="I602" s="96"/>
      <c r="J602" s="96"/>
      <c r="K602" s="99"/>
      <c r="L602" s="99"/>
      <c r="M602" s="96"/>
      <c r="N602" s="96"/>
      <c r="O602" s="79"/>
    </row>
    <row r="603" customFormat="false" ht="15" hidden="false" customHeight="false" outlineLevel="0" collapsed="false">
      <c r="A603" s="98"/>
      <c r="B603" s="79"/>
      <c r="C603" s="102" t="str">
        <f aca="false">IF(B603="","",IFERROR(INDEX(الموظفون!$C$6:$C$105,MATCH(B603,الموظفون!$B$6:$B$105,0)),"✖ رقم غير موجود"))</f>
        <v/>
      </c>
      <c r="D603" s="99"/>
      <c r="E603" s="99"/>
      <c r="F603" s="99"/>
      <c r="G603" s="96"/>
      <c r="H603" s="96"/>
      <c r="I603" s="96"/>
      <c r="J603" s="96"/>
      <c r="K603" s="99"/>
      <c r="L603" s="99"/>
      <c r="M603" s="96"/>
      <c r="N603" s="96"/>
      <c r="O603" s="79"/>
    </row>
    <row r="604" customFormat="false" ht="15" hidden="false" customHeight="false" outlineLevel="0" collapsed="false">
      <c r="A604" s="98"/>
      <c r="B604" s="79"/>
      <c r="C604" s="80" t="str">
        <f aca="false">IF(B604="","",IFERROR(INDEX(الموظفون!$C$6:$C$105,MATCH(B604,الموظفون!$B$6:$B$105,0)),"✖ رقم غير موجود"))</f>
        <v/>
      </c>
      <c r="D604" s="99"/>
      <c r="E604" s="99"/>
      <c r="F604" s="99"/>
      <c r="G604" s="96"/>
      <c r="H604" s="96"/>
      <c r="I604" s="96"/>
      <c r="J604" s="96"/>
      <c r="K604" s="99"/>
      <c r="L604" s="99"/>
      <c r="M604" s="96"/>
      <c r="N604" s="96"/>
      <c r="O604" s="79"/>
    </row>
    <row r="605" customFormat="false" ht="15" hidden="false" customHeight="false" outlineLevel="0" collapsed="false">
      <c r="A605" s="98"/>
      <c r="B605" s="79"/>
      <c r="C605" s="102" t="str">
        <f aca="false">IF(B605="","",IFERROR(INDEX(الموظفون!$C$6:$C$105,MATCH(B605,الموظفون!$B$6:$B$105,0)),"✖ رقم غير موجود"))</f>
        <v/>
      </c>
      <c r="D605" s="99"/>
      <c r="E605" s="99"/>
      <c r="F605" s="99"/>
      <c r="G605" s="96"/>
      <c r="H605" s="96"/>
      <c r="I605" s="96"/>
      <c r="J605" s="96"/>
      <c r="K605" s="99"/>
      <c r="L605" s="99"/>
      <c r="M605" s="96"/>
      <c r="N605" s="96"/>
      <c r="O605" s="79"/>
    </row>
    <row r="606" customFormat="false" ht="15" hidden="false" customHeight="false" outlineLevel="0" collapsed="false">
      <c r="A606" s="98"/>
      <c r="B606" s="79"/>
      <c r="C606" s="80" t="str">
        <f aca="false">IF(B606="","",IFERROR(INDEX(الموظفون!$C$6:$C$105,MATCH(B606,الموظفون!$B$6:$B$105,0)),"✖ رقم غير موجود"))</f>
        <v/>
      </c>
      <c r="D606" s="99"/>
      <c r="E606" s="99"/>
      <c r="F606" s="99"/>
      <c r="G606" s="96"/>
      <c r="H606" s="96"/>
      <c r="I606" s="96"/>
      <c r="J606" s="96"/>
      <c r="K606" s="99"/>
      <c r="L606" s="99"/>
      <c r="M606" s="96"/>
      <c r="N606" s="96"/>
      <c r="O606" s="79"/>
    </row>
    <row r="607" customFormat="false" ht="15" hidden="false" customHeight="false" outlineLevel="0" collapsed="false">
      <c r="A607" s="98"/>
      <c r="B607" s="79"/>
      <c r="C607" s="102" t="str">
        <f aca="false">IF(B607="","",IFERROR(INDEX(الموظفون!$C$6:$C$105,MATCH(B607,الموظفون!$B$6:$B$105,0)),"✖ رقم غير موجود"))</f>
        <v/>
      </c>
      <c r="D607" s="99"/>
      <c r="E607" s="99"/>
      <c r="F607" s="99"/>
      <c r="G607" s="96"/>
      <c r="H607" s="96"/>
      <c r="I607" s="96"/>
      <c r="J607" s="96"/>
      <c r="K607" s="99"/>
      <c r="L607" s="99"/>
      <c r="M607" s="96"/>
      <c r="N607" s="96"/>
      <c r="O607" s="79"/>
    </row>
    <row r="608" customFormat="false" ht="15" hidden="false" customHeight="false" outlineLevel="0" collapsed="false">
      <c r="A608" s="98"/>
      <c r="B608" s="79"/>
      <c r="C608" s="80" t="str">
        <f aca="false">IF(B608="","",IFERROR(INDEX(الموظفون!$C$6:$C$105,MATCH(B608,الموظفون!$B$6:$B$105,0)),"✖ رقم غير موجود"))</f>
        <v/>
      </c>
      <c r="D608" s="99"/>
      <c r="E608" s="99"/>
      <c r="F608" s="99"/>
      <c r="G608" s="96"/>
      <c r="H608" s="96"/>
      <c r="I608" s="96"/>
      <c r="J608" s="96"/>
      <c r="K608" s="99"/>
      <c r="L608" s="99"/>
      <c r="M608" s="96"/>
      <c r="N608" s="96"/>
      <c r="O608" s="79"/>
    </row>
    <row r="609" customFormat="false" ht="15" hidden="false" customHeight="false" outlineLevel="0" collapsed="false">
      <c r="A609" s="98"/>
      <c r="B609" s="79"/>
      <c r="C609" s="102" t="str">
        <f aca="false">IF(B609="","",IFERROR(INDEX(الموظفون!$C$6:$C$105,MATCH(B609,الموظفون!$B$6:$B$105,0)),"✖ رقم غير موجود"))</f>
        <v/>
      </c>
      <c r="D609" s="99"/>
      <c r="E609" s="99"/>
      <c r="F609" s="99"/>
      <c r="G609" s="96"/>
      <c r="H609" s="96"/>
      <c r="I609" s="96"/>
      <c r="J609" s="96"/>
      <c r="K609" s="99"/>
      <c r="L609" s="99"/>
      <c r="M609" s="96"/>
      <c r="N609" s="96"/>
      <c r="O609" s="79"/>
    </row>
    <row r="610" customFormat="false" ht="15" hidden="false" customHeight="false" outlineLevel="0" collapsed="false">
      <c r="A610" s="98"/>
      <c r="B610" s="79"/>
      <c r="C610" s="80" t="str">
        <f aca="false">IF(B610="","",IFERROR(INDEX(الموظفون!$C$6:$C$105,MATCH(B610,الموظفون!$B$6:$B$105,0)),"✖ رقم غير موجود"))</f>
        <v/>
      </c>
      <c r="D610" s="99"/>
      <c r="E610" s="99"/>
      <c r="F610" s="99"/>
      <c r="G610" s="96"/>
      <c r="H610" s="96"/>
      <c r="I610" s="96"/>
      <c r="J610" s="96"/>
      <c r="K610" s="99"/>
      <c r="L610" s="99"/>
      <c r="M610" s="96"/>
      <c r="N610" s="96"/>
      <c r="O610" s="79"/>
    </row>
    <row r="611" customFormat="false" ht="15" hidden="false" customHeight="false" outlineLevel="0" collapsed="false">
      <c r="A611" s="98"/>
      <c r="B611" s="79"/>
      <c r="C611" s="102" t="str">
        <f aca="false">IF(B611="","",IFERROR(INDEX(الموظفون!$C$6:$C$105,MATCH(B611,الموظفون!$B$6:$B$105,0)),"✖ رقم غير موجود"))</f>
        <v/>
      </c>
      <c r="D611" s="99"/>
      <c r="E611" s="99"/>
      <c r="F611" s="99"/>
      <c r="G611" s="96"/>
      <c r="H611" s="96"/>
      <c r="I611" s="96"/>
      <c r="J611" s="96"/>
      <c r="K611" s="99"/>
      <c r="L611" s="99"/>
      <c r="M611" s="96"/>
      <c r="N611" s="96"/>
      <c r="O611" s="79"/>
    </row>
    <row r="612" customFormat="false" ht="15" hidden="false" customHeight="false" outlineLevel="0" collapsed="false">
      <c r="A612" s="98"/>
      <c r="B612" s="79"/>
      <c r="C612" s="80" t="str">
        <f aca="false">IF(B612="","",IFERROR(INDEX(الموظفون!$C$6:$C$105,MATCH(B612,الموظفون!$B$6:$B$105,0)),"✖ رقم غير موجود"))</f>
        <v/>
      </c>
      <c r="D612" s="99"/>
      <c r="E612" s="99"/>
      <c r="F612" s="99"/>
      <c r="G612" s="96"/>
      <c r="H612" s="96"/>
      <c r="I612" s="96"/>
      <c r="J612" s="96"/>
      <c r="K612" s="99"/>
      <c r="L612" s="99"/>
      <c r="M612" s="96"/>
      <c r="N612" s="96"/>
      <c r="O612" s="79"/>
    </row>
    <row r="613" customFormat="false" ht="15" hidden="false" customHeight="false" outlineLevel="0" collapsed="false">
      <c r="A613" s="98"/>
      <c r="B613" s="79"/>
      <c r="C613" s="102" t="str">
        <f aca="false">IF(B613="","",IFERROR(INDEX(الموظفون!$C$6:$C$105,MATCH(B613,الموظفون!$B$6:$B$105,0)),"✖ رقم غير موجود"))</f>
        <v/>
      </c>
      <c r="D613" s="99"/>
      <c r="E613" s="99"/>
      <c r="F613" s="99"/>
      <c r="G613" s="96"/>
      <c r="H613" s="96"/>
      <c r="I613" s="96"/>
      <c r="J613" s="96"/>
      <c r="K613" s="99"/>
      <c r="L613" s="99"/>
      <c r="M613" s="96"/>
      <c r="N613" s="96"/>
      <c r="O613" s="79"/>
    </row>
    <row r="614" customFormat="false" ht="15" hidden="false" customHeight="false" outlineLevel="0" collapsed="false">
      <c r="A614" s="98"/>
      <c r="B614" s="79"/>
      <c r="C614" s="80" t="str">
        <f aca="false">IF(B614="","",IFERROR(INDEX(الموظفون!$C$6:$C$105,MATCH(B614,الموظفون!$B$6:$B$105,0)),"✖ رقم غير موجود"))</f>
        <v/>
      </c>
      <c r="D614" s="99"/>
      <c r="E614" s="99"/>
      <c r="F614" s="99"/>
      <c r="G614" s="96"/>
      <c r="H614" s="96"/>
      <c r="I614" s="96"/>
      <c r="J614" s="96"/>
      <c r="K614" s="99"/>
      <c r="L614" s="99"/>
      <c r="M614" s="96"/>
      <c r="N614" s="96"/>
      <c r="O614" s="79"/>
    </row>
    <row r="615" customFormat="false" ht="15" hidden="false" customHeight="false" outlineLevel="0" collapsed="false">
      <c r="A615" s="98"/>
      <c r="B615" s="79"/>
      <c r="C615" s="102" t="str">
        <f aca="false">IF(B615="","",IFERROR(INDEX(الموظفون!$C$6:$C$105,MATCH(B615,الموظفون!$B$6:$B$105,0)),"✖ رقم غير موجود"))</f>
        <v/>
      </c>
      <c r="D615" s="99"/>
      <c r="E615" s="99"/>
      <c r="F615" s="99"/>
      <c r="G615" s="96"/>
      <c r="H615" s="96"/>
      <c r="I615" s="96"/>
      <c r="J615" s="96"/>
      <c r="K615" s="99"/>
      <c r="L615" s="99"/>
      <c r="M615" s="96"/>
      <c r="N615" s="96"/>
      <c r="O615" s="79"/>
    </row>
    <row r="616" customFormat="false" ht="15" hidden="false" customHeight="false" outlineLevel="0" collapsed="false">
      <c r="A616" s="98"/>
      <c r="B616" s="79"/>
      <c r="C616" s="80" t="str">
        <f aca="false">IF(B616="","",IFERROR(INDEX(الموظفون!$C$6:$C$105,MATCH(B616,الموظفون!$B$6:$B$105,0)),"✖ رقم غير موجود"))</f>
        <v/>
      </c>
      <c r="D616" s="99"/>
      <c r="E616" s="99"/>
      <c r="F616" s="99"/>
      <c r="G616" s="96"/>
      <c r="H616" s="96"/>
      <c r="I616" s="96"/>
      <c r="J616" s="96"/>
      <c r="K616" s="99"/>
      <c r="L616" s="99"/>
      <c r="M616" s="96"/>
      <c r="N616" s="96"/>
      <c r="O616" s="79"/>
    </row>
    <row r="617" customFormat="false" ht="15" hidden="false" customHeight="false" outlineLevel="0" collapsed="false">
      <c r="A617" s="98"/>
      <c r="B617" s="79"/>
      <c r="C617" s="102" t="str">
        <f aca="false">IF(B617="","",IFERROR(INDEX(الموظفون!$C$6:$C$105,MATCH(B617,الموظفون!$B$6:$B$105,0)),"✖ رقم غير موجود"))</f>
        <v/>
      </c>
      <c r="D617" s="99"/>
      <c r="E617" s="99"/>
      <c r="F617" s="99"/>
      <c r="G617" s="96"/>
      <c r="H617" s="96"/>
      <c r="I617" s="96"/>
      <c r="J617" s="96"/>
      <c r="K617" s="99"/>
      <c r="L617" s="99"/>
      <c r="M617" s="96"/>
      <c r="N617" s="96"/>
      <c r="O617" s="79"/>
    </row>
    <row r="618" customFormat="false" ht="15" hidden="false" customHeight="false" outlineLevel="0" collapsed="false">
      <c r="A618" s="98"/>
      <c r="B618" s="79"/>
      <c r="C618" s="80" t="str">
        <f aca="false">IF(B618="","",IFERROR(INDEX(الموظفون!$C$6:$C$105,MATCH(B618,الموظفون!$B$6:$B$105,0)),"✖ رقم غير موجود"))</f>
        <v/>
      </c>
      <c r="D618" s="99"/>
      <c r="E618" s="99"/>
      <c r="F618" s="99"/>
      <c r="G618" s="96"/>
      <c r="H618" s="96"/>
      <c r="I618" s="96"/>
      <c r="J618" s="96"/>
      <c r="K618" s="99"/>
      <c r="L618" s="99"/>
      <c r="M618" s="96"/>
      <c r="N618" s="96"/>
      <c r="O618" s="79"/>
    </row>
    <row r="619" customFormat="false" ht="15" hidden="false" customHeight="false" outlineLevel="0" collapsed="false">
      <c r="A619" s="98"/>
      <c r="B619" s="79"/>
      <c r="C619" s="102" t="str">
        <f aca="false">IF(B619="","",IFERROR(INDEX(الموظفون!$C$6:$C$105,MATCH(B619,الموظفون!$B$6:$B$105,0)),"✖ رقم غير موجود"))</f>
        <v/>
      </c>
      <c r="D619" s="99"/>
      <c r="E619" s="99"/>
      <c r="F619" s="99"/>
      <c r="G619" s="96"/>
      <c r="H619" s="96"/>
      <c r="I619" s="96"/>
      <c r="J619" s="96"/>
      <c r="K619" s="99"/>
      <c r="L619" s="99"/>
      <c r="M619" s="96"/>
      <c r="N619" s="96"/>
      <c r="O619" s="79"/>
    </row>
    <row r="620" customFormat="false" ht="15" hidden="false" customHeight="false" outlineLevel="0" collapsed="false">
      <c r="A620" s="98"/>
      <c r="B620" s="79"/>
      <c r="C620" s="80" t="str">
        <f aca="false">IF(B620="","",IFERROR(INDEX(الموظفون!$C$6:$C$105,MATCH(B620,الموظفون!$B$6:$B$105,0)),"✖ رقم غير موجود"))</f>
        <v/>
      </c>
      <c r="D620" s="99"/>
      <c r="E620" s="99"/>
      <c r="F620" s="99"/>
      <c r="G620" s="96"/>
      <c r="H620" s="96"/>
      <c r="I620" s="96"/>
      <c r="J620" s="96"/>
      <c r="K620" s="99"/>
      <c r="L620" s="99"/>
      <c r="M620" s="96"/>
      <c r="N620" s="96"/>
      <c r="O620" s="79"/>
    </row>
    <row r="621" customFormat="false" ht="15" hidden="false" customHeight="false" outlineLevel="0" collapsed="false">
      <c r="A621" s="98"/>
      <c r="B621" s="79"/>
      <c r="C621" s="102" t="str">
        <f aca="false">IF(B621="","",IFERROR(INDEX(الموظفون!$C$6:$C$105,MATCH(B621,الموظفون!$B$6:$B$105,0)),"✖ رقم غير موجود"))</f>
        <v/>
      </c>
      <c r="D621" s="99"/>
      <c r="E621" s="99"/>
      <c r="F621" s="99"/>
      <c r="G621" s="96"/>
      <c r="H621" s="96"/>
      <c r="I621" s="96"/>
      <c r="J621" s="96"/>
      <c r="K621" s="99"/>
      <c r="L621" s="99"/>
      <c r="M621" s="96"/>
      <c r="N621" s="96"/>
      <c r="O621" s="79"/>
    </row>
    <row r="622" customFormat="false" ht="15" hidden="false" customHeight="false" outlineLevel="0" collapsed="false">
      <c r="A622" s="98"/>
      <c r="B622" s="79"/>
      <c r="C622" s="80" t="str">
        <f aca="false">IF(B622="","",IFERROR(INDEX(الموظفون!$C$6:$C$105,MATCH(B622,الموظفون!$B$6:$B$105,0)),"✖ رقم غير موجود"))</f>
        <v/>
      </c>
      <c r="D622" s="99"/>
      <c r="E622" s="99"/>
      <c r="F622" s="99"/>
      <c r="G622" s="96"/>
      <c r="H622" s="96"/>
      <c r="I622" s="96"/>
      <c r="J622" s="96"/>
      <c r="K622" s="99"/>
      <c r="L622" s="99"/>
      <c r="M622" s="96"/>
      <c r="N622" s="96"/>
      <c r="O622" s="79"/>
    </row>
    <row r="623" customFormat="false" ht="15" hidden="false" customHeight="false" outlineLevel="0" collapsed="false">
      <c r="A623" s="98"/>
      <c r="B623" s="79"/>
      <c r="C623" s="102" t="str">
        <f aca="false">IF(B623="","",IFERROR(INDEX(الموظفون!$C$6:$C$105,MATCH(B623,الموظفون!$B$6:$B$105,0)),"✖ رقم غير موجود"))</f>
        <v/>
      </c>
      <c r="D623" s="99"/>
      <c r="E623" s="99"/>
      <c r="F623" s="99"/>
      <c r="G623" s="96"/>
      <c r="H623" s="96"/>
      <c r="I623" s="96"/>
      <c r="J623" s="96"/>
      <c r="K623" s="99"/>
      <c r="L623" s="99"/>
      <c r="M623" s="96"/>
      <c r="N623" s="96"/>
      <c r="O623" s="79"/>
    </row>
    <row r="624" customFormat="false" ht="15" hidden="false" customHeight="false" outlineLevel="0" collapsed="false">
      <c r="A624" s="98"/>
      <c r="B624" s="79"/>
      <c r="C624" s="80" t="str">
        <f aca="false">IF(B624="","",IFERROR(INDEX(الموظفون!$C$6:$C$105,MATCH(B624,الموظفون!$B$6:$B$105,0)),"✖ رقم غير موجود"))</f>
        <v/>
      </c>
      <c r="D624" s="99"/>
      <c r="E624" s="99"/>
      <c r="F624" s="99"/>
      <c r="G624" s="96"/>
      <c r="H624" s="96"/>
      <c r="I624" s="96"/>
      <c r="J624" s="96"/>
      <c r="K624" s="99"/>
      <c r="L624" s="99"/>
      <c r="M624" s="96"/>
      <c r="N624" s="96"/>
      <c r="O624" s="79"/>
    </row>
    <row r="625" customFormat="false" ht="15" hidden="false" customHeight="false" outlineLevel="0" collapsed="false">
      <c r="A625" s="98"/>
      <c r="B625" s="79"/>
      <c r="C625" s="102" t="str">
        <f aca="false">IF(B625="","",IFERROR(INDEX(الموظفون!$C$6:$C$105,MATCH(B625,الموظفون!$B$6:$B$105,0)),"✖ رقم غير موجود"))</f>
        <v/>
      </c>
      <c r="D625" s="99"/>
      <c r="E625" s="99"/>
      <c r="F625" s="99"/>
      <c r="G625" s="96"/>
      <c r="H625" s="96"/>
      <c r="I625" s="96"/>
      <c r="J625" s="96"/>
      <c r="K625" s="99"/>
      <c r="L625" s="99"/>
      <c r="M625" s="96"/>
      <c r="N625" s="96"/>
      <c r="O625" s="79"/>
    </row>
    <row r="626" customFormat="false" ht="15" hidden="false" customHeight="false" outlineLevel="0" collapsed="false">
      <c r="A626" s="98"/>
      <c r="B626" s="79"/>
      <c r="C626" s="80" t="str">
        <f aca="false">IF(B626="","",IFERROR(INDEX(الموظفون!$C$6:$C$105,MATCH(B626,الموظفون!$B$6:$B$105,0)),"✖ رقم غير موجود"))</f>
        <v/>
      </c>
      <c r="D626" s="99"/>
      <c r="E626" s="99"/>
      <c r="F626" s="99"/>
      <c r="G626" s="96"/>
      <c r="H626" s="96"/>
      <c r="I626" s="96"/>
      <c r="J626" s="96"/>
      <c r="K626" s="99"/>
      <c r="L626" s="99"/>
      <c r="M626" s="96"/>
      <c r="N626" s="96"/>
      <c r="O626" s="79"/>
    </row>
    <row r="627" customFormat="false" ht="15" hidden="false" customHeight="false" outlineLevel="0" collapsed="false">
      <c r="A627" s="98"/>
      <c r="B627" s="79"/>
      <c r="C627" s="102" t="str">
        <f aca="false">IF(B627="","",IFERROR(INDEX(الموظفون!$C$6:$C$105,MATCH(B627,الموظفون!$B$6:$B$105,0)),"✖ رقم غير موجود"))</f>
        <v/>
      </c>
      <c r="D627" s="99"/>
      <c r="E627" s="99"/>
      <c r="F627" s="99"/>
      <c r="G627" s="96"/>
      <c r="H627" s="96"/>
      <c r="I627" s="96"/>
      <c r="J627" s="96"/>
      <c r="K627" s="99"/>
      <c r="L627" s="99"/>
      <c r="M627" s="96"/>
      <c r="N627" s="96"/>
      <c r="O627" s="79"/>
    </row>
    <row r="628" customFormat="false" ht="15" hidden="false" customHeight="false" outlineLevel="0" collapsed="false">
      <c r="A628" s="98"/>
      <c r="B628" s="79"/>
      <c r="C628" s="80" t="str">
        <f aca="false">IF(B628="","",IFERROR(INDEX(الموظفون!$C$6:$C$105,MATCH(B628,الموظفون!$B$6:$B$105,0)),"✖ رقم غير موجود"))</f>
        <v/>
      </c>
      <c r="D628" s="99"/>
      <c r="E628" s="99"/>
      <c r="F628" s="99"/>
      <c r="G628" s="96"/>
      <c r="H628" s="96"/>
      <c r="I628" s="96"/>
      <c r="J628" s="96"/>
      <c r="K628" s="99"/>
      <c r="L628" s="99"/>
      <c r="M628" s="96"/>
      <c r="N628" s="96"/>
      <c r="O628" s="79"/>
    </row>
    <row r="629" customFormat="false" ht="15" hidden="false" customHeight="false" outlineLevel="0" collapsed="false">
      <c r="A629" s="98"/>
      <c r="B629" s="79"/>
      <c r="C629" s="102" t="str">
        <f aca="false">IF(B629="","",IFERROR(INDEX(الموظفون!$C$6:$C$105,MATCH(B629,الموظفون!$B$6:$B$105,0)),"✖ رقم غير موجود"))</f>
        <v/>
      </c>
      <c r="D629" s="99"/>
      <c r="E629" s="99"/>
      <c r="F629" s="99"/>
      <c r="G629" s="96"/>
      <c r="H629" s="96"/>
      <c r="I629" s="96"/>
      <c r="J629" s="96"/>
      <c r="K629" s="99"/>
      <c r="L629" s="99"/>
      <c r="M629" s="96"/>
      <c r="N629" s="96"/>
      <c r="O629" s="79"/>
    </row>
    <row r="630" customFormat="false" ht="15" hidden="false" customHeight="false" outlineLevel="0" collapsed="false">
      <c r="A630" s="98"/>
      <c r="B630" s="79"/>
      <c r="C630" s="80" t="str">
        <f aca="false">IF(B630="","",IFERROR(INDEX(الموظفون!$C$6:$C$105,MATCH(B630,الموظفون!$B$6:$B$105,0)),"✖ رقم غير موجود"))</f>
        <v/>
      </c>
      <c r="D630" s="99"/>
      <c r="E630" s="99"/>
      <c r="F630" s="99"/>
      <c r="G630" s="96"/>
      <c r="H630" s="96"/>
      <c r="I630" s="96"/>
      <c r="J630" s="96"/>
      <c r="K630" s="99"/>
      <c r="L630" s="99"/>
      <c r="M630" s="96"/>
      <c r="N630" s="96"/>
      <c r="O630" s="79"/>
    </row>
    <row r="631" customFormat="false" ht="15" hidden="false" customHeight="false" outlineLevel="0" collapsed="false">
      <c r="A631" s="98"/>
      <c r="B631" s="79"/>
      <c r="C631" s="102" t="str">
        <f aca="false">IF(B631="","",IFERROR(INDEX(الموظفون!$C$6:$C$105,MATCH(B631,الموظفون!$B$6:$B$105,0)),"✖ رقم غير موجود"))</f>
        <v/>
      </c>
      <c r="D631" s="99"/>
      <c r="E631" s="99"/>
      <c r="F631" s="99"/>
      <c r="G631" s="96"/>
      <c r="H631" s="96"/>
      <c r="I631" s="96"/>
      <c r="J631" s="96"/>
      <c r="K631" s="99"/>
      <c r="L631" s="99"/>
      <c r="M631" s="96"/>
      <c r="N631" s="96"/>
      <c r="O631" s="79"/>
    </row>
    <row r="632" customFormat="false" ht="15" hidden="false" customHeight="false" outlineLevel="0" collapsed="false">
      <c r="A632" s="98"/>
      <c r="B632" s="79"/>
      <c r="C632" s="80" t="str">
        <f aca="false">IF(B632="","",IFERROR(INDEX(الموظفون!$C$6:$C$105,MATCH(B632,الموظفون!$B$6:$B$105,0)),"✖ رقم غير موجود"))</f>
        <v/>
      </c>
      <c r="D632" s="99"/>
      <c r="E632" s="99"/>
      <c r="F632" s="99"/>
      <c r="G632" s="96"/>
      <c r="H632" s="96"/>
      <c r="I632" s="96"/>
      <c r="J632" s="96"/>
      <c r="K632" s="99"/>
      <c r="L632" s="99"/>
      <c r="M632" s="96"/>
      <c r="N632" s="96"/>
      <c r="O632" s="79"/>
    </row>
    <row r="633" customFormat="false" ht="15" hidden="false" customHeight="false" outlineLevel="0" collapsed="false">
      <c r="A633" s="98"/>
      <c r="B633" s="79"/>
      <c r="C633" s="102" t="str">
        <f aca="false">IF(B633="","",IFERROR(INDEX(الموظفون!$C$6:$C$105,MATCH(B633,الموظفون!$B$6:$B$105,0)),"✖ رقم غير موجود"))</f>
        <v/>
      </c>
      <c r="D633" s="99"/>
      <c r="E633" s="99"/>
      <c r="F633" s="99"/>
      <c r="G633" s="96"/>
      <c r="H633" s="96"/>
      <c r="I633" s="96"/>
      <c r="J633" s="96"/>
      <c r="K633" s="99"/>
      <c r="L633" s="99"/>
      <c r="M633" s="96"/>
      <c r="N633" s="96"/>
      <c r="O633" s="79"/>
    </row>
    <row r="634" customFormat="false" ht="15" hidden="false" customHeight="false" outlineLevel="0" collapsed="false">
      <c r="A634" s="98"/>
      <c r="B634" s="79"/>
      <c r="C634" s="80" t="str">
        <f aca="false">IF(B634="","",IFERROR(INDEX(الموظفون!$C$6:$C$105,MATCH(B634,الموظفون!$B$6:$B$105,0)),"✖ رقم غير موجود"))</f>
        <v/>
      </c>
      <c r="D634" s="99"/>
      <c r="E634" s="99"/>
      <c r="F634" s="99"/>
      <c r="G634" s="96"/>
      <c r="H634" s="96"/>
      <c r="I634" s="96"/>
      <c r="J634" s="96"/>
      <c r="K634" s="99"/>
      <c r="L634" s="99"/>
      <c r="M634" s="96"/>
      <c r="N634" s="96"/>
      <c r="O634" s="79"/>
    </row>
    <row r="635" customFormat="false" ht="15" hidden="false" customHeight="false" outlineLevel="0" collapsed="false">
      <c r="A635" s="98"/>
      <c r="B635" s="79"/>
      <c r="C635" s="102" t="str">
        <f aca="false">IF(B635="","",IFERROR(INDEX(الموظفون!$C$6:$C$105,MATCH(B635,الموظفون!$B$6:$B$105,0)),"✖ رقم غير موجود"))</f>
        <v/>
      </c>
      <c r="D635" s="99"/>
      <c r="E635" s="99"/>
      <c r="F635" s="99"/>
      <c r="G635" s="96"/>
      <c r="H635" s="96"/>
      <c r="I635" s="96"/>
      <c r="J635" s="96"/>
      <c r="K635" s="99"/>
      <c r="L635" s="99"/>
      <c r="M635" s="96"/>
      <c r="N635" s="96"/>
      <c r="O635" s="79"/>
    </row>
    <row r="636" customFormat="false" ht="15" hidden="false" customHeight="false" outlineLevel="0" collapsed="false">
      <c r="A636" s="98"/>
      <c r="B636" s="79"/>
      <c r="C636" s="80" t="str">
        <f aca="false">IF(B636="","",IFERROR(INDEX(الموظفون!$C$6:$C$105,MATCH(B636,الموظفون!$B$6:$B$105,0)),"✖ رقم غير موجود"))</f>
        <v/>
      </c>
      <c r="D636" s="99"/>
      <c r="E636" s="99"/>
      <c r="F636" s="99"/>
      <c r="G636" s="96"/>
      <c r="H636" s="96"/>
      <c r="I636" s="96"/>
      <c r="J636" s="96"/>
      <c r="K636" s="99"/>
      <c r="L636" s="99"/>
      <c r="M636" s="96"/>
      <c r="N636" s="96"/>
      <c r="O636" s="79"/>
    </row>
    <row r="637" customFormat="false" ht="15" hidden="false" customHeight="false" outlineLevel="0" collapsed="false">
      <c r="A637" s="98"/>
      <c r="B637" s="79"/>
      <c r="C637" s="102" t="str">
        <f aca="false">IF(B637="","",IFERROR(INDEX(الموظفون!$C$6:$C$105,MATCH(B637,الموظفون!$B$6:$B$105,0)),"✖ رقم غير موجود"))</f>
        <v/>
      </c>
      <c r="D637" s="99"/>
      <c r="E637" s="99"/>
      <c r="F637" s="99"/>
      <c r="G637" s="96"/>
      <c r="H637" s="96"/>
      <c r="I637" s="96"/>
      <c r="J637" s="96"/>
      <c r="K637" s="99"/>
      <c r="L637" s="99"/>
      <c r="M637" s="96"/>
      <c r="N637" s="96"/>
      <c r="O637" s="79"/>
    </row>
    <row r="638" customFormat="false" ht="15" hidden="false" customHeight="false" outlineLevel="0" collapsed="false">
      <c r="A638" s="98"/>
      <c r="B638" s="79"/>
      <c r="C638" s="80" t="str">
        <f aca="false">IF(B638="","",IFERROR(INDEX(الموظفون!$C$6:$C$105,MATCH(B638,الموظفون!$B$6:$B$105,0)),"✖ رقم غير موجود"))</f>
        <v/>
      </c>
      <c r="D638" s="99"/>
      <c r="E638" s="99"/>
      <c r="F638" s="99"/>
      <c r="G638" s="96"/>
      <c r="H638" s="96"/>
      <c r="I638" s="96"/>
      <c r="J638" s="96"/>
      <c r="K638" s="99"/>
      <c r="L638" s="99"/>
      <c r="M638" s="96"/>
      <c r="N638" s="96"/>
      <c r="O638" s="79"/>
    </row>
    <row r="639" customFormat="false" ht="15" hidden="false" customHeight="false" outlineLevel="0" collapsed="false">
      <c r="A639" s="98"/>
      <c r="B639" s="79"/>
      <c r="C639" s="102" t="str">
        <f aca="false">IF(B639="","",IFERROR(INDEX(الموظفون!$C$6:$C$105,MATCH(B639,الموظفون!$B$6:$B$105,0)),"✖ رقم غير موجود"))</f>
        <v/>
      </c>
      <c r="D639" s="99"/>
      <c r="E639" s="99"/>
      <c r="F639" s="99"/>
      <c r="G639" s="96"/>
      <c r="H639" s="96"/>
      <c r="I639" s="96"/>
      <c r="J639" s="96"/>
      <c r="K639" s="99"/>
      <c r="L639" s="99"/>
      <c r="M639" s="96"/>
      <c r="N639" s="96"/>
      <c r="O639" s="79"/>
    </row>
    <row r="640" customFormat="false" ht="15" hidden="false" customHeight="false" outlineLevel="0" collapsed="false">
      <c r="A640" s="98"/>
      <c r="B640" s="79"/>
      <c r="C640" s="80" t="str">
        <f aca="false">IF(B640="","",IFERROR(INDEX(الموظفون!$C$6:$C$105,MATCH(B640,الموظفون!$B$6:$B$105,0)),"✖ رقم غير موجود"))</f>
        <v/>
      </c>
      <c r="D640" s="99"/>
      <c r="E640" s="99"/>
      <c r="F640" s="99"/>
      <c r="G640" s="96"/>
      <c r="H640" s="96"/>
      <c r="I640" s="96"/>
      <c r="J640" s="96"/>
      <c r="K640" s="99"/>
      <c r="L640" s="99"/>
      <c r="M640" s="96"/>
      <c r="N640" s="96"/>
      <c r="O640" s="79"/>
    </row>
    <row r="641" customFormat="false" ht="15" hidden="false" customHeight="false" outlineLevel="0" collapsed="false">
      <c r="A641" s="98"/>
      <c r="B641" s="79"/>
      <c r="C641" s="102" t="str">
        <f aca="false">IF(B641="","",IFERROR(INDEX(الموظفون!$C$6:$C$105,MATCH(B641,الموظفون!$B$6:$B$105,0)),"✖ رقم غير موجود"))</f>
        <v/>
      </c>
      <c r="D641" s="99"/>
      <c r="E641" s="99"/>
      <c r="F641" s="99"/>
      <c r="G641" s="96"/>
      <c r="H641" s="96"/>
      <c r="I641" s="96"/>
      <c r="J641" s="96"/>
      <c r="K641" s="99"/>
      <c r="L641" s="99"/>
      <c r="M641" s="96"/>
      <c r="N641" s="96"/>
      <c r="O641" s="79"/>
    </row>
    <row r="642" customFormat="false" ht="15" hidden="false" customHeight="false" outlineLevel="0" collapsed="false">
      <c r="A642" s="98"/>
      <c r="B642" s="79"/>
      <c r="C642" s="80" t="str">
        <f aca="false">IF(B642="","",IFERROR(INDEX(الموظفون!$C$6:$C$105,MATCH(B642,الموظفون!$B$6:$B$105,0)),"✖ رقم غير موجود"))</f>
        <v/>
      </c>
      <c r="D642" s="99"/>
      <c r="E642" s="99"/>
      <c r="F642" s="99"/>
      <c r="G642" s="96"/>
      <c r="H642" s="96"/>
      <c r="I642" s="96"/>
      <c r="J642" s="96"/>
      <c r="K642" s="99"/>
      <c r="L642" s="99"/>
      <c r="M642" s="96"/>
      <c r="N642" s="96"/>
      <c r="O642" s="79"/>
    </row>
    <row r="643" customFormat="false" ht="15" hidden="false" customHeight="false" outlineLevel="0" collapsed="false">
      <c r="A643" s="98"/>
      <c r="B643" s="79"/>
      <c r="C643" s="102" t="str">
        <f aca="false">IF(B643="","",IFERROR(INDEX(الموظفون!$C$6:$C$105,MATCH(B643,الموظفون!$B$6:$B$105,0)),"✖ رقم غير موجود"))</f>
        <v/>
      </c>
      <c r="D643" s="99"/>
      <c r="E643" s="99"/>
      <c r="F643" s="99"/>
      <c r="G643" s="96"/>
      <c r="H643" s="96"/>
      <c r="I643" s="96"/>
      <c r="J643" s="96"/>
      <c r="K643" s="99"/>
      <c r="L643" s="99"/>
      <c r="M643" s="96"/>
      <c r="N643" s="96"/>
      <c r="O643" s="79"/>
    </row>
    <row r="644" customFormat="false" ht="15" hidden="false" customHeight="false" outlineLevel="0" collapsed="false">
      <c r="A644" s="98"/>
      <c r="B644" s="79"/>
      <c r="C644" s="80" t="str">
        <f aca="false">IF(B644="","",IFERROR(INDEX(الموظفون!$C$6:$C$105,MATCH(B644,الموظفون!$B$6:$B$105,0)),"✖ رقم غير موجود"))</f>
        <v/>
      </c>
      <c r="D644" s="99"/>
      <c r="E644" s="99"/>
      <c r="F644" s="99"/>
      <c r="G644" s="96"/>
      <c r="H644" s="96"/>
      <c r="I644" s="96"/>
      <c r="J644" s="96"/>
      <c r="K644" s="99"/>
      <c r="L644" s="99"/>
      <c r="M644" s="96"/>
      <c r="N644" s="96"/>
      <c r="O644" s="79"/>
    </row>
    <row r="645" customFormat="false" ht="15" hidden="false" customHeight="false" outlineLevel="0" collapsed="false">
      <c r="A645" s="98"/>
      <c r="B645" s="79"/>
      <c r="C645" s="102" t="str">
        <f aca="false">IF(B645="","",IFERROR(INDEX(الموظفون!$C$6:$C$105,MATCH(B645,الموظفون!$B$6:$B$105,0)),"✖ رقم غير موجود"))</f>
        <v/>
      </c>
      <c r="D645" s="99"/>
      <c r="E645" s="99"/>
      <c r="F645" s="99"/>
      <c r="G645" s="96"/>
      <c r="H645" s="96"/>
      <c r="I645" s="96"/>
      <c r="J645" s="96"/>
      <c r="K645" s="99"/>
      <c r="L645" s="99"/>
      <c r="M645" s="96"/>
      <c r="N645" s="96"/>
      <c r="O645" s="79"/>
    </row>
    <row r="646" customFormat="false" ht="15" hidden="false" customHeight="false" outlineLevel="0" collapsed="false">
      <c r="A646" s="98"/>
      <c r="B646" s="79"/>
      <c r="C646" s="80" t="str">
        <f aca="false">IF(B646="","",IFERROR(INDEX(الموظفون!$C$6:$C$105,MATCH(B646,الموظفون!$B$6:$B$105,0)),"✖ رقم غير موجود"))</f>
        <v/>
      </c>
      <c r="D646" s="99"/>
      <c r="E646" s="99"/>
      <c r="F646" s="99"/>
      <c r="G646" s="96"/>
      <c r="H646" s="96"/>
      <c r="I646" s="96"/>
      <c r="J646" s="96"/>
      <c r="K646" s="99"/>
      <c r="L646" s="99"/>
      <c r="M646" s="96"/>
      <c r="N646" s="96"/>
      <c r="O646" s="79"/>
    </row>
    <row r="647" customFormat="false" ht="15" hidden="false" customHeight="false" outlineLevel="0" collapsed="false">
      <c r="A647" s="98"/>
      <c r="B647" s="79"/>
      <c r="C647" s="102" t="str">
        <f aca="false">IF(B647="","",IFERROR(INDEX(الموظفون!$C$6:$C$105,MATCH(B647,الموظفون!$B$6:$B$105,0)),"✖ رقم غير موجود"))</f>
        <v/>
      </c>
      <c r="D647" s="99"/>
      <c r="E647" s="99"/>
      <c r="F647" s="99"/>
      <c r="G647" s="96"/>
      <c r="H647" s="96"/>
      <c r="I647" s="96"/>
      <c r="J647" s="96"/>
      <c r="K647" s="99"/>
      <c r="L647" s="99"/>
      <c r="M647" s="96"/>
      <c r="N647" s="96"/>
      <c r="O647" s="79"/>
    </row>
    <row r="648" customFormat="false" ht="15" hidden="false" customHeight="false" outlineLevel="0" collapsed="false">
      <c r="A648" s="98"/>
      <c r="B648" s="79"/>
      <c r="C648" s="80" t="str">
        <f aca="false">IF(B648="","",IFERROR(INDEX(الموظفون!$C$6:$C$105,MATCH(B648,الموظفون!$B$6:$B$105,0)),"✖ رقم غير موجود"))</f>
        <v/>
      </c>
      <c r="D648" s="99"/>
      <c r="E648" s="99"/>
      <c r="F648" s="99"/>
      <c r="G648" s="96"/>
      <c r="H648" s="96"/>
      <c r="I648" s="96"/>
      <c r="J648" s="96"/>
      <c r="K648" s="99"/>
      <c r="L648" s="99"/>
      <c r="M648" s="96"/>
      <c r="N648" s="96"/>
      <c r="O648" s="79"/>
    </row>
    <row r="649" customFormat="false" ht="15" hidden="false" customHeight="false" outlineLevel="0" collapsed="false">
      <c r="A649" s="98"/>
      <c r="B649" s="79"/>
      <c r="C649" s="102" t="str">
        <f aca="false">IF(B649="","",IFERROR(INDEX(الموظفون!$C$6:$C$105,MATCH(B649,الموظفون!$B$6:$B$105,0)),"✖ رقم غير موجود"))</f>
        <v/>
      </c>
      <c r="D649" s="99"/>
      <c r="E649" s="99"/>
      <c r="F649" s="99"/>
      <c r="G649" s="96"/>
      <c r="H649" s="96"/>
      <c r="I649" s="96"/>
      <c r="J649" s="96"/>
      <c r="K649" s="99"/>
      <c r="L649" s="99"/>
      <c r="M649" s="96"/>
      <c r="N649" s="96"/>
      <c r="O649" s="79"/>
    </row>
    <row r="650" customFormat="false" ht="15" hidden="false" customHeight="false" outlineLevel="0" collapsed="false">
      <c r="A650" s="98"/>
      <c r="B650" s="79"/>
      <c r="C650" s="80" t="str">
        <f aca="false">IF(B650="","",IFERROR(INDEX(الموظفون!$C$6:$C$105,MATCH(B650,الموظفون!$B$6:$B$105,0)),"✖ رقم غير موجود"))</f>
        <v/>
      </c>
      <c r="D650" s="99"/>
      <c r="E650" s="99"/>
      <c r="F650" s="99"/>
      <c r="G650" s="96"/>
      <c r="H650" s="96"/>
      <c r="I650" s="96"/>
      <c r="J650" s="96"/>
      <c r="K650" s="99"/>
      <c r="L650" s="99"/>
      <c r="M650" s="96"/>
      <c r="N650" s="96"/>
      <c r="O650" s="79"/>
    </row>
    <row r="651" customFormat="false" ht="15" hidden="false" customHeight="false" outlineLevel="0" collapsed="false">
      <c r="A651" s="98"/>
      <c r="B651" s="79"/>
      <c r="C651" s="102" t="str">
        <f aca="false">IF(B651="","",IFERROR(INDEX(الموظفون!$C$6:$C$105,MATCH(B651,الموظفون!$B$6:$B$105,0)),"✖ رقم غير موجود"))</f>
        <v/>
      </c>
      <c r="D651" s="99"/>
      <c r="E651" s="99"/>
      <c r="F651" s="99"/>
      <c r="G651" s="96"/>
      <c r="H651" s="96"/>
      <c r="I651" s="96"/>
      <c r="J651" s="96"/>
      <c r="K651" s="99"/>
      <c r="L651" s="99"/>
      <c r="M651" s="96"/>
      <c r="N651" s="96"/>
      <c r="O651" s="79"/>
    </row>
    <row r="652" customFormat="false" ht="15" hidden="false" customHeight="false" outlineLevel="0" collapsed="false">
      <c r="A652" s="98"/>
      <c r="B652" s="79"/>
      <c r="C652" s="80" t="str">
        <f aca="false">IF(B652="","",IFERROR(INDEX(الموظفون!$C$6:$C$105,MATCH(B652,الموظفون!$B$6:$B$105,0)),"✖ رقم غير موجود"))</f>
        <v/>
      </c>
      <c r="D652" s="99"/>
      <c r="E652" s="99"/>
      <c r="F652" s="99"/>
      <c r="G652" s="96"/>
      <c r="H652" s="96"/>
      <c r="I652" s="96"/>
      <c r="J652" s="96"/>
      <c r="K652" s="99"/>
      <c r="L652" s="99"/>
      <c r="M652" s="96"/>
      <c r="N652" s="96"/>
      <c r="O652" s="79"/>
    </row>
    <row r="653" customFormat="false" ht="15" hidden="false" customHeight="false" outlineLevel="0" collapsed="false">
      <c r="A653" s="98"/>
      <c r="B653" s="79"/>
      <c r="C653" s="102" t="str">
        <f aca="false">IF(B653="","",IFERROR(INDEX(الموظفون!$C$6:$C$105,MATCH(B653,الموظفون!$B$6:$B$105,0)),"✖ رقم غير موجود"))</f>
        <v/>
      </c>
      <c r="D653" s="99"/>
      <c r="E653" s="99"/>
      <c r="F653" s="99"/>
      <c r="G653" s="96"/>
      <c r="H653" s="96"/>
      <c r="I653" s="96"/>
      <c r="J653" s="96"/>
      <c r="K653" s="99"/>
      <c r="L653" s="99"/>
      <c r="M653" s="96"/>
      <c r="N653" s="96"/>
      <c r="O653" s="79"/>
    </row>
    <row r="654" customFormat="false" ht="15" hidden="false" customHeight="false" outlineLevel="0" collapsed="false">
      <c r="A654" s="98"/>
      <c r="B654" s="79"/>
      <c r="C654" s="80" t="str">
        <f aca="false">IF(B654="","",IFERROR(INDEX(الموظفون!$C$6:$C$105,MATCH(B654,الموظفون!$B$6:$B$105,0)),"✖ رقم غير موجود"))</f>
        <v/>
      </c>
      <c r="D654" s="99"/>
      <c r="E654" s="99"/>
      <c r="F654" s="99"/>
      <c r="G654" s="96"/>
      <c r="H654" s="96"/>
      <c r="I654" s="96"/>
      <c r="J654" s="96"/>
      <c r="K654" s="99"/>
      <c r="L654" s="99"/>
      <c r="M654" s="96"/>
      <c r="N654" s="96"/>
      <c r="O654" s="79"/>
    </row>
    <row r="655" customFormat="false" ht="15" hidden="false" customHeight="false" outlineLevel="0" collapsed="false">
      <c r="A655" s="98"/>
      <c r="B655" s="79"/>
      <c r="C655" s="102" t="str">
        <f aca="false">IF(B655="","",IFERROR(INDEX(الموظفون!$C$6:$C$105,MATCH(B655,الموظفون!$B$6:$B$105,0)),"✖ رقم غير موجود"))</f>
        <v/>
      </c>
      <c r="D655" s="99"/>
      <c r="E655" s="99"/>
      <c r="F655" s="99"/>
      <c r="G655" s="96"/>
      <c r="H655" s="96"/>
      <c r="I655" s="96"/>
      <c r="J655" s="96"/>
      <c r="K655" s="99"/>
      <c r="L655" s="99"/>
      <c r="M655" s="96"/>
      <c r="N655" s="96"/>
      <c r="O655" s="79"/>
    </row>
    <row r="656" customFormat="false" ht="15" hidden="false" customHeight="false" outlineLevel="0" collapsed="false">
      <c r="A656" s="98"/>
      <c r="B656" s="79"/>
      <c r="C656" s="80" t="str">
        <f aca="false">IF(B656="","",IFERROR(INDEX(الموظفون!$C$6:$C$105,MATCH(B656,الموظفون!$B$6:$B$105,0)),"✖ رقم غير موجود"))</f>
        <v/>
      </c>
      <c r="D656" s="99"/>
      <c r="E656" s="99"/>
      <c r="F656" s="99"/>
      <c r="G656" s="96"/>
      <c r="H656" s="96"/>
      <c r="I656" s="96"/>
      <c r="J656" s="96"/>
      <c r="K656" s="99"/>
      <c r="L656" s="99"/>
      <c r="M656" s="96"/>
      <c r="N656" s="96"/>
      <c r="O656" s="79"/>
    </row>
    <row r="657" customFormat="false" ht="15" hidden="false" customHeight="false" outlineLevel="0" collapsed="false">
      <c r="A657" s="98"/>
      <c r="B657" s="79"/>
      <c r="C657" s="102" t="str">
        <f aca="false">IF(B657="","",IFERROR(INDEX(الموظفون!$C$6:$C$105,MATCH(B657,الموظفون!$B$6:$B$105,0)),"✖ رقم غير موجود"))</f>
        <v/>
      </c>
      <c r="D657" s="99"/>
      <c r="E657" s="99"/>
      <c r="F657" s="99"/>
      <c r="G657" s="96"/>
      <c r="H657" s="96"/>
      <c r="I657" s="96"/>
      <c r="J657" s="96"/>
      <c r="K657" s="99"/>
      <c r="L657" s="99"/>
      <c r="M657" s="96"/>
      <c r="N657" s="96"/>
      <c r="O657" s="79"/>
    </row>
    <row r="658" customFormat="false" ht="15" hidden="false" customHeight="false" outlineLevel="0" collapsed="false">
      <c r="A658" s="98"/>
      <c r="B658" s="79"/>
      <c r="C658" s="80" t="str">
        <f aca="false">IF(B658="","",IFERROR(INDEX(الموظفون!$C$6:$C$105,MATCH(B658,الموظفون!$B$6:$B$105,0)),"✖ رقم غير موجود"))</f>
        <v/>
      </c>
      <c r="D658" s="99"/>
      <c r="E658" s="99"/>
      <c r="F658" s="99"/>
      <c r="G658" s="96"/>
      <c r="H658" s="96"/>
      <c r="I658" s="96"/>
      <c r="J658" s="96"/>
      <c r="K658" s="99"/>
      <c r="L658" s="99"/>
      <c r="M658" s="96"/>
      <c r="N658" s="96"/>
      <c r="O658" s="79"/>
    </row>
    <row r="659" customFormat="false" ht="15" hidden="false" customHeight="false" outlineLevel="0" collapsed="false">
      <c r="A659" s="98"/>
      <c r="B659" s="79"/>
      <c r="C659" s="102" t="str">
        <f aca="false">IF(B659="","",IFERROR(INDEX(الموظفون!$C$6:$C$105,MATCH(B659,الموظفون!$B$6:$B$105,0)),"✖ رقم غير موجود"))</f>
        <v/>
      </c>
      <c r="D659" s="99"/>
      <c r="E659" s="99"/>
      <c r="F659" s="99"/>
      <c r="G659" s="96"/>
      <c r="H659" s="96"/>
      <c r="I659" s="96"/>
      <c r="J659" s="96"/>
      <c r="K659" s="99"/>
      <c r="L659" s="99"/>
      <c r="M659" s="96"/>
      <c r="N659" s="96"/>
      <c r="O659" s="79"/>
    </row>
    <row r="660" customFormat="false" ht="15" hidden="false" customHeight="false" outlineLevel="0" collapsed="false">
      <c r="A660" s="98"/>
      <c r="B660" s="79"/>
      <c r="C660" s="80" t="str">
        <f aca="false">IF(B660="","",IFERROR(INDEX(الموظفون!$C$6:$C$105,MATCH(B660,الموظفون!$B$6:$B$105,0)),"✖ رقم غير موجود"))</f>
        <v/>
      </c>
      <c r="D660" s="99"/>
      <c r="E660" s="99"/>
      <c r="F660" s="99"/>
      <c r="G660" s="96"/>
      <c r="H660" s="96"/>
      <c r="I660" s="96"/>
      <c r="J660" s="96"/>
      <c r="K660" s="99"/>
      <c r="L660" s="99"/>
      <c r="M660" s="96"/>
      <c r="N660" s="96"/>
      <c r="O660" s="79"/>
    </row>
    <row r="661" customFormat="false" ht="15" hidden="false" customHeight="false" outlineLevel="0" collapsed="false">
      <c r="A661" s="98"/>
      <c r="B661" s="79"/>
      <c r="C661" s="102" t="str">
        <f aca="false">IF(B661="","",IFERROR(INDEX(الموظفون!$C$6:$C$105,MATCH(B661,الموظفون!$B$6:$B$105,0)),"✖ رقم غير موجود"))</f>
        <v/>
      </c>
      <c r="D661" s="99"/>
      <c r="E661" s="99"/>
      <c r="F661" s="99"/>
      <c r="G661" s="96"/>
      <c r="H661" s="96"/>
      <c r="I661" s="96"/>
      <c r="J661" s="96"/>
      <c r="K661" s="99"/>
      <c r="L661" s="99"/>
      <c r="M661" s="96"/>
      <c r="N661" s="96"/>
      <c r="O661" s="79"/>
    </row>
    <row r="662" customFormat="false" ht="15" hidden="false" customHeight="false" outlineLevel="0" collapsed="false">
      <c r="A662" s="98"/>
      <c r="B662" s="79"/>
      <c r="C662" s="80" t="str">
        <f aca="false">IF(B662="","",IFERROR(INDEX(الموظفون!$C$6:$C$105,MATCH(B662,الموظفون!$B$6:$B$105,0)),"✖ رقم غير موجود"))</f>
        <v/>
      </c>
      <c r="D662" s="99"/>
      <c r="E662" s="99"/>
      <c r="F662" s="99"/>
      <c r="G662" s="96"/>
      <c r="H662" s="96"/>
      <c r="I662" s="96"/>
      <c r="J662" s="96"/>
      <c r="K662" s="99"/>
      <c r="L662" s="99"/>
      <c r="M662" s="96"/>
      <c r="N662" s="96"/>
      <c r="O662" s="79"/>
    </row>
    <row r="663" customFormat="false" ht="15" hidden="false" customHeight="false" outlineLevel="0" collapsed="false">
      <c r="A663" s="98"/>
      <c r="B663" s="79"/>
      <c r="C663" s="102" t="str">
        <f aca="false">IF(B663="","",IFERROR(INDEX(الموظفون!$C$6:$C$105,MATCH(B663,الموظفون!$B$6:$B$105,0)),"✖ رقم غير موجود"))</f>
        <v/>
      </c>
      <c r="D663" s="99"/>
      <c r="E663" s="99"/>
      <c r="F663" s="99"/>
      <c r="G663" s="96"/>
      <c r="H663" s="96"/>
      <c r="I663" s="96"/>
      <c r="J663" s="96"/>
      <c r="K663" s="99"/>
      <c r="L663" s="99"/>
      <c r="M663" s="96"/>
      <c r="N663" s="96"/>
      <c r="O663" s="79"/>
    </row>
    <row r="664" customFormat="false" ht="15" hidden="false" customHeight="false" outlineLevel="0" collapsed="false">
      <c r="A664" s="98"/>
      <c r="B664" s="79"/>
      <c r="C664" s="80" t="str">
        <f aca="false">IF(B664="","",IFERROR(INDEX(الموظفون!$C$6:$C$105,MATCH(B664,الموظفون!$B$6:$B$105,0)),"✖ رقم غير موجود"))</f>
        <v/>
      </c>
      <c r="D664" s="99"/>
      <c r="E664" s="99"/>
      <c r="F664" s="99"/>
      <c r="G664" s="96"/>
      <c r="H664" s="96"/>
      <c r="I664" s="96"/>
      <c r="J664" s="96"/>
      <c r="K664" s="99"/>
      <c r="L664" s="99"/>
      <c r="M664" s="96"/>
      <c r="N664" s="96"/>
      <c r="O664" s="79"/>
    </row>
    <row r="665" customFormat="false" ht="15" hidden="false" customHeight="false" outlineLevel="0" collapsed="false">
      <c r="A665" s="98"/>
      <c r="B665" s="79"/>
      <c r="C665" s="102" t="str">
        <f aca="false">IF(B665="","",IFERROR(INDEX(الموظفون!$C$6:$C$105,MATCH(B665,الموظفون!$B$6:$B$105,0)),"✖ رقم غير موجود"))</f>
        <v/>
      </c>
      <c r="D665" s="99"/>
      <c r="E665" s="99"/>
      <c r="F665" s="99"/>
      <c r="G665" s="96"/>
      <c r="H665" s="96"/>
      <c r="I665" s="96"/>
      <c r="J665" s="96"/>
      <c r="K665" s="99"/>
      <c r="L665" s="99"/>
      <c r="M665" s="96"/>
      <c r="N665" s="96"/>
      <c r="O665" s="79"/>
    </row>
    <row r="666" customFormat="false" ht="15" hidden="false" customHeight="false" outlineLevel="0" collapsed="false">
      <c r="A666" s="98"/>
      <c r="B666" s="79"/>
      <c r="C666" s="80" t="str">
        <f aca="false">IF(B666="","",IFERROR(INDEX(الموظفون!$C$6:$C$105,MATCH(B666,الموظفون!$B$6:$B$105,0)),"✖ رقم غير موجود"))</f>
        <v/>
      </c>
      <c r="D666" s="99"/>
      <c r="E666" s="99"/>
      <c r="F666" s="99"/>
      <c r="G666" s="96"/>
      <c r="H666" s="96"/>
      <c r="I666" s="96"/>
      <c r="J666" s="96"/>
      <c r="K666" s="99"/>
      <c r="L666" s="99"/>
      <c r="M666" s="96"/>
      <c r="N666" s="96"/>
      <c r="O666" s="79"/>
    </row>
    <row r="667" customFormat="false" ht="15" hidden="false" customHeight="false" outlineLevel="0" collapsed="false">
      <c r="A667" s="98"/>
      <c r="B667" s="79"/>
      <c r="C667" s="102" t="str">
        <f aca="false">IF(B667="","",IFERROR(INDEX(الموظفون!$C$6:$C$105,MATCH(B667,الموظفون!$B$6:$B$105,0)),"✖ رقم غير موجود"))</f>
        <v/>
      </c>
      <c r="D667" s="99"/>
      <c r="E667" s="99"/>
      <c r="F667" s="99"/>
      <c r="G667" s="96"/>
      <c r="H667" s="96"/>
      <c r="I667" s="96"/>
      <c r="J667" s="96"/>
      <c r="K667" s="99"/>
      <c r="L667" s="99"/>
      <c r="M667" s="96"/>
      <c r="N667" s="96"/>
      <c r="O667" s="79"/>
    </row>
    <row r="668" customFormat="false" ht="15" hidden="false" customHeight="false" outlineLevel="0" collapsed="false">
      <c r="A668" s="98"/>
      <c r="B668" s="79"/>
      <c r="C668" s="80" t="str">
        <f aca="false">IF(B668="","",IFERROR(INDEX(الموظفون!$C$6:$C$105,MATCH(B668,الموظفون!$B$6:$B$105,0)),"✖ رقم غير موجود"))</f>
        <v/>
      </c>
      <c r="D668" s="99"/>
      <c r="E668" s="99"/>
      <c r="F668" s="99"/>
      <c r="G668" s="96"/>
      <c r="H668" s="96"/>
      <c r="I668" s="96"/>
      <c r="J668" s="96"/>
      <c r="K668" s="99"/>
      <c r="L668" s="99"/>
      <c r="M668" s="96"/>
      <c r="N668" s="96"/>
      <c r="O668" s="79"/>
    </row>
    <row r="669" customFormat="false" ht="15" hidden="false" customHeight="false" outlineLevel="0" collapsed="false">
      <c r="A669" s="98"/>
      <c r="B669" s="79"/>
      <c r="C669" s="102" t="str">
        <f aca="false">IF(B669="","",IFERROR(INDEX(الموظفون!$C$6:$C$105,MATCH(B669,الموظفون!$B$6:$B$105,0)),"✖ رقم غير موجود"))</f>
        <v/>
      </c>
      <c r="D669" s="99"/>
      <c r="E669" s="99"/>
      <c r="F669" s="99"/>
      <c r="G669" s="96"/>
      <c r="H669" s="96"/>
      <c r="I669" s="96"/>
      <c r="J669" s="96"/>
      <c r="K669" s="99"/>
      <c r="L669" s="99"/>
      <c r="M669" s="96"/>
      <c r="N669" s="96"/>
      <c r="O669" s="79"/>
    </row>
    <row r="670" customFormat="false" ht="15" hidden="false" customHeight="false" outlineLevel="0" collapsed="false">
      <c r="A670" s="98"/>
      <c r="B670" s="79"/>
      <c r="C670" s="80" t="str">
        <f aca="false">IF(B670="","",IFERROR(INDEX(الموظفون!$C$6:$C$105,MATCH(B670,الموظفون!$B$6:$B$105,0)),"✖ رقم غير موجود"))</f>
        <v/>
      </c>
      <c r="D670" s="99"/>
      <c r="E670" s="99"/>
      <c r="F670" s="99"/>
      <c r="G670" s="96"/>
      <c r="H670" s="96"/>
      <c r="I670" s="96"/>
      <c r="J670" s="96"/>
      <c r="K670" s="99"/>
      <c r="L670" s="99"/>
      <c r="M670" s="96"/>
      <c r="N670" s="96"/>
      <c r="O670" s="79"/>
    </row>
    <row r="671" customFormat="false" ht="15" hidden="false" customHeight="false" outlineLevel="0" collapsed="false">
      <c r="A671" s="98"/>
      <c r="B671" s="79"/>
      <c r="C671" s="102" t="str">
        <f aca="false">IF(B671="","",IFERROR(INDEX(الموظفون!$C$6:$C$105,MATCH(B671,الموظفون!$B$6:$B$105,0)),"✖ رقم غير موجود"))</f>
        <v/>
      </c>
      <c r="D671" s="99"/>
      <c r="E671" s="99"/>
      <c r="F671" s="99"/>
      <c r="G671" s="96"/>
      <c r="H671" s="96"/>
      <c r="I671" s="96"/>
      <c r="J671" s="96"/>
      <c r="K671" s="99"/>
      <c r="L671" s="99"/>
      <c r="M671" s="96"/>
      <c r="N671" s="96"/>
      <c r="O671" s="79"/>
    </row>
    <row r="672" customFormat="false" ht="15" hidden="false" customHeight="false" outlineLevel="0" collapsed="false">
      <c r="A672" s="98"/>
      <c r="B672" s="79"/>
      <c r="C672" s="80" t="str">
        <f aca="false">IF(B672="","",IFERROR(INDEX(الموظفون!$C$6:$C$105,MATCH(B672,الموظفون!$B$6:$B$105,0)),"✖ رقم غير موجود"))</f>
        <v/>
      </c>
      <c r="D672" s="99"/>
      <c r="E672" s="99"/>
      <c r="F672" s="99"/>
      <c r="G672" s="96"/>
      <c r="H672" s="96"/>
      <c r="I672" s="96"/>
      <c r="J672" s="96"/>
      <c r="K672" s="99"/>
      <c r="L672" s="99"/>
      <c r="M672" s="96"/>
      <c r="N672" s="96"/>
      <c r="O672" s="79"/>
    </row>
    <row r="673" customFormat="false" ht="15" hidden="false" customHeight="false" outlineLevel="0" collapsed="false">
      <c r="A673" s="98"/>
      <c r="B673" s="79"/>
      <c r="C673" s="102" t="str">
        <f aca="false">IF(B673="","",IFERROR(INDEX(الموظفون!$C$6:$C$105,MATCH(B673,الموظفون!$B$6:$B$105,0)),"✖ رقم غير موجود"))</f>
        <v/>
      </c>
      <c r="D673" s="99"/>
      <c r="E673" s="99"/>
      <c r="F673" s="99"/>
      <c r="G673" s="96"/>
      <c r="H673" s="96"/>
      <c r="I673" s="96"/>
      <c r="J673" s="96"/>
      <c r="K673" s="99"/>
      <c r="L673" s="99"/>
      <c r="M673" s="96"/>
      <c r="N673" s="96"/>
      <c r="O673" s="79"/>
    </row>
    <row r="674" customFormat="false" ht="15" hidden="false" customHeight="false" outlineLevel="0" collapsed="false">
      <c r="A674" s="98"/>
      <c r="B674" s="79"/>
      <c r="C674" s="80" t="str">
        <f aca="false">IF(B674="","",IFERROR(INDEX(الموظفون!$C$6:$C$105,MATCH(B674,الموظفون!$B$6:$B$105,0)),"✖ رقم غير موجود"))</f>
        <v/>
      </c>
      <c r="D674" s="99"/>
      <c r="E674" s="99"/>
      <c r="F674" s="99"/>
      <c r="G674" s="96"/>
      <c r="H674" s="96"/>
      <c r="I674" s="96"/>
      <c r="J674" s="96"/>
      <c r="K674" s="99"/>
      <c r="L674" s="99"/>
      <c r="M674" s="96"/>
      <c r="N674" s="96"/>
      <c r="O674" s="79"/>
    </row>
    <row r="675" customFormat="false" ht="15" hidden="false" customHeight="false" outlineLevel="0" collapsed="false">
      <c r="A675" s="98"/>
      <c r="B675" s="79"/>
      <c r="C675" s="102" t="str">
        <f aca="false">IF(B675="","",IFERROR(INDEX(الموظفون!$C$6:$C$105,MATCH(B675,الموظفون!$B$6:$B$105,0)),"✖ رقم غير موجود"))</f>
        <v/>
      </c>
      <c r="D675" s="99"/>
      <c r="E675" s="99"/>
      <c r="F675" s="99"/>
      <c r="G675" s="96"/>
      <c r="H675" s="96"/>
      <c r="I675" s="96"/>
      <c r="J675" s="96"/>
      <c r="K675" s="99"/>
      <c r="L675" s="99"/>
      <c r="M675" s="96"/>
      <c r="N675" s="96"/>
      <c r="O675" s="79"/>
    </row>
    <row r="676" customFormat="false" ht="15" hidden="false" customHeight="false" outlineLevel="0" collapsed="false">
      <c r="A676" s="98"/>
      <c r="B676" s="79"/>
      <c r="C676" s="80" t="str">
        <f aca="false">IF(B676="","",IFERROR(INDEX(الموظفون!$C$6:$C$105,MATCH(B676,الموظفون!$B$6:$B$105,0)),"✖ رقم غير موجود"))</f>
        <v/>
      </c>
      <c r="D676" s="99"/>
      <c r="E676" s="99"/>
      <c r="F676" s="99"/>
      <c r="G676" s="96"/>
      <c r="H676" s="96"/>
      <c r="I676" s="96"/>
      <c r="J676" s="96"/>
      <c r="K676" s="99"/>
      <c r="L676" s="99"/>
      <c r="M676" s="96"/>
      <c r="N676" s="96"/>
      <c r="O676" s="79"/>
    </row>
    <row r="677" customFormat="false" ht="15" hidden="false" customHeight="false" outlineLevel="0" collapsed="false">
      <c r="A677" s="98"/>
      <c r="B677" s="79"/>
      <c r="C677" s="102" t="str">
        <f aca="false">IF(B677="","",IFERROR(INDEX(الموظفون!$C$6:$C$105,MATCH(B677,الموظفون!$B$6:$B$105,0)),"✖ رقم غير موجود"))</f>
        <v/>
      </c>
      <c r="D677" s="99"/>
      <c r="E677" s="99"/>
      <c r="F677" s="99"/>
      <c r="G677" s="96"/>
      <c r="H677" s="96"/>
      <c r="I677" s="96"/>
      <c r="J677" s="96"/>
      <c r="K677" s="99"/>
      <c r="L677" s="99"/>
      <c r="M677" s="96"/>
      <c r="N677" s="96"/>
      <c r="O677" s="79"/>
    </row>
    <row r="678" customFormat="false" ht="15" hidden="false" customHeight="false" outlineLevel="0" collapsed="false">
      <c r="A678" s="98"/>
      <c r="B678" s="79"/>
      <c r="C678" s="80" t="str">
        <f aca="false">IF(B678="","",IFERROR(INDEX(الموظفون!$C$6:$C$105,MATCH(B678,الموظفون!$B$6:$B$105,0)),"✖ رقم غير موجود"))</f>
        <v/>
      </c>
      <c r="D678" s="99"/>
      <c r="E678" s="99"/>
      <c r="F678" s="99"/>
      <c r="G678" s="96"/>
      <c r="H678" s="96"/>
      <c r="I678" s="96"/>
      <c r="J678" s="96"/>
      <c r="K678" s="99"/>
      <c r="L678" s="99"/>
      <c r="M678" s="96"/>
      <c r="N678" s="96"/>
      <c r="O678" s="79"/>
    </row>
    <row r="679" customFormat="false" ht="15" hidden="false" customHeight="false" outlineLevel="0" collapsed="false">
      <c r="A679" s="98"/>
      <c r="B679" s="79"/>
      <c r="C679" s="102" t="str">
        <f aca="false">IF(B679="","",IFERROR(INDEX(الموظفون!$C$6:$C$105,MATCH(B679,الموظفون!$B$6:$B$105,0)),"✖ رقم غير موجود"))</f>
        <v/>
      </c>
      <c r="D679" s="99"/>
      <c r="E679" s="99"/>
      <c r="F679" s="99"/>
      <c r="G679" s="96"/>
      <c r="H679" s="96"/>
      <c r="I679" s="96"/>
      <c r="J679" s="96"/>
      <c r="K679" s="99"/>
      <c r="L679" s="99"/>
      <c r="M679" s="96"/>
      <c r="N679" s="96"/>
      <c r="O679" s="79"/>
    </row>
    <row r="680" customFormat="false" ht="15" hidden="false" customHeight="false" outlineLevel="0" collapsed="false">
      <c r="A680" s="98"/>
      <c r="B680" s="79"/>
      <c r="C680" s="80" t="str">
        <f aca="false">IF(B680="","",IFERROR(INDEX(الموظفون!$C$6:$C$105,MATCH(B680,الموظفون!$B$6:$B$105,0)),"✖ رقم غير موجود"))</f>
        <v/>
      </c>
      <c r="D680" s="99"/>
      <c r="E680" s="99"/>
      <c r="F680" s="99"/>
      <c r="G680" s="96"/>
      <c r="H680" s="96"/>
      <c r="I680" s="96"/>
      <c r="J680" s="96"/>
      <c r="K680" s="99"/>
      <c r="L680" s="99"/>
      <c r="M680" s="96"/>
      <c r="N680" s="96"/>
      <c r="O680" s="79"/>
    </row>
    <row r="681" customFormat="false" ht="15" hidden="false" customHeight="false" outlineLevel="0" collapsed="false">
      <c r="A681" s="98"/>
      <c r="B681" s="79"/>
      <c r="C681" s="102" t="str">
        <f aca="false">IF(B681="","",IFERROR(INDEX(الموظفون!$C$6:$C$105,MATCH(B681,الموظفون!$B$6:$B$105,0)),"✖ رقم غير موجود"))</f>
        <v/>
      </c>
      <c r="D681" s="99"/>
      <c r="E681" s="99"/>
      <c r="F681" s="99"/>
      <c r="G681" s="96"/>
      <c r="H681" s="96"/>
      <c r="I681" s="96"/>
      <c r="J681" s="96"/>
      <c r="K681" s="99"/>
      <c r="L681" s="99"/>
      <c r="M681" s="96"/>
      <c r="N681" s="96"/>
      <c r="O681" s="79"/>
    </row>
    <row r="682" customFormat="false" ht="15" hidden="false" customHeight="false" outlineLevel="0" collapsed="false">
      <c r="A682" s="98"/>
      <c r="B682" s="79"/>
      <c r="C682" s="80" t="str">
        <f aca="false">IF(B682="","",IFERROR(INDEX(الموظفون!$C$6:$C$105,MATCH(B682,الموظفون!$B$6:$B$105,0)),"✖ رقم غير موجود"))</f>
        <v/>
      </c>
      <c r="D682" s="99"/>
      <c r="E682" s="99"/>
      <c r="F682" s="99"/>
      <c r="G682" s="96"/>
      <c r="H682" s="96"/>
      <c r="I682" s="96"/>
      <c r="J682" s="96"/>
      <c r="K682" s="99"/>
      <c r="L682" s="99"/>
      <c r="M682" s="96"/>
      <c r="N682" s="96"/>
      <c r="O682" s="79"/>
    </row>
    <row r="683" customFormat="false" ht="15" hidden="false" customHeight="false" outlineLevel="0" collapsed="false">
      <c r="A683" s="98"/>
      <c r="B683" s="79"/>
      <c r="C683" s="102" t="str">
        <f aca="false">IF(B683="","",IFERROR(INDEX(الموظفون!$C$6:$C$105,MATCH(B683,الموظفون!$B$6:$B$105,0)),"✖ رقم غير موجود"))</f>
        <v/>
      </c>
      <c r="D683" s="99"/>
      <c r="E683" s="99"/>
      <c r="F683" s="99"/>
      <c r="G683" s="96"/>
      <c r="H683" s="96"/>
      <c r="I683" s="96"/>
      <c r="J683" s="96"/>
      <c r="K683" s="99"/>
      <c r="L683" s="99"/>
      <c r="M683" s="96"/>
      <c r="N683" s="96"/>
      <c r="O683" s="79"/>
    </row>
    <row r="684" customFormat="false" ht="15" hidden="false" customHeight="false" outlineLevel="0" collapsed="false">
      <c r="A684" s="98"/>
      <c r="B684" s="79"/>
      <c r="C684" s="80" t="str">
        <f aca="false">IF(B684="","",IFERROR(INDEX(الموظفون!$C$6:$C$105,MATCH(B684,الموظفون!$B$6:$B$105,0)),"✖ رقم غير موجود"))</f>
        <v/>
      </c>
      <c r="D684" s="99"/>
      <c r="E684" s="99"/>
      <c r="F684" s="99"/>
      <c r="G684" s="96"/>
      <c r="H684" s="96"/>
      <c r="I684" s="96"/>
      <c r="J684" s="96"/>
      <c r="K684" s="99"/>
      <c r="L684" s="99"/>
      <c r="M684" s="96"/>
      <c r="N684" s="96"/>
      <c r="O684" s="79"/>
    </row>
    <row r="685" customFormat="false" ht="15" hidden="false" customHeight="false" outlineLevel="0" collapsed="false">
      <c r="A685" s="98"/>
      <c r="B685" s="79"/>
      <c r="C685" s="102" t="str">
        <f aca="false">IF(B685="","",IFERROR(INDEX(الموظفون!$C$6:$C$105,MATCH(B685,الموظفون!$B$6:$B$105,0)),"✖ رقم غير موجود"))</f>
        <v/>
      </c>
      <c r="D685" s="99"/>
      <c r="E685" s="99"/>
      <c r="F685" s="99"/>
      <c r="G685" s="96"/>
      <c r="H685" s="96"/>
      <c r="I685" s="96"/>
      <c r="J685" s="96"/>
      <c r="K685" s="99"/>
      <c r="L685" s="99"/>
      <c r="M685" s="96"/>
      <c r="N685" s="96"/>
      <c r="O685" s="79"/>
    </row>
    <row r="686" customFormat="false" ht="15" hidden="false" customHeight="false" outlineLevel="0" collapsed="false">
      <c r="A686" s="98"/>
      <c r="B686" s="79"/>
      <c r="C686" s="80" t="str">
        <f aca="false">IF(B686="","",IFERROR(INDEX(الموظفون!$C$6:$C$105,MATCH(B686,الموظفون!$B$6:$B$105,0)),"✖ رقم غير موجود"))</f>
        <v/>
      </c>
      <c r="D686" s="99"/>
      <c r="E686" s="99"/>
      <c r="F686" s="99"/>
      <c r="G686" s="96"/>
      <c r="H686" s="96"/>
      <c r="I686" s="96"/>
      <c r="J686" s="96"/>
      <c r="K686" s="99"/>
      <c r="L686" s="99"/>
      <c r="M686" s="96"/>
      <c r="N686" s="96"/>
      <c r="O686" s="79"/>
    </row>
    <row r="687" customFormat="false" ht="15" hidden="false" customHeight="false" outlineLevel="0" collapsed="false">
      <c r="A687" s="98"/>
      <c r="B687" s="79"/>
      <c r="C687" s="102" t="str">
        <f aca="false">IF(B687="","",IFERROR(INDEX(الموظفون!$C$6:$C$105,MATCH(B687,الموظفون!$B$6:$B$105,0)),"✖ رقم غير موجود"))</f>
        <v/>
      </c>
      <c r="D687" s="99"/>
      <c r="E687" s="99"/>
      <c r="F687" s="99"/>
      <c r="G687" s="96"/>
      <c r="H687" s="96"/>
      <c r="I687" s="96"/>
      <c r="J687" s="96"/>
      <c r="K687" s="99"/>
      <c r="L687" s="99"/>
      <c r="M687" s="96"/>
      <c r="N687" s="96"/>
      <c r="O687" s="79"/>
    </row>
    <row r="688" customFormat="false" ht="15" hidden="false" customHeight="false" outlineLevel="0" collapsed="false">
      <c r="A688" s="98"/>
      <c r="B688" s="79"/>
      <c r="C688" s="80" t="str">
        <f aca="false">IF(B688="","",IFERROR(INDEX(الموظفون!$C$6:$C$105,MATCH(B688,الموظفون!$B$6:$B$105,0)),"✖ رقم غير موجود"))</f>
        <v/>
      </c>
      <c r="D688" s="99"/>
      <c r="E688" s="99"/>
      <c r="F688" s="99"/>
      <c r="G688" s="96"/>
      <c r="H688" s="96"/>
      <c r="I688" s="96"/>
      <c r="J688" s="96"/>
      <c r="K688" s="99"/>
      <c r="L688" s="99"/>
      <c r="M688" s="96"/>
      <c r="N688" s="96"/>
      <c r="O688" s="79"/>
    </row>
    <row r="689" customFormat="false" ht="15" hidden="false" customHeight="false" outlineLevel="0" collapsed="false">
      <c r="A689" s="98"/>
      <c r="B689" s="79"/>
      <c r="C689" s="102" t="str">
        <f aca="false">IF(B689="","",IFERROR(INDEX(الموظفون!$C$6:$C$105,MATCH(B689,الموظفون!$B$6:$B$105,0)),"✖ رقم غير موجود"))</f>
        <v/>
      </c>
      <c r="D689" s="99"/>
      <c r="E689" s="99"/>
      <c r="F689" s="99"/>
      <c r="G689" s="96"/>
      <c r="H689" s="96"/>
      <c r="I689" s="96"/>
      <c r="J689" s="96"/>
      <c r="K689" s="99"/>
      <c r="L689" s="99"/>
      <c r="M689" s="96"/>
      <c r="N689" s="96"/>
      <c r="O689" s="79"/>
    </row>
    <row r="690" customFormat="false" ht="15" hidden="false" customHeight="false" outlineLevel="0" collapsed="false">
      <c r="A690" s="98"/>
      <c r="B690" s="79"/>
      <c r="C690" s="80" t="str">
        <f aca="false">IF(B690="","",IFERROR(INDEX(الموظفون!$C$6:$C$105,MATCH(B690,الموظفون!$B$6:$B$105,0)),"✖ رقم غير موجود"))</f>
        <v/>
      </c>
      <c r="D690" s="99"/>
      <c r="E690" s="99"/>
      <c r="F690" s="99"/>
      <c r="G690" s="96"/>
      <c r="H690" s="96"/>
      <c r="I690" s="96"/>
      <c r="J690" s="96"/>
      <c r="K690" s="99"/>
      <c r="L690" s="99"/>
      <c r="M690" s="96"/>
      <c r="N690" s="96"/>
      <c r="O690" s="79"/>
    </row>
    <row r="691" customFormat="false" ht="15" hidden="false" customHeight="false" outlineLevel="0" collapsed="false">
      <c r="A691" s="98"/>
      <c r="B691" s="79"/>
      <c r="C691" s="102" t="str">
        <f aca="false">IF(B691="","",IFERROR(INDEX(الموظفون!$C$6:$C$105,MATCH(B691,الموظفون!$B$6:$B$105,0)),"✖ رقم غير موجود"))</f>
        <v/>
      </c>
      <c r="D691" s="99"/>
      <c r="E691" s="99"/>
      <c r="F691" s="99"/>
      <c r="G691" s="96"/>
      <c r="H691" s="96"/>
      <c r="I691" s="96"/>
      <c r="J691" s="96"/>
      <c r="K691" s="99"/>
      <c r="L691" s="99"/>
      <c r="M691" s="96"/>
      <c r="N691" s="96"/>
      <c r="O691" s="79"/>
    </row>
    <row r="692" customFormat="false" ht="15" hidden="false" customHeight="false" outlineLevel="0" collapsed="false">
      <c r="A692" s="98"/>
      <c r="B692" s="79"/>
      <c r="C692" s="80" t="str">
        <f aca="false">IF(B692="","",IFERROR(INDEX(الموظفون!$C$6:$C$105,MATCH(B692,الموظفون!$B$6:$B$105,0)),"✖ رقم غير موجود"))</f>
        <v/>
      </c>
      <c r="D692" s="99"/>
      <c r="E692" s="99"/>
      <c r="F692" s="99"/>
      <c r="G692" s="96"/>
      <c r="H692" s="96"/>
      <c r="I692" s="96"/>
      <c r="J692" s="96"/>
      <c r="K692" s="99"/>
      <c r="L692" s="99"/>
      <c r="M692" s="96"/>
      <c r="N692" s="96"/>
      <c r="O692" s="79"/>
    </row>
    <row r="693" customFormat="false" ht="15" hidden="false" customHeight="false" outlineLevel="0" collapsed="false">
      <c r="A693" s="98"/>
      <c r="B693" s="79"/>
      <c r="C693" s="102" t="str">
        <f aca="false">IF(B693="","",IFERROR(INDEX(الموظفون!$C$6:$C$105,MATCH(B693,الموظفون!$B$6:$B$105,0)),"✖ رقم غير موجود"))</f>
        <v/>
      </c>
      <c r="D693" s="99"/>
      <c r="E693" s="99"/>
      <c r="F693" s="99"/>
      <c r="G693" s="96"/>
      <c r="H693" s="96"/>
      <c r="I693" s="96"/>
      <c r="J693" s="96"/>
      <c r="K693" s="99"/>
      <c r="L693" s="99"/>
      <c r="M693" s="96"/>
      <c r="N693" s="96"/>
      <c r="O693" s="79"/>
    </row>
    <row r="694" customFormat="false" ht="15" hidden="false" customHeight="false" outlineLevel="0" collapsed="false">
      <c r="A694" s="98"/>
      <c r="B694" s="79"/>
      <c r="C694" s="80" t="str">
        <f aca="false">IF(B694="","",IFERROR(INDEX(الموظفون!$C$6:$C$105,MATCH(B694,الموظفون!$B$6:$B$105,0)),"✖ رقم غير موجود"))</f>
        <v/>
      </c>
      <c r="D694" s="99"/>
      <c r="E694" s="99"/>
      <c r="F694" s="99"/>
      <c r="G694" s="96"/>
      <c r="H694" s="96"/>
      <c r="I694" s="96"/>
      <c r="J694" s="96"/>
      <c r="K694" s="99"/>
      <c r="L694" s="99"/>
      <c r="M694" s="96"/>
      <c r="N694" s="96"/>
      <c r="O694" s="79"/>
    </row>
    <row r="695" customFormat="false" ht="15" hidden="false" customHeight="false" outlineLevel="0" collapsed="false">
      <c r="A695" s="98"/>
      <c r="B695" s="79"/>
      <c r="C695" s="102" t="str">
        <f aca="false">IF(B695="","",IFERROR(INDEX(الموظفون!$C$6:$C$105,MATCH(B695,الموظفون!$B$6:$B$105,0)),"✖ رقم غير موجود"))</f>
        <v/>
      </c>
      <c r="D695" s="99"/>
      <c r="E695" s="99"/>
      <c r="F695" s="99"/>
      <c r="G695" s="96"/>
      <c r="H695" s="96"/>
      <c r="I695" s="96"/>
      <c r="J695" s="96"/>
      <c r="K695" s="99"/>
      <c r="L695" s="99"/>
      <c r="M695" s="96"/>
      <c r="N695" s="96"/>
      <c r="O695" s="79"/>
    </row>
    <row r="696" customFormat="false" ht="15" hidden="false" customHeight="false" outlineLevel="0" collapsed="false">
      <c r="A696" s="98"/>
      <c r="B696" s="79"/>
      <c r="C696" s="80" t="str">
        <f aca="false">IF(B696="","",IFERROR(INDEX(الموظفون!$C$6:$C$105,MATCH(B696,الموظفون!$B$6:$B$105,0)),"✖ رقم غير موجود"))</f>
        <v/>
      </c>
      <c r="D696" s="99"/>
      <c r="E696" s="99"/>
      <c r="F696" s="99"/>
      <c r="G696" s="96"/>
      <c r="H696" s="96"/>
      <c r="I696" s="96"/>
      <c r="J696" s="96"/>
      <c r="K696" s="99"/>
      <c r="L696" s="99"/>
      <c r="M696" s="96"/>
      <c r="N696" s="96"/>
      <c r="O696" s="79"/>
    </row>
    <row r="697" customFormat="false" ht="15" hidden="false" customHeight="false" outlineLevel="0" collapsed="false">
      <c r="A697" s="98"/>
      <c r="B697" s="79"/>
      <c r="C697" s="102" t="str">
        <f aca="false">IF(B697="","",IFERROR(INDEX(الموظفون!$C$6:$C$105,MATCH(B697,الموظفون!$B$6:$B$105,0)),"✖ رقم غير موجود"))</f>
        <v/>
      </c>
      <c r="D697" s="99"/>
      <c r="E697" s="99"/>
      <c r="F697" s="99"/>
      <c r="G697" s="96"/>
      <c r="H697" s="96"/>
      <c r="I697" s="96"/>
      <c r="J697" s="96"/>
      <c r="K697" s="99"/>
      <c r="L697" s="99"/>
      <c r="M697" s="96"/>
      <c r="N697" s="96"/>
      <c r="O697" s="79"/>
    </row>
    <row r="698" customFormat="false" ht="15" hidden="false" customHeight="false" outlineLevel="0" collapsed="false">
      <c r="A698" s="98"/>
      <c r="B698" s="79"/>
      <c r="C698" s="80" t="str">
        <f aca="false">IF(B698="","",IFERROR(INDEX(الموظفون!$C$6:$C$105,MATCH(B698,الموظفون!$B$6:$B$105,0)),"✖ رقم غير موجود"))</f>
        <v/>
      </c>
      <c r="D698" s="99"/>
      <c r="E698" s="99"/>
      <c r="F698" s="99"/>
      <c r="G698" s="96"/>
      <c r="H698" s="96"/>
      <c r="I698" s="96"/>
      <c r="J698" s="96"/>
      <c r="K698" s="99"/>
      <c r="L698" s="99"/>
      <c r="M698" s="96"/>
      <c r="N698" s="96"/>
      <c r="O698" s="79"/>
    </row>
    <row r="699" customFormat="false" ht="15" hidden="false" customHeight="false" outlineLevel="0" collapsed="false">
      <c r="A699" s="98"/>
      <c r="B699" s="79"/>
      <c r="C699" s="102" t="str">
        <f aca="false">IF(B699="","",IFERROR(INDEX(الموظفون!$C$6:$C$105,MATCH(B699,الموظفون!$B$6:$B$105,0)),"✖ رقم غير موجود"))</f>
        <v/>
      </c>
      <c r="D699" s="99"/>
      <c r="E699" s="99"/>
      <c r="F699" s="99"/>
      <c r="G699" s="96"/>
      <c r="H699" s="96"/>
      <c r="I699" s="96"/>
      <c r="J699" s="96"/>
      <c r="K699" s="99"/>
      <c r="L699" s="99"/>
      <c r="M699" s="96"/>
      <c r="N699" s="96"/>
      <c r="O699" s="79"/>
    </row>
    <row r="700" customFormat="false" ht="15" hidden="false" customHeight="false" outlineLevel="0" collapsed="false">
      <c r="A700" s="98"/>
      <c r="B700" s="79"/>
      <c r="C700" s="80" t="str">
        <f aca="false">IF(B700="","",IFERROR(INDEX(الموظفون!$C$6:$C$105,MATCH(B700,الموظفون!$B$6:$B$105,0)),"✖ رقم غير موجود"))</f>
        <v/>
      </c>
      <c r="D700" s="99"/>
      <c r="E700" s="99"/>
      <c r="F700" s="99"/>
      <c r="G700" s="96"/>
      <c r="H700" s="96"/>
      <c r="I700" s="96"/>
      <c r="J700" s="96"/>
      <c r="K700" s="99"/>
      <c r="L700" s="99"/>
      <c r="M700" s="96"/>
      <c r="N700" s="96"/>
      <c r="O700" s="79"/>
    </row>
    <row r="701" customFormat="false" ht="15" hidden="false" customHeight="false" outlineLevel="0" collapsed="false">
      <c r="A701" s="98"/>
      <c r="B701" s="79"/>
      <c r="C701" s="102" t="str">
        <f aca="false">IF(B701="","",IFERROR(INDEX(الموظفون!$C$6:$C$105,MATCH(B701,الموظفون!$B$6:$B$105,0)),"✖ رقم غير موجود"))</f>
        <v/>
      </c>
      <c r="D701" s="99"/>
      <c r="E701" s="99"/>
      <c r="F701" s="99"/>
      <c r="G701" s="96"/>
      <c r="H701" s="96"/>
      <c r="I701" s="96"/>
      <c r="J701" s="96"/>
      <c r="K701" s="99"/>
      <c r="L701" s="99"/>
      <c r="M701" s="96"/>
      <c r="N701" s="96"/>
      <c r="O701" s="79"/>
    </row>
    <row r="702" customFormat="false" ht="15" hidden="false" customHeight="false" outlineLevel="0" collapsed="false">
      <c r="A702" s="98"/>
      <c r="B702" s="79"/>
      <c r="C702" s="80" t="str">
        <f aca="false">IF(B702="","",IFERROR(INDEX(الموظفون!$C$6:$C$105,MATCH(B702,الموظفون!$B$6:$B$105,0)),"✖ رقم غير موجود"))</f>
        <v/>
      </c>
      <c r="D702" s="99"/>
      <c r="E702" s="99"/>
      <c r="F702" s="99"/>
      <c r="G702" s="96"/>
      <c r="H702" s="96"/>
      <c r="I702" s="96"/>
      <c r="J702" s="96"/>
      <c r="K702" s="99"/>
      <c r="L702" s="99"/>
      <c r="M702" s="96"/>
      <c r="N702" s="96"/>
      <c r="O702" s="79"/>
    </row>
    <row r="703" customFormat="false" ht="15" hidden="false" customHeight="false" outlineLevel="0" collapsed="false">
      <c r="A703" s="98"/>
      <c r="B703" s="79"/>
      <c r="C703" s="102" t="str">
        <f aca="false">IF(B703="","",IFERROR(INDEX(الموظفون!$C$6:$C$105,MATCH(B703,الموظفون!$B$6:$B$105,0)),"✖ رقم غير موجود"))</f>
        <v/>
      </c>
      <c r="D703" s="99"/>
      <c r="E703" s="99"/>
      <c r="F703" s="99"/>
      <c r="G703" s="96"/>
      <c r="H703" s="96"/>
      <c r="I703" s="96"/>
      <c r="J703" s="96"/>
      <c r="K703" s="99"/>
      <c r="L703" s="99"/>
      <c r="M703" s="96"/>
      <c r="N703" s="96"/>
      <c r="O703" s="79"/>
    </row>
    <row r="704" customFormat="false" ht="15" hidden="false" customHeight="false" outlineLevel="0" collapsed="false">
      <c r="A704" s="98"/>
      <c r="B704" s="79"/>
      <c r="C704" s="80" t="str">
        <f aca="false">IF(B704="","",IFERROR(INDEX(الموظفون!$C$6:$C$105,MATCH(B704,الموظفون!$B$6:$B$105,0)),"✖ رقم غير موجود"))</f>
        <v/>
      </c>
      <c r="D704" s="99"/>
      <c r="E704" s="99"/>
      <c r="F704" s="99"/>
      <c r="G704" s="96"/>
      <c r="H704" s="96"/>
      <c r="I704" s="96"/>
      <c r="J704" s="96"/>
      <c r="K704" s="99"/>
      <c r="L704" s="99"/>
      <c r="M704" s="96"/>
      <c r="N704" s="96"/>
      <c r="O704" s="79"/>
    </row>
    <row r="705" customFormat="false" ht="15" hidden="false" customHeight="false" outlineLevel="0" collapsed="false">
      <c r="A705" s="98"/>
      <c r="B705" s="79"/>
      <c r="C705" s="102" t="str">
        <f aca="false">IF(B705="","",IFERROR(INDEX(الموظفون!$C$6:$C$105,MATCH(B705,الموظفون!$B$6:$B$105,0)),"✖ رقم غير موجود"))</f>
        <v/>
      </c>
      <c r="D705" s="99"/>
      <c r="E705" s="99"/>
      <c r="F705" s="99"/>
      <c r="G705" s="96"/>
      <c r="H705" s="96"/>
      <c r="I705" s="96"/>
      <c r="J705" s="96"/>
      <c r="K705" s="99"/>
      <c r="L705" s="99"/>
      <c r="M705" s="96"/>
      <c r="N705" s="96"/>
      <c r="O705" s="79"/>
    </row>
    <row r="706" customFormat="false" ht="15" hidden="false" customHeight="false" outlineLevel="0" collapsed="false">
      <c r="A706" s="98"/>
      <c r="B706" s="79"/>
      <c r="C706" s="80" t="str">
        <f aca="false">IF(B706="","",IFERROR(INDEX(الموظفون!$C$6:$C$105,MATCH(B706,الموظفون!$B$6:$B$105,0)),"✖ رقم غير موجود"))</f>
        <v/>
      </c>
      <c r="D706" s="99"/>
      <c r="E706" s="99"/>
      <c r="F706" s="99"/>
      <c r="G706" s="96"/>
      <c r="H706" s="96"/>
      <c r="I706" s="96"/>
      <c r="J706" s="96"/>
      <c r="K706" s="99"/>
      <c r="L706" s="99"/>
      <c r="M706" s="96"/>
      <c r="N706" s="96"/>
      <c r="O706" s="79"/>
    </row>
    <row r="707" customFormat="false" ht="15" hidden="false" customHeight="false" outlineLevel="0" collapsed="false">
      <c r="A707" s="98"/>
      <c r="B707" s="79"/>
      <c r="C707" s="102" t="str">
        <f aca="false">IF(B707="","",IFERROR(INDEX(الموظفون!$C$6:$C$105,MATCH(B707,الموظفون!$B$6:$B$105,0)),"✖ رقم غير موجود"))</f>
        <v/>
      </c>
      <c r="D707" s="99"/>
      <c r="E707" s="99"/>
      <c r="F707" s="99"/>
      <c r="G707" s="96"/>
      <c r="H707" s="96"/>
      <c r="I707" s="96"/>
      <c r="J707" s="96"/>
      <c r="K707" s="99"/>
      <c r="L707" s="99"/>
      <c r="M707" s="96"/>
      <c r="N707" s="96"/>
      <c r="O707" s="79"/>
    </row>
    <row r="708" customFormat="false" ht="15" hidden="false" customHeight="false" outlineLevel="0" collapsed="false">
      <c r="A708" s="98"/>
      <c r="B708" s="79"/>
      <c r="C708" s="80" t="str">
        <f aca="false">IF(B708="","",IFERROR(INDEX(الموظفون!$C$6:$C$105,MATCH(B708,الموظفون!$B$6:$B$105,0)),"✖ رقم غير موجود"))</f>
        <v/>
      </c>
      <c r="D708" s="99"/>
      <c r="E708" s="99"/>
      <c r="F708" s="99"/>
      <c r="G708" s="96"/>
      <c r="H708" s="96"/>
      <c r="I708" s="96"/>
      <c r="J708" s="96"/>
      <c r="K708" s="99"/>
      <c r="L708" s="99"/>
      <c r="M708" s="96"/>
      <c r="N708" s="96"/>
      <c r="O708" s="79"/>
    </row>
    <row r="709" customFormat="false" ht="15" hidden="false" customHeight="false" outlineLevel="0" collapsed="false">
      <c r="A709" s="98"/>
      <c r="B709" s="79"/>
      <c r="C709" s="102" t="str">
        <f aca="false">IF(B709="","",IFERROR(INDEX(الموظفون!$C$6:$C$105,MATCH(B709,الموظفون!$B$6:$B$105,0)),"✖ رقم غير موجود"))</f>
        <v/>
      </c>
      <c r="D709" s="99"/>
      <c r="E709" s="99"/>
      <c r="F709" s="99"/>
      <c r="G709" s="96"/>
      <c r="H709" s="96"/>
      <c r="I709" s="96"/>
      <c r="J709" s="96"/>
      <c r="K709" s="99"/>
      <c r="L709" s="99"/>
      <c r="M709" s="96"/>
      <c r="N709" s="96"/>
      <c r="O709" s="79"/>
    </row>
    <row r="710" customFormat="false" ht="15" hidden="false" customHeight="false" outlineLevel="0" collapsed="false">
      <c r="A710" s="98"/>
      <c r="B710" s="79"/>
      <c r="C710" s="80" t="str">
        <f aca="false">IF(B710="","",IFERROR(INDEX(الموظفون!$C$6:$C$105,MATCH(B710,الموظفون!$B$6:$B$105,0)),"✖ رقم غير موجود"))</f>
        <v/>
      </c>
      <c r="D710" s="99"/>
      <c r="E710" s="99"/>
      <c r="F710" s="99"/>
      <c r="G710" s="96"/>
      <c r="H710" s="96"/>
      <c r="I710" s="96"/>
      <c r="J710" s="96"/>
      <c r="K710" s="99"/>
      <c r="L710" s="99"/>
      <c r="M710" s="96"/>
      <c r="N710" s="96"/>
      <c r="O710" s="79"/>
    </row>
    <row r="711" customFormat="false" ht="15" hidden="false" customHeight="false" outlineLevel="0" collapsed="false">
      <c r="A711" s="98"/>
      <c r="B711" s="79"/>
      <c r="C711" s="102" t="str">
        <f aca="false">IF(B711="","",IFERROR(INDEX(الموظفون!$C$6:$C$105,MATCH(B711,الموظفون!$B$6:$B$105,0)),"✖ رقم غير موجود"))</f>
        <v/>
      </c>
      <c r="D711" s="99"/>
      <c r="E711" s="99"/>
      <c r="F711" s="99"/>
      <c r="G711" s="96"/>
      <c r="H711" s="96"/>
      <c r="I711" s="96"/>
      <c r="J711" s="96"/>
      <c r="K711" s="99"/>
      <c r="L711" s="99"/>
      <c r="M711" s="96"/>
      <c r="N711" s="96"/>
      <c r="O711" s="79"/>
    </row>
    <row r="712" customFormat="false" ht="15" hidden="false" customHeight="false" outlineLevel="0" collapsed="false">
      <c r="A712" s="98"/>
      <c r="B712" s="79"/>
      <c r="C712" s="80" t="str">
        <f aca="false">IF(B712="","",IFERROR(INDEX(الموظفون!$C$6:$C$105,MATCH(B712,الموظفون!$B$6:$B$105,0)),"✖ رقم غير موجود"))</f>
        <v/>
      </c>
      <c r="D712" s="99"/>
      <c r="E712" s="99"/>
      <c r="F712" s="99"/>
      <c r="G712" s="96"/>
      <c r="H712" s="96"/>
      <c r="I712" s="96"/>
      <c r="J712" s="96"/>
      <c r="K712" s="99"/>
      <c r="L712" s="99"/>
      <c r="M712" s="96"/>
      <c r="N712" s="96"/>
      <c r="O712" s="79"/>
    </row>
    <row r="713" customFormat="false" ht="15" hidden="false" customHeight="false" outlineLevel="0" collapsed="false">
      <c r="A713" s="98"/>
      <c r="B713" s="79"/>
      <c r="C713" s="102" t="str">
        <f aca="false">IF(B713="","",IFERROR(INDEX(الموظفون!$C$6:$C$105,MATCH(B713,الموظفون!$B$6:$B$105,0)),"✖ رقم غير موجود"))</f>
        <v/>
      </c>
      <c r="D713" s="99"/>
      <c r="E713" s="99"/>
      <c r="F713" s="99"/>
      <c r="G713" s="96"/>
      <c r="H713" s="96"/>
      <c r="I713" s="96"/>
      <c r="J713" s="96"/>
      <c r="K713" s="99"/>
      <c r="L713" s="99"/>
      <c r="M713" s="96"/>
      <c r="N713" s="96"/>
      <c r="O713" s="79"/>
    </row>
    <row r="714" customFormat="false" ht="15" hidden="false" customHeight="false" outlineLevel="0" collapsed="false">
      <c r="A714" s="98"/>
      <c r="B714" s="79"/>
      <c r="C714" s="80" t="str">
        <f aca="false">IF(B714="","",IFERROR(INDEX(الموظفون!$C$6:$C$105,MATCH(B714,الموظفون!$B$6:$B$105,0)),"✖ رقم غير موجود"))</f>
        <v/>
      </c>
      <c r="D714" s="99"/>
      <c r="E714" s="99"/>
      <c r="F714" s="99"/>
      <c r="G714" s="96"/>
      <c r="H714" s="96"/>
      <c r="I714" s="96"/>
      <c r="J714" s="96"/>
      <c r="K714" s="99"/>
      <c r="L714" s="99"/>
      <c r="M714" s="96"/>
      <c r="N714" s="96"/>
      <c r="O714" s="79"/>
    </row>
    <row r="715" customFormat="false" ht="15" hidden="false" customHeight="false" outlineLevel="0" collapsed="false">
      <c r="A715" s="98"/>
      <c r="B715" s="79"/>
      <c r="C715" s="102" t="str">
        <f aca="false">IF(B715="","",IFERROR(INDEX(الموظفون!$C$6:$C$105,MATCH(B715,الموظفون!$B$6:$B$105,0)),"✖ رقم غير موجود"))</f>
        <v/>
      </c>
      <c r="D715" s="99"/>
      <c r="E715" s="99"/>
      <c r="F715" s="99"/>
      <c r="G715" s="96"/>
      <c r="H715" s="96"/>
      <c r="I715" s="96"/>
      <c r="J715" s="96"/>
      <c r="K715" s="99"/>
      <c r="L715" s="99"/>
      <c r="M715" s="96"/>
      <c r="N715" s="96"/>
      <c r="O715" s="79"/>
    </row>
    <row r="716" customFormat="false" ht="15" hidden="false" customHeight="false" outlineLevel="0" collapsed="false">
      <c r="A716" s="98"/>
      <c r="B716" s="79"/>
      <c r="C716" s="80" t="str">
        <f aca="false">IF(B716="","",IFERROR(INDEX(الموظفون!$C$6:$C$105,MATCH(B716,الموظفون!$B$6:$B$105,0)),"✖ رقم غير موجود"))</f>
        <v/>
      </c>
      <c r="D716" s="99"/>
      <c r="E716" s="99"/>
      <c r="F716" s="99"/>
      <c r="G716" s="96"/>
      <c r="H716" s="96"/>
      <c r="I716" s="96"/>
      <c r="J716" s="96"/>
      <c r="K716" s="99"/>
      <c r="L716" s="99"/>
      <c r="M716" s="96"/>
      <c r="N716" s="96"/>
      <c r="O716" s="79"/>
    </row>
    <row r="717" customFormat="false" ht="15" hidden="false" customHeight="false" outlineLevel="0" collapsed="false">
      <c r="A717" s="98"/>
      <c r="B717" s="79"/>
      <c r="C717" s="102" t="str">
        <f aca="false">IF(B717="","",IFERROR(INDEX(الموظفون!$C$6:$C$105,MATCH(B717,الموظفون!$B$6:$B$105,0)),"✖ رقم غير موجود"))</f>
        <v/>
      </c>
      <c r="D717" s="99"/>
      <c r="E717" s="99"/>
      <c r="F717" s="99"/>
      <c r="G717" s="96"/>
      <c r="H717" s="96"/>
      <c r="I717" s="96"/>
      <c r="J717" s="96"/>
      <c r="K717" s="99"/>
      <c r="L717" s="99"/>
      <c r="M717" s="96"/>
      <c r="N717" s="96"/>
      <c r="O717" s="79"/>
    </row>
    <row r="718" customFormat="false" ht="15" hidden="false" customHeight="false" outlineLevel="0" collapsed="false">
      <c r="A718" s="98"/>
      <c r="B718" s="79"/>
      <c r="C718" s="80" t="str">
        <f aca="false">IF(B718="","",IFERROR(INDEX(الموظفون!$C$6:$C$105,MATCH(B718,الموظفون!$B$6:$B$105,0)),"✖ رقم غير موجود"))</f>
        <v/>
      </c>
      <c r="D718" s="99"/>
      <c r="E718" s="99"/>
      <c r="F718" s="99"/>
      <c r="G718" s="96"/>
      <c r="H718" s="96"/>
      <c r="I718" s="96"/>
      <c r="J718" s="96"/>
      <c r="K718" s="99"/>
      <c r="L718" s="99"/>
      <c r="M718" s="96"/>
      <c r="N718" s="96"/>
      <c r="O718" s="79"/>
    </row>
    <row r="719" customFormat="false" ht="15" hidden="false" customHeight="false" outlineLevel="0" collapsed="false">
      <c r="A719" s="98"/>
      <c r="B719" s="79"/>
      <c r="C719" s="102" t="str">
        <f aca="false">IF(B719="","",IFERROR(INDEX(الموظفون!$C$6:$C$105,MATCH(B719,الموظفون!$B$6:$B$105,0)),"✖ رقم غير موجود"))</f>
        <v/>
      </c>
      <c r="D719" s="99"/>
      <c r="E719" s="99"/>
      <c r="F719" s="99"/>
      <c r="G719" s="96"/>
      <c r="H719" s="96"/>
      <c r="I719" s="96"/>
      <c r="J719" s="96"/>
      <c r="K719" s="99"/>
      <c r="L719" s="99"/>
      <c r="M719" s="96"/>
      <c r="N719" s="96"/>
      <c r="O719" s="79"/>
    </row>
    <row r="720" customFormat="false" ht="15" hidden="false" customHeight="false" outlineLevel="0" collapsed="false">
      <c r="A720" s="98"/>
      <c r="B720" s="79"/>
      <c r="C720" s="80" t="str">
        <f aca="false">IF(B720="","",IFERROR(INDEX(الموظفون!$C$6:$C$105,MATCH(B720,الموظفون!$B$6:$B$105,0)),"✖ رقم غير موجود"))</f>
        <v/>
      </c>
      <c r="D720" s="99"/>
      <c r="E720" s="99"/>
      <c r="F720" s="99"/>
      <c r="G720" s="96"/>
      <c r="H720" s="96"/>
      <c r="I720" s="96"/>
      <c r="J720" s="96"/>
      <c r="K720" s="99"/>
      <c r="L720" s="99"/>
      <c r="M720" s="96"/>
      <c r="N720" s="96"/>
      <c r="O720" s="79"/>
    </row>
    <row r="721" customFormat="false" ht="15" hidden="false" customHeight="false" outlineLevel="0" collapsed="false">
      <c r="A721" s="98"/>
      <c r="B721" s="79"/>
      <c r="C721" s="102" t="str">
        <f aca="false">IF(B721="","",IFERROR(INDEX(الموظفون!$C$6:$C$105,MATCH(B721,الموظفون!$B$6:$B$105,0)),"✖ رقم غير موجود"))</f>
        <v/>
      </c>
      <c r="D721" s="99"/>
      <c r="E721" s="99"/>
      <c r="F721" s="99"/>
      <c r="G721" s="96"/>
      <c r="H721" s="96"/>
      <c r="I721" s="96"/>
      <c r="J721" s="96"/>
      <c r="K721" s="99"/>
      <c r="L721" s="99"/>
      <c r="M721" s="96"/>
      <c r="N721" s="96"/>
      <c r="O721" s="79"/>
    </row>
    <row r="722" customFormat="false" ht="15" hidden="false" customHeight="false" outlineLevel="0" collapsed="false">
      <c r="A722" s="98"/>
      <c r="B722" s="79"/>
      <c r="C722" s="80" t="str">
        <f aca="false">IF(B722="","",IFERROR(INDEX(الموظفون!$C$6:$C$105,MATCH(B722,الموظفون!$B$6:$B$105,0)),"✖ رقم غير موجود"))</f>
        <v/>
      </c>
      <c r="D722" s="99"/>
      <c r="E722" s="99"/>
      <c r="F722" s="99"/>
      <c r="G722" s="96"/>
      <c r="H722" s="96"/>
      <c r="I722" s="96"/>
      <c r="J722" s="96"/>
      <c r="K722" s="99"/>
      <c r="L722" s="99"/>
      <c r="M722" s="96"/>
      <c r="N722" s="96"/>
      <c r="O722" s="79"/>
    </row>
    <row r="723" customFormat="false" ht="15" hidden="false" customHeight="false" outlineLevel="0" collapsed="false">
      <c r="A723" s="98"/>
      <c r="B723" s="79"/>
      <c r="C723" s="102" t="str">
        <f aca="false">IF(B723="","",IFERROR(INDEX(الموظفون!$C$6:$C$105,MATCH(B723,الموظفون!$B$6:$B$105,0)),"✖ رقم غير موجود"))</f>
        <v/>
      </c>
      <c r="D723" s="99"/>
      <c r="E723" s="99"/>
      <c r="F723" s="99"/>
      <c r="G723" s="96"/>
      <c r="H723" s="96"/>
      <c r="I723" s="96"/>
      <c r="J723" s="96"/>
      <c r="K723" s="99"/>
      <c r="L723" s="99"/>
      <c r="M723" s="96"/>
      <c r="N723" s="96"/>
      <c r="O723" s="79"/>
    </row>
    <row r="724" customFormat="false" ht="15" hidden="false" customHeight="false" outlineLevel="0" collapsed="false">
      <c r="A724" s="98"/>
      <c r="B724" s="79"/>
      <c r="C724" s="80" t="str">
        <f aca="false">IF(B724="","",IFERROR(INDEX(الموظفون!$C$6:$C$105,MATCH(B724,الموظفون!$B$6:$B$105,0)),"✖ رقم غير موجود"))</f>
        <v/>
      </c>
      <c r="D724" s="99"/>
      <c r="E724" s="99"/>
      <c r="F724" s="99"/>
      <c r="G724" s="96"/>
      <c r="H724" s="96"/>
      <c r="I724" s="96"/>
      <c r="J724" s="96"/>
      <c r="K724" s="99"/>
      <c r="L724" s="99"/>
      <c r="M724" s="96"/>
      <c r="N724" s="96"/>
      <c r="O724" s="79"/>
    </row>
    <row r="725" customFormat="false" ht="15" hidden="false" customHeight="false" outlineLevel="0" collapsed="false">
      <c r="A725" s="98"/>
      <c r="B725" s="79"/>
      <c r="C725" s="102" t="str">
        <f aca="false">IF(B725="","",IFERROR(INDEX(الموظفون!$C$6:$C$105,MATCH(B725,الموظفون!$B$6:$B$105,0)),"✖ رقم غير موجود"))</f>
        <v/>
      </c>
      <c r="D725" s="99"/>
      <c r="E725" s="99"/>
      <c r="F725" s="99"/>
      <c r="G725" s="96"/>
      <c r="H725" s="96"/>
      <c r="I725" s="96"/>
      <c r="J725" s="96"/>
      <c r="K725" s="99"/>
      <c r="L725" s="99"/>
      <c r="M725" s="96"/>
      <c r="N725" s="96"/>
      <c r="O725" s="79"/>
    </row>
    <row r="726" customFormat="false" ht="15" hidden="false" customHeight="false" outlineLevel="0" collapsed="false">
      <c r="A726" s="98"/>
      <c r="B726" s="79"/>
      <c r="C726" s="80" t="str">
        <f aca="false">IF(B726="","",IFERROR(INDEX(الموظفون!$C$6:$C$105,MATCH(B726,الموظفون!$B$6:$B$105,0)),"✖ رقم غير موجود"))</f>
        <v/>
      </c>
      <c r="D726" s="99"/>
      <c r="E726" s="99"/>
      <c r="F726" s="99"/>
      <c r="G726" s="96"/>
      <c r="H726" s="96"/>
      <c r="I726" s="96"/>
      <c r="J726" s="96"/>
      <c r="K726" s="99"/>
      <c r="L726" s="99"/>
      <c r="M726" s="96"/>
      <c r="N726" s="96"/>
      <c r="O726" s="79"/>
    </row>
    <row r="727" customFormat="false" ht="15" hidden="false" customHeight="false" outlineLevel="0" collapsed="false">
      <c r="A727" s="98"/>
      <c r="B727" s="79"/>
      <c r="C727" s="102" t="str">
        <f aca="false">IF(B727="","",IFERROR(INDEX(الموظفون!$C$6:$C$105,MATCH(B727,الموظفون!$B$6:$B$105,0)),"✖ رقم غير موجود"))</f>
        <v/>
      </c>
      <c r="D727" s="99"/>
      <c r="E727" s="99"/>
      <c r="F727" s="99"/>
      <c r="G727" s="96"/>
      <c r="H727" s="96"/>
      <c r="I727" s="96"/>
      <c r="J727" s="96"/>
      <c r="K727" s="99"/>
      <c r="L727" s="99"/>
      <c r="M727" s="96"/>
      <c r="N727" s="96"/>
      <c r="O727" s="79"/>
    </row>
    <row r="728" customFormat="false" ht="15" hidden="false" customHeight="false" outlineLevel="0" collapsed="false">
      <c r="A728" s="98"/>
      <c r="B728" s="79"/>
      <c r="C728" s="80" t="str">
        <f aca="false">IF(B728="","",IFERROR(INDEX(الموظفون!$C$6:$C$105,MATCH(B728,الموظفون!$B$6:$B$105,0)),"✖ رقم غير موجود"))</f>
        <v/>
      </c>
      <c r="D728" s="99"/>
      <c r="E728" s="99"/>
      <c r="F728" s="99"/>
      <c r="G728" s="96"/>
      <c r="H728" s="96"/>
      <c r="I728" s="96"/>
      <c r="J728" s="96"/>
      <c r="K728" s="99"/>
      <c r="L728" s="99"/>
      <c r="M728" s="96"/>
      <c r="N728" s="96"/>
      <c r="O728" s="79"/>
    </row>
    <row r="729" customFormat="false" ht="15" hidden="false" customHeight="false" outlineLevel="0" collapsed="false">
      <c r="A729" s="98"/>
      <c r="B729" s="79"/>
      <c r="C729" s="102" t="str">
        <f aca="false">IF(B729="","",IFERROR(INDEX(الموظفون!$C$6:$C$105,MATCH(B729,الموظفون!$B$6:$B$105,0)),"✖ رقم غير موجود"))</f>
        <v/>
      </c>
      <c r="D729" s="99"/>
      <c r="E729" s="99"/>
      <c r="F729" s="99"/>
      <c r="G729" s="96"/>
      <c r="H729" s="96"/>
      <c r="I729" s="96"/>
      <c r="J729" s="96"/>
      <c r="K729" s="99"/>
      <c r="L729" s="99"/>
      <c r="M729" s="96"/>
      <c r="N729" s="96"/>
      <c r="O729" s="79"/>
    </row>
    <row r="730" customFormat="false" ht="15" hidden="false" customHeight="false" outlineLevel="0" collapsed="false">
      <c r="A730" s="98"/>
      <c r="B730" s="79"/>
      <c r="C730" s="80" t="str">
        <f aca="false">IF(B730="","",IFERROR(INDEX(الموظفون!$C$6:$C$105,MATCH(B730,الموظفون!$B$6:$B$105,0)),"✖ رقم غير موجود"))</f>
        <v/>
      </c>
      <c r="D730" s="99"/>
      <c r="E730" s="99"/>
      <c r="F730" s="99"/>
      <c r="G730" s="96"/>
      <c r="H730" s="96"/>
      <c r="I730" s="96"/>
      <c r="J730" s="96"/>
      <c r="K730" s="99"/>
      <c r="L730" s="99"/>
      <c r="M730" s="96"/>
      <c r="N730" s="96"/>
      <c r="O730" s="79"/>
    </row>
    <row r="731" customFormat="false" ht="15" hidden="false" customHeight="false" outlineLevel="0" collapsed="false">
      <c r="A731" s="98"/>
      <c r="B731" s="79"/>
      <c r="C731" s="102" t="str">
        <f aca="false">IF(B731="","",IFERROR(INDEX(الموظفون!$C$6:$C$105,MATCH(B731,الموظفون!$B$6:$B$105,0)),"✖ رقم غير موجود"))</f>
        <v/>
      </c>
      <c r="D731" s="99"/>
      <c r="E731" s="99"/>
      <c r="F731" s="99"/>
      <c r="G731" s="96"/>
      <c r="H731" s="96"/>
      <c r="I731" s="96"/>
      <c r="J731" s="96"/>
      <c r="K731" s="99"/>
      <c r="L731" s="99"/>
      <c r="M731" s="96"/>
      <c r="N731" s="96"/>
      <c r="O731" s="79"/>
    </row>
    <row r="732" customFormat="false" ht="15" hidden="false" customHeight="false" outlineLevel="0" collapsed="false">
      <c r="A732" s="98"/>
      <c r="B732" s="79"/>
      <c r="C732" s="80" t="str">
        <f aca="false">IF(B732="","",IFERROR(INDEX(الموظفون!$C$6:$C$105,MATCH(B732,الموظفون!$B$6:$B$105,0)),"✖ رقم غير موجود"))</f>
        <v/>
      </c>
      <c r="D732" s="99"/>
      <c r="E732" s="99"/>
      <c r="F732" s="99"/>
      <c r="G732" s="96"/>
      <c r="H732" s="96"/>
      <c r="I732" s="96"/>
      <c r="J732" s="96"/>
      <c r="K732" s="99"/>
      <c r="L732" s="99"/>
      <c r="M732" s="96"/>
      <c r="N732" s="96"/>
      <c r="O732" s="79"/>
    </row>
    <row r="733" customFormat="false" ht="15" hidden="false" customHeight="false" outlineLevel="0" collapsed="false">
      <c r="A733" s="98"/>
      <c r="B733" s="79"/>
      <c r="C733" s="102" t="str">
        <f aca="false">IF(B733="","",IFERROR(INDEX(الموظفون!$C$6:$C$105,MATCH(B733,الموظفون!$B$6:$B$105,0)),"✖ رقم غير موجود"))</f>
        <v/>
      </c>
      <c r="D733" s="99"/>
      <c r="E733" s="99"/>
      <c r="F733" s="99"/>
      <c r="G733" s="96"/>
      <c r="H733" s="96"/>
      <c r="I733" s="96"/>
      <c r="J733" s="96"/>
      <c r="K733" s="99"/>
      <c r="L733" s="99"/>
      <c r="M733" s="96"/>
      <c r="N733" s="96"/>
      <c r="O733" s="79"/>
    </row>
    <row r="734" customFormat="false" ht="15" hidden="false" customHeight="false" outlineLevel="0" collapsed="false">
      <c r="A734" s="98"/>
      <c r="B734" s="79"/>
      <c r="C734" s="80" t="str">
        <f aca="false">IF(B734="","",IFERROR(INDEX(الموظفون!$C$6:$C$105,MATCH(B734,الموظفون!$B$6:$B$105,0)),"✖ رقم غير موجود"))</f>
        <v/>
      </c>
      <c r="D734" s="99"/>
      <c r="E734" s="99"/>
      <c r="F734" s="99"/>
      <c r="G734" s="96"/>
      <c r="H734" s="96"/>
      <c r="I734" s="96"/>
      <c r="J734" s="96"/>
      <c r="K734" s="99"/>
      <c r="L734" s="99"/>
      <c r="M734" s="96"/>
      <c r="N734" s="96"/>
      <c r="O734" s="79"/>
    </row>
    <row r="735" customFormat="false" ht="15" hidden="false" customHeight="false" outlineLevel="0" collapsed="false">
      <c r="A735" s="98"/>
      <c r="B735" s="79"/>
      <c r="C735" s="102" t="str">
        <f aca="false">IF(B735="","",IFERROR(INDEX(الموظفون!$C$6:$C$105,MATCH(B735,الموظفون!$B$6:$B$105,0)),"✖ رقم غير موجود"))</f>
        <v/>
      </c>
      <c r="D735" s="99"/>
      <c r="E735" s="99"/>
      <c r="F735" s="99"/>
      <c r="G735" s="96"/>
      <c r="H735" s="96"/>
      <c r="I735" s="96"/>
      <c r="J735" s="96"/>
      <c r="K735" s="99"/>
      <c r="L735" s="99"/>
      <c r="M735" s="96"/>
      <c r="N735" s="96"/>
      <c r="O735" s="79"/>
    </row>
    <row r="736" customFormat="false" ht="15" hidden="false" customHeight="false" outlineLevel="0" collapsed="false">
      <c r="A736" s="98"/>
      <c r="B736" s="79"/>
      <c r="C736" s="80" t="str">
        <f aca="false">IF(B736="","",IFERROR(INDEX(الموظفون!$C$6:$C$105,MATCH(B736,الموظفون!$B$6:$B$105,0)),"✖ رقم غير موجود"))</f>
        <v/>
      </c>
      <c r="D736" s="99"/>
      <c r="E736" s="99"/>
      <c r="F736" s="99"/>
      <c r="G736" s="96"/>
      <c r="H736" s="96"/>
      <c r="I736" s="96"/>
      <c r="J736" s="96"/>
      <c r="K736" s="99"/>
      <c r="L736" s="99"/>
      <c r="M736" s="96"/>
      <c r="N736" s="96"/>
      <c r="O736" s="79"/>
    </row>
    <row r="737" customFormat="false" ht="15" hidden="false" customHeight="false" outlineLevel="0" collapsed="false">
      <c r="A737" s="98"/>
      <c r="B737" s="79"/>
      <c r="C737" s="102" t="str">
        <f aca="false">IF(B737="","",IFERROR(INDEX(الموظفون!$C$6:$C$105,MATCH(B737,الموظفون!$B$6:$B$105,0)),"✖ رقم غير موجود"))</f>
        <v/>
      </c>
      <c r="D737" s="99"/>
      <c r="E737" s="99"/>
      <c r="F737" s="99"/>
      <c r="G737" s="96"/>
      <c r="H737" s="96"/>
      <c r="I737" s="96"/>
      <c r="J737" s="96"/>
      <c r="K737" s="99"/>
      <c r="L737" s="99"/>
      <c r="M737" s="96"/>
      <c r="N737" s="96"/>
      <c r="O737" s="79"/>
    </row>
    <row r="738" customFormat="false" ht="15" hidden="false" customHeight="false" outlineLevel="0" collapsed="false">
      <c r="A738" s="98"/>
      <c r="B738" s="79"/>
      <c r="C738" s="80" t="str">
        <f aca="false">IF(B738="","",IFERROR(INDEX(الموظفون!$C$6:$C$105,MATCH(B738,الموظفون!$B$6:$B$105,0)),"✖ رقم غير موجود"))</f>
        <v/>
      </c>
      <c r="D738" s="99"/>
      <c r="E738" s="99"/>
      <c r="F738" s="99"/>
      <c r="G738" s="96"/>
      <c r="H738" s="96"/>
      <c r="I738" s="96"/>
      <c r="J738" s="96"/>
      <c r="K738" s="99"/>
      <c r="L738" s="99"/>
      <c r="M738" s="96"/>
      <c r="N738" s="96"/>
      <c r="O738" s="79"/>
    </row>
    <row r="739" customFormat="false" ht="15" hidden="false" customHeight="false" outlineLevel="0" collapsed="false">
      <c r="A739" s="98"/>
      <c r="B739" s="79"/>
      <c r="C739" s="102" t="str">
        <f aca="false">IF(B739="","",IFERROR(INDEX(الموظفون!$C$6:$C$105,MATCH(B739,الموظفون!$B$6:$B$105,0)),"✖ رقم غير موجود"))</f>
        <v/>
      </c>
      <c r="D739" s="99"/>
      <c r="E739" s="99"/>
      <c r="F739" s="99"/>
      <c r="G739" s="96"/>
      <c r="H739" s="96"/>
      <c r="I739" s="96"/>
      <c r="J739" s="96"/>
      <c r="K739" s="99"/>
      <c r="L739" s="99"/>
      <c r="M739" s="96"/>
      <c r="N739" s="96"/>
      <c r="O739" s="79"/>
    </row>
    <row r="740" customFormat="false" ht="15" hidden="false" customHeight="false" outlineLevel="0" collapsed="false">
      <c r="A740" s="98"/>
      <c r="B740" s="79"/>
      <c r="C740" s="80" t="str">
        <f aca="false">IF(B740="","",IFERROR(INDEX(الموظفون!$C$6:$C$105,MATCH(B740,الموظفون!$B$6:$B$105,0)),"✖ رقم غير موجود"))</f>
        <v/>
      </c>
      <c r="D740" s="99"/>
      <c r="E740" s="99"/>
      <c r="F740" s="99"/>
      <c r="G740" s="96"/>
      <c r="H740" s="96"/>
      <c r="I740" s="96"/>
      <c r="J740" s="96"/>
      <c r="K740" s="99"/>
      <c r="L740" s="99"/>
      <c r="M740" s="96"/>
      <c r="N740" s="96"/>
      <c r="O740" s="79"/>
    </row>
    <row r="741" customFormat="false" ht="15" hidden="false" customHeight="false" outlineLevel="0" collapsed="false">
      <c r="A741" s="98"/>
      <c r="B741" s="79"/>
      <c r="C741" s="102" t="str">
        <f aca="false">IF(B741="","",IFERROR(INDEX(الموظفون!$C$6:$C$105,MATCH(B741,الموظفون!$B$6:$B$105,0)),"✖ رقم غير موجود"))</f>
        <v/>
      </c>
      <c r="D741" s="99"/>
      <c r="E741" s="99"/>
      <c r="F741" s="99"/>
      <c r="G741" s="96"/>
      <c r="H741" s="96"/>
      <c r="I741" s="96"/>
      <c r="J741" s="96"/>
      <c r="K741" s="99"/>
      <c r="L741" s="99"/>
      <c r="M741" s="96"/>
      <c r="N741" s="96"/>
      <c r="O741" s="79"/>
    </row>
    <row r="742" customFormat="false" ht="15" hidden="false" customHeight="false" outlineLevel="0" collapsed="false">
      <c r="A742" s="98"/>
      <c r="B742" s="79"/>
      <c r="C742" s="80" t="str">
        <f aca="false">IF(B742="","",IFERROR(INDEX(الموظفون!$C$6:$C$105,MATCH(B742,الموظفون!$B$6:$B$105,0)),"✖ رقم غير موجود"))</f>
        <v/>
      </c>
      <c r="D742" s="99"/>
      <c r="E742" s="99"/>
      <c r="F742" s="99"/>
      <c r="G742" s="96"/>
      <c r="H742" s="96"/>
      <c r="I742" s="96"/>
      <c r="J742" s="96"/>
      <c r="K742" s="99"/>
      <c r="L742" s="99"/>
      <c r="M742" s="96"/>
      <c r="N742" s="96"/>
      <c r="O742" s="79"/>
    </row>
    <row r="743" customFormat="false" ht="15" hidden="false" customHeight="false" outlineLevel="0" collapsed="false">
      <c r="A743" s="98"/>
      <c r="B743" s="79"/>
      <c r="C743" s="102" t="str">
        <f aca="false">IF(B743="","",IFERROR(INDEX(الموظفون!$C$6:$C$105,MATCH(B743,الموظفون!$B$6:$B$105,0)),"✖ رقم غير موجود"))</f>
        <v/>
      </c>
      <c r="D743" s="99"/>
      <c r="E743" s="99"/>
      <c r="F743" s="99"/>
      <c r="G743" s="96"/>
      <c r="H743" s="96"/>
      <c r="I743" s="96"/>
      <c r="J743" s="96"/>
      <c r="K743" s="99"/>
      <c r="L743" s="99"/>
      <c r="M743" s="96"/>
      <c r="N743" s="96"/>
      <c r="O743" s="79"/>
    </row>
    <row r="744" customFormat="false" ht="15" hidden="false" customHeight="false" outlineLevel="0" collapsed="false">
      <c r="A744" s="98"/>
      <c r="B744" s="79"/>
      <c r="C744" s="80" t="str">
        <f aca="false">IF(B744="","",IFERROR(INDEX(الموظفون!$C$6:$C$105,MATCH(B744,الموظفون!$B$6:$B$105,0)),"✖ رقم غير موجود"))</f>
        <v/>
      </c>
      <c r="D744" s="99"/>
      <c r="E744" s="99"/>
      <c r="F744" s="99"/>
      <c r="G744" s="96"/>
      <c r="H744" s="96"/>
      <c r="I744" s="96"/>
      <c r="J744" s="96"/>
      <c r="K744" s="99"/>
      <c r="L744" s="99"/>
      <c r="M744" s="96"/>
      <c r="N744" s="96"/>
      <c r="O744" s="79"/>
    </row>
    <row r="745" customFormat="false" ht="15" hidden="false" customHeight="false" outlineLevel="0" collapsed="false">
      <c r="A745" s="98"/>
      <c r="B745" s="79"/>
      <c r="C745" s="102" t="str">
        <f aca="false">IF(B745="","",IFERROR(INDEX(الموظفون!$C$6:$C$105,MATCH(B745,الموظفون!$B$6:$B$105,0)),"✖ رقم غير موجود"))</f>
        <v/>
      </c>
      <c r="D745" s="99"/>
      <c r="E745" s="99"/>
      <c r="F745" s="99"/>
      <c r="G745" s="96"/>
      <c r="H745" s="96"/>
      <c r="I745" s="96"/>
      <c r="J745" s="96"/>
      <c r="K745" s="99"/>
      <c r="L745" s="99"/>
      <c r="M745" s="96"/>
      <c r="N745" s="96"/>
      <c r="O745" s="79"/>
    </row>
    <row r="746" customFormat="false" ht="15" hidden="false" customHeight="false" outlineLevel="0" collapsed="false">
      <c r="A746" s="98"/>
      <c r="B746" s="79"/>
      <c r="C746" s="80" t="str">
        <f aca="false">IF(B746="","",IFERROR(INDEX(الموظفون!$C$6:$C$105,MATCH(B746,الموظفون!$B$6:$B$105,0)),"✖ رقم غير موجود"))</f>
        <v/>
      </c>
      <c r="D746" s="99"/>
      <c r="E746" s="99"/>
      <c r="F746" s="99"/>
      <c r="G746" s="96"/>
      <c r="H746" s="96"/>
      <c r="I746" s="96"/>
      <c r="J746" s="96"/>
      <c r="K746" s="99"/>
      <c r="L746" s="99"/>
      <c r="M746" s="96"/>
      <c r="N746" s="96"/>
      <c r="O746" s="79"/>
    </row>
    <row r="747" customFormat="false" ht="15" hidden="false" customHeight="false" outlineLevel="0" collapsed="false">
      <c r="A747" s="98"/>
      <c r="B747" s="79"/>
      <c r="C747" s="102" t="str">
        <f aca="false">IF(B747="","",IFERROR(INDEX(الموظفون!$C$6:$C$105,MATCH(B747,الموظفون!$B$6:$B$105,0)),"✖ رقم غير موجود"))</f>
        <v/>
      </c>
      <c r="D747" s="99"/>
      <c r="E747" s="99"/>
      <c r="F747" s="99"/>
      <c r="G747" s="96"/>
      <c r="H747" s="96"/>
      <c r="I747" s="96"/>
      <c r="J747" s="96"/>
      <c r="K747" s="99"/>
      <c r="L747" s="99"/>
      <c r="M747" s="96"/>
      <c r="N747" s="96"/>
      <c r="O747" s="79"/>
    </row>
    <row r="748" customFormat="false" ht="15" hidden="false" customHeight="false" outlineLevel="0" collapsed="false">
      <c r="A748" s="98"/>
      <c r="B748" s="79"/>
      <c r="C748" s="80" t="str">
        <f aca="false">IF(B748="","",IFERROR(INDEX(الموظفون!$C$6:$C$105,MATCH(B748,الموظفون!$B$6:$B$105,0)),"✖ رقم غير موجود"))</f>
        <v/>
      </c>
      <c r="D748" s="99"/>
      <c r="E748" s="99"/>
      <c r="F748" s="99"/>
      <c r="G748" s="96"/>
      <c r="H748" s="96"/>
      <c r="I748" s="96"/>
      <c r="J748" s="96"/>
      <c r="K748" s="99"/>
      <c r="L748" s="99"/>
      <c r="M748" s="96"/>
      <c r="N748" s="96"/>
      <c r="O748" s="79"/>
    </row>
    <row r="749" customFormat="false" ht="15" hidden="false" customHeight="false" outlineLevel="0" collapsed="false">
      <c r="A749" s="98"/>
      <c r="B749" s="79"/>
      <c r="C749" s="102" t="str">
        <f aca="false">IF(B749="","",IFERROR(INDEX(الموظفون!$C$6:$C$105,MATCH(B749,الموظفون!$B$6:$B$105,0)),"✖ رقم غير موجود"))</f>
        <v/>
      </c>
      <c r="D749" s="99"/>
      <c r="E749" s="99"/>
      <c r="F749" s="99"/>
      <c r="G749" s="96"/>
      <c r="H749" s="96"/>
      <c r="I749" s="96"/>
      <c r="J749" s="96"/>
      <c r="K749" s="99"/>
      <c r="L749" s="99"/>
      <c r="M749" s="96"/>
      <c r="N749" s="96"/>
      <c r="O749" s="79"/>
    </row>
    <row r="750" customFormat="false" ht="15" hidden="false" customHeight="false" outlineLevel="0" collapsed="false">
      <c r="A750" s="98"/>
      <c r="B750" s="79"/>
      <c r="C750" s="80" t="str">
        <f aca="false">IF(B750="","",IFERROR(INDEX(الموظفون!$C$6:$C$105,MATCH(B750,الموظفون!$B$6:$B$105,0)),"✖ رقم غير موجود"))</f>
        <v/>
      </c>
      <c r="D750" s="99"/>
      <c r="E750" s="99"/>
      <c r="F750" s="99"/>
      <c r="G750" s="96"/>
      <c r="H750" s="96"/>
      <c r="I750" s="96"/>
      <c r="J750" s="96"/>
      <c r="K750" s="99"/>
      <c r="L750" s="99"/>
      <c r="M750" s="96"/>
      <c r="N750" s="96"/>
      <c r="O750" s="79"/>
    </row>
    <row r="751" customFormat="false" ht="15" hidden="false" customHeight="false" outlineLevel="0" collapsed="false">
      <c r="A751" s="98"/>
      <c r="B751" s="79"/>
      <c r="C751" s="102" t="str">
        <f aca="false">IF(B751="","",IFERROR(INDEX(الموظفون!$C$6:$C$105,MATCH(B751,الموظفون!$B$6:$B$105,0)),"✖ رقم غير موجود"))</f>
        <v/>
      </c>
      <c r="D751" s="99"/>
      <c r="E751" s="99"/>
      <c r="F751" s="99"/>
      <c r="G751" s="96"/>
      <c r="H751" s="96"/>
      <c r="I751" s="96"/>
      <c r="J751" s="96"/>
      <c r="K751" s="99"/>
      <c r="L751" s="99"/>
      <c r="M751" s="96"/>
      <c r="N751" s="96"/>
      <c r="O751" s="79"/>
    </row>
    <row r="752" customFormat="false" ht="15" hidden="false" customHeight="false" outlineLevel="0" collapsed="false">
      <c r="A752" s="98"/>
      <c r="B752" s="79"/>
      <c r="C752" s="80" t="str">
        <f aca="false">IF(B752="","",IFERROR(INDEX(الموظفون!$C$6:$C$105,MATCH(B752,الموظفون!$B$6:$B$105,0)),"✖ رقم غير موجود"))</f>
        <v/>
      </c>
      <c r="D752" s="99"/>
      <c r="E752" s="99"/>
      <c r="F752" s="99"/>
      <c r="G752" s="96"/>
      <c r="H752" s="96"/>
      <c r="I752" s="96"/>
      <c r="J752" s="96"/>
      <c r="K752" s="99"/>
      <c r="L752" s="99"/>
      <c r="M752" s="96"/>
      <c r="N752" s="96"/>
      <c r="O752" s="79"/>
    </row>
    <row r="753" customFormat="false" ht="15" hidden="false" customHeight="false" outlineLevel="0" collapsed="false">
      <c r="A753" s="98"/>
      <c r="B753" s="79"/>
      <c r="C753" s="102" t="str">
        <f aca="false">IF(B753="","",IFERROR(INDEX(الموظفون!$C$6:$C$105,MATCH(B753,الموظفون!$B$6:$B$105,0)),"✖ رقم غير موجود"))</f>
        <v/>
      </c>
      <c r="D753" s="99"/>
      <c r="E753" s="99"/>
      <c r="F753" s="99"/>
      <c r="G753" s="96"/>
      <c r="H753" s="96"/>
      <c r="I753" s="96"/>
      <c r="J753" s="96"/>
      <c r="K753" s="99"/>
      <c r="L753" s="99"/>
      <c r="M753" s="96"/>
      <c r="N753" s="96"/>
      <c r="O753" s="79"/>
    </row>
    <row r="754" customFormat="false" ht="15" hidden="false" customHeight="false" outlineLevel="0" collapsed="false">
      <c r="A754" s="98"/>
      <c r="B754" s="79"/>
      <c r="C754" s="80" t="str">
        <f aca="false">IF(B754="","",IFERROR(INDEX(الموظفون!$C$6:$C$105,MATCH(B754,الموظفون!$B$6:$B$105,0)),"✖ رقم غير موجود"))</f>
        <v/>
      </c>
      <c r="D754" s="99"/>
      <c r="E754" s="99"/>
      <c r="F754" s="99"/>
      <c r="G754" s="96"/>
      <c r="H754" s="96"/>
      <c r="I754" s="96"/>
      <c r="J754" s="96"/>
      <c r="K754" s="99"/>
      <c r="L754" s="99"/>
      <c r="M754" s="96"/>
      <c r="N754" s="96"/>
      <c r="O754" s="79"/>
    </row>
    <row r="755" customFormat="false" ht="15" hidden="false" customHeight="false" outlineLevel="0" collapsed="false">
      <c r="A755" s="98"/>
      <c r="B755" s="79"/>
      <c r="C755" s="102" t="str">
        <f aca="false">IF(B755="","",IFERROR(INDEX(الموظفون!$C$6:$C$105,MATCH(B755,الموظفون!$B$6:$B$105,0)),"✖ رقم غير موجود"))</f>
        <v/>
      </c>
      <c r="D755" s="99"/>
      <c r="E755" s="99"/>
      <c r="F755" s="99"/>
      <c r="G755" s="96"/>
      <c r="H755" s="96"/>
      <c r="I755" s="96"/>
      <c r="J755" s="96"/>
      <c r="K755" s="99"/>
      <c r="L755" s="99"/>
      <c r="M755" s="96"/>
      <c r="N755" s="96"/>
      <c r="O755" s="79"/>
    </row>
    <row r="756" customFormat="false" ht="15" hidden="false" customHeight="false" outlineLevel="0" collapsed="false">
      <c r="A756" s="98"/>
      <c r="B756" s="79"/>
      <c r="C756" s="80" t="str">
        <f aca="false">IF(B756="","",IFERROR(INDEX(الموظفون!$C$6:$C$105,MATCH(B756,الموظفون!$B$6:$B$105,0)),"✖ رقم غير موجود"))</f>
        <v/>
      </c>
      <c r="D756" s="99"/>
      <c r="E756" s="99"/>
      <c r="F756" s="99"/>
      <c r="G756" s="96"/>
      <c r="H756" s="96"/>
      <c r="I756" s="96"/>
      <c r="J756" s="96"/>
      <c r="K756" s="99"/>
      <c r="L756" s="99"/>
      <c r="M756" s="96"/>
      <c r="N756" s="96"/>
      <c r="O756" s="79"/>
    </row>
    <row r="757" customFormat="false" ht="15" hidden="false" customHeight="false" outlineLevel="0" collapsed="false">
      <c r="A757" s="98"/>
      <c r="B757" s="79"/>
      <c r="C757" s="102" t="str">
        <f aca="false">IF(B757="","",IFERROR(INDEX(الموظفون!$C$6:$C$105,MATCH(B757,الموظفون!$B$6:$B$105,0)),"✖ رقم غير موجود"))</f>
        <v/>
      </c>
      <c r="D757" s="99"/>
      <c r="E757" s="99"/>
      <c r="F757" s="99"/>
      <c r="G757" s="96"/>
      <c r="H757" s="96"/>
      <c r="I757" s="96"/>
      <c r="J757" s="96"/>
      <c r="K757" s="99"/>
      <c r="L757" s="99"/>
      <c r="M757" s="96"/>
      <c r="N757" s="96"/>
      <c r="O757" s="79"/>
    </row>
    <row r="758" customFormat="false" ht="15" hidden="false" customHeight="false" outlineLevel="0" collapsed="false">
      <c r="A758" s="98"/>
      <c r="B758" s="79"/>
      <c r="C758" s="80" t="str">
        <f aca="false">IF(B758="","",IFERROR(INDEX(الموظفون!$C$6:$C$105,MATCH(B758,الموظفون!$B$6:$B$105,0)),"✖ رقم غير موجود"))</f>
        <v/>
      </c>
      <c r="D758" s="99"/>
      <c r="E758" s="99"/>
      <c r="F758" s="99"/>
      <c r="G758" s="96"/>
      <c r="H758" s="96"/>
      <c r="I758" s="96"/>
      <c r="J758" s="96"/>
      <c r="K758" s="99"/>
      <c r="L758" s="99"/>
      <c r="M758" s="96"/>
      <c r="N758" s="96"/>
      <c r="O758" s="79"/>
    </row>
    <row r="759" customFormat="false" ht="15" hidden="false" customHeight="false" outlineLevel="0" collapsed="false">
      <c r="A759" s="98"/>
      <c r="B759" s="79"/>
      <c r="C759" s="102" t="str">
        <f aca="false">IF(B759="","",IFERROR(INDEX(الموظفون!$C$6:$C$105,MATCH(B759,الموظفون!$B$6:$B$105,0)),"✖ رقم غير موجود"))</f>
        <v/>
      </c>
      <c r="D759" s="99"/>
      <c r="E759" s="99"/>
      <c r="F759" s="99"/>
      <c r="G759" s="96"/>
      <c r="H759" s="96"/>
      <c r="I759" s="96"/>
      <c r="J759" s="96"/>
      <c r="K759" s="99"/>
      <c r="L759" s="99"/>
      <c r="M759" s="96"/>
      <c r="N759" s="96"/>
      <c r="O759" s="79"/>
    </row>
    <row r="760" customFormat="false" ht="15" hidden="false" customHeight="false" outlineLevel="0" collapsed="false">
      <c r="A760" s="98"/>
      <c r="B760" s="79"/>
      <c r="C760" s="80" t="str">
        <f aca="false">IF(B760="","",IFERROR(INDEX(الموظفون!$C$6:$C$105,MATCH(B760,الموظفون!$B$6:$B$105,0)),"✖ رقم غير موجود"))</f>
        <v/>
      </c>
      <c r="D760" s="99"/>
      <c r="E760" s="99"/>
      <c r="F760" s="99"/>
      <c r="G760" s="96"/>
      <c r="H760" s="96"/>
      <c r="I760" s="96"/>
      <c r="J760" s="96"/>
      <c r="K760" s="99"/>
      <c r="L760" s="99"/>
      <c r="M760" s="96"/>
      <c r="N760" s="96"/>
      <c r="O760" s="79"/>
    </row>
    <row r="761" customFormat="false" ht="15" hidden="false" customHeight="false" outlineLevel="0" collapsed="false">
      <c r="A761" s="98"/>
      <c r="B761" s="79"/>
      <c r="C761" s="102" t="str">
        <f aca="false">IF(B761="","",IFERROR(INDEX(الموظفون!$C$6:$C$105,MATCH(B761,الموظفون!$B$6:$B$105,0)),"✖ رقم غير موجود"))</f>
        <v/>
      </c>
      <c r="D761" s="99"/>
      <c r="E761" s="99"/>
      <c r="F761" s="99"/>
      <c r="G761" s="96"/>
      <c r="H761" s="96"/>
      <c r="I761" s="96"/>
      <c r="J761" s="96"/>
      <c r="K761" s="99"/>
      <c r="L761" s="99"/>
      <c r="M761" s="96"/>
      <c r="N761" s="96"/>
      <c r="O761" s="79"/>
    </row>
    <row r="762" customFormat="false" ht="15" hidden="false" customHeight="false" outlineLevel="0" collapsed="false">
      <c r="A762" s="98"/>
      <c r="B762" s="79"/>
      <c r="C762" s="80" t="str">
        <f aca="false">IF(B762="","",IFERROR(INDEX(الموظفون!$C$6:$C$105,MATCH(B762,الموظفون!$B$6:$B$105,0)),"✖ رقم غير موجود"))</f>
        <v/>
      </c>
      <c r="D762" s="99"/>
      <c r="E762" s="99"/>
      <c r="F762" s="99"/>
      <c r="G762" s="96"/>
      <c r="H762" s="96"/>
      <c r="I762" s="96"/>
      <c r="J762" s="96"/>
      <c r="K762" s="99"/>
      <c r="L762" s="99"/>
      <c r="M762" s="96"/>
      <c r="N762" s="96"/>
      <c r="O762" s="79"/>
    </row>
    <row r="763" customFormat="false" ht="15" hidden="false" customHeight="false" outlineLevel="0" collapsed="false">
      <c r="A763" s="98"/>
      <c r="B763" s="79"/>
      <c r="C763" s="102" t="str">
        <f aca="false">IF(B763="","",IFERROR(INDEX(الموظفون!$C$6:$C$105,MATCH(B763,الموظفون!$B$6:$B$105,0)),"✖ رقم غير موجود"))</f>
        <v/>
      </c>
      <c r="D763" s="99"/>
      <c r="E763" s="99"/>
      <c r="F763" s="99"/>
      <c r="G763" s="96"/>
      <c r="H763" s="96"/>
      <c r="I763" s="96"/>
      <c r="J763" s="96"/>
      <c r="K763" s="99"/>
      <c r="L763" s="99"/>
      <c r="M763" s="96"/>
      <c r="N763" s="96"/>
      <c r="O763" s="79"/>
    </row>
    <row r="764" customFormat="false" ht="15" hidden="false" customHeight="false" outlineLevel="0" collapsed="false">
      <c r="A764" s="98"/>
      <c r="B764" s="79"/>
      <c r="C764" s="80" t="str">
        <f aca="false">IF(B764="","",IFERROR(INDEX(الموظفون!$C$6:$C$105,MATCH(B764,الموظفون!$B$6:$B$105,0)),"✖ رقم غير موجود"))</f>
        <v/>
      </c>
      <c r="D764" s="99"/>
      <c r="E764" s="99"/>
      <c r="F764" s="99"/>
      <c r="G764" s="96"/>
      <c r="H764" s="96"/>
      <c r="I764" s="96"/>
      <c r="J764" s="96"/>
      <c r="K764" s="99"/>
      <c r="L764" s="99"/>
      <c r="M764" s="96"/>
      <c r="N764" s="96"/>
      <c r="O764" s="79"/>
    </row>
    <row r="765" customFormat="false" ht="15" hidden="false" customHeight="false" outlineLevel="0" collapsed="false">
      <c r="A765" s="98"/>
      <c r="B765" s="79"/>
      <c r="C765" s="102" t="str">
        <f aca="false">IF(B765="","",IFERROR(INDEX(الموظفون!$C$6:$C$105,MATCH(B765,الموظفون!$B$6:$B$105,0)),"✖ رقم غير موجود"))</f>
        <v/>
      </c>
      <c r="D765" s="99"/>
      <c r="E765" s="99"/>
      <c r="F765" s="99"/>
      <c r="G765" s="96"/>
      <c r="H765" s="96"/>
      <c r="I765" s="96"/>
      <c r="J765" s="96"/>
      <c r="K765" s="99"/>
      <c r="L765" s="99"/>
      <c r="M765" s="96"/>
      <c r="N765" s="96"/>
      <c r="O765" s="79"/>
    </row>
    <row r="766" customFormat="false" ht="15" hidden="false" customHeight="false" outlineLevel="0" collapsed="false">
      <c r="A766" s="98"/>
      <c r="B766" s="79"/>
      <c r="C766" s="80" t="str">
        <f aca="false">IF(B766="","",IFERROR(INDEX(الموظفون!$C$6:$C$105,MATCH(B766,الموظفون!$B$6:$B$105,0)),"✖ رقم غير موجود"))</f>
        <v/>
      </c>
      <c r="D766" s="99"/>
      <c r="E766" s="99"/>
      <c r="F766" s="99"/>
      <c r="G766" s="96"/>
      <c r="H766" s="96"/>
      <c r="I766" s="96"/>
      <c r="J766" s="96"/>
      <c r="K766" s="99"/>
      <c r="L766" s="99"/>
      <c r="M766" s="96"/>
      <c r="N766" s="96"/>
      <c r="O766" s="79"/>
    </row>
    <row r="767" customFormat="false" ht="15" hidden="false" customHeight="false" outlineLevel="0" collapsed="false">
      <c r="A767" s="98"/>
      <c r="B767" s="79"/>
      <c r="C767" s="102" t="str">
        <f aca="false">IF(B767="","",IFERROR(INDEX(الموظفون!$C$6:$C$105,MATCH(B767,الموظفون!$B$6:$B$105,0)),"✖ رقم غير موجود"))</f>
        <v/>
      </c>
      <c r="D767" s="99"/>
      <c r="E767" s="99"/>
      <c r="F767" s="99"/>
      <c r="G767" s="96"/>
      <c r="H767" s="96"/>
      <c r="I767" s="96"/>
      <c r="J767" s="96"/>
      <c r="K767" s="99"/>
      <c r="L767" s="99"/>
      <c r="M767" s="96"/>
      <c r="N767" s="96"/>
      <c r="O767" s="79"/>
    </row>
    <row r="768" customFormat="false" ht="15" hidden="false" customHeight="false" outlineLevel="0" collapsed="false">
      <c r="A768" s="98"/>
      <c r="B768" s="79"/>
      <c r="C768" s="80" t="str">
        <f aca="false">IF(B768="","",IFERROR(INDEX(الموظفون!$C$6:$C$105,MATCH(B768,الموظفون!$B$6:$B$105,0)),"✖ رقم غير موجود"))</f>
        <v/>
      </c>
      <c r="D768" s="99"/>
      <c r="E768" s="99"/>
      <c r="F768" s="99"/>
      <c r="G768" s="96"/>
      <c r="H768" s="96"/>
      <c r="I768" s="96"/>
      <c r="J768" s="96"/>
      <c r="K768" s="99"/>
      <c r="L768" s="99"/>
      <c r="M768" s="96"/>
      <c r="N768" s="96"/>
      <c r="O768" s="79"/>
    </row>
    <row r="769" customFormat="false" ht="15" hidden="false" customHeight="false" outlineLevel="0" collapsed="false">
      <c r="A769" s="98"/>
      <c r="B769" s="79"/>
      <c r="C769" s="102" t="str">
        <f aca="false">IF(B769="","",IFERROR(INDEX(الموظفون!$C$6:$C$105,MATCH(B769,الموظفون!$B$6:$B$105,0)),"✖ رقم غير موجود"))</f>
        <v/>
      </c>
      <c r="D769" s="99"/>
      <c r="E769" s="99"/>
      <c r="F769" s="99"/>
      <c r="G769" s="96"/>
      <c r="H769" s="96"/>
      <c r="I769" s="96"/>
      <c r="J769" s="96"/>
      <c r="K769" s="99"/>
      <c r="L769" s="99"/>
      <c r="M769" s="96"/>
      <c r="N769" s="96"/>
      <c r="O769" s="79"/>
    </row>
    <row r="770" customFormat="false" ht="15" hidden="false" customHeight="false" outlineLevel="0" collapsed="false">
      <c r="A770" s="98"/>
      <c r="B770" s="79"/>
      <c r="C770" s="80" t="str">
        <f aca="false">IF(B770="","",IFERROR(INDEX(الموظفون!$C$6:$C$105,MATCH(B770,الموظفون!$B$6:$B$105,0)),"✖ رقم غير موجود"))</f>
        <v/>
      </c>
      <c r="D770" s="99"/>
      <c r="E770" s="99"/>
      <c r="F770" s="99"/>
      <c r="G770" s="96"/>
      <c r="H770" s="96"/>
      <c r="I770" s="96"/>
      <c r="J770" s="96"/>
      <c r="K770" s="99"/>
      <c r="L770" s="99"/>
      <c r="M770" s="96"/>
      <c r="N770" s="96"/>
      <c r="O770" s="79"/>
    </row>
    <row r="771" customFormat="false" ht="15" hidden="false" customHeight="false" outlineLevel="0" collapsed="false">
      <c r="A771" s="98"/>
      <c r="B771" s="79"/>
      <c r="C771" s="102" t="str">
        <f aca="false">IF(B771="","",IFERROR(INDEX(الموظفون!$C$6:$C$105,MATCH(B771,الموظفون!$B$6:$B$105,0)),"✖ رقم غير موجود"))</f>
        <v/>
      </c>
      <c r="D771" s="99"/>
      <c r="E771" s="99"/>
      <c r="F771" s="99"/>
      <c r="G771" s="96"/>
      <c r="H771" s="96"/>
      <c r="I771" s="96"/>
      <c r="J771" s="96"/>
      <c r="K771" s="99"/>
      <c r="L771" s="99"/>
      <c r="M771" s="96"/>
      <c r="N771" s="96"/>
      <c r="O771" s="79"/>
    </row>
    <row r="772" customFormat="false" ht="15" hidden="false" customHeight="false" outlineLevel="0" collapsed="false">
      <c r="A772" s="98"/>
      <c r="B772" s="79"/>
      <c r="C772" s="80" t="str">
        <f aca="false">IF(B772="","",IFERROR(INDEX(الموظفون!$C$6:$C$105,MATCH(B772,الموظفون!$B$6:$B$105,0)),"✖ رقم غير موجود"))</f>
        <v/>
      </c>
      <c r="D772" s="99"/>
      <c r="E772" s="99"/>
      <c r="F772" s="99"/>
      <c r="G772" s="96"/>
      <c r="H772" s="96"/>
      <c r="I772" s="96"/>
      <c r="J772" s="96"/>
      <c r="K772" s="99"/>
      <c r="L772" s="99"/>
      <c r="M772" s="96"/>
      <c r="N772" s="96"/>
      <c r="O772" s="79"/>
    </row>
    <row r="773" customFormat="false" ht="15" hidden="false" customHeight="false" outlineLevel="0" collapsed="false">
      <c r="A773" s="98"/>
      <c r="B773" s="79"/>
      <c r="C773" s="102" t="str">
        <f aca="false">IF(B773="","",IFERROR(INDEX(الموظفون!$C$6:$C$105,MATCH(B773,الموظفون!$B$6:$B$105,0)),"✖ رقم غير موجود"))</f>
        <v/>
      </c>
      <c r="D773" s="99"/>
      <c r="E773" s="99"/>
      <c r="F773" s="99"/>
      <c r="G773" s="96"/>
      <c r="H773" s="96"/>
      <c r="I773" s="96"/>
      <c r="J773" s="96"/>
      <c r="K773" s="99"/>
      <c r="L773" s="99"/>
      <c r="M773" s="96"/>
      <c r="N773" s="96"/>
      <c r="O773" s="79"/>
    </row>
    <row r="774" customFormat="false" ht="15" hidden="false" customHeight="false" outlineLevel="0" collapsed="false">
      <c r="A774" s="98"/>
      <c r="B774" s="79"/>
      <c r="C774" s="80" t="str">
        <f aca="false">IF(B774="","",IFERROR(INDEX(الموظفون!$C$6:$C$105,MATCH(B774,الموظفون!$B$6:$B$105,0)),"✖ رقم غير موجود"))</f>
        <v/>
      </c>
      <c r="D774" s="99"/>
      <c r="E774" s="99"/>
      <c r="F774" s="99"/>
      <c r="G774" s="96"/>
      <c r="H774" s="96"/>
      <c r="I774" s="96"/>
      <c r="J774" s="96"/>
      <c r="K774" s="99"/>
      <c r="L774" s="99"/>
      <c r="M774" s="96"/>
      <c r="N774" s="96"/>
      <c r="O774" s="79"/>
    </row>
    <row r="775" customFormat="false" ht="15" hidden="false" customHeight="false" outlineLevel="0" collapsed="false">
      <c r="A775" s="98"/>
      <c r="B775" s="79"/>
      <c r="C775" s="102" t="str">
        <f aca="false">IF(B775="","",IFERROR(INDEX(الموظفون!$C$6:$C$105,MATCH(B775,الموظفون!$B$6:$B$105,0)),"✖ رقم غير موجود"))</f>
        <v/>
      </c>
      <c r="D775" s="99"/>
      <c r="E775" s="99"/>
      <c r="F775" s="99"/>
      <c r="G775" s="96"/>
      <c r="H775" s="96"/>
      <c r="I775" s="96"/>
      <c r="J775" s="96"/>
      <c r="K775" s="99"/>
      <c r="L775" s="99"/>
      <c r="M775" s="96"/>
      <c r="N775" s="96"/>
      <c r="O775" s="79"/>
    </row>
    <row r="776" customFormat="false" ht="15" hidden="false" customHeight="false" outlineLevel="0" collapsed="false">
      <c r="A776" s="98"/>
      <c r="B776" s="79"/>
      <c r="C776" s="80" t="str">
        <f aca="false">IF(B776="","",IFERROR(INDEX(الموظفون!$C$6:$C$105,MATCH(B776,الموظفون!$B$6:$B$105,0)),"✖ رقم غير موجود"))</f>
        <v/>
      </c>
      <c r="D776" s="99"/>
      <c r="E776" s="99"/>
      <c r="F776" s="99"/>
      <c r="G776" s="96"/>
      <c r="H776" s="96"/>
      <c r="I776" s="96"/>
      <c r="J776" s="96"/>
      <c r="K776" s="99"/>
      <c r="L776" s="99"/>
      <c r="M776" s="96"/>
      <c r="N776" s="96"/>
      <c r="O776" s="79"/>
    </row>
    <row r="777" customFormat="false" ht="15" hidden="false" customHeight="false" outlineLevel="0" collapsed="false">
      <c r="A777" s="98"/>
      <c r="B777" s="79"/>
      <c r="C777" s="102" t="str">
        <f aca="false">IF(B777="","",IFERROR(INDEX(الموظفون!$C$6:$C$105,MATCH(B777,الموظفون!$B$6:$B$105,0)),"✖ رقم غير موجود"))</f>
        <v/>
      </c>
      <c r="D777" s="99"/>
      <c r="E777" s="99"/>
      <c r="F777" s="99"/>
      <c r="G777" s="96"/>
      <c r="H777" s="96"/>
      <c r="I777" s="96"/>
      <c r="J777" s="96"/>
      <c r="K777" s="99"/>
      <c r="L777" s="99"/>
      <c r="M777" s="96"/>
      <c r="N777" s="96"/>
      <c r="O777" s="79"/>
    </row>
    <row r="778" customFormat="false" ht="15" hidden="false" customHeight="false" outlineLevel="0" collapsed="false">
      <c r="A778" s="98"/>
      <c r="B778" s="79"/>
      <c r="C778" s="80" t="str">
        <f aca="false">IF(B778="","",IFERROR(INDEX(الموظفون!$C$6:$C$105,MATCH(B778,الموظفون!$B$6:$B$105,0)),"✖ رقم غير موجود"))</f>
        <v/>
      </c>
      <c r="D778" s="99"/>
      <c r="E778" s="99"/>
      <c r="F778" s="99"/>
      <c r="G778" s="96"/>
      <c r="H778" s="96"/>
      <c r="I778" s="96"/>
      <c r="J778" s="96"/>
      <c r="K778" s="99"/>
      <c r="L778" s="99"/>
      <c r="M778" s="96"/>
      <c r="N778" s="96"/>
      <c r="O778" s="79"/>
    </row>
    <row r="779" customFormat="false" ht="15" hidden="false" customHeight="false" outlineLevel="0" collapsed="false">
      <c r="A779" s="98"/>
      <c r="B779" s="79"/>
      <c r="C779" s="102" t="str">
        <f aca="false">IF(B779="","",IFERROR(INDEX(الموظفون!$C$6:$C$105,MATCH(B779,الموظفون!$B$6:$B$105,0)),"✖ رقم غير موجود"))</f>
        <v/>
      </c>
      <c r="D779" s="99"/>
      <c r="E779" s="99"/>
      <c r="F779" s="99"/>
      <c r="G779" s="96"/>
      <c r="H779" s="96"/>
      <c r="I779" s="96"/>
      <c r="J779" s="96"/>
      <c r="K779" s="99"/>
      <c r="L779" s="99"/>
      <c r="M779" s="96"/>
      <c r="N779" s="96"/>
      <c r="O779" s="79"/>
    </row>
    <row r="780" customFormat="false" ht="15" hidden="false" customHeight="false" outlineLevel="0" collapsed="false">
      <c r="A780" s="98"/>
      <c r="B780" s="79"/>
      <c r="C780" s="80" t="str">
        <f aca="false">IF(B780="","",IFERROR(INDEX(الموظفون!$C$6:$C$105,MATCH(B780,الموظفون!$B$6:$B$105,0)),"✖ رقم غير موجود"))</f>
        <v/>
      </c>
      <c r="D780" s="99"/>
      <c r="E780" s="99"/>
      <c r="F780" s="99"/>
      <c r="G780" s="96"/>
      <c r="H780" s="96"/>
      <c r="I780" s="96"/>
      <c r="J780" s="96"/>
      <c r="K780" s="99"/>
      <c r="L780" s="99"/>
      <c r="M780" s="96"/>
      <c r="N780" s="96"/>
      <c r="O780" s="79"/>
    </row>
    <row r="781" customFormat="false" ht="15" hidden="false" customHeight="false" outlineLevel="0" collapsed="false">
      <c r="A781" s="98"/>
      <c r="B781" s="79"/>
      <c r="C781" s="102" t="str">
        <f aca="false">IF(B781="","",IFERROR(INDEX(الموظفون!$C$6:$C$105,MATCH(B781,الموظفون!$B$6:$B$105,0)),"✖ رقم غير موجود"))</f>
        <v/>
      </c>
      <c r="D781" s="99"/>
      <c r="E781" s="99"/>
      <c r="F781" s="99"/>
      <c r="G781" s="96"/>
      <c r="H781" s="96"/>
      <c r="I781" s="96"/>
      <c r="J781" s="96"/>
      <c r="K781" s="99"/>
      <c r="L781" s="99"/>
      <c r="M781" s="96"/>
      <c r="N781" s="96"/>
      <c r="O781" s="79"/>
    </row>
    <row r="782" customFormat="false" ht="15" hidden="false" customHeight="false" outlineLevel="0" collapsed="false">
      <c r="A782" s="98"/>
      <c r="B782" s="79"/>
      <c r="C782" s="80" t="str">
        <f aca="false">IF(B782="","",IFERROR(INDEX(الموظفون!$C$6:$C$105,MATCH(B782,الموظفون!$B$6:$B$105,0)),"✖ رقم غير موجود"))</f>
        <v/>
      </c>
      <c r="D782" s="99"/>
      <c r="E782" s="99"/>
      <c r="F782" s="99"/>
      <c r="G782" s="96"/>
      <c r="H782" s="96"/>
      <c r="I782" s="96"/>
      <c r="J782" s="96"/>
      <c r="K782" s="99"/>
      <c r="L782" s="99"/>
      <c r="M782" s="96"/>
      <c r="N782" s="96"/>
      <c r="O782" s="79"/>
    </row>
    <row r="783" customFormat="false" ht="15" hidden="false" customHeight="false" outlineLevel="0" collapsed="false">
      <c r="A783" s="98"/>
      <c r="B783" s="79"/>
      <c r="C783" s="102" t="str">
        <f aca="false">IF(B783="","",IFERROR(INDEX(الموظفون!$C$6:$C$105,MATCH(B783,الموظفون!$B$6:$B$105,0)),"✖ رقم غير موجود"))</f>
        <v/>
      </c>
      <c r="D783" s="99"/>
      <c r="E783" s="99"/>
      <c r="F783" s="99"/>
      <c r="G783" s="96"/>
      <c r="H783" s="96"/>
      <c r="I783" s="96"/>
      <c r="J783" s="96"/>
      <c r="K783" s="99"/>
      <c r="L783" s="99"/>
      <c r="M783" s="96"/>
      <c r="N783" s="96"/>
      <c r="O783" s="79"/>
    </row>
    <row r="784" customFormat="false" ht="15" hidden="false" customHeight="false" outlineLevel="0" collapsed="false">
      <c r="A784" s="98"/>
      <c r="B784" s="79"/>
      <c r="C784" s="80" t="str">
        <f aca="false">IF(B784="","",IFERROR(INDEX(الموظفون!$C$6:$C$105,MATCH(B784,الموظفون!$B$6:$B$105,0)),"✖ رقم غير موجود"))</f>
        <v/>
      </c>
      <c r="D784" s="99"/>
      <c r="E784" s="99"/>
      <c r="F784" s="99"/>
      <c r="G784" s="96"/>
      <c r="H784" s="96"/>
      <c r="I784" s="96"/>
      <c r="J784" s="96"/>
      <c r="K784" s="99"/>
      <c r="L784" s="99"/>
      <c r="M784" s="96"/>
      <c r="N784" s="96"/>
      <c r="O784" s="79"/>
    </row>
    <row r="785" customFormat="false" ht="15" hidden="false" customHeight="false" outlineLevel="0" collapsed="false">
      <c r="A785" s="98"/>
      <c r="B785" s="79"/>
      <c r="C785" s="102" t="str">
        <f aca="false">IF(B785="","",IFERROR(INDEX(الموظفون!$C$6:$C$105,MATCH(B785,الموظفون!$B$6:$B$105,0)),"✖ رقم غير موجود"))</f>
        <v/>
      </c>
      <c r="D785" s="99"/>
      <c r="E785" s="99"/>
      <c r="F785" s="99"/>
      <c r="G785" s="96"/>
      <c r="H785" s="96"/>
      <c r="I785" s="96"/>
      <c r="J785" s="96"/>
      <c r="K785" s="99"/>
      <c r="L785" s="99"/>
      <c r="M785" s="96"/>
      <c r="N785" s="96"/>
      <c r="O785" s="79"/>
    </row>
    <row r="786" customFormat="false" ht="15" hidden="false" customHeight="false" outlineLevel="0" collapsed="false">
      <c r="A786" s="98"/>
      <c r="B786" s="79"/>
      <c r="C786" s="80" t="str">
        <f aca="false">IF(B786="","",IFERROR(INDEX(الموظفون!$C$6:$C$105,MATCH(B786,الموظفون!$B$6:$B$105,0)),"✖ رقم غير موجود"))</f>
        <v/>
      </c>
      <c r="D786" s="99"/>
      <c r="E786" s="99"/>
      <c r="F786" s="99"/>
      <c r="G786" s="96"/>
      <c r="H786" s="96"/>
      <c r="I786" s="96"/>
      <c r="J786" s="96"/>
      <c r="K786" s="99"/>
      <c r="L786" s="99"/>
      <c r="M786" s="96"/>
      <c r="N786" s="96"/>
      <c r="O786" s="79"/>
    </row>
    <row r="787" customFormat="false" ht="15" hidden="false" customHeight="false" outlineLevel="0" collapsed="false">
      <c r="A787" s="98"/>
      <c r="B787" s="79"/>
      <c r="C787" s="102" t="str">
        <f aca="false">IF(B787="","",IFERROR(INDEX(الموظفون!$C$6:$C$105,MATCH(B787,الموظفون!$B$6:$B$105,0)),"✖ رقم غير موجود"))</f>
        <v/>
      </c>
      <c r="D787" s="99"/>
      <c r="E787" s="99"/>
      <c r="F787" s="99"/>
      <c r="G787" s="96"/>
      <c r="H787" s="96"/>
      <c r="I787" s="96"/>
      <c r="J787" s="96"/>
      <c r="K787" s="99"/>
      <c r="L787" s="99"/>
      <c r="M787" s="96"/>
      <c r="N787" s="96"/>
      <c r="O787" s="79"/>
    </row>
    <row r="788" customFormat="false" ht="15" hidden="false" customHeight="false" outlineLevel="0" collapsed="false">
      <c r="A788" s="98"/>
      <c r="B788" s="79"/>
      <c r="C788" s="80" t="str">
        <f aca="false">IF(B788="","",IFERROR(INDEX(الموظفون!$C$6:$C$105,MATCH(B788,الموظفون!$B$6:$B$105,0)),"✖ رقم غير موجود"))</f>
        <v/>
      </c>
      <c r="D788" s="99"/>
      <c r="E788" s="99"/>
      <c r="F788" s="99"/>
      <c r="G788" s="96"/>
      <c r="H788" s="96"/>
      <c r="I788" s="96"/>
      <c r="J788" s="96"/>
      <c r="K788" s="99"/>
      <c r="L788" s="99"/>
      <c r="M788" s="96"/>
      <c r="N788" s="96"/>
      <c r="O788" s="79"/>
    </row>
    <row r="789" customFormat="false" ht="15" hidden="false" customHeight="false" outlineLevel="0" collapsed="false">
      <c r="A789" s="98"/>
      <c r="B789" s="79"/>
      <c r="C789" s="102" t="str">
        <f aca="false">IF(B789="","",IFERROR(INDEX(الموظفون!$C$6:$C$105,MATCH(B789,الموظفون!$B$6:$B$105,0)),"✖ رقم غير موجود"))</f>
        <v/>
      </c>
      <c r="D789" s="99"/>
      <c r="E789" s="99"/>
      <c r="F789" s="99"/>
      <c r="G789" s="96"/>
      <c r="H789" s="96"/>
      <c r="I789" s="96"/>
      <c r="J789" s="96"/>
      <c r="K789" s="99"/>
      <c r="L789" s="99"/>
      <c r="M789" s="96"/>
      <c r="N789" s="96"/>
      <c r="O789" s="79"/>
    </row>
    <row r="790" customFormat="false" ht="15" hidden="false" customHeight="false" outlineLevel="0" collapsed="false">
      <c r="A790" s="98"/>
      <c r="B790" s="79"/>
      <c r="C790" s="80" t="str">
        <f aca="false">IF(B790="","",IFERROR(INDEX(الموظفون!$C$6:$C$105,MATCH(B790,الموظفون!$B$6:$B$105,0)),"✖ رقم غير موجود"))</f>
        <v/>
      </c>
      <c r="D790" s="99"/>
      <c r="E790" s="99"/>
      <c r="F790" s="99"/>
      <c r="G790" s="96"/>
      <c r="H790" s="96"/>
      <c r="I790" s="96"/>
      <c r="J790" s="96"/>
      <c r="K790" s="99"/>
      <c r="L790" s="99"/>
      <c r="M790" s="96"/>
      <c r="N790" s="96"/>
      <c r="O790" s="79"/>
    </row>
    <row r="791" customFormat="false" ht="15" hidden="false" customHeight="false" outlineLevel="0" collapsed="false">
      <c r="A791" s="98"/>
      <c r="B791" s="79"/>
      <c r="C791" s="102" t="str">
        <f aca="false">IF(B791="","",IFERROR(INDEX(الموظفون!$C$6:$C$105,MATCH(B791,الموظفون!$B$6:$B$105,0)),"✖ رقم غير موجود"))</f>
        <v/>
      </c>
      <c r="D791" s="99"/>
      <c r="E791" s="99"/>
      <c r="F791" s="99"/>
      <c r="G791" s="96"/>
      <c r="H791" s="96"/>
      <c r="I791" s="96"/>
      <c r="J791" s="96"/>
      <c r="K791" s="99"/>
      <c r="L791" s="99"/>
      <c r="M791" s="96"/>
      <c r="N791" s="96"/>
      <c r="O791" s="79"/>
    </row>
    <row r="792" customFormat="false" ht="15" hidden="false" customHeight="false" outlineLevel="0" collapsed="false">
      <c r="A792" s="98"/>
      <c r="B792" s="79"/>
      <c r="C792" s="80" t="str">
        <f aca="false">IF(B792="","",IFERROR(INDEX(الموظفون!$C$6:$C$105,MATCH(B792,الموظفون!$B$6:$B$105,0)),"✖ رقم غير موجود"))</f>
        <v/>
      </c>
      <c r="D792" s="99"/>
      <c r="E792" s="99"/>
      <c r="F792" s="99"/>
      <c r="G792" s="96"/>
      <c r="H792" s="96"/>
      <c r="I792" s="96"/>
      <c r="J792" s="96"/>
      <c r="K792" s="99"/>
      <c r="L792" s="99"/>
      <c r="M792" s="96"/>
      <c r="N792" s="96"/>
      <c r="O792" s="79"/>
    </row>
    <row r="793" customFormat="false" ht="15" hidden="false" customHeight="false" outlineLevel="0" collapsed="false">
      <c r="A793" s="98"/>
      <c r="B793" s="79"/>
      <c r="C793" s="102" t="str">
        <f aca="false">IF(B793="","",IFERROR(INDEX(الموظفون!$C$6:$C$105,MATCH(B793,الموظفون!$B$6:$B$105,0)),"✖ رقم غير موجود"))</f>
        <v/>
      </c>
      <c r="D793" s="99"/>
      <c r="E793" s="99"/>
      <c r="F793" s="99"/>
      <c r="G793" s="96"/>
      <c r="H793" s="96"/>
      <c r="I793" s="96"/>
      <c r="J793" s="96"/>
      <c r="K793" s="99"/>
      <c r="L793" s="99"/>
      <c r="M793" s="96"/>
      <c r="N793" s="96"/>
      <c r="O793" s="79"/>
    </row>
    <row r="794" customFormat="false" ht="15" hidden="false" customHeight="false" outlineLevel="0" collapsed="false">
      <c r="A794" s="98"/>
      <c r="B794" s="79"/>
      <c r="C794" s="80" t="str">
        <f aca="false">IF(B794="","",IFERROR(INDEX(الموظفون!$C$6:$C$105,MATCH(B794,الموظفون!$B$6:$B$105,0)),"✖ رقم غير موجود"))</f>
        <v/>
      </c>
      <c r="D794" s="99"/>
      <c r="E794" s="99"/>
      <c r="F794" s="99"/>
      <c r="G794" s="96"/>
      <c r="H794" s="96"/>
      <c r="I794" s="96"/>
      <c r="J794" s="96"/>
      <c r="K794" s="99"/>
      <c r="L794" s="99"/>
      <c r="M794" s="96"/>
      <c r="N794" s="96"/>
      <c r="O794" s="79"/>
    </row>
    <row r="795" customFormat="false" ht="15" hidden="false" customHeight="false" outlineLevel="0" collapsed="false">
      <c r="A795" s="98"/>
      <c r="B795" s="79"/>
      <c r="C795" s="102" t="str">
        <f aca="false">IF(B795="","",IFERROR(INDEX(الموظفون!$C$6:$C$105,MATCH(B795,الموظفون!$B$6:$B$105,0)),"✖ رقم غير موجود"))</f>
        <v/>
      </c>
      <c r="D795" s="99"/>
      <c r="E795" s="99"/>
      <c r="F795" s="99"/>
      <c r="G795" s="96"/>
      <c r="H795" s="96"/>
      <c r="I795" s="96"/>
      <c r="J795" s="96"/>
      <c r="K795" s="99"/>
      <c r="L795" s="99"/>
      <c r="M795" s="96"/>
      <c r="N795" s="96"/>
      <c r="O795" s="79"/>
    </row>
    <row r="796" customFormat="false" ht="15" hidden="false" customHeight="false" outlineLevel="0" collapsed="false">
      <c r="A796" s="98"/>
      <c r="B796" s="79"/>
      <c r="C796" s="80" t="str">
        <f aca="false">IF(B796="","",IFERROR(INDEX(الموظفون!$C$6:$C$105,MATCH(B796,الموظفون!$B$6:$B$105,0)),"✖ رقم غير موجود"))</f>
        <v/>
      </c>
      <c r="D796" s="99"/>
      <c r="E796" s="99"/>
      <c r="F796" s="99"/>
      <c r="G796" s="96"/>
      <c r="H796" s="96"/>
      <c r="I796" s="96"/>
      <c r="J796" s="96"/>
      <c r="K796" s="99"/>
      <c r="L796" s="99"/>
      <c r="M796" s="96"/>
      <c r="N796" s="96"/>
      <c r="O796" s="79"/>
    </row>
    <row r="797" customFormat="false" ht="15" hidden="false" customHeight="false" outlineLevel="0" collapsed="false">
      <c r="A797" s="98"/>
      <c r="B797" s="79"/>
      <c r="C797" s="102" t="str">
        <f aca="false">IF(B797="","",IFERROR(INDEX(الموظفون!$C$6:$C$105,MATCH(B797,الموظفون!$B$6:$B$105,0)),"✖ رقم غير موجود"))</f>
        <v/>
      </c>
      <c r="D797" s="99"/>
      <c r="E797" s="99"/>
      <c r="F797" s="99"/>
      <c r="G797" s="96"/>
      <c r="H797" s="96"/>
      <c r="I797" s="96"/>
      <c r="J797" s="96"/>
      <c r="K797" s="99"/>
      <c r="L797" s="99"/>
      <c r="M797" s="96"/>
      <c r="N797" s="96"/>
      <c r="O797" s="79"/>
    </row>
    <row r="798" customFormat="false" ht="15" hidden="false" customHeight="false" outlineLevel="0" collapsed="false">
      <c r="A798" s="98"/>
      <c r="B798" s="79"/>
      <c r="C798" s="80" t="str">
        <f aca="false">IF(B798="","",IFERROR(INDEX(الموظفون!$C$6:$C$105,MATCH(B798,الموظفون!$B$6:$B$105,0)),"✖ رقم غير موجود"))</f>
        <v/>
      </c>
      <c r="D798" s="99"/>
      <c r="E798" s="99"/>
      <c r="F798" s="99"/>
      <c r="G798" s="96"/>
      <c r="H798" s="96"/>
      <c r="I798" s="96"/>
      <c r="J798" s="96"/>
      <c r="K798" s="99"/>
      <c r="L798" s="99"/>
      <c r="M798" s="96"/>
      <c r="N798" s="96"/>
      <c r="O798" s="79"/>
    </row>
    <row r="799" customFormat="false" ht="15" hidden="false" customHeight="false" outlineLevel="0" collapsed="false">
      <c r="A799" s="98"/>
      <c r="B799" s="79"/>
      <c r="C799" s="102" t="str">
        <f aca="false">IF(B799="","",IFERROR(INDEX(الموظفون!$C$6:$C$105,MATCH(B799,الموظفون!$B$6:$B$105,0)),"✖ رقم غير موجود"))</f>
        <v/>
      </c>
      <c r="D799" s="99"/>
      <c r="E799" s="99"/>
      <c r="F799" s="99"/>
      <c r="G799" s="96"/>
      <c r="H799" s="96"/>
      <c r="I799" s="96"/>
      <c r="J799" s="96"/>
      <c r="K799" s="99"/>
      <c r="L799" s="99"/>
      <c r="M799" s="96"/>
      <c r="N799" s="96"/>
      <c r="O799" s="79"/>
    </row>
    <row r="800" customFormat="false" ht="15" hidden="false" customHeight="false" outlineLevel="0" collapsed="false">
      <c r="A800" s="98"/>
      <c r="B800" s="79"/>
      <c r="C800" s="80" t="str">
        <f aca="false">IF(B800="","",IFERROR(INDEX(الموظفون!$C$6:$C$105,MATCH(B800,الموظفون!$B$6:$B$105,0)),"✖ رقم غير موجود"))</f>
        <v/>
      </c>
      <c r="D800" s="99"/>
      <c r="E800" s="99"/>
      <c r="F800" s="99"/>
      <c r="G800" s="96"/>
      <c r="H800" s="96"/>
      <c r="I800" s="96"/>
      <c r="J800" s="96"/>
      <c r="K800" s="99"/>
      <c r="L800" s="99"/>
      <c r="M800" s="96"/>
      <c r="N800" s="96"/>
      <c r="O800" s="79"/>
    </row>
    <row r="801" customFormat="false" ht="15" hidden="false" customHeight="false" outlineLevel="0" collapsed="false">
      <c r="A801" s="98"/>
      <c r="B801" s="79"/>
      <c r="C801" s="102" t="str">
        <f aca="false">IF(B801="","",IFERROR(INDEX(الموظفون!$C$6:$C$105,MATCH(B801,الموظفون!$B$6:$B$105,0)),"✖ رقم غير موجود"))</f>
        <v/>
      </c>
      <c r="D801" s="99"/>
      <c r="E801" s="99"/>
      <c r="F801" s="99"/>
      <c r="G801" s="96"/>
      <c r="H801" s="96"/>
      <c r="I801" s="96"/>
      <c r="J801" s="96"/>
      <c r="K801" s="99"/>
      <c r="L801" s="99"/>
      <c r="M801" s="96"/>
      <c r="N801" s="96"/>
      <c r="O801" s="79"/>
    </row>
    <row r="802" customFormat="false" ht="15" hidden="false" customHeight="false" outlineLevel="0" collapsed="false">
      <c r="A802" s="98"/>
      <c r="B802" s="79"/>
      <c r="C802" s="80" t="str">
        <f aca="false">IF(B802="","",IFERROR(INDEX(الموظفون!$C$6:$C$105,MATCH(B802,الموظفون!$B$6:$B$105,0)),"✖ رقم غير موجود"))</f>
        <v/>
      </c>
      <c r="D802" s="99"/>
      <c r="E802" s="99"/>
      <c r="F802" s="99"/>
      <c r="G802" s="96"/>
      <c r="H802" s="96"/>
      <c r="I802" s="96"/>
      <c r="J802" s="96"/>
      <c r="K802" s="99"/>
      <c r="L802" s="99"/>
      <c r="M802" s="96"/>
      <c r="N802" s="96"/>
      <c r="O802" s="79"/>
    </row>
    <row r="803" customFormat="false" ht="15" hidden="false" customHeight="false" outlineLevel="0" collapsed="false">
      <c r="A803" s="98"/>
      <c r="B803" s="79"/>
      <c r="C803" s="102" t="str">
        <f aca="false">IF(B803="","",IFERROR(INDEX(الموظفون!$C$6:$C$105,MATCH(B803,الموظفون!$B$6:$B$105,0)),"✖ رقم غير موجود"))</f>
        <v/>
      </c>
      <c r="D803" s="99"/>
      <c r="E803" s="99"/>
      <c r="F803" s="99"/>
      <c r="G803" s="96"/>
      <c r="H803" s="96"/>
      <c r="I803" s="96"/>
      <c r="J803" s="96"/>
      <c r="K803" s="99"/>
      <c r="L803" s="99"/>
      <c r="M803" s="96"/>
      <c r="N803" s="96"/>
      <c r="O803" s="79"/>
    </row>
    <row r="804" customFormat="false" ht="15" hidden="false" customHeight="false" outlineLevel="0" collapsed="false">
      <c r="A804" s="98"/>
      <c r="B804" s="79"/>
      <c r="C804" s="80" t="str">
        <f aca="false">IF(B804="","",IFERROR(INDEX(الموظفون!$C$6:$C$105,MATCH(B804,الموظفون!$B$6:$B$105,0)),"✖ رقم غير موجود"))</f>
        <v/>
      </c>
      <c r="D804" s="99"/>
      <c r="E804" s="99"/>
      <c r="F804" s="99"/>
      <c r="G804" s="96"/>
      <c r="H804" s="96"/>
      <c r="I804" s="96"/>
      <c r="J804" s="96"/>
      <c r="K804" s="99"/>
      <c r="L804" s="99"/>
      <c r="M804" s="96"/>
      <c r="N804" s="96"/>
      <c r="O804" s="79"/>
    </row>
    <row r="805" customFormat="false" ht="15" hidden="false" customHeight="false" outlineLevel="0" collapsed="false">
      <c r="A805" s="98"/>
      <c r="B805" s="79"/>
      <c r="C805" s="102" t="str">
        <f aca="false">IF(B805="","",IFERROR(INDEX(الموظفون!$C$6:$C$105,MATCH(B805,الموظفون!$B$6:$B$105,0)),"✖ رقم غير موجود"))</f>
        <v/>
      </c>
      <c r="D805" s="99"/>
      <c r="E805" s="99"/>
      <c r="F805" s="99"/>
      <c r="G805" s="96"/>
      <c r="H805" s="96"/>
      <c r="I805" s="96"/>
      <c r="J805" s="96"/>
      <c r="K805" s="99"/>
      <c r="L805" s="99"/>
      <c r="M805" s="96"/>
      <c r="N805" s="96"/>
      <c r="O805" s="79"/>
    </row>
    <row r="806" customFormat="false" ht="15" hidden="false" customHeight="false" outlineLevel="0" collapsed="false">
      <c r="A806" s="98"/>
      <c r="B806" s="79"/>
      <c r="C806" s="80" t="str">
        <f aca="false">IF(B806="","",IFERROR(INDEX(الموظفون!$C$6:$C$105,MATCH(B806,الموظفون!$B$6:$B$105,0)),"✖ رقم غير موجود"))</f>
        <v/>
      </c>
      <c r="D806" s="99"/>
      <c r="E806" s="99"/>
      <c r="F806" s="99"/>
      <c r="G806" s="96"/>
      <c r="H806" s="96"/>
      <c r="I806" s="96"/>
      <c r="J806" s="96"/>
      <c r="K806" s="99"/>
      <c r="L806" s="99"/>
      <c r="M806" s="96"/>
      <c r="N806" s="96"/>
      <c r="O806" s="79"/>
    </row>
    <row r="807" customFormat="false" ht="15" hidden="false" customHeight="false" outlineLevel="0" collapsed="false">
      <c r="A807" s="98"/>
      <c r="B807" s="79"/>
      <c r="C807" s="102" t="str">
        <f aca="false">IF(B807="","",IFERROR(INDEX(الموظفون!$C$6:$C$105,MATCH(B807,الموظفون!$B$6:$B$105,0)),"✖ رقم غير موجود"))</f>
        <v/>
      </c>
      <c r="D807" s="99"/>
      <c r="E807" s="99"/>
      <c r="F807" s="99"/>
      <c r="G807" s="96"/>
      <c r="H807" s="96"/>
      <c r="I807" s="96"/>
      <c r="J807" s="96"/>
      <c r="K807" s="99"/>
      <c r="L807" s="99"/>
      <c r="M807" s="96"/>
      <c r="N807" s="96"/>
      <c r="O807" s="79"/>
    </row>
    <row r="808" customFormat="false" ht="15" hidden="false" customHeight="false" outlineLevel="0" collapsed="false">
      <c r="A808" s="98"/>
      <c r="B808" s="79"/>
      <c r="C808" s="80" t="str">
        <f aca="false">IF(B808="","",IFERROR(INDEX(الموظفون!$C$6:$C$105,MATCH(B808,الموظفون!$B$6:$B$105,0)),"✖ رقم غير موجود"))</f>
        <v/>
      </c>
      <c r="D808" s="99"/>
      <c r="E808" s="99"/>
      <c r="F808" s="99"/>
      <c r="G808" s="96"/>
      <c r="H808" s="96"/>
      <c r="I808" s="96"/>
      <c r="J808" s="96"/>
      <c r="K808" s="99"/>
      <c r="L808" s="99"/>
      <c r="M808" s="96"/>
      <c r="N808" s="96"/>
      <c r="O808" s="79"/>
    </row>
    <row r="809" customFormat="false" ht="15" hidden="false" customHeight="false" outlineLevel="0" collapsed="false">
      <c r="A809" s="98"/>
      <c r="B809" s="79"/>
      <c r="C809" s="102" t="str">
        <f aca="false">IF(B809="","",IFERROR(INDEX(الموظفون!$C$6:$C$105,MATCH(B809,الموظفون!$B$6:$B$105,0)),"✖ رقم غير موجود"))</f>
        <v/>
      </c>
      <c r="D809" s="99"/>
      <c r="E809" s="99"/>
      <c r="F809" s="99"/>
      <c r="G809" s="96"/>
      <c r="H809" s="96"/>
      <c r="I809" s="96"/>
      <c r="J809" s="96"/>
      <c r="K809" s="99"/>
      <c r="L809" s="99"/>
      <c r="M809" s="96"/>
      <c r="N809" s="96"/>
      <c r="O809" s="79"/>
    </row>
    <row r="810" customFormat="false" ht="15" hidden="false" customHeight="false" outlineLevel="0" collapsed="false">
      <c r="A810" s="98"/>
      <c r="B810" s="79"/>
      <c r="C810" s="80" t="str">
        <f aca="false">IF(B810="","",IFERROR(INDEX(الموظفون!$C$6:$C$105,MATCH(B810,الموظفون!$B$6:$B$105,0)),"✖ رقم غير موجود"))</f>
        <v/>
      </c>
      <c r="D810" s="99"/>
      <c r="E810" s="99"/>
      <c r="F810" s="99"/>
      <c r="G810" s="96"/>
      <c r="H810" s="96"/>
      <c r="I810" s="96"/>
      <c r="J810" s="96"/>
      <c r="K810" s="99"/>
      <c r="L810" s="99"/>
      <c r="M810" s="96"/>
      <c r="N810" s="96"/>
      <c r="O810" s="79"/>
    </row>
    <row r="811" customFormat="false" ht="15" hidden="false" customHeight="false" outlineLevel="0" collapsed="false">
      <c r="A811" s="98"/>
      <c r="B811" s="79"/>
      <c r="C811" s="102" t="str">
        <f aca="false">IF(B811="","",IFERROR(INDEX(الموظفون!$C$6:$C$105,MATCH(B811,الموظفون!$B$6:$B$105,0)),"✖ رقم غير موجود"))</f>
        <v/>
      </c>
      <c r="D811" s="99"/>
      <c r="E811" s="99"/>
      <c r="F811" s="99"/>
      <c r="G811" s="96"/>
      <c r="H811" s="96"/>
      <c r="I811" s="96"/>
      <c r="J811" s="96"/>
      <c r="K811" s="99"/>
      <c r="L811" s="99"/>
      <c r="M811" s="96"/>
      <c r="N811" s="96"/>
      <c r="O811" s="79"/>
    </row>
    <row r="812" customFormat="false" ht="15" hidden="false" customHeight="false" outlineLevel="0" collapsed="false">
      <c r="A812" s="98"/>
      <c r="B812" s="79"/>
      <c r="C812" s="80" t="str">
        <f aca="false">IF(B812="","",IFERROR(INDEX(الموظفون!$C$6:$C$105,MATCH(B812,الموظفون!$B$6:$B$105,0)),"✖ رقم غير موجود"))</f>
        <v/>
      </c>
      <c r="D812" s="99"/>
      <c r="E812" s="99"/>
      <c r="F812" s="99"/>
      <c r="G812" s="96"/>
      <c r="H812" s="96"/>
      <c r="I812" s="96"/>
      <c r="J812" s="96"/>
      <c r="K812" s="99"/>
      <c r="L812" s="99"/>
      <c r="M812" s="96"/>
      <c r="N812" s="96"/>
      <c r="O812" s="79"/>
    </row>
    <row r="813" customFormat="false" ht="15" hidden="false" customHeight="false" outlineLevel="0" collapsed="false">
      <c r="A813" s="98"/>
      <c r="B813" s="79"/>
      <c r="C813" s="102" t="str">
        <f aca="false">IF(B813="","",IFERROR(INDEX(الموظفون!$C$6:$C$105,MATCH(B813,الموظفون!$B$6:$B$105,0)),"✖ رقم غير موجود"))</f>
        <v/>
      </c>
      <c r="D813" s="99"/>
      <c r="E813" s="99"/>
      <c r="F813" s="99"/>
      <c r="G813" s="96"/>
      <c r="H813" s="96"/>
      <c r="I813" s="96"/>
      <c r="J813" s="96"/>
      <c r="K813" s="99"/>
      <c r="L813" s="99"/>
      <c r="M813" s="96"/>
      <c r="N813" s="96"/>
      <c r="O813" s="79"/>
    </row>
    <row r="814" customFormat="false" ht="15" hidden="false" customHeight="false" outlineLevel="0" collapsed="false">
      <c r="A814" s="98"/>
      <c r="B814" s="79"/>
      <c r="C814" s="80" t="str">
        <f aca="false">IF(B814="","",IFERROR(INDEX(الموظفون!$C$6:$C$105,MATCH(B814,الموظفون!$B$6:$B$105,0)),"✖ رقم غير موجود"))</f>
        <v/>
      </c>
      <c r="D814" s="99"/>
      <c r="E814" s="99"/>
      <c r="F814" s="99"/>
      <c r="G814" s="96"/>
      <c r="H814" s="96"/>
      <c r="I814" s="96"/>
      <c r="J814" s="96"/>
      <c r="K814" s="99"/>
      <c r="L814" s="99"/>
      <c r="M814" s="96"/>
      <c r="N814" s="96"/>
      <c r="O814" s="79"/>
    </row>
    <row r="815" customFormat="false" ht="15" hidden="false" customHeight="false" outlineLevel="0" collapsed="false">
      <c r="A815" s="98"/>
      <c r="B815" s="79"/>
      <c r="C815" s="102" t="str">
        <f aca="false">IF(B815="","",IFERROR(INDEX(الموظفون!$C$6:$C$105,MATCH(B815,الموظفون!$B$6:$B$105,0)),"✖ رقم غير موجود"))</f>
        <v/>
      </c>
      <c r="D815" s="99"/>
      <c r="E815" s="99"/>
      <c r="F815" s="99"/>
      <c r="G815" s="96"/>
      <c r="H815" s="96"/>
      <c r="I815" s="96"/>
      <c r="J815" s="96"/>
      <c r="K815" s="99"/>
      <c r="L815" s="99"/>
      <c r="M815" s="96"/>
      <c r="N815" s="96"/>
      <c r="O815" s="79"/>
    </row>
    <row r="816" customFormat="false" ht="15" hidden="false" customHeight="false" outlineLevel="0" collapsed="false">
      <c r="A816" s="98"/>
      <c r="B816" s="79"/>
      <c r="C816" s="80" t="str">
        <f aca="false">IF(B816="","",IFERROR(INDEX(الموظفون!$C$6:$C$105,MATCH(B816,الموظفون!$B$6:$B$105,0)),"✖ رقم غير موجود"))</f>
        <v/>
      </c>
      <c r="D816" s="99"/>
      <c r="E816" s="99"/>
      <c r="F816" s="99"/>
      <c r="G816" s="96"/>
      <c r="H816" s="96"/>
      <c r="I816" s="96"/>
      <c r="J816" s="96"/>
      <c r="K816" s="99"/>
      <c r="L816" s="99"/>
      <c r="M816" s="96"/>
      <c r="N816" s="96"/>
      <c r="O816" s="79"/>
    </row>
    <row r="817" customFormat="false" ht="15" hidden="false" customHeight="false" outlineLevel="0" collapsed="false">
      <c r="A817" s="98"/>
      <c r="B817" s="79"/>
      <c r="C817" s="102" t="str">
        <f aca="false">IF(B817="","",IFERROR(INDEX(الموظفون!$C$6:$C$105,MATCH(B817,الموظفون!$B$6:$B$105,0)),"✖ رقم غير موجود"))</f>
        <v/>
      </c>
      <c r="D817" s="99"/>
      <c r="E817" s="99"/>
      <c r="F817" s="99"/>
      <c r="G817" s="96"/>
      <c r="H817" s="96"/>
      <c r="I817" s="96"/>
      <c r="J817" s="96"/>
      <c r="K817" s="99"/>
      <c r="L817" s="99"/>
      <c r="M817" s="96"/>
      <c r="N817" s="96"/>
      <c r="O817" s="79"/>
    </row>
    <row r="818" customFormat="false" ht="15" hidden="false" customHeight="false" outlineLevel="0" collapsed="false">
      <c r="A818" s="98"/>
      <c r="B818" s="79"/>
      <c r="C818" s="80" t="str">
        <f aca="false">IF(B818="","",IFERROR(INDEX(الموظفون!$C$6:$C$105,MATCH(B818,الموظفون!$B$6:$B$105,0)),"✖ رقم غير موجود"))</f>
        <v/>
      </c>
      <c r="D818" s="99"/>
      <c r="E818" s="99"/>
      <c r="F818" s="99"/>
      <c r="G818" s="96"/>
      <c r="H818" s="96"/>
      <c r="I818" s="96"/>
      <c r="J818" s="96"/>
      <c r="K818" s="99"/>
      <c r="L818" s="99"/>
      <c r="M818" s="96"/>
      <c r="N818" s="96"/>
      <c r="O818" s="79"/>
    </row>
    <row r="819" customFormat="false" ht="15" hidden="false" customHeight="false" outlineLevel="0" collapsed="false">
      <c r="A819" s="98"/>
      <c r="B819" s="79"/>
      <c r="C819" s="102" t="str">
        <f aca="false">IF(B819="","",IFERROR(INDEX(الموظفون!$C$6:$C$105,MATCH(B819,الموظفون!$B$6:$B$105,0)),"✖ رقم غير موجود"))</f>
        <v/>
      </c>
      <c r="D819" s="99"/>
      <c r="E819" s="99"/>
      <c r="F819" s="99"/>
      <c r="G819" s="96"/>
      <c r="H819" s="96"/>
      <c r="I819" s="96"/>
      <c r="J819" s="96"/>
      <c r="K819" s="99"/>
      <c r="L819" s="99"/>
      <c r="M819" s="96"/>
      <c r="N819" s="96"/>
      <c r="O819" s="79"/>
    </row>
    <row r="820" customFormat="false" ht="15" hidden="false" customHeight="false" outlineLevel="0" collapsed="false">
      <c r="A820" s="98"/>
      <c r="B820" s="79"/>
      <c r="C820" s="80" t="str">
        <f aca="false">IF(B820="","",IFERROR(INDEX(الموظفون!$C$6:$C$105,MATCH(B820,الموظفون!$B$6:$B$105,0)),"✖ رقم غير موجود"))</f>
        <v/>
      </c>
      <c r="D820" s="99"/>
      <c r="E820" s="99"/>
      <c r="F820" s="99"/>
      <c r="G820" s="96"/>
      <c r="H820" s="96"/>
      <c r="I820" s="96"/>
      <c r="J820" s="96"/>
      <c r="K820" s="99"/>
      <c r="L820" s="99"/>
      <c r="M820" s="96"/>
      <c r="N820" s="96"/>
      <c r="O820" s="79"/>
    </row>
    <row r="821" customFormat="false" ht="15" hidden="false" customHeight="false" outlineLevel="0" collapsed="false">
      <c r="A821" s="98"/>
      <c r="B821" s="79"/>
      <c r="C821" s="102" t="str">
        <f aca="false">IF(B821="","",IFERROR(INDEX(الموظفون!$C$6:$C$105,MATCH(B821,الموظفون!$B$6:$B$105,0)),"✖ رقم غير موجود"))</f>
        <v/>
      </c>
      <c r="D821" s="99"/>
      <c r="E821" s="99"/>
      <c r="F821" s="99"/>
      <c r="G821" s="96"/>
      <c r="H821" s="96"/>
      <c r="I821" s="96"/>
      <c r="J821" s="96"/>
      <c r="K821" s="99"/>
      <c r="L821" s="99"/>
      <c r="M821" s="96"/>
      <c r="N821" s="96"/>
      <c r="O821" s="79"/>
    </row>
    <row r="822" customFormat="false" ht="15" hidden="false" customHeight="false" outlineLevel="0" collapsed="false">
      <c r="A822" s="98"/>
      <c r="B822" s="79"/>
      <c r="C822" s="80" t="str">
        <f aca="false">IF(B822="","",IFERROR(INDEX(الموظفون!$C$6:$C$105,MATCH(B822,الموظفون!$B$6:$B$105,0)),"✖ رقم غير موجود"))</f>
        <v/>
      </c>
      <c r="D822" s="99"/>
      <c r="E822" s="99"/>
      <c r="F822" s="99"/>
      <c r="G822" s="96"/>
      <c r="H822" s="96"/>
      <c r="I822" s="96"/>
      <c r="J822" s="96"/>
      <c r="K822" s="99"/>
      <c r="L822" s="99"/>
      <c r="M822" s="96"/>
      <c r="N822" s="96"/>
      <c r="O822" s="79"/>
    </row>
    <row r="823" customFormat="false" ht="15" hidden="false" customHeight="false" outlineLevel="0" collapsed="false">
      <c r="A823" s="98"/>
      <c r="B823" s="79"/>
      <c r="C823" s="102" t="str">
        <f aca="false">IF(B823="","",IFERROR(INDEX(الموظفون!$C$6:$C$105,MATCH(B823,الموظفون!$B$6:$B$105,0)),"✖ رقم غير موجود"))</f>
        <v/>
      </c>
      <c r="D823" s="99"/>
      <c r="E823" s="99"/>
      <c r="F823" s="99"/>
      <c r="G823" s="96"/>
      <c r="H823" s="96"/>
      <c r="I823" s="96"/>
      <c r="J823" s="96"/>
      <c r="K823" s="99"/>
      <c r="L823" s="99"/>
      <c r="M823" s="96"/>
      <c r="N823" s="96"/>
      <c r="O823" s="79"/>
    </row>
    <row r="824" customFormat="false" ht="15" hidden="false" customHeight="false" outlineLevel="0" collapsed="false">
      <c r="A824" s="98"/>
      <c r="B824" s="79"/>
      <c r="C824" s="80" t="str">
        <f aca="false">IF(B824="","",IFERROR(INDEX(الموظفون!$C$6:$C$105,MATCH(B824,الموظفون!$B$6:$B$105,0)),"✖ رقم غير موجود"))</f>
        <v/>
      </c>
      <c r="D824" s="99"/>
      <c r="E824" s="99"/>
      <c r="F824" s="99"/>
      <c r="G824" s="96"/>
      <c r="H824" s="96"/>
      <c r="I824" s="96"/>
      <c r="J824" s="96"/>
      <c r="K824" s="99"/>
      <c r="L824" s="99"/>
      <c r="M824" s="96"/>
      <c r="N824" s="96"/>
      <c r="O824" s="79"/>
    </row>
    <row r="825" customFormat="false" ht="15" hidden="false" customHeight="false" outlineLevel="0" collapsed="false">
      <c r="A825" s="98"/>
      <c r="B825" s="79"/>
      <c r="C825" s="102" t="str">
        <f aca="false">IF(B825="","",IFERROR(INDEX(الموظفون!$C$6:$C$105,MATCH(B825,الموظفون!$B$6:$B$105,0)),"✖ رقم غير موجود"))</f>
        <v/>
      </c>
      <c r="D825" s="99"/>
      <c r="E825" s="99"/>
      <c r="F825" s="99"/>
      <c r="G825" s="96"/>
      <c r="H825" s="96"/>
      <c r="I825" s="96"/>
      <c r="J825" s="96"/>
      <c r="K825" s="99"/>
      <c r="L825" s="99"/>
      <c r="M825" s="96"/>
      <c r="N825" s="96"/>
      <c r="O825" s="79"/>
    </row>
    <row r="826" customFormat="false" ht="15" hidden="false" customHeight="false" outlineLevel="0" collapsed="false">
      <c r="A826" s="98"/>
      <c r="B826" s="79"/>
      <c r="C826" s="80" t="str">
        <f aca="false">IF(B826="","",IFERROR(INDEX(الموظفون!$C$6:$C$105,MATCH(B826,الموظفون!$B$6:$B$105,0)),"✖ رقم غير موجود"))</f>
        <v/>
      </c>
      <c r="D826" s="99"/>
      <c r="E826" s="99"/>
      <c r="F826" s="99"/>
      <c r="G826" s="96"/>
      <c r="H826" s="96"/>
      <c r="I826" s="96"/>
      <c r="J826" s="96"/>
      <c r="K826" s="99"/>
      <c r="L826" s="99"/>
      <c r="M826" s="96"/>
      <c r="N826" s="96"/>
      <c r="O826" s="79"/>
    </row>
    <row r="827" customFormat="false" ht="15" hidden="false" customHeight="false" outlineLevel="0" collapsed="false">
      <c r="A827" s="98"/>
      <c r="B827" s="79"/>
      <c r="C827" s="102" t="str">
        <f aca="false">IF(B827="","",IFERROR(INDEX(الموظفون!$C$6:$C$105,MATCH(B827,الموظفون!$B$6:$B$105,0)),"✖ رقم غير موجود"))</f>
        <v/>
      </c>
      <c r="D827" s="99"/>
      <c r="E827" s="99"/>
      <c r="F827" s="99"/>
      <c r="G827" s="96"/>
      <c r="H827" s="96"/>
      <c r="I827" s="96"/>
      <c r="J827" s="96"/>
      <c r="K827" s="99"/>
      <c r="L827" s="99"/>
      <c r="M827" s="96"/>
      <c r="N827" s="96"/>
      <c r="O827" s="79"/>
    </row>
    <row r="828" customFormat="false" ht="15" hidden="false" customHeight="false" outlineLevel="0" collapsed="false">
      <c r="A828" s="98"/>
      <c r="B828" s="79"/>
      <c r="C828" s="80" t="str">
        <f aca="false">IF(B828="","",IFERROR(INDEX(الموظفون!$C$6:$C$105,MATCH(B828,الموظفون!$B$6:$B$105,0)),"✖ رقم غير موجود"))</f>
        <v/>
      </c>
      <c r="D828" s="99"/>
      <c r="E828" s="99"/>
      <c r="F828" s="99"/>
      <c r="G828" s="96"/>
      <c r="H828" s="96"/>
      <c r="I828" s="96"/>
      <c r="J828" s="96"/>
      <c r="K828" s="99"/>
      <c r="L828" s="99"/>
      <c r="M828" s="96"/>
      <c r="N828" s="96"/>
      <c r="O828" s="79"/>
    </row>
    <row r="829" customFormat="false" ht="15" hidden="false" customHeight="false" outlineLevel="0" collapsed="false">
      <c r="A829" s="98"/>
      <c r="B829" s="79"/>
      <c r="C829" s="102" t="str">
        <f aca="false">IF(B829="","",IFERROR(INDEX(الموظفون!$C$6:$C$105,MATCH(B829,الموظفون!$B$6:$B$105,0)),"✖ رقم غير موجود"))</f>
        <v/>
      </c>
      <c r="D829" s="99"/>
      <c r="E829" s="99"/>
      <c r="F829" s="99"/>
      <c r="G829" s="96"/>
      <c r="H829" s="96"/>
      <c r="I829" s="96"/>
      <c r="J829" s="96"/>
      <c r="K829" s="99"/>
      <c r="L829" s="99"/>
      <c r="M829" s="96"/>
      <c r="N829" s="96"/>
      <c r="O829" s="79"/>
    </row>
    <row r="830" customFormat="false" ht="15" hidden="false" customHeight="false" outlineLevel="0" collapsed="false">
      <c r="A830" s="98"/>
      <c r="B830" s="79"/>
      <c r="C830" s="80" t="str">
        <f aca="false">IF(B830="","",IFERROR(INDEX(الموظفون!$C$6:$C$105,MATCH(B830,الموظفون!$B$6:$B$105,0)),"✖ رقم غير موجود"))</f>
        <v/>
      </c>
      <c r="D830" s="99"/>
      <c r="E830" s="99"/>
      <c r="F830" s="99"/>
      <c r="G830" s="96"/>
      <c r="H830" s="96"/>
      <c r="I830" s="96"/>
      <c r="J830" s="96"/>
      <c r="K830" s="99"/>
      <c r="L830" s="99"/>
      <c r="M830" s="96"/>
      <c r="N830" s="96"/>
      <c r="O830" s="79"/>
    </row>
    <row r="831" customFormat="false" ht="15" hidden="false" customHeight="false" outlineLevel="0" collapsed="false">
      <c r="A831" s="98"/>
      <c r="B831" s="79"/>
      <c r="C831" s="102" t="str">
        <f aca="false">IF(B831="","",IFERROR(INDEX(الموظفون!$C$6:$C$105,MATCH(B831,الموظفون!$B$6:$B$105,0)),"✖ رقم غير موجود"))</f>
        <v/>
      </c>
      <c r="D831" s="99"/>
      <c r="E831" s="99"/>
      <c r="F831" s="99"/>
      <c r="G831" s="96"/>
      <c r="H831" s="96"/>
      <c r="I831" s="96"/>
      <c r="J831" s="96"/>
      <c r="K831" s="99"/>
      <c r="L831" s="99"/>
      <c r="M831" s="96"/>
      <c r="N831" s="96"/>
      <c r="O831" s="79"/>
    </row>
    <row r="832" customFormat="false" ht="15" hidden="false" customHeight="false" outlineLevel="0" collapsed="false">
      <c r="A832" s="98"/>
      <c r="B832" s="79"/>
      <c r="C832" s="80" t="str">
        <f aca="false">IF(B832="","",IFERROR(INDEX(الموظفون!$C$6:$C$105,MATCH(B832,الموظفون!$B$6:$B$105,0)),"✖ رقم غير موجود"))</f>
        <v/>
      </c>
      <c r="D832" s="99"/>
      <c r="E832" s="99"/>
      <c r="F832" s="99"/>
      <c r="G832" s="96"/>
      <c r="H832" s="96"/>
      <c r="I832" s="96"/>
      <c r="J832" s="96"/>
      <c r="K832" s="99"/>
      <c r="L832" s="99"/>
      <c r="M832" s="96"/>
      <c r="N832" s="96"/>
      <c r="O832" s="79"/>
    </row>
    <row r="833" customFormat="false" ht="15" hidden="false" customHeight="false" outlineLevel="0" collapsed="false">
      <c r="A833" s="98"/>
      <c r="B833" s="79"/>
      <c r="C833" s="102" t="str">
        <f aca="false">IF(B833="","",IFERROR(INDEX(الموظفون!$C$6:$C$105,MATCH(B833,الموظفون!$B$6:$B$105,0)),"✖ رقم غير موجود"))</f>
        <v/>
      </c>
      <c r="D833" s="99"/>
      <c r="E833" s="99"/>
      <c r="F833" s="99"/>
      <c r="G833" s="96"/>
      <c r="H833" s="96"/>
      <c r="I833" s="96"/>
      <c r="J833" s="96"/>
      <c r="K833" s="99"/>
      <c r="L833" s="99"/>
      <c r="M833" s="96"/>
      <c r="N833" s="96"/>
      <c r="O833" s="79"/>
    </row>
    <row r="834" customFormat="false" ht="15" hidden="false" customHeight="false" outlineLevel="0" collapsed="false">
      <c r="A834" s="98"/>
      <c r="B834" s="79"/>
      <c r="C834" s="80" t="str">
        <f aca="false">IF(B834="","",IFERROR(INDEX(الموظفون!$C$6:$C$105,MATCH(B834,الموظفون!$B$6:$B$105,0)),"✖ رقم غير موجود"))</f>
        <v/>
      </c>
      <c r="D834" s="99"/>
      <c r="E834" s="99"/>
      <c r="F834" s="99"/>
      <c r="G834" s="96"/>
      <c r="H834" s="96"/>
      <c r="I834" s="96"/>
      <c r="J834" s="96"/>
      <c r="K834" s="99"/>
      <c r="L834" s="99"/>
      <c r="M834" s="96"/>
      <c r="N834" s="96"/>
      <c r="O834" s="79"/>
    </row>
    <row r="835" customFormat="false" ht="15" hidden="false" customHeight="false" outlineLevel="0" collapsed="false">
      <c r="A835" s="98"/>
      <c r="B835" s="79"/>
      <c r="C835" s="102" t="str">
        <f aca="false">IF(B835="","",IFERROR(INDEX(الموظفون!$C$6:$C$105,MATCH(B835,الموظفون!$B$6:$B$105,0)),"✖ رقم غير موجود"))</f>
        <v/>
      </c>
      <c r="D835" s="99"/>
      <c r="E835" s="99"/>
      <c r="F835" s="99"/>
      <c r="G835" s="96"/>
      <c r="H835" s="96"/>
      <c r="I835" s="96"/>
      <c r="J835" s="96"/>
      <c r="K835" s="99"/>
      <c r="L835" s="99"/>
      <c r="M835" s="96"/>
      <c r="N835" s="96"/>
      <c r="O835" s="79"/>
    </row>
    <row r="836" customFormat="false" ht="15" hidden="false" customHeight="false" outlineLevel="0" collapsed="false">
      <c r="A836" s="98"/>
      <c r="B836" s="79"/>
      <c r="C836" s="80" t="str">
        <f aca="false">IF(B836="","",IFERROR(INDEX(الموظفون!$C$6:$C$105,MATCH(B836,الموظفون!$B$6:$B$105,0)),"✖ رقم غير موجود"))</f>
        <v/>
      </c>
      <c r="D836" s="99"/>
      <c r="E836" s="99"/>
      <c r="F836" s="99"/>
      <c r="G836" s="96"/>
      <c r="H836" s="96"/>
      <c r="I836" s="96"/>
      <c r="J836" s="96"/>
      <c r="K836" s="99"/>
      <c r="L836" s="99"/>
      <c r="M836" s="96"/>
      <c r="N836" s="96"/>
      <c r="O836" s="79"/>
    </row>
    <row r="837" customFormat="false" ht="15" hidden="false" customHeight="false" outlineLevel="0" collapsed="false">
      <c r="A837" s="98"/>
      <c r="B837" s="79"/>
      <c r="C837" s="102" t="str">
        <f aca="false">IF(B837="","",IFERROR(INDEX(الموظفون!$C$6:$C$105,MATCH(B837,الموظفون!$B$6:$B$105,0)),"✖ رقم غير موجود"))</f>
        <v/>
      </c>
      <c r="D837" s="99"/>
      <c r="E837" s="99"/>
      <c r="F837" s="99"/>
      <c r="G837" s="96"/>
      <c r="H837" s="96"/>
      <c r="I837" s="96"/>
      <c r="J837" s="96"/>
      <c r="K837" s="99"/>
      <c r="L837" s="99"/>
      <c r="M837" s="96"/>
      <c r="N837" s="96"/>
      <c r="O837" s="79"/>
    </row>
    <row r="838" customFormat="false" ht="15" hidden="false" customHeight="false" outlineLevel="0" collapsed="false">
      <c r="A838" s="98"/>
      <c r="B838" s="79"/>
      <c r="C838" s="80" t="str">
        <f aca="false">IF(B838="","",IFERROR(INDEX(الموظفون!$C$6:$C$105,MATCH(B838,الموظفون!$B$6:$B$105,0)),"✖ رقم غير موجود"))</f>
        <v/>
      </c>
      <c r="D838" s="99"/>
      <c r="E838" s="99"/>
      <c r="F838" s="99"/>
      <c r="G838" s="96"/>
      <c r="H838" s="96"/>
      <c r="I838" s="96"/>
      <c r="J838" s="96"/>
      <c r="K838" s="99"/>
      <c r="L838" s="99"/>
      <c r="M838" s="96"/>
      <c r="N838" s="96"/>
      <c r="O838" s="79"/>
    </row>
    <row r="839" customFormat="false" ht="15" hidden="false" customHeight="false" outlineLevel="0" collapsed="false">
      <c r="A839" s="98"/>
      <c r="B839" s="79"/>
      <c r="C839" s="102" t="str">
        <f aca="false">IF(B839="","",IFERROR(INDEX(الموظفون!$C$6:$C$105,MATCH(B839,الموظفون!$B$6:$B$105,0)),"✖ رقم غير موجود"))</f>
        <v/>
      </c>
      <c r="D839" s="99"/>
      <c r="E839" s="99"/>
      <c r="F839" s="99"/>
      <c r="G839" s="96"/>
      <c r="H839" s="96"/>
      <c r="I839" s="96"/>
      <c r="J839" s="96"/>
      <c r="K839" s="99"/>
      <c r="L839" s="99"/>
      <c r="M839" s="96"/>
      <c r="N839" s="96"/>
      <c r="O839" s="79"/>
    </row>
    <row r="840" customFormat="false" ht="15" hidden="false" customHeight="false" outlineLevel="0" collapsed="false">
      <c r="A840" s="98"/>
      <c r="B840" s="79"/>
      <c r="C840" s="80" t="str">
        <f aca="false">IF(B840="","",IFERROR(INDEX(الموظفون!$C$6:$C$105,MATCH(B840,الموظفون!$B$6:$B$105,0)),"✖ رقم غير موجود"))</f>
        <v/>
      </c>
      <c r="D840" s="99"/>
      <c r="E840" s="99"/>
      <c r="F840" s="99"/>
      <c r="G840" s="96"/>
      <c r="H840" s="96"/>
      <c r="I840" s="96"/>
      <c r="J840" s="96"/>
      <c r="K840" s="99"/>
      <c r="L840" s="99"/>
      <c r="M840" s="96"/>
      <c r="N840" s="96"/>
      <c r="O840" s="79"/>
    </row>
    <row r="841" customFormat="false" ht="15" hidden="false" customHeight="false" outlineLevel="0" collapsed="false">
      <c r="A841" s="98"/>
      <c r="B841" s="79"/>
      <c r="C841" s="102" t="str">
        <f aca="false">IF(B841="","",IFERROR(INDEX(الموظفون!$C$6:$C$105,MATCH(B841,الموظفون!$B$6:$B$105,0)),"✖ رقم غير موجود"))</f>
        <v/>
      </c>
      <c r="D841" s="99"/>
      <c r="E841" s="99"/>
      <c r="F841" s="99"/>
      <c r="G841" s="96"/>
      <c r="H841" s="96"/>
      <c r="I841" s="96"/>
      <c r="J841" s="96"/>
      <c r="K841" s="99"/>
      <c r="L841" s="99"/>
      <c r="M841" s="96"/>
      <c r="N841" s="96"/>
      <c r="O841" s="79"/>
    </row>
    <row r="842" customFormat="false" ht="15" hidden="false" customHeight="false" outlineLevel="0" collapsed="false">
      <c r="A842" s="98"/>
      <c r="B842" s="79"/>
      <c r="C842" s="80" t="str">
        <f aca="false">IF(B842="","",IFERROR(INDEX(الموظفون!$C$6:$C$105,MATCH(B842,الموظفون!$B$6:$B$105,0)),"✖ رقم غير موجود"))</f>
        <v/>
      </c>
      <c r="D842" s="99"/>
      <c r="E842" s="99"/>
      <c r="F842" s="99"/>
      <c r="G842" s="96"/>
      <c r="H842" s="96"/>
      <c r="I842" s="96"/>
      <c r="J842" s="96"/>
      <c r="K842" s="99"/>
      <c r="L842" s="99"/>
      <c r="M842" s="96"/>
      <c r="N842" s="96"/>
      <c r="O842" s="79"/>
    </row>
    <row r="843" customFormat="false" ht="15" hidden="false" customHeight="false" outlineLevel="0" collapsed="false">
      <c r="A843" s="98"/>
      <c r="B843" s="79"/>
      <c r="C843" s="102" t="str">
        <f aca="false">IF(B843="","",IFERROR(INDEX(الموظفون!$C$6:$C$105,MATCH(B843,الموظفون!$B$6:$B$105,0)),"✖ رقم غير موجود"))</f>
        <v/>
      </c>
      <c r="D843" s="99"/>
      <c r="E843" s="99"/>
      <c r="F843" s="99"/>
      <c r="G843" s="96"/>
      <c r="H843" s="96"/>
      <c r="I843" s="96"/>
      <c r="J843" s="96"/>
      <c r="K843" s="99"/>
      <c r="L843" s="99"/>
      <c r="M843" s="96"/>
      <c r="N843" s="96"/>
      <c r="O843" s="79"/>
    </row>
    <row r="844" customFormat="false" ht="15" hidden="false" customHeight="false" outlineLevel="0" collapsed="false">
      <c r="A844" s="98"/>
      <c r="B844" s="79"/>
      <c r="C844" s="80" t="str">
        <f aca="false">IF(B844="","",IFERROR(INDEX(الموظفون!$C$6:$C$105,MATCH(B844,الموظفون!$B$6:$B$105,0)),"✖ رقم غير موجود"))</f>
        <v/>
      </c>
      <c r="D844" s="99"/>
      <c r="E844" s="99"/>
      <c r="F844" s="99"/>
      <c r="G844" s="96"/>
      <c r="H844" s="96"/>
      <c r="I844" s="96"/>
      <c r="J844" s="96"/>
      <c r="K844" s="99"/>
      <c r="L844" s="99"/>
      <c r="M844" s="96"/>
      <c r="N844" s="96"/>
      <c r="O844" s="79"/>
    </row>
    <row r="845" customFormat="false" ht="15" hidden="false" customHeight="false" outlineLevel="0" collapsed="false">
      <c r="A845" s="98"/>
      <c r="B845" s="79"/>
      <c r="C845" s="102" t="str">
        <f aca="false">IF(B845="","",IFERROR(INDEX(الموظفون!$C$6:$C$105,MATCH(B845,الموظفون!$B$6:$B$105,0)),"✖ رقم غير موجود"))</f>
        <v/>
      </c>
      <c r="D845" s="99"/>
      <c r="E845" s="99"/>
      <c r="F845" s="99"/>
      <c r="G845" s="96"/>
      <c r="H845" s="96"/>
      <c r="I845" s="96"/>
      <c r="J845" s="96"/>
      <c r="K845" s="99"/>
      <c r="L845" s="99"/>
      <c r="M845" s="96"/>
      <c r="N845" s="96"/>
      <c r="O845" s="79"/>
    </row>
    <row r="846" customFormat="false" ht="15" hidden="false" customHeight="false" outlineLevel="0" collapsed="false">
      <c r="A846" s="98"/>
      <c r="B846" s="79"/>
      <c r="C846" s="80" t="str">
        <f aca="false">IF(B846="","",IFERROR(INDEX(الموظفون!$C$6:$C$105,MATCH(B846,الموظفون!$B$6:$B$105,0)),"✖ رقم غير موجود"))</f>
        <v/>
      </c>
      <c r="D846" s="99"/>
      <c r="E846" s="99"/>
      <c r="F846" s="99"/>
      <c r="G846" s="96"/>
      <c r="H846" s="96"/>
      <c r="I846" s="96"/>
      <c r="J846" s="96"/>
      <c r="K846" s="99"/>
      <c r="L846" s="99"/>
      <c r="M846" s="96"/>
      <c r="N846" s="96"/>
      <c r="O846" s="79"/>
    </row>
    <row r="847" customFormat="false" ht="15" hidden="false" customHeight="false" outlineLevel="0" collapsed="false">
      <c r="A847" s="98"/>
      <c r="B847" s="79"/>
      <c r="C847" s="102" t="str">
        <f aca="false">IF(B847="","",IFERROR(INDEX(الموظفون!$C$6:$C$105,MATCH(B847,الموظفون!$B$6:$B$105,0)),"✖ رقم غير موجود"))</f>
        <v/>
      </c>
      <c r="D847" s="99"/>
      <c r="E847" s="99"/>
      <c r="F847" s="99"/>
      <c r="G847" s="96"/>
      <c r="H847" s="96"/>
      <c r="I847" s="96"/>
      <c r="J847" s="96"/>
      <c r="K847" s="99"/>
      <c r="L847" s="99"/>
      <c r="M847" s="96"/>
      <c r="N847" s="96"/>
      <c r="O847" s="79"/>
    </row>
    <row r="848" customFormat="false" ht="15" hidden="false" customHeight="false" outlineLevel="0" collapsed="false">
      <c r="A848" s="98"/>
      <c r="B848" s="79"/>
      <c r="C848" s="80" t="str">
        <f aca="false">IF(B848="","",IFERROR(INDEX(الموظفون!$C$6:$C$105,MATCH(B848,الموظفون!$B$6:$B$105,0)),"✖ رقم غير موجود"))</f>
        <v/>
      </c>
      <c r="D848" s="99"/>
      <c r="E848" s="99"/>
      <c r="F848" s="99"/>
      <c r="G848" s="96"/>
      <c r="H848" s="96"/>
      <c r="I848" s="96"/>
      <c r="J848" s="96"/>
      <c r="K848" s="99"/>
      <c r="L848" s="99"/>
      <c r="M848" s="96"/>
      <c r="N848" s="96"/>
      <c r="O848" s="79"/>
    </row>
    <row r="849" customFormat="false" ht="15" hidden="false" customHeight="false" outlineLevel="0" collapsed="false">
      <c r="A849" s="98"/>
      <c r="B849" s="79"/>
      <c r="C849" s="102" t="str">
        <f aca="false">IF(B849="","",IFERROR(INDEX(الموظفون!$C$6:$C$105,MATCH(B849,الموظفون!$B$6:$B$105,0)),"✖ رقم غير موجود"))</f>
        <v/>
      </c>
      <c r="D849" s="99"/>
      <c r="E849" s="99"/>
      <c r="F849" s="99"/>
      <c r="G849" s="96"/>
      <c r="H849" s="96"/>
      <c r="I849" s="96"/>
      <c r="J849" s="96"/>
      <c r="K849" s="99"/>
      <c r="L849" s="99"/>
      <c r="M849" s="96"/>
      <c r="N849" s="96"/>
      <c r="O849" s="79"/>
    </row>
    <row r="850" customFormat="false" ht="15" hidden="false" customHeight="false" outlineLevel="0" collapsed="false">
      <c r="A850" s="98"/>
      <c r="B850" s="79"/>
      <c r="C850" s="80" t="str">
        <f aca="false">IF(B850="","",IFERROR(INDEX(الموظفون!$C$6:$C$105,MATCH(B850,الموظفون!$B$6:$B$105,0)),"✖ رقم غير موجود"))</f>
        <v/>
      </c>
      <c r="D850" s="99"/>
      <c r="E850" s="99"/>
      <c r="F850" s="99"/>
      <c r="G850" s="96"/>
      <c r="H850" s="96"/>
      <c r="I850" s="96"/>
      <c r="J850" s="96"/>
      <c r="K850" s="99"/>
      <c r="L850" s="99"/>
      <c r="M850" s="96"/>
      <c r="N850" s="96"/>
      <c r="O850" s="79"/>
    </row>
    <row r="851" customFormat="false" ht="15" hidden="false" customHeight="false" outlineLevel="0" collapsed="false">
      <c r="A851" s="98"/>
      <c r="B851" s="79"/>
      <c r="C851" s="102" t="str">
        <f aca="false">IF(B851="","",IFERROR(INDEX(الموظفون!$C$6:$C$105,MATCH(B851,الموظفون!$B$6:$B$105,0)),"✖ رقم غير موجود"))</f>
        <v/>
      </c>
      <c r="D851" s="99"/>
      <c r="E851" s="99"/>
      <c r="F851" s="99"/>
      <c r="G851" s="96"/>
      <c r="H851" s="96"/>
      <c r="I851" s="96"/>
      <c r="J851" s="96"/>
      <c r="K851" s="99"/>
      <c r="L851" s="99"/>
      <c r="M851" s="96"/>
      <c r="N851" s="96"/>
      <c r="O851" s="79"/>
    </row>
    <row r="852" customFormat="false" ht="15" hidden="false" customHeight="false" outlineLevel="0" collapsed="false">
      <c r="A852" s="98"/>
      <c r="B852" s="79"/>
      <c r="C852" s="80" t="str">
        <f aca="false">IF(B852="","",IFERROR(INDEX(الموظفون!$C$6:$C$105,MATCH(B852,الموظفون!$B$6:$B$105,0)),"✖ رقم غير موجود"))</f>
        <v/>
      </c>
      <c r="D852" s="99"/>
      <c r="E852" s="99"/>
      <c r="F852" s="99"/>
      <c r="G852" s="96"/>
      <c r="H852" s="96"/>
      <c r="I852" s="96"/>
      <c r="J852" s="96"/>
      <c r="K852" s="99"/>
      <c r="L852" s="99"/>
      <c r="M852" s="96"/>
      <c r="N852" s="96"/>
      <c r="O852" s="79"/>
    </row>
    <row r="853" customFormat="false" ht="15" hidden="false" customHeight="false" outlineLevel="0" collapsed="false">
      <c r="A853" s="98"/>
      <c r="B853" s="79"/>
      <c r="C853" s="102" t="str">
        <f aca="false">IF(B853="","",IFERROR(INDEX(الموظفون!$C$6:$C$105,MATCH(B853,الموظفون!$B$6:$B$105,0)),"✖ رقم غير موجود"))</f>
        <v/>
      </c>
      <c r="D853" s="99"/>
      <c r="E853" s="99"/>
      <c r="F853" s="99"/>
      <c r="G853" s="96"/>
      <c r="H853" s="96"/>
      <c r="I853" s="96"/>
      <c r="J853" s="96"/>
      <c r="K853" s="99"/>
      <c r="L853" s="99"/>
      <c r="M853" s="96"/>
      <c r="N853" s="96"/>
      <c r="O853" s="79"/>
    </row>
    <row r="854" customFormat="false" ht="15" hidden="false" customHeight="false" outlineLevel="0" collapsed="false">
      <c r="A854" s="98"/>
      <c r="B854" s="79"/>
      <c r="C854" s="80" t="str">
        <f aca="false">IF(B854="","",IFERROR(INDEX(الموظفون!$C$6:$C$105,MATCH(B854,الموظفون!$B$6:$B$105,0)),"✖ رقم غير موجود"))</f>
        <v/>
      </c>
      <c r="D854" s="99"/>
      <c r="E854" s="99"/>
      <c r="F854" s="99"/>
      <c r="G854" s="96"/>
      <c r="H854" s="96"/>
      <c r="I854" s="96"/>
      <c r="J854" s="96"/>
      <c r="K854" s="99"/>
      <c r="L854" s="99"/>
      <c r="M854" s="96"/>
      <c r="N854" s="96"/>
      <c r="O854" s="79"/>
    </row>
    <row r="855" customFormat="false" ht="15" hidden="false" customHeight="false" outlineLevel="0" collapsed="false">
      <c r="A855" s="98"/>
      <c r="B855" s="79"/>
      <c r="C855" s="102" t="str">
        <f aca="false">IF(B855="","",IFERROR(INDEX(الموظفون!$C$6:$C$105,MATCH(B855,الموظفون!$B$6:$B$105,0)),"✖ رقم غير موجود"))</f>
        <v/>
      </c>
      <c r="D855" s="99"/>
      <c r="E855" s="99"/>
      <c r="F855" s="99"/>
      <c r="G855" s="96"/>
      <c r="H855" s="96"/>
      <c r="I855" s="96"/>
      <c r="J855" s="96"/>
      <c r="K855" s="99"/>
      <c r="L855" s="99"/>
      <c r="M855" s="96"/>
      <c r="N855" s="96"/>
      <c r="O855" s="79"/>
    </row>
    <row r="856" customFormat="false" ht="15" hidden="false" customHeight="false" outlineLevel="0" collapsed="false">
      <c r="A856" s="98"/>
      <c r="B856" s="79"/>
      <c r="C856" s="80" t="str">
        <f aca="false">IF(B856="","",IFERROR(INDEX(الموظفون!$C$6:$C$105,MATCH(B856,الموظفون!$B$6:$B$105,0)),"✖ رقم غير موجود"))</f>
        <v/>
      </c>
      <c r="D856" s="99"/>
      <c r="E856" s="99"/>
      <c r="F856" s="99"/>
      <c r="G856" s="96"/>
      <c r="H856" s="96"/>
      <c r="I856" s="96"/>
      <c r="J856" s="96"/>
      <c r="K856" s="99"/>
      <c r="L856" s="99"/>
      <c r="M856" s="96"/>
      <c r="N856" s="96"/>
      <c r="O856" s="79"/>
    </row>
    <row r="857" customFormat="false" ht="15" hidden="false" customHeight="false" outlineLevel="0" collapsed="false">
      <c r="A857" s="98"/>
      <c r="B857" s="79"/>
      <c r="C857" s="102" t="str">
        <f aca="false">IF(B857="","",IFERROR(INDEX(الموظفون!$C$6:$C$105,MATCH(B857,الموظفون!$B$6:$B$105,0)),"✖ رقم غير موجود"))</f>
        <v/>
      </c>
      <c r="D857" s="99"/>
      <c r="E857" s="99"/>
      <c r="F857" s="99"/>
      <c r="G857" s="96"/>
      <c r="H857" s="96"/>
      <c r="I857" s="96"/>
      <c r="J857" s="96"/>
      <c r="K857" s="99"/>
      <c r="L857" s="99"/>
      <c r="M857" s="96"/>
      <c r="N857" s="96"/>
      <c r="O857" s="79"/>
    </row>
    <row r="858" customFormat="false" ht="15" hidden="false" customHeight="false" outlineLevel="0" collapsed="false">
      <c r="A858" s="98"/>
      <c r="B858" s="79"/>
      <c r="C858" s="80" t="str">
        <f aca="false">IF(B858="","",IFERROR(INDEX(الموظفون!$C$6:$C$105,MATCH(B858,الموظفون!$B$6:$B$105,0)),"✖ رقم غير موجود"))</f>
        <v/>
      </c>
      <c r="D858" s="99"/>
      <c r="E858" s="99"/>
      <c r="F858" s="99"/>
      <c r="G858" s="96"/>
      <c r="H858" s="96"/>
      <c r="I858" s="96"/>
      <c r="J858" s="96"/>
      <c r="K858" s="99"/>
      <c r="L858" s="99"/>
      <c r="M858" s="96"/>
      <c r="N858" s="96"/>
      <c r="O858" s="79"/>
    </row>
    <row r="859" customFormat="false" ht="15" hidden="false" customHeight="false" outlineLevel="0" collapsed="false">
      <c r="A859" s="98"/>
      <c r="B859" s="79"/>
      <c r="C859" s="102" t="str">
        <f aca="false">IF(B859="","",IFERROR(INDEX(الموظفون!$C$6:$C$105,MATCH(B859,الموظفون!$B$6:$B$105,0)),"✖ رقم غير موجود"))</f>
        <v/>
      </c>
      <c r="D859" s="99"/>
      <c r="E859" s="99"/>
      <c r="F859" s="99"/>
      <c r="G859" s="96"/>
      <c r="H859" s="96"/>
      <c r="I859" s="96"/>
      <c r="J859" s="96"/>
      <c r="K859" s="99"/>
      <c r="L859" s="99"/>
      <c r="M859" s="96"/>
      <c r="N859" s="96"/>
      <c r="O859" s="79"/>
    </row>
    <row r="860" customFormat="false" ht="15" hidden="false" customHeight="false" outlineLevel="0" collapsed="false">
      <c r="A860" s="98"/>
      <c r="B860" s="79"/>
      <c r="C860" s="80" t="str">
        <f aca="false">IF(B860="","",IFERROR(INDEX(الموظفون!$C$6:$C$105,MATCH(B860,الموظفون!$B$6:$B$105,0)),"✖ رقم غير موجود"))</f>
        <v/>
      </c>
      <c r="D860" s="99"/>
      <c r="E860" s="99"/>
      <c r="F860" s="99"/>
      <c r="G860" s="96"/>
      <c r="H860" s="96"/>
      <c r="I860" s="96"/>
      <c r="J860" s="96"/>
      <c r="K860" s="99"/>
      <c r="L860" s="99"/>
      <c r="M860" s="96"/>
      <c r="N860" s="96"/>
      <c r="O860" s="79"/>
    </row>
    <row r="861" customFormat="false" ht="15" hidden="false" customHeight="false" outlineLevel="0" collapsed="false">
      <c r="A861" s="98"/>
      <c r="B861" s="79"/>
      <c r="C861" s="102" t="str">
        <f aca="false">IF(B861="","",IFERROR(INDEX(الموظفون!$C$6:$C$105,MATCH(B861,الموظفون!$B$6:$B$105,0)),"✖ رقم غير موجود"))</f>
        <v/>
      </c>
      <c r="D861" s="99"/>
      <c r="E861" s="99"/>
      <c r="F861" s="99"/>
      <c r="G861" s="96"/>
      <c r="H861" s="96"/>
      <c r="I861" s="96"/>
      <c r="J861" s="96"/>
      <c r="K861" s="99"/>
      <c r="L861" s="99"/>
      <c r="M861" s="96"/>
      <c r="N861" s="96"/>
      <c r="O861" s="79"/>
    </row>
    <row r="862" customFormat="false" ht="15" hidden="false" customHeight="false" outlineLevel="0" collapsed="false">
      <c r="A862" s="98"/>
      <c r="B862" s="79"/>
      <c r="C862" s="80" t="str">
        <f aca="false">IF(B862="","",IFERROR(INDEX(الموظفون!$C$6:$C$105,MATCH(B862,الموظفون!$B$6:$B$105,0)),"✖ رقم غير موجود"))</f>
        <v/>
      </c>
      <c r="D862" s="99"/>
      <c r="E862" s="99"/>
      <c r="F862" s="99"/>
      <c r="G862" s="96"/>
      <c r="H862" s="96"/>
      <c r="I862" s="96"/>
      <c r="J862" s="96"/>
      <c r="K862" s="99"/>
      <c r="L862" s="99"/>
      <c r="M862" s="96"/>
      <c r="N862" s="96"/>
      <c r="O862" s="79"/>
    </row>
    <row r="863" customFormat="false" ht="15" hidden="false" customHeight="false" outlineLevel="0" collapsed="false">
      <c r="A863" s="98"/>
      <c r="B863" s="79"/>
      <c r="C863" s="102" t="str">
        <f aca="false">IF(B863="","",IFERROR(INDEX(الموظفون!$C$6:$C$105,MATCH(B863,الموظفون!$B$6:$B$105,0)),"✖ رقم غير موجود"))</f>
        <v/>
      </c>
      <c r="D863" s="99"/>
      <c r="E863" s="99"/>
      <c r="F863" s="99"/>
      <c r="G863" s="96"/>
      <c r="H863" s="96"/>
      <c r="I863" s="96"/>
      <c r="J863" s="96"/>
      <c r="K863" s="99"/>
      <c r="L863" s="99"/>
      <c r="M863" s="96"/>
      <c r="N863" s="96"/>
      <c r="O863" s="79"/>
    </row>
    <row r="864" customFormat="false" ht="15" hidden="false" customHeight="false" outlineLevel="0" collapsed="false">
      <c r="A864" s="98"/>
      <c r="B864" s="79"/>
      <c r="C864" s="80" t="str">
        <f aca="false">IF(B864="","",IFERROR(INDEX(الموظفون!$C$6:$C$105,MATCH(B864,الموظفون!$B$6:$B$105,0)),"✖ رقم غير موجود"))</f>
        <v/>
      </c>
      <c r="D864" s="99"/>
      <c r="E864" s="99"/>
      <c r="F864" s="99"/>
      <c r="G864" s="96"/>
      <c r="H864" s="96"/>
      <c r="I864" s="96"/>
      <c r="J864" s="96"/>
      <c r="K864" s="99"/>
      <c r="L864" s="99"/>
      <c r="M864" s="96"/>
      <c r="N864" s="96"/>
      <c r="O864" s="79"/>
    </row>
    <row r="865" customFormat="false" ht="15" hidden="false" customHeight="false" outlineLevel="0" collapsed="false">
      <c r="A865" s="98"/>
      <c r="B865" s="79"/>
      <c r="C865" s="102" t="str">
        <f aca="false">IF(B865="","",IFERROR(INDEX(الموظفون!$C$6:$C$105,MATCH(B865,الموظفون!$B$6:$B$105,0)),"✖ رقم غير موجود"))</f>
        <v/>
      </c>
      <c r="D865" s="99"/>
      <c r="E865" s="99"/>
      <c r="F865" s="99"/>
      <c r="G865" s="96"/>
      <c r="H865" s="96"/>
      <c r="I865" s="96"/>
      <c r="J865" s="96"/>
      <c r="K865" s="99"/>
      <c r="L865" s="99"/>
      <c r="M865" s="96"/>
      <c r="N865" s="96"/>
      <c r="O865" s="79"/>
    </row>
    <row r="866" customFormat="false" ht="15" hidden="false" customHeight="false" outlineLevel="0" collapsed="false">
      <c r="A866" s="98"/>
      <c r="B866" s="79"/>
      <c r="C866" s="80" t="str">
        <f aca="false">IF(B866="","",IFERROR(INDEX(الموظفون!$C$6:$C$105,MATCH(B866,الموظفون!$B$6:$B$105,0)),"✖ رقم غير موجود"))</f>
        <v/>
      </c>
      <c r="D866" s="99"/>
      <c r="E866" s="99"/>
      <c r="F866" s="99"/>
      <c r="G866" s="96"/>
      <c r="H866" s="96"/>
      <c r="I866" s="96"/>
      <c r="J866" s="96"/>
      <c r="K866" s="99"/>
      <c r="L866" s="99"/>
      <c r="M866" s="96"/>
      <c r="N866" s="96"/>
      <c r="O866" s="79"/>
    </row>
    <row r="867" customFormat="false" ht="15" hidden="false" customHeight="false" outlineLevel="0" collapsed="false">
      <c r="A867" s="98"/>
      <c r="B867" s="79"/>
      <c r="C867" s="102" t="str">
        <f aca="false">IF(B867="","",IFERROR(INDEX(الموظفون!$C$6:$C$105,MATCH(B867,الموظفون!$B$6:$B$105,0)),"✖ رقم غير موجود"))</f>
        <v/>
      </c>
      <c r="D867" s="99"/>
      <c r="E867" s="99"/>
      <c r="F867" s="99"/>
      <c r="G867" s="96"/>
      <c r="H867" s="96"/>
      <c r="I867" s="96"/>
      <c r="J867" s="96"/>
      <c r="K867" s="99"/>
      <c r="L867" s="99"/>
      <c r="M867" s="96"/>
      <c r="N867" s="96"/>
      <c r="O867" s="79"/>
    </row>
    <row r="868" customFormat="false" ht="15" hidden="false" customHeight="false" outlineLevel="0" collapsed="false">
      <c r="A868" s="98"/>
      <c r="B868" s="79"/>
      <c r="C868" s="80" t="str">
        <f aca="false">IF(B868="","",IFERROR(INDEX(الموظفون!$C$6:$C$105,MATCH(B868,الموظفون!$B$6:$B$105,0)),"✖ رقم غير موجود"))</f>
        <v/>
      </c>
      <c r="D868" s="99"/>
      <c r="E868" s="99"/>
      <c r="F868" s="99"/>
      <c r="G868" s="96"/>
      <c r="H868" s="96"/>
      <c r="I868" s="96"/>
      <c r="J868" s="96"/>
      <c r="K868" s="99"/>
      <c r="L868" s="99"/>
      <c r="M868" s="96"/>
      <c r="N868" s="96"/>
      <c r="O868" s="79"/>
    </row>
    <row r="869" customFormat="false" ht="15" hidden="false" customHeight="false" outlineLevel="0" collapsed="false">
      <c r="A869" s="98"/>
      <c r="B869" s="79"/>
      <c r="C869" s="102" t="str">
        <f aca="false">IF(B869="","",IFERROR(INDEX(الموظفون!$C$6:$C$105,MATCH(B869,الموظفون!$B$6:$B$105,0)),"✖ رقم غير موجود"))</f>
        <v/>
      </c>
      <c r="D869" s="99"/>
      <c r="E869" s="99"/>
      <c r="F869" s="99"/>
      <c r="G869" s="96"/>
      <c r="H869" s="96"/>
      <c r="I869" s="96"/>
      <c r="J869" s="96"/>
      <c r="K869" s="99"/>
      <c r="L869" s="99"/>
      <c r="M869" s="96"/>
      <c r="N869" s="96"/>
      <c r="O869" s="79"/>
    </row>
    <row r="870" customFormat="false" ht="15" hidden="false" customHeight="false" outlineLevel="0" collapsed="false">
      <c r="A870" s="98"/>
      <c r="B870" s="79"/>
      <c r="C870" s="80" t="str">
        <f aca="false">IF(B870="","",IFERROR(INDEX(الموظفون!$C$6:$C$105,MATCH(B870,الموظفون!$B$6:$B$105,0)),"✖ رقم غير موجود"))</f>
        <v/>
      </c>
      <c r="D870" s="99"/>
      <c r="E870" s="99"/>
      <c r="F870" s="99"/>
      <c r="G870" s="96"/>
      <c r="H870" s="96"/>
      <c r="I870" s="96"/>
      <c r="J870" s="96"/>
      <c r="K870" s="99"/>
      <c r="L870" s="99"/>
      <c r="M870" s="96"/>
      <c r="N870" s="96"/>
      <c r="O870" s="79"/>
    </row>
    <row r="871" customFormat="false" ht="15" hidden="false" customHeight="false" outlineLevel="0" collapsed="false">
      <c r="A871" s="98"/>
      <c r="B871" s="79"/>
      <c r="C871" s="102" t="str">
        <f aca="false">IF(B871="","",IFERROR(INDEX(الموظفون!$C$6:$C$105,MATCH(B871,الموظفون!$B$6:$B$105,0)),"✖ رقم غير موجود"))</f>
        <v/>
      </c>
      <c r="D871" s="99"/>
      <c r="E871" s="99"/>
      <c r="F871" s="99"/>
      <c r="G871" s="96"/>
      <c r="H871" s="96"/>
      <c r="I871" s="96"/>
      <c r="J871" s="96"/>
      <c r="K871" s="99"/>
      <c r="L871" s="99"/>
      <c r="M871" s="96"/>
      <c r="N871" s="96"/>
      <c r="O871" s="79"/>
    </row>
    <row r="872" customFormat="false" ht="15" hidden="false" customHeight="false" outlineLevel="0" collapsed="false">
      <c r="A872" s="98"/>
      <c r="B872" s="79"/>
      <c r="C872" s="80" t="str">
        <f aca="false">IF(B872="","",IFERROR(INDEX(الموظفون!$C$6:$C$105,MATCH(B872,الموظفون!$B$6:$B$105,0)),"✖ رقم غير موجود"))</f>
        <v/>
      </c>
      <c r="D872" s="99"/>
      <c r="E872" s="99"/>
      <c r="F872" s="99"/>
      <c r="G872" s="96"/>
      <c r="H872" s="96"/>
      <c r="I872" s="96"/>
      <c r="J872" s="96"/>
      <c r="K872" s="99"/>
      <c r="L872" s="99"/>
      <c r="M872" s="96"/>
      <c r="N872" s="96"/>
      <c r="O872" s="79"/>
    </row>
    <row r="873" customFormat="false" ht="15" hidden="false" customHeight="false" outlineLevel="0" collapsed="false">
      <c r="A873" s="98"/>
      <c r="B873" s="79"/>
      <c r="C873" s="102" t="str">
        <f aca="false">IF(B873="","",IFERROR(INDEX(الموظفون!$C$6:$C$105,MATCH(B873,الموظفون!$B$6:$B$105,0)),"✖ رقم غير موجود"))</f>
        <v/>
      </c>
      <c r="D873" s="99"/>
      <c r="E873" s="99"/>
      <c r="F873" s="99"/>
      <c r="G873" s="96"/>
      <c r="H873" s="96"/>
      <c r="I873" s="96"/>
      <c r="J873" s="96"/>
      <c r="K873" s="99"/>
      <c r="L873" s="99"/>
      <c r="M873" s="96"/>
      <c r="N873" s="96"/>
      <c r="O873" s="79"/>
    </row>
    <row r="874" customFormat="false" ht="15" hidden="false" customHeight="false" outlineLevel="0" collapsed="false">
      <c r="A874" s="98"/>
      <c r="B874" s="79"/>
      <c r="C874" s="80" t="str">
        <f aca="false">IF(B874="","",IFERROR(INDEX(الموظفون!$C$6:$C$105,MATCH(B874,الموظفون!$B$6:$B$105,0)),"✖ رقم غير موجود"))</f>
        <v/>
      </c>
      <c r="D874" s="99"/>
      <c r="E874" s="99"/>
      <c r="F874" s="99"/>
      <c r="G874" s="96"/>
      <c r="H874" s="96"/>
      <c r="I874" s="96"/>
      <c r="J874" s="96"/>
      <c r="K874" s="99"/>
      <c r="L874" s="99"/>
      <c r="M874" s="96"/>
      <c r="N874" s="96"/>
      <c r="O874" s="79"/>
    </row>
    <row r="875" customFormat="false" ht="15" hidden="false" customHeight="false" outlineLevel="0" collapsed="false">
      <c r="A875" s="98"/>
      <c r="B875" s="79"/>
      <c r="C875" s="102" t="str">
        <f aca="false">IF(B875="","",IFERROR(INDEX(الموظفون!$C$6:$C$105,MATCH(B875,الموظفون!$B$6:$B$105,0)),"✖ رقم غير موجود"))</f>
        <v/>
      </c>
      <c r="D875" s="99"/>
      <c r="E875" s="99"/>
      <c r="F875" s="99"/>
      <c r="G875" s="96"/>
      <c r="H875" s="96"/>
      <c r="I875" s="96"/>
      <c r="J875" s="96"/>
      <c r="K875" s="99"/>
      <c r="L875" s="99"/>
      <c r="M875" s="96"/>
      <c r="N875" s="96"/>
      <c r="O875" s="79"/>
    </row>
    <row r="876" customFormat="false" ht="15" hidden="false" customHeight="false" outlineLevel="0" collapsed="false">
      <c r="A876" s="98"/>
      <c r="B876" s="79"/>
      <c r="C876" s="80" t="str">
        <f aca="false">IF(B876="","",IFERROR(INDEX(الموظفون!$C$6:$C$105,MATCH(B876,الموظفون!$B$6:$B$105,0)),"✖ رقم غير موجود"))</f>
        <v/>
      </c>
      <c r="D876" s="99"/>
      <c r="E876" s="99"/>
      <c r="F876" s="99"/>
      <c r="G876" s="96"/>
      <c r="H876" s="96"/>
      <c r="I876" s="96"/>
      <c r="J876" s="96"/>
      <c r="K876" s="99"/>
      <c r="L876" s="99"/>
      <c r="M876" s="96"/>
      <c r="N876" s="96"/>
      <c r="O876" s="79"/>
    </row>
    <row r="877" customFormat="false" ht="15" hidden="false" customHeight="false" outlineLevel="0" collapsed="false">
      <c r="A877" s="98"/>
      <c r="B877" s="79"/>
      <c r="C877" s="102" t="str">
        <f aca="false">IF(B877="","",IFERROR(INDEX(الموظفون!$C$6:$C$105,MATCH(B877,الموظفون!$B$6:$B$105,0)),"✖ رقم غير موجود"))</f>
        <v/>
      </c>
      <c r="D877" s="99"/>
      <c r="E877" s="99"/>
      <c r="F877" s="99"/>
      <c r="G877" s="96"/>
      <c r="H877" s="96"/>
      <c r="I877" s="96"/>
      <c r="J877" s="96"/>
      <c r="K877" s="99"/>
      <c r="L877" s="99"/>
      <c r="M877" s="96"/>
      <c r="N877" s="96"/>
      <c r="O877" s="79"/>
    </row>
    <row r="878" customFormat="false" ht="15" hidden="false" customHeight="false" outlineLevel="0" collapsed="false">
      <c r="A878" s="98"/>
      <c r="B878" s="79"/>
      <c r="C878" s="80" t="str">
        <f aca="false">IF(B878="","",IFERROR(INDEX(الموظفون!$C$6:$C$105,MATCH(B878,الموظفون!$B$6:$B$105,0)),"✖ رقم غير موجود"))</f>
        <v/>
      </c>
      <c r="D878" s="99"/>
      <c r="E878" s="99"/>
      <c r="F878" s="99"/>
      <c r="G878" s="96"/>
      <c r="H878" s="96"/>
      <c r="I878" s="96"/>
      <c r="J878" s="96"/>
      <c r="K878" s="99"/>
      <c r="L878" s="99"/>
      <c r="M878" s="96"/>
      <c r="N878" s="96"/>
      <c r="O878" s="79"/>
    </row>
    <row r="879" customFormat="false" ht="15" hidden="false" customHeight="false" outlineLevel="0" collapsed="false">
      <c r="A879" s="98"/>
      <c r="B879" s="79"/>
      <c r="C879" s="102" t="str">
        <f aca="false">IF(B879="","",IFERROR(INDEX(الموظفون!$C$6:$C$105,MATCH(B879,الموظفون!$B$6:$B$105,0)),"✖ رقم غير موجود"))</f>
        <v/>
      </c>
      <c r="D879" s="99"/>
      <c r="E879" s="99"/>
      <c r="F879" s="99"/>
      <c r="G879" s="96"/>
      <c r="H879" s="96"/>
      <c r="I879" s="96"/>
      <c r="J879" s="96"/>
      <c r="K879" s="99"/>
      <c r="L879" s="99"/>
      <c r="M879" s="96"/>
      <c r="N879" s="96"/>
      <c r="O879" s="79"/>
    </row>
    <row r="880" customFormat="false" ht="15" hidden="false" customHeight="false" outlineLevel="0" collapsed="false">
      <c r="A880" s="98"/>
      <c r="B880" s="79"/>
      <c r="C880" s="80" t="str">
        <f aca="false">IF(B880="","",IFERROR(INDEX(الموظفون!$C$6:$C$105,MATCH(B880,الموظفون!$B$6:$B$105,0)),"✖ رقم غير موجود"))</f>
        <v/>
      </c>
      <c r="D880" s="99"/>
      <c r="E880" s="99"/>
      <c r="F880" s="99"/>
      <c r="G880" s="96"/>
      <c r="H880" s="96"/>
      <c r="I880" s="96"/>
      <c r="J880" s="96"/>
      <c r="K880" s="99"/>
      <c r="L880" s="99"/>
      <c r="M880" s="96"/>
      <c r="N880" s="96"/>
      <c r="O880" s="79"/>
    </row>
    <row r="881" customFormat="false" ht="15" hidden="false" customHeight="false" outlineLevel="0" collapsed="false">
      <c r="A881" s="98"/>
      <c r="B881" s="79"/>
      <c r="C881" s="102" t="str">
        <f aca="false">IF(B881="","",IFERROR(INDEX(الموظفون!$C$6:$C$105,MATCH(B881,الموظفون!$B$6:$B$105,0)),"✖ رقم غير موجود"))</f>
        <v/>
      </c>
      <c r="D881" s="99"/>
      <c r="E881" s="99"/>
      <c r="F881" s="99"/>
      <c r="G881" s="96"/>
      <c r="H881" s="96"/>
      <c r="I881" s="96"/>
      <c r="J881" s="96"/>
      <c r="K881" s="99"/>
      <c r="L881" s="99"/>
      <c r="M881" s="96"/>
      <c r="N881" s="96"/>
      <c r="O881" s="79"/>
    </row>
    <row r="882" customFormat="false" ht="15" hidden="false" customHeight="false" outlineLevel="0" collapsed="false">
      <c r="A882" s="98"/>
      <c r="B882" s="79"/>
      <c r="C882" s="80" t="str">
        <f aca="false">IF(B882="","",IFERROR(INDEX(الموظفون!$C$6:$C$105,MATCH(B882,الموظفون!$B$6:$B$105,0)),"✖ رقم غير موجود"))</f>
        <v/>
      </c>
      <c r="D882" s="99"/>
      <c r="E882" s="99"/>
      <c r="F882" s="99"/>
      <c r="G882" s="96"/>
      <c r="H882" s="96"/>
      <c r="I882" s="96"/>
      <c r="J882" s="96"/>
      <c r="K882" s="99"/>
      <c r="L882" s="99"/>
      <c r="M882" s="96"/>
      <c r="N882" s="96"/>
      <c r="O882" s="79"/>
    </row>
    <row r="883" customFormat="false" ht="15" hidden="false" customHeight="false" outlineLevel="0" collapsed="false">
      <c r="A883" s="98"/>
      <c r="B883" s="79"/>
      <c r="C883" s="102" t="str">
        <f aca="false">IF(B883="","",IFERROR(INDEX(الموظفون!$C$6:$C$105,MATCH(B883,الموظفون!$B$6:$B$105,0)),"✖ رقم غير موجود"))</f>
        <v/>
      </c>
      <c r="D883" s="99"/>
      <c r="E883" s="99"/>
      <c r="F883" s="99"/>
      <c r="G883" s="96"/>
      <c r="H883" s="96"/>
      <c r="I883" s="96"/>
      <c r="J883" s="96"/>
      <c r="K883" s="99"/>
      <c r="L883" s="99"/>
      <c r="M883" s="96"/>
      <c r="N883" s="96"/>
      <c r="O883" s="79"/>
    </row>
    <row r="884" customFormat="false" ht="15" hidden="false" customHeight="false" outlineLevel="0" collapsed="false">
      <c r="A884" s="98"/>
      <c r="B884" s="79"/>
      <c r="C884" s="80" t="str">
        <f aca="false">IF(B884="","",IFERROR(INDEX(الموظفون!$C$6:$C$105,MATCH(B884,الموظفون!$B$6:$B$105,0)),"✖ رقم غير موجود"))</f>
        <v/>
      </c>
      <c r="D884" s="99"/>
      <c r="E884" s="99"/>
      <c r="F884" s="99"/>
      <c r="G884" s="96"/>
      <c r="H884" s="96"/>
      <c r="I884" s="96"/>
      <c r="J884" s="96"/>
      <c r="K884" s="99"/>
      <c r="L884" s="99"/>
      <c r="M884" s="96"/>
      <c r="N884" s="96"/>
      <c r="O884" s="79"/>
    </row>
    <row r="885" customFormat="false" ht="15" hidden="false" customHeight="false" outlineLevel="0" collapsed="false">
      <c r="A885" s="98"/>
      <c r="B885" s="79"/>
      <c r="C885" s="102" t="str">
        <f aca="false">IF(B885="","",IFERROR(INDEX(الموظفون!$C$6:$C$105,MATCH(B885,الموظفون!$B$6:$B$105,0)),"✖ رقم غير موجود"))</f>
        <v/>
      </c>
      <c r="D885" s="99"/>
      <c r="E885" s="99"/>
      <c r="F885" s="99"/>
      <c r="G885" s="96"/>
      <c r="H885" s="96"/>
      <c r="I885" s="96"/>
      <c r="J885" s="96"/>
      <c r="K885" s="99"/>
      <c r="L885" s="99"/>
      <c r="M885" s="96"/>
      <c r="N885" s="96"/>
      <c r="O885" s="79"/>
    </row>
    <row r="886" customFormat="false" ht="15" hidden="false" customHeight="false" outlineLevel="0" collapsed="false">
      <c r="A886" s="98"/>
      <c r="B886" s="79"/>
      <c r="C886" s="80" t="str">
        <f aca="false">IF(B886="","",IFERROR(INDEX(الموظفون!$C$6:$C$105,MATCH(B886,الموظفون!$B$6:$B$105,0)),"✖ رقم غير موجود"))</f>
        <v/>
      </c>
      <c r="D886" s="99"/>
      <c r="E886" s="99"/>
      <c r="F886" s="99"/>
      <c r="G886" s="96"/>
      <c r="H886" s="96"/>
      <c r="I886" s="96"/>
      <c r="J886" s="96"/>
      <c r="K886" s="99"/>
      <c r="L886" s="99"/>
      <c r="M886" s="96"/>
      <c r="N886" s="96"/>
      <c r="O886" s="79"/>
    </row>
    <row r="887" customFormat="false" ht="15" hidden="false" customHeight="false" outlineLevel="0" collapsed="false">
      <c r="A887" s="98"/>
      <c r="B887" s="79"/>
      <c r="C887" s="102" t="str">
        <f aca="false">IF(B887="","",IFERROR(INDEX(الموظفون!$C$6:$C$105,MATCH(B887,الموظفون!$B$6:$B$105,0)),"✖ رقم غير موجود"))</f>
        <v/>
      </c>
      <c r="D887" s="99"/>
      <c r="E887" s="99"/>
      <c r="F887" s="99"/>
      <c r="G887" s="96"/>
      <c r="H887" s="96"/>
      <c r="I887" s="96"/>
      <c r="J887" s="96"/>
      <c r="K887" s="99"/>
      <c r="L887" s="99"/>
      <c r="M887" s="96"/>
      <c r="N887" s="96"/>
      <c r="O887" s="79"/>
    </row>
    <row r="888" customFormat="false" ht="15" hidden="false" customHeight="false" outlineLevel="0" collapsed="false">
      <c r="A888" s="98"/>
      <c r="B888" s="79"/>
      <c r="C888" s="80" t="str">
        <f aca="false">IF(B888="","",IFERROR(INDEX(الموظفون!$C$6:$C$105,MATCH(B888,الموظفون!$B$6:$B$105,0)),"✖ رقم غير موجود"))</f>
        <v/>
      </c>
      <c r="D888" s="99"/>
      <c r="E888" s="99"/>
      <c r="F888" s="99"/>
      <c r="G888" s="96"/>
      <c r="H888" s="96"/>
      <c r="I888" s="96"/>
      <c r="J888" s="96"/>
      <c r="K888" s="99"/>
      <c r="L888" s="99"/>
      <c r="M888" s="96"/>
      <c r="N888" s="96"/>
      <c r="O888" s="79"/>
    </row>
    <row r="889" customFormat="false" ht="15" hidden="false" customHeight="false" outlineLevel="0" collapsed="false">
      <c r="A889" s="98"/>
      <c r="B889" s="79"/>
      <c r="C889" s="102" t="str">
        <f aca="false">IF(B889="","",IFERROR(INDEX(الموظفون!$C$6:$C$105,MATCH(B889,الموظفون!$B$6:$B$105,0)),"✖ رقم غير موجود"))</f>
        <v/>
      </c>
      <c r="D889" s="99"/>
      <c r="E889" s="99"/>
      <c r="F889" s="99"/>
      <c r="G889" s="96"/>
      <c r="H889" s="96"/>
      <c r="I889" s="96"/>
      <c r="J889" s="96"/>
      <c r="K889" s="99"/>
      <c r="L889" s="99"/>
      <c r="M889" s="96"/>
      <c r="N889" s="96"/>
      <c r="O889" s="79"/>
    </row>
    <row r="890" customFormat="false" ht="15" hidden="false" customHeight="false" outlineLevel="0" collapsed="false">
      <c r="A890" s="98"/>
      <c r="B890" s="79"/>
      <c r="C890" s="80" t="str">
        <f aca="false">IF(B890="","",IFERROR(INDEX(الموظفون!$C$6:$C$105,MATCH(B890,الموظفون!$B$6:$B$105,0)),"✖ رقم غير موجود"))</f>
        <v/>
      </c>
      <c r="D890" s="99"/>
      <c r="E890" s="99"/>
      <c r="F890" s="99"/>
      <c r="G890" s="96"/>
      <c r="H890" s="96"/>
      <c r="I890" s="96"/>
      <c r="J890" s="96"/>
      <c r="K890" s="99"/>
      <c r="L890" s="99"/>
      <c r="M890" s="96"/>
      <c r="N890" s="96"/>
      <c r="O890" s="79"/>
    </row>
    <row r="891" customFormat="false" ht="15" hidden="false" customHeight="false" outlineLevel="0" collapsed="false">
      <c r="A891" s="98"/>
      <c r="B891" s="79"/>
      <c r="C891" s="102" t="str">
        <f aca="false">IF(B891="","",IFERROR(INDEX(الموظفون!$C$6:$C$105,MATCH(B891,الموظفون!$B$6:$B$105,0)),"✖ رقم غير موجود"))</f>
        <v/>
      </c>
      <c r="D891" s="99"/>
      <c r="E891" s="99"/>
      <c r="F891" s="99"/>
      <c r="G891" s="96"/>
      <c r="H891" s="96"/>
      <c r="I891" s="96"/>
      <c r="J891" s="96"/>
      <c r="K891" s="99"/>
      <c r="L891" s="99"/>
      <c r="M891" s="96"/>
      <c r="N891" s="96"/>
      <c r="O891" s="79"/>
    </row>
    <row r="892" customFormat="false" ht="15" hidden="false" customHeight="false" outlineLevel="0" collapsed="false">
      <c r="A892" s="98"/>
      <c r="B892" s="79"/>
      <c r="C892" s="80" t="str">
        <f aca="false">IF(B892="","",IFERROR(INDEX(الموظفون!$C$6:$C$105,MATCH(B892,الموظفون!$B$6:$B$105,0)),"✖ رقم غير موجود"))</f>
        <v/>
      </c>
      <c r="D892" s="99"/>
      <c r="E892" s="99"/>
      <c r="F892" s="99"/>
      <c r="G892" s="96"/>
      <c r="H892" s="96"/>
      <c r="I892" s="96"/>
      <c r="J892" s="96"/>
      <c r="K892" s="99"/>
      <c r="L892" s="99"/>
      <c r="M892" s="96"/>
      <c r="N892" s="96"/>
      <c r="O892" s="79"/>
    </row>
    <row r="893" customFormat="false" ht="15" hidden="false" customHeight="false" outlineLevel="0" collapsed="false">
      <c r="A893" s="98"/>
      <c r="B893" s="79"/>
      <c r="C893" s="102" t="str">
        <f aca="false">IF(B893="","",IFERROR(INDEX(الموظفون!$C$6:$C$105,MATCH(B893,الموظفون!$B$6:$B$105,0)),"✖ رقم غير موجود"))</f>
        <v/>
      </c>
      <c r="D893" s="99"/>
      <c r="E893" s="99"/>
      <c r="F893" s="99"/>
      <c r="G893" s="96"/>
      <c r="H893" s="96"/>
      <c r="I893" s="96"/>
      <c r="J893" s="96"/>
      <c r="K893" s="99"/>
      <c r="L893" s="99"/>
      <c r="M893" s="96"/>
      <c r="N893" s="96"/>
      <c r="O893" s="79"/>
    </row>
    <row r="894" customFormat="false" ht="15" hidden="false" customHeight="false" outlineLevel="0" collapsed="false">
      <c r="A894" s="98"/>
      <c r="B894" s="79"/>
      <c r="C894" s="80" t="str">
        <f aca="false">IF(B894="","",IFERROR(INDEX(الموظفون!$C$6:$C$105,MATCH(B894,الموظفون!$B$6:$B$105,0)),"✖ رقم غير موجود"))</f>
        <v/>
      </c>
      <c r="D894" s="99"/>
      <c r="E894" s="99"/>
      <c r="F894" s="99"/>
      <c r="G894" s="96"/>
      <c r="H894" s="96"/>
      <c r="I894" s="96"/>
      <c r="J894" s="96"/>
      <c r="K894" s="99"/>
      <c r="L894" s="99"/>
      <c r="M894" s="96"/>
      <c r="N894" s="96"/>
      <c r="O894" s="79"/>
    </row>
    <row r="895" customFormat="false" ht="15" hidden="false" customHeight="false" outlineLevel="0" collapsed="false">
      <c r="A895" s="98"/>
      <c r="B895" s="79"/>
      <c r="C895" s="102" t="str">
        <f aca="false">IF(B895="","",IFERROR(INDEX(الموظفون!$C$6:$C$105,MATCH(B895,الموظفون!$B$6:$B$105,0)),"✖ رقم غير موجود"))</f>
        <v/>
      </c>
      <c r="D895" s="99"/>
      <c r="E895" s="99"/>
      <c r="F895" s="99"/>
      <c r="G895" s="96"/>
      <c r="H895" s="96"/>
      <c r="I895" s="96"/>
      <c r="J895" s="96"/>
      <c r="K895" s="99"/>
      <c r="L895" s="99"/>
      <c r="M895" s="96"/>
      <c r="N895" s="96"/>
      <c r="O895" s="79"/>
    </row>
    <row r="896" customFormat="false" ht="15" hidden="false" customHeight="false" outlineLevel="0" collapsed="false">
      <c r="A896" s="98"/>
      <c r="B896" s="79"/>
      <c r="C896" s="80" t="str">
        <f aca="false">IF(B896="","",IFERROR(INDEX(الموظفون!$C$6:$C$105,MATCH(B896,الموظفون!$B$6:$B$105,0)),"✖ رقم غير موجود"))</f>
        <v/>
      </c>
      <c r="D896" s="99"/>
      <c r="E896" s="99"/>
      <c r="F896" s="99"/>
      <c r="G896" s="96"/>
      <c r="H896" s="96"/>
      <c r="I896" s="96"/>
      <c r="J896" s="96"/>
      <c r="K896" s="99"/>
      <c r="L896" s="99"/>
      <c r="M896" s="96"/>
      <c r="N896" s="96"/>
      <c r="O896" s="79"/>
    </row>
    <row r="897" customFormat="false" ht="15" hidden="false" customHeight="false" outlineLevel="0" collapsed="false">
      <c r="A897" s="98"/>
      <c r="B897" s="79"/>
      <c r="C897" s="102" t="str">
        <f aca="false">IF(B897="","",IFERROR(INDEX(الموظفون!$C$6:$C$105,MATCH(B897,الموظفون!$B$6:$B$105,0)),"✖ رقم غير موجود"))</f>
        <v/>
      </c>
      <c r="D897" s="99"/>
      <c r="E897" s="99"/>
      <c r="F897" s="99"/>
      <c r="G897" s="96"/>
      <c r="H897" s="96"/>
      <c r="I897" s="96"/>
      <c r="J897" s="96"/>
      <c r="K897" s="99"/>
      <c r="L897" s="99"/>
      <c r="M897" s="96"/>
      <c r="N897" s="96"/>
      <c r="O897" s="79"/>
    </row>
    <row r="898" customFormat="false" ht="15" hidden="false" customHeight="false" outlineLevel="0" collapsed="false">
      <c r="A898" s="98"/>
      <c r="B898" s="79"/>
      <c r="C898" s="80" t="str">
        <f aca="false">IF(B898="","",IFERROR(INDEX(الموظفون!$C$6:$C$105,MATCH(B898,الموظفون!$B$6:$B$105,0)),"✖ رقم غير موجود"))</f>
        <v/>
      </c>
      <c r="D898" s="99"/>
      <c r="E898" s="99"/>
      <c r="F898" s="99"/>
      <c r="G898" s="96"/>
      <c r="H898" s="96"/>
      <c r="I898" s="96"/>
      <c r="J898" s="96"/>
      <c r="K898" s="99"/>
      <c r="L898" s="99"/>
      <c r="M898" s="96"/>
      <c r="N898" s="96"/>
      <c r="O898" s="79"/>
    </row>
    <row r="899" customFormat="false" ht="15" hidden="false" customHeight="false" outlineLevel="0" collapsed="false">
      <c r="A899" s="98"/>
      <c r="B899" s="79"/>
      <c r="C899" s="102" t="str">
        <f aca="false">IF(B899="","",IFERROR(INDEX(الموظفون!$C$6:$C$105,MATCH(B899,الموظفون!$B$6:$B$105,0)),"✖ رقم غير موجود"))</f>
        <v/>
      </c>
      <c r="D899" s="99"/>
      <c r="E899" s="99"/>
      <c r="F899" s="99"/>
      <c r="G899" s="96"/>
      <c r="H899" s="96"/>
      <c r="I899" s="96"/>
      <c r="J899" s="96"/>
      <c r="K899" s="99"/>
      <c r="L899" s="99"/>
      <c r="M899" s="96"/>
      <c r="N899" s="96"/>
      <c r="O899" s="79"/>
    </row>
    <row r="900" customFormat="false" ht="15" hidden="false" customHeight="false" outlineLevel="0" collapsed="false">
      <c r="A900" s="98"/>
      <c r="B900" s="79"/>
      <c r="C900" s="80" t="str">
        <f aca="false">IF(B900="","",IFERROR(INDEX(الموظفون!$C$6:$C$105,MATCH(B900,الموظفون!$B$6:$B$105,0)),"✖ رقم غير موجود"))</f>
        <v/>
      </c>
      <c r="D900" s="99"/>
      <c r="E900" s="99"/>
      <c r="F900" s="99"/>
      <c r="G900" s="96"/>
      <c r="H900" s="96"/>
      <c r="I900" s="96"/>
      <c r="J900" s="96"/>
      <c r="K900" s="99"/>
      <c r="L900" s="99"/>
      <c r="M900" s="96"/>
      <c r="N900" s="96"/>
      <c r="O900" s="79"/>
    </row>
    <row r="901" customFormat="false" ht="15" hidden="false" customHeight="false" outlineLevel="0" collapsed="false">
      <c r="A901" s="98"/>
      <c r="B901" s="79"/>
      <c r="C901" s="102" t="str">
        <f aca="false">IF(B901="","",IFERROR(INDEX(الموظفون!$C$6:$C$105,MATCH(B901,الموظفون!$B$6:$B$105,0)),"✖ رقم غير موجود"))</f>
        <v/>
      </c>
      <c r="D901" s="99"/>
      <c r="E901" s="99"/>
      <c r="F901" s="99"/>
      <c r="G901" s="96"/>
      <c r="H901" s="96"/>
      <c r="I901" s="96"/>
      <c r="J901" s="96"/>
      <c r="K901" s="99"/>
      <c r="L901" s="99"/>
      <c r="M901" s="96"/>
      <c r="N901" s="96"/>
      <c r="O901" s="79"/>
    </row>
    <row r="902" customFormat="false" ht="15" hidden="false" customHeight="false" outlineLevel="0" collapsed="false">
      <c r="A902" s="98"/>
      <c r="B902" s="79"/>
      <c r="C902" s="80" t="str">
        <f aca="false">IF(B902="","",IFERROR(INDEX(الموظفون!$C$6:$C$105,MATCH(B902,الموظفون!$B$6:$B$105,0)),"✖ رقم غير موجود"))</f>
        <v/>
      </c>
      <c r="D902" s="99"/>
      <c r="E902" s="99"/>
      <c r="F902" s="99"/>
      <c r="G902" s="96"/>
      <c r="H902" s="96"/>
      <c r="I902" s="96"/>
      <c r="J902" s="96"/>
      <c r="K902" s="99"/>
      <c r="L902" s="99"/>
      <c r="M902" s="96"/>
      <c r="N902" s="96"/>
      <c r="O902" s="79"/>
    </row>
    <row r="903" customFormat="false" ht="15" hidden="false" customHeight="false" outlineLevel="0" collapsed="false">
      <c r="A903" s="98"/>
      <c r="B903" s="79"/>
      <c r="C903" s="102" t="str">
        <f aca="false">IF(B903="","",IFERROR(INDEX(الموظفون!$C$6:$C$105,MATCH(B903,الموظفون!$B$6:$B$105,0)),"✖ رقم غير موجود"))</f>
        <v/>
      </c>
      <c r="D903" s="99"/>
      <c r="E903" s="99"/>
      <c r="F903" s="99"/>
      <c r="G903" s="96"/>
      <c r="H903" s="96"/>
      <c r="I903" s="96"/>
      <c r="J903" s="96"/>
      <c r="K903" s="99"/>
      <c r="L903" s="99"/>
      <c r="M903" s="96"/>
      <c r="N903" s="96"/>
      <c r="O903" s="79"/>
    </row>
    <row r="904" customFormat="false" ht="15" hidden="false" customHeight="false" outlineLevel="0" collapsed="false">
      <c r="A904" s="98"/>
      <c r="B904" s="79"/>
      <c r="C904" s="80" t="str">
        <f aca="false">IF(B904="","",IFERROR(INDEX(الموظفون!$C$6:$C$105,MATCH(B904,الموظفون!$B$6:$B$105,0)),"✖ رقم غير موجود"))</f>
        <v/>
      </c>
      <c r="D904" s="99"/>
      <c r="E904" s="99"/>
      <c r="F904" s="99"/>
      <c r="G904" s="96"/>
      <c r="H904" s="96"/>
      <c r="I904" s="96"/>
      <c r="J904" s="96"/>
      <c r="K904" s="99"/>
      <c r="L904" s="99"/>
      <c r="M904" s="96"/>
      <c r="N904" s="96"/>
      <c r="O904" s="79"/>
    </row>
    <row r="905" customFormat="false" ht="15" hidden="false" customHeight="false" outlineLevel="0" collapsed="false">
      <c r="A905" s="98"/>
      <c r="B905" s="79"/>
      <c r="C905" s="102" t="str">
        <f aca="false">IF(B905="","",IFERROR(INDEX(الموظفون!$C$6:$C$105,MATCH(B905,الموظفون!$B$6:$B$105,0)),"✖ رقم غير موجود"))</f>
        <v/>
      </c>
      <c r="D905" s="99"/>
      <c r="E905" s="99"/>
      <c r="F905" s="99"/>
      <c r="G905" s="96"/>
      <c r="H905" s="96"/>
      <c r="I905" s="96"/>
      <c r="J905" s="96"/>
      <c r="K905" s="99"/>
      <c r="L905" s="99"/>
      <c r="M905" s="96"/>
      <c r="N905" s="96"/>
      <c r="O905" s="79"/>
    </row>
    <row r="906" customFormat="false" ht="15" hidden="false" customHeight="false" outlineLevel="0" collapsed="false">
      <c r="A906" s="98"/>
      <c r="B906" s="79"/>
      <c r="C906" s="80" t="str">
        <f aca="false">IF(B906="","",IFERROR(INDEX(الموظفون!$C$6:$C$105,MATCH(B906,الموظفون!$B$6:$B$105,0)),"✖ رقم غير موجود"))</f>
        <v/>
      </c>
      <c r="D906" s="99"/>
      <c r="E906" s="99"/>
      <c r="F906" s="99"/>
      <c r="G906" s="96"/>
      <c r="H906" s="96"/>
      <c r="I906" s="96"/>
      <c r="J906" s="96"/>
      <c r="K906" s="99"/>
      <c r="L906" s="99"/>
      <c r="M906" s="96"/>
      <c r="N906" s="96"/>
      <c r="O906" s="79"/>
    </row>
    <row r="907" customFormat="false" ht="15" hidden="false" customHeight="false" outlineLevel="0" collapsed="false">
      <c r="A907" s="98"/>
      <c r="B907" s="79"/>
      <c r="C907" s="102" t="str">
        <f aca="false">IF(B907="","",IFERROR(INDEX(الموظفون!$C$6:$C$105,MATCH(B907,الموظفون!$B$6:$B$105,0)),"✖ رقم غير موجود"))</f>
        <v/>
      </c>
      <c r="D907" s="99"/>
      <c r="E907" s="99"/>
      <c r="F907" s="99"/>
      <c r="G907" s="96"/>
      <c r="H907" s="96"/>
      <c r="I907" s="96"/>
      <c r="J907" s="96"/>
      <c r="K907" s="99"/>
      <c r="L907" s="99"/>
      <c r="M907" s="96"/>
      <c r="N907" s="96"/>
      <c r="O907" s="79"/>
    </row>
    <row r="908" customFormat="false" ht="15" hidden="false" customHeight="false" outlineLevel="0" collapsed="false">
      <c r="A908" s="98"/>
      <c r="B908" s="79"/>
      <c r="C908" s="80" t="str">
        <f aca="false">IF(B908="","",IFERROR(INDEX(الموظفون!$C$6:$C$105,MATCH(B908,الموظفون!$B$6:$B$105,0)),"✖ رقم غير موجود"))</f>
        <v/>
      </c>
      <c r="D908" s="99"/>
      <c r="E908" s="99"/>
      <c r="F908" s="99"/>
      <c r="G908" s="96"/>
      <c r="H908" s="96"/>
      <c r="I908" s="96"/>
      <c r="J908" s="96"/>
      <c r="K908" s="99"/>
      <c r="L908" s="99"/>
      <c r="M908" s="96"/>
      <c r="N908" s="96"/>
      <c r="O908" s="79"/>
    </row>
    <row r="909" customFormat="false" ht="15" hidden="false" customHeight="false" outlineLevel="0" collapsed="false">
      <c r="A909" s="98"/>
      <c r="B909" s="79"/>
      <c r="C909" s="102" t="str">
        <f aca="false">IF(B909="","",IFERROR(INDEX(الموظفون!$C$6:$C$105,MATCH(B909,الموظفون!$B$6:$B$105,0)),"✖ رقم غير موجود"))</f>
        <v/>
      </c>
      <c r="D909" s="99"/>
      <c r="E909" s="99"/>
      <c r="F909" s="99"/>
      <c r="G909" s="96"/>
      <c r="H909" s="96"/>
      <c r="I909" s="96"/>
      <c r="J909" s="96"/>
      <c r="K909" s="99"/>
      <c r="L909" s="99"/>
      <c r="M909" s="96"/>
      <c r="N909" s="96"/>
      <c r="O909" s="79"/>
    </row>
    <row r="910" customFormat="false" ht="15" hidden="false" customHeight="false" outlineLevel="0" collapsed="false">
      <c r="A910" s="98"/>
      <c r="B910" s="79"/>
      <c r="C910" s="80" t="str">
        <f aca="false">IF(B910="","",IFERROR(INDEX(الموظفون!$C$6:$C$105,MATCH(B910,الموظفون!$B$6:$B$105,0)),"✖ رقم غير موجود"))</f>
        <v/>
      </c>
      <c r="D910" s="99"/>
      <c r="E910" s="99"/>
      <c r="F910" s="99"/>
      <c r="G910" s="96"/>
      <c r="H910" s="96"/>
      <c r="I910" s="96"/>
      <c r="J910" s="96"/>
      <c r="K910" s="99"/>
      <c r="L910" s="99"/>
      <c r="M910" s="96"/>
      <c r="N910" s="96"/>
      <c r="O910" s="79"/>
    </row>
    <row r="911" customFormat="false" ht="15" hidden="false" customHeight="false" outlineLevel="0" collapsed="false">
      <c r="A911" s="98"/>
      <c r="B911" s="79"/>
      <c r="C911" s="102" t="str">
        <f aca="false">IF(B911="","",IFERROR(INDEX(الموظفون!$C$6:$C$105,MATCH(B911,الموظفون!$B$6:$B$105,0)),"✖ رقم غير موجود"))</f>
        <v/>
      </c>
      <c r="D911" s="99"/>
      <c r="E911" s="99"/>
      <c r="F911" s="99"/>
      <c r="G911" s="96"/>
      <c r="H911" s="96"/>
      <c r="I911" s="96"/>
      <c r="J911" s="96"/>
      <c r="K911" s="99"/>
      <c r="L911" s="99"/>
      <c r="M911" s="96"/>
      <c r="N911" s="96"/>
      <c r="O911" s="79"/>
    </row>
    <row r="912" customFormat="false" ht="15" hidden="false" customHeight="false" outlineLevel="0" collapsed="false">
      <c r="A912" s="98"/>
      <c r="B912" s="79"/>
      <c r="C912" s="80" t="str">
        <f aca="false">IF(B912="","",IFERROR(INDEX(الموظفون!$C$6:$C$105,MATCH(B912,الموظفون!$B$6:$B$105,0)),"✖ رقم غير موجود"))</f>
        <v/>
      </c>
      <c r="D912" s="99"/>
      <c r="E912" s="99"/>
      <c r="F912" s="99"/>
      <c r="G912" s="96"/>
      <c r="H912" s="96"/>
      <c r="I912" s="96"/>
      <c r="J912" s="96"/>
      <c r="K912" s="99"/>
      <c r="L912" s="99"/>
      <c r="M912" s="96"/>
      <c r="N912" s="96"/>
      <c r="O912" s="79"/>
    </row>
    <row r="913" customFormat="false" ht="15" hidden="false" customHeight="false" outlineLevel="0" collapsed="false">
      <c r="A913" s="98"/>
      <c r="B913" s="79"/>
      <c r="C913" s="102" t="str">
        <f aca="false">IF(B913="","",IFERROR(INDEX(الموظفون!$C$6:$C$105,MATCH(B913,الموظفون!$B$6:$B$105,0)),"✖ رقم غير موجود"))</f>
        <v/>
      </c>
      <c r="D913" s="99"/>
      <c r="E913" s="99"/>
      <c r="F913" s="99"/>
      <c r="G913" s="96"/>
      <c r="H913" s="96"/>
      <c r="I913" s="96"/>
      <c r="J913" s="96"/>
      <c r="K913" s="99"/>
      <c r="L913" s="99"/>
      <c r="M913" s="96"/>
      <c r="N913" s="96"/>
      <c r="O913" s="79"/>
    </row>
    <row r="914" customFormat="false" ht="15" hidden="false" customHeight="false" outlineLevel="0" collapsed="false">
      <c r="A914" s="98"/>
      <c r="B914" s="79"/>
      <c r="C914" s="80" t="str">
        <f aca="false">IF(B914="","",IFERROR(INDEX(الموظفون!$C$6:$C$105,MATCH(B914,الموظفون!$B$6:$B$105,0)),"✖ رقم غير موجود"))</f>
        <v/>
      </c>
      <c r="D914" s="99"/>
      <c r="E914" s="99"/>
      <c r="F914" s="99"/>
      <c r="G914" s="96"/>
      <c r="H914" s="96"/>
      <c r="I914" s="96"/>
      <c r="J914" s="96"/>
      <c r="K914" s="99"/>
      <c r="L914" s="99"/>
      <c r="M914" s="96"/>
      <c r="N914" s="96"/>
      <c r="O914" s="79"/>
    </row>
    <row r="915" customFormat="false" ht="15" hidden="false" customHeight="false" outlineLevel="0" collapsed="false">
      <c r="A915" s="98"/>
      <c r="B915" s="79"/>
      <c r="C915" s="102" t="str">
        <f aca="false">IF(B915="","",IFERROR(INDEX(الموظفون!$C$6:$C$105,MATCH(B915,الموظفون!$B$6:$B$105,0)),"✖ رقم غير موجود"))</f>
        <v/>
      </c>
      <c r="D915" s="99"/>
      <c r="E915" s="99"/>
      <c r="F915" s="99"/>
      <c r="G915" s="96"/>
      <c r="H915" s="96"/>
      <c r="I915" s="96"/>
      <c r="J915" s="96"/>
      <c r="K915" s="99"/>
      <c r="L915" s="99"/>
      <c r="M915" s="96"/>
      <c r="N915" s="96"/>
      <c r="O915" s="79"/>
    </row>
    <row r="916" customFormat="false" ht="15" hidden="false" customHeight="false" outlineLevel="0" collapsed="false">
      <c r="A916" s="98"/>
      <c r="B916" s="79"/>
      <c r="C916" s="80" t="str">
        <f aca="false">IF(B916="","",IFERROR(INDEX(الموظفون!$C$6:$C$105,MATCH(B916,الموظفون!$B$6:$B$105,0)),"✖ رقم غير موجود"))</f>
        <v/>
      </c>
      <c r="D916" s="99"/>
      <c r="E916" s="99"/>
      <c r="F916" s="99"/>
      <c r="G916" s="96"/>
      <c r="H916" s="96"/>
      <c r="I916" s="96"/>
      <c r="J916" s="96"/>
      <c r="K916" s="99"/>
      <c r="L916" s="99"/>
      <c r="M916" s="96"/>
      <c r="N916" s="96"/>
      <c r="O916" s="79"/>
    </row>
    <row r="917" customFormat="false" ht="15" hidden="false" customHeight="false" outlineLevel="0" collapsed="false">
      <c r="A917" s="98"/>
      <c r="B917" s="79"/>
      <c r="C917" s="102" t="str">
        <f aca="false">IF(B917="","",IFERROR(INDEX(الموظفون!$C$6:$C$105,MATCH(B917,الموظفون!$B$6:$B$105,0)),"✖ رقم غير موجود"))</f>
        <v/>
      </c>
      <c r="D917" s="99"/>
      <c r="E917" s="99"/>
      <c r="F917" s="99"/>
      <c r="G917" s="96"/>
      <c r="H917" s="96"/>
      <c r="I917" s="96"/>
      <c r="J917" s="96"/>
      <c r="K917" s="99"/>
      <c r="L917" s="99"/>
      <c r="M917" s="96"/>
      <c r="N917" s="96"/>
      <c r="O917" s="79"/>
    </row>
    <row r="918" customFormat="false" ht="15" hidden="false" customHeight="false" outlineLevel="0" collapsed="false">
      <c r="A918" s="98"/>
      <c r="B918" s="79"/>
      <c r="C918" s="80" t="str">
        <f aca="false">IF(B918="","",IFERROR(INDEX(الموظفون!$C$6:$C$105,MATCH(B918,الموظفون!$B$6:$B$105,0)),"✖ رقم غير موجود"))</f>
        <v/>
      </c>
      <c r="D918" s="99"/>
      <c r="E918" s="99"/>
      <c r="F918" s="99"/>
      <c r="G918" s="96"/>
      <c r="H918" s="96"/>
      <c r="I918" s="96"/>
      <c r="J918" s="96"/>
      <c r="K918" s="99"/>
      <c r="L918" s="99"/>
      <c r="M918" s="96"/>
      <c r="N918" s="96"/>
      <c r="O918" s="79"/>
    </row>
    <row r="919" customFormat="false" ht="15" hidden="false" customHeight="false" outlineLevel="0" collapsed="false">
      <c r="A919" s="98"/>
      <c r="B919" s="79"/>
      <c r="C919" s="102" t="str">
        <f aca="false">IF(B919="","",IFERROR(INDEX(الموظفون!$C$6:$C$105,MATCH(B919,الموظفون!$B$6:$B$105,0)),"✖ رقم غير موجود"))</f>
        <v/>
      </c>
      <c r="D919" s="99"/>
      <c r="E919" s="99"/>
      <c r="F919" s="99"/>
      <c r="G919" s="96"/>
      <c r="H919" s="96"/>
      <c r="I919" s="96"/>
      <c r="J919" s="96"/>
      <c r="K919" s="99"/>
      <c r="L919" s="99"/>
      <c r="M919" s="96"/>
      <c r="N919" s="96"/>
      <c r="O919" s="79"/>
    </row>
    <row r="920" customFormat="false" ht="15" hidden="false" customHeight="false" outlineLevel="0" collapsed="false">
      <c r="A920" s="98"/>
      <c r="B920" s="79"/>
      <c r="C920" s="80" t="str">
        <f aca="false">IF(B920="","",IFERROR(INDEX(الموظفون!$C$6:$C$105,MATCH(B920,الموظفون!$B$6:$B$105,0)),"✖ رقم غير موجود"))</f>
        <v/>
      </c>
      <c r="D920" s="99"/>
      <c r="E920" s="99"/>
      <c r="F920" s="99"/>
      <c r="G920" s="96"/>
      <c r="H920" s="96"/>
      <c r="I920" s="96"/>
      <c r="J920" s="96"/>
      <c r="K920" s="99"/>
      <c r="L920" s="99"/>
      <c r="M920" s="96"/>
      <c r="N920" s="96"/>
      <c r="O920" s="79"/>
    </row>
    <row r="921" customFormat="false" ht="15" hidden="false" customHeight="false" outlineLevel="0" collapsed="false">
      <c r="A921" s="98"/>
      <c r="B921" s="79"/>
      <c r="C921" s="102" t="str">
        <f aca="false">IF(B921="","",IFERROR(INDEX(الموظفون!$C$6:$C$105,MATCH(B921,الموظفون!$B$6:$B$105,0)),"✖ رقم غير موجود"))</f>
        <v/>
      </c>
      <c r="D921" s="99"/>
      <c r="E921" s="99"/>
      <c r="F921" s="99"/>
      <c r="G921" s="96"/>
      <c r="H921" s="96"/>
      <c r="I921" s="96"/>
      <c r="J921" s="96"/>
      <c r="K921" s="99"/>
      <c r="L921" s="99"/>
      <c r="M921" s="96"/>
      <c r="N921" s="96"/>
      <c r="O921" s="79"/>
    </row>
    <row r="922" customFormat="false" ht="15" hidden="false" customHeight="false" outlineLevel="0" collapsed="false">
      <c r="A922" s="98"/>
      <c r="B922" s="79"/>
      <c r="C922" s="80" t="str">
        <f aca="false">IF(B922="","",IFERROR(INDEX(الموظفون!$C$6:$C$105,MATCH(B922,الموظفون!$B$6:$B$105,0)),"✖ رقم غير موجود"))</f>
        <v/>
      </c>
      <c r="D922" s="99"/>
      <c r="E922" s="99"/>
      <c r="F922" s="99"/>
      <c r="G922" s="96"/>
      <c r="H922" s="96"/>
      <c r="I922" s="96"/>
      <c r="J922" s="96"/>
      <c r="K922" s="99"/>
      <c r="L922" s="99"/>
      <c r="M922" s="96"/>
      <c r="N922" s="96"/>
      <c r="O922" s="79"/>
    </row>
    <row r="923" customFormat="false" ht="15" hidden="false" customHeight="false" outlineLevel="0" collapsed="false">
      <c r="A923" s="98"/>
      <c r="B923" s="79"/>
      <c r="C923" s="102" t="str">
        <f aca="false">IF(B923="","",IFERROR(INDEX(الموظفون!$C$6:$C$105,MATCH(B923,الموظفون!$B$6:$B$105,0)),"✖ رقم غير موجود"))</f>
        <v/>
      </c>
      <c r="D923" s="99"/>
      <c r="E923" s="99"/>
      <c r="F923" s="99"/>
      <c r="G923" s="96"/>
      <c r="H923" s="96"/>
      <c r="I923" s="96"/>
      <c r="J923" s="96"/>
      <c r="K923" s="99"/>
      <c r="L923" s="99"/>
      <c r="M923" s="96"/>
      <c r="N923" s="96"/>
      <c r="O923" s="79"/>
    </row>
    <row r="924" customFormat="false" ht="15" hidden="false" customHeight="false" outlineLevel="0" collapsed="false">
      <c r="A924" s="98"/>
      <c r="B924" s="79"/>
      <c r="C924" s="80" t="str">
        <f aca="false">IF(B924="","",IFERROR(INDEX(الموظفون!$C$6:$C$105,MATCH(B924,الموظفون!$B$6:$B$105,0)),"✖ رقم غير موجود"))</f>
        <v/>
      </c>
      <c r="D924" s="99"/>
      <c r="E924" s="99"/>
      <c r="F924" s="99"/>
      <c r="G924" s="96"/>
      <c r="H924" s="96"/>
      <c r="I924" s="96"/>
      <c r="J924" s="96"/>
      <c r="K924" s="99"/>
      <c r="L924" s="99"/>
      <c r="M924" s="96"/>
      <c r="N924" s="96"/>
      <c r="O924" s="79"/>
    </row>
    <row r="925" customFormat="false" ht="15" hidden="false" customHeight="false" outlineLevel="0" collapsed="false">
      <c r="A925" s="98"/>
      <c r="B925" s="79"/>
      <c r="C925" s="102" t="str">
        <f aca="false">IF(B925="","",IFERROR(INDEX(الموظفون!$C$6:$C$105,MATCH(B925,الموظفون!$B$6:$B$105,0)),"✖ رقم غير موجود"))</f>
        <v/>
      </c>
      <c r="D925" s="99"/>
      <c r="E925" s="99"/>
      <c r="F925" s="99"/>
      <c r="G925" s="96"/>
      <c r="H925" s="96"/>
      <c r="I925" s="96"/>
      <c r="J925" s="96"/>
      <c r="K925" s="99"/>
      <c r="L925" s="99"/>
      <c r="M925" s="96"/>
      <c r="N925" s="96"/>
      <c r="O925" s="79"/>
    </row>
    <row r="926" customFormat="false" ht="15" hidden="false" customHeight="false" outlineLevel="0" collapsed="false">
      <c r="A926" s="98"/>
      <c r="B926" s="79"/>
      <c r="C926" s="80" t="str">
        <f aca="false">IF(B926="","",IFERROR(INDEX(الموظفون!$C$6:$C$105,MATCH(B926,الموظفون!$B$6:$B$105,0)),"✖ رقم غير موجود"))</f>
        <v/>
      </c>
      <c r="D926" s="99"/>
      <c r="E926" s="99"/>
      <c r="F926" s="99"/>
      <c r="G926" s="96"/>
      <c r="H926" s="96"/>
      <c r="I926" s="96"/>
      <c r="J926" s="96"/>
      <c r="K926" s="99"/>
      <c r="L926" s="99"/>
      <c r="M926" s="96"/>
      <c r="N926" s="96"/>
      <c r="O926" s="79"/>
    </row>
    <row r="927" customFormat="false" ht="15" hidden="false" customHeight="false" outlineLevel="0" collapsed="false">
      <c r="A927" s="98"/>
      <c r="B927" s="79"/>
      <c r="C927" s="102" t="str">
        <f aca="false">IF(B927="","",IFERROR(INDEX(الموظفون!$C$6:$C$105,MATCH(B927,الموظفون!$B$6:$B$105,0)),"✖ رقم غير موجود"))</f>
        <v/>
      </c>
      <c r="D927" s="99"/>
      <c r="E927" s="99"/>
      <c r="F927" s="99"/>
      <c r="G927" s="96"/>
      <c r="H927" s="96"/>
      <c r="I927" s="96"/>
      <c r="J927" s="96"/>
      <c r="K927" s="99"/>
      <c r="L927" s="99"/>
      <c r="M927" s="96"/>
      <c r="N927" s="96"/>
      <c r="O927" s="79"/>
    </row>
    <row r="928" customFormat="false" ht="15" hidden="false" customHeight="false" outlineLevel="0" collapsed="false">
      <c r="A928" s="98"/>
      <c r="B928" s="79"/>
      <c r="C928" s="80" t="str">
        <f aca="false">IF(B928="","",IFERROR(INDEX(الموظفون!$C$6:$C$105,MATCH(B928,الموظفون!$B$6:$B$105,0)),"✖ رقم غير موجود"))</f>
        <v/>
      </c>
      <c r="D928" s="99"/>
      <c r="E928" s="99"/>
      <c r="F928" s="99"/>
      <c r="G928" s="96"/>
      <c r="H928" s="96"/>
      <c r="I928" s="96"/>
      <c r="J928" s="96"/>
      <c r="K928" s="99"/>
      <c r="L928" s="99"/>
      <c r="M928" s="96"/>
      <c r="N928" s="96"/>
      <c r="O928" s="79"/>
    </row>
    <row r="929" customFormat="false" ht="15" hidden="false" customHeight="false" outlineLevel="0" collapsed="false">
      <c r="A929" s="98"/>
      <c r="B929" s="79"/>
      <c r="C929" s="102" t="str">
        <f aca="false">IF(B929="","",IFERROR(INDEX(الموظفون!$C$6:$C$105,MATCH(B929,الموظفون!$B$6:$B$105,0)),"✖ رقم غير موجود"))</f>
        <v/>
      </c>
      <c r="D929" s="99"/>
      <c r="E929" s="99"/>
      <c r="F929" s="99"/>
      <c r="G929" s="96"/>
      <c r="H929" s="96"/>
      <c r="I929" s="96"/>
      <c r="J929" s="96"/>
      <c r="K929" s="99"/>
      <c r="L929" s="99"/>
      <c r="M929" s="96"/>
      <c r="N929" s="96"/>
      <c r="O929" s="79"/>
    </row>
    <row r="930" customFormat="false" ht="15" hidden="false" customHeight="false" outlineLevel="0" collapsed="false">
      <c r="A930" s="98"/>
      <c r="B930" s="79"/>
      <c r="C930" s="80" t="str">
        <f aca="false">IF(B930="","",IFERROR(INDEX(الموظفون!$C$6:$C$105,MATCH(B930,الموظفون!$B$6:$B$105,0)),"✖ رقم غير موجود"))</f>
        <v/>
      </c>
      <c r="D930" s="99"/>
      <c r="E930" s="99"/>
      <c r="F930" s="99"/>
      <c r="G930" s="96"/>
      <c r="H930" s="96"/>
      <c r="I930" s="96"/>
      <c r="J930" s="96"/>
      <c r="K930" s="99"/>
      <c r="L930" s="99"/>
      <c r="M930" s="96"/>
      <c r="N930" s="96"/>
      <c r="O930" s="79"/>
    </row>
    <row r="931" customFormat="false" ht="15" hidden="false" customHeight="false" outlineLevel="0" collapsed="false">
      <c r="A931" s="98"/>
      <c r="B931" s="79"/>
      <c r="C931" s="102" t="str">
        <f aca="false">IF(B931="","",IFERROR(INDEX(الموظفون!$C$6:$C$105,MATCH(B931,الموظفون!$B$6:$B$105,0)),"✖ رقم غير موجود"))</f>
        <v/>
      </c>
      <c r="D931" s="99"/>
      <c r="E931" s="99"/>
      <c r="F931" s="99"/>
      <c r="G931" s="96"/>
      <c r="H931" s="96"/>
      <c r="I931" s="96"/>
      <c r="J931" s="96"/>
      <c r="K931" s="99"/>
      <c r="L931" s="99"/>
      <c r="M931" s="96"/>
      <c r="N931" s="96"/>
      <c r="O931" s="79"/>
    </row>
    <row r="932" customFormat="false" ht="15" hidden="false" customHeight="false" outlineLevel="0" collapsed="false">
      <c r="A932" s="98"/>
      <c r="B932" s="79"/>
      <c r="C932" s="80" t="str">
        <f aca="false">IF(B932="","",IFERROR(INDEX(الموظفون!$C$6:$C$105,MATCH(B932,الموظفون!$B$6:$B$105,0)),"✖ رقم غير موجود"))</f>
        <v/>
      </c>
      <c r="D932" s="99"/>
      <c r="E932" s="99"/>
      <c r="F932" s="99"/>
      <c r="G932" s="96"/>
      <c r="H932" s="96"/>
      <c r="I932" s="96"/>
      <c r="J932" s="96"/>
      <c r="K932" s="99"/>
      <c r="L932" s="99"/>
      <c r="M932" s="96"/>
      <c r="N932" s="96"/>
      <c r="O932" s="79"/>
    </row>
    <row r="933" customFormat="false" ht="15" hidden="false" customHeight="false" outlineLevel="0" collapsed="false">
      <c r="A933" s="98"/>
      <c r="B933" s="79"/>
      <c r="C933" s="102" t="str">
        <f aca="false">IF(B933="","",IFERROR(INDEX(الموظفون!$C$6:$C$105,MATCH(B933,الموظفون!$B$6:$B$105,0)),"✖ رقم غير موجود"))</f>
        <v/>
      </c>
      <c r="D933" s="99"/>
      <c r="E933" s="99"/>
      <c r="F933" s="99"/>
      <c r="G933" s="96"/>
      <c r="H933" s="96"/>
      <c r="I933" s="96"/>
      <c r="J933" s="96"/>
      <c r="K933" s="99"/>
      <c r="L933" s="99"/>
      <c r="M933" s="96"/>
      <c r="N933" s="96"/>
      <c r="O933" s="79"/>
    </row>
    <row r="934" customFormat="false" ht="15" hidden="false" customHeight="false" outlineLevel="0" collapsed="false">
      <c r="A934" s="98"/>
      <c r="B934" s="79"/>
      <c r="C934" s="80" t="str">
        <f aca="false">IF(B934="","",IFERROR(INDEX(الموظفون!$C$6:$C$105,MATCH(B934,الموظفون!$B$6:$B$105,0)),"✖ رقم غير موجود"))</f>
        <v/>
      </c>
      <c r="D934" s="99"/>
      <c r="E934" s="99"/>
      <c r="F934" s="99"/>
      <c r="G934" s="96"/>
      <c r="H934" s="96"/>
      <c r="I934" s="96"/>
      <c r="J934" s="96"/>
      <c r="K934" s="99"/>
      <c r="L934" s="99"/>
      <c r="M934" s="96"/>
      <c r="N934" s="96"/>
      <c r="O934" s="79"/>
    </row>
    <row r="935" customFormat="false" ht="15" hidden="false" customHeight="false" outlineLevel="0" collapsed="false">
      <c r="A935" s="98"/>
      <c r="B935" s="79"/>
      <c r="C935" s="102" t="str">
        <f aca="false">IF(B935="","",IFERROR(INDEX(الموظفون!$C$6:$C$105,MATCH(B935,الموظفون!$B$6:$B$105,0)),"✖ رقم غير موجود"))</f>
        <v/>
      </c>
      <c r="D935" s="99"/>
      <c r="E935" s="99"/>
      <c r="F935" s="99"/>
      <c r="G935" s="96"/>
      <c r="H935" s="96"/>
      <c r="I935" s="96"/>
      <c r="J935" s="96"/>
      <c r="K935" s="99"/>
      <c r="L935" s="99"/>
      <c r="M935" s="96"/>
      <c r="N935" s="96"/>
      <c r="O935" s="79"/>
    </row>
    <row r="936" customFormat="false" ht="15" hidden="false" customHeight="false" outlineLevel="0" collapsed="false">
      <c r="A936" s="98"/>
      <c r="B936" s="79"/>
      <c r="C936" s="80" t="str">
        <f aca="false">IF(B936="","",IFERROR(INDEX(الموظفون!$C$6:$C$105,MATCH(B936,الموظفون!$B$6:$B$105,0)),"✖ رقم غير موجود"))</f>
        <v/>
      </c>
      <c r="D936" s="99"/>
      <c r="E936" s="99"/>
      <c r="F936" s="99"/>
      <c r="G936" s="96"/>
      <c r="H936" s="96"/>
      <c r="I936" s="96"/>
      <c r="J936" s="96"/>
      <c r="K936" s="99"/>
      <c r="L936" s="99"/>
      <c r="M936" s="96"/>
      <c r="N936" s="96"/>
      <c r="O936" s="79"/>
    </row>
    <row r="937" customFormat="false" ht="15" hidden="false" customHeight="false" outlineLevel="0" collapsed="false">
      <c r="A937" s="98"/>
      <c r="B937" s="79"/>
      <c r="C937" s="102" t="str">
        <f aca="false">IF(B937="","",IFERROR(INDEX(الموظفون!$C$6:$C$105,MATCH(B937,الموظفون!$B$6:$B$105,0)),"✖ رقم غير موجود"))</f>
        <v/>
      </c>
      <c r="D937" s="99"/>
      <c r="E937" s="99"/>
      <c r="F937" s="99"/>
      <c r="G937" s="96"/>
      <c r="H937" s="96"/>
      <c r="I937" s="96"/>
      <c r="J937" s="96"/>
      <c r="K937" s="99"/>
      <c r="L937" s="99"/>
      <c r="M937" s="96"/>
      <c r="N937" s="96"/>
      <c r="O937" s="79"/>
    </row>
    <row r="938" customFormat="false" ht="15" hidden="false" customHeight="false" outlineLevel="0" collapsed="false">
      <c r="A938" s="98"/>
      <c r="B938" s="79"/>
      <c r="C938" s="80" t="str">
        <f aca="false">IF(B938="","",IFERROR(INDEX(الموظفون!$C$6:$C$105,MATCH(B938,الموظفون!$B$6:$B$105,0)),"✖ رقم غير موجود"))</f>
        <v/>
      </c>
      <c r="D938" s="99"/>
      <c r="E938" s="99"/>
      <c r="F938" s="99"/>
      <c r="G938" s="96"/>
      <c r="H938" s="96"/>
      <c r="I938" s="96"/>
      <c r="J938" s="96"/>
      <c r="K938" s="99"/>
      <c r="L938" s="99"/>
      <c r="M938" s="96"/>
      <c r="N938" s="96"/>
      <c r="O938" s="79"/>
    </row>
    <row r="939" customFormat="false" ht="15" hidden="false" customHeight="false" outlineLevel="0" collapsed="false">
      <c r="A939" s="98"/>
      <c r="B939" s="79"/>
      <c r="C939" s="102" t="str">
        <f aca="false">IF(B939="","",IFERROR(INDEX(الموظفون!$C$6:$C$105,MATCH(B939,الموظفون!$B$6:$B$105,0)),"✖ رقم غير موجود"))</f>
        <v/>
      </c>
      <c r="D939" s="99"/>
      <c r="E939" s="99"/>
      <c r="F939" s="99"/>
      <c r="G939" s="96"/>
      <c r="H939" s="96"/>
      <c r="I939" s="96"/>
      <c r="J939" s="96"/>
      <c r="K939" s="99"/>
      <c r="L939" s="99"/>
      <c r="M939" s="96"/>
      <c r="N939" s="96"/>
      <c r="O939" s="79"/>
    </row>
    <row r="940" customFormat="false" ht="15" hidden="false" customHeight="false" outlineLevel="0" collapsed="false">
      <c r="A940" s="98"/>
      <c r="B940" s="79"/>
      <c r="C940" s="80" t="str">
        <f aca="false">IF(B940="","",IFERROR(INDEX(الموظفون!$C$6:$C$105,MATCH(B940,الموظفون!$B$6:$B$105,0)),"✖ رقم غير موجود"))</f>
        <v/>
      </c>
      <c r="D940" s="99"/>
      <c r="E940" s="99"/>
      <c r="F940" s="99"/>
      <c r="G940" s="96"/>
      <c r="H940" s="96"/>
      <c r="I940" s="96"/>
      <c r="J940" s="96"/>
      <c r="K940" s="99"/>
      <c r="L940" s="99"/>
      <c r="M940" s="96"/>
      <c r="N940" s="96"/>
      <c r="O940" s="79"/>
    </row>
    <row r="941" customFormat="false" ht="15" hidden="false" customHeight="false" outlineLevel="0" collapsed="false">
      <c r="A941" s="98"/>
      <c r="B941" s="79"/>
      <c r="C941" s="102" t="str">
        <f aca="false">IF(B941="","",IFERROR(INDEX(الموظفون!$C$6:$C$105,MATCH(B941,الموظفون!$B$6:$B$105,0)),"✖ رقم غير موجود"))</f>
        <v/>
      </c>
      <c r="D941" s="99"/>
      <c r="E941" s="99"/>
      <c r="F941" s="99"/>
      <c r="G941" s="96"/>
      <c r="H941" s="96"/>
      <c r="I941" s="96"/>
      <c r="J941" s="96"/>
      <c r="K941" s="99"/>
      <c r="L941" s="99"/>
      <c r="M941" s="96"/>
      <c r="N941" s="96"/>
      <c r="O941" s="79"/>
    </row>
    <row r="942" customFormat="false" ht="15" hidden="false" customHeight="false" outlineLevel="0" collapsed="false">
      <c r="A942" s="98"/>
      <c r="B942" s="79"/>
      <c r="C942" s="80" t="str">
        <f aca="false">IF(B942="","",IFERROR(INDEX(الموظفون!$C$6:$C$105,MATCH(B942,الموظفون!$B$6:$B$105,0)),"✖ رقم غير موجود"))</f>
        <v/>
      </c>
      <c r="D942" s="99"/>
      <c r="E942" s="99"/>
      <c r="F942" s="99"/>
      <c r="G942" s="96"/>
      <c r="H942" s="96"/>
      <c r="I942" s="96"/>
      <c r="J942" s="96"/>
      <c r="K942" s="99"/>
      <c r="L942" s="99"/>
      <c r="M942" s="96"/>
      <c r="N942" s="96"/>
      <c r="O942" s="79"/>
    </row>
    <row r="943" customFormat="false" ht="15" hidden="false" customHeight="false" outlineLevel="0" collapsed="false">
      <c r="A943" s="98"/>
      <c r="B943" s="79"/>
      <c r="C943" s="102" t="str">
        <f aca="false">IF(B943="","",IFERROR(INDEX(الموظفون!$C$6:$C$105,MATCH(B943,الموظفون!$B$6:$B$105,0)),"✖ رقم غير موجود"))</f>
        <v/>
      </c>
      <c r="D943" s="99"/>
      <c r="E943" s="99"/>
      <c r="F943" s="99"/>
      <c r="G943" s="96"/>
      <c r="H943" s="96"/>
      <c r="I943" s="96"/>
      <c r="J943" s="96"/>
      <c r="K943" s="99"/>
      <c r="L943" s="99"/>
      <c r="M943" s="96"/>
      <c r="N943" s="96"/>
      <c r="O943" s="79"/>
    </row>
    <row r="944" customFormat="false" ht="15" hidden="false" customHeight="false" outlineLevel="0" collapsed="false">
      <c r="A944" s="98"/>
      <c r="B944" s="79"/>
      <c r="C944" s="80" t="str">
        <f aca="false">IF(B944="","",IFERROR(INDEX(الموظفون!$C$6:$C$105,MATCH(B944,الموظفون!$B$6:$B$105,0)),"✖ رقم غير موجود"))</f>
        <v/>
      </c>
      <c r="D944" s="99"/>
      <c r="E944" s="99"/>
      <c r="F944" s="99"/>
      <c r="G944" s="96"/>
      <c r="H944" s="96"/>
      <c r="I944" s="96"/>
      <c r="J944" s="96"/>
      <c r="K944" s="99"/>
      <c r="L944" s="99"/>
      <c r="M944" s="96"/>
      <c r="N944" s="96"/>
      <c r="O944" s="79"/>
    </row>
    <row r="945" customFormat="false" ht="15" hidden="false" customHeight="false" outlineLevel="0" collapsed="false">
      <c r="A945" s="98"/>
      <c r="B945" s="79"/>
      <c r="C945" s="102" t="str">
        <f aca="false">IF(B945="","",IFERROR(INDEX(الموظفون!$C$6:$C$105,MATCH(B945,الموظفون!$B$6:$B$105,0)),"✖ رقم غير موجود"))</f>
        <v/>
      </c>
      <c r="D945" s="99"/>
      <c r="E945" s="99"/>
      <c r="F945" s="99"/>
      <c r="G945" s="96"/>
      <c r="H945" s="96"/>
      <c r="I945" s="96"/>
      <c r="J945" s="96"/>
      <c r="K945" s="99"/>
      <c r="L945" s="99"/>
      <c r="M945" s="96"/>
      <c r="N945" s="96"/>
      <c r="O945" s="79"/>
    </row>
    <row r="946" customFormat="false" ht="15" hidden="false" customHeight="false" outlineLevel="0" collapsed="false">
      <c r="A946" s="98"/>
      <c r="B946" s="79"/>
      <c r="C946" s="80" t="str">
        <f aca="false">IF(B946="","",IFERROR(INDEX(الموظفون!$C$6:$C$105,MATCH(B946,الموظفون!$B$6:$B$105,0)),"✖ رقم غير موجود"))</f>
        <v/>
      </c>
      <c r="D946" s="99"/>
      <c r="E946" s="99"/>
      <c r="F946" s="99"/>
      <c r="G946" s="96"/>
      <c r="H946" s="96"/>
      <c r="I946" s="96"/>
      <c r="J946" s="96"/>
      <c r="K946" s="99"/>
      <c r="L946" s="99"/>
      <c r="M946" s="96"/>
      <c r="N946" s="96"/>
      <c r="O946" s="79"/>
    </row>
    <row r="947" customFormat="false" ht="15" hidden="false" customHeight="false" outlineLevel="0" collapsed="false">
      <c r="A947" s="98"/>
      <c r="B947" s="79"/>
      <c r="C947" s="102" t="str">
        <f aca="false">IF(B947="","",IFERROR(INDEX(الموظفون!$C$6:$C$105,MATCH(B947,الموظفون!$B$6:$B$105,0)),"✖ رقم غير موجود"))</f>
        <v/>
      </c>
      <c r="D947" s="99"/>
      <c r="E947" s="99"/>
      <c r="F947" s="99"/>
      <c r="G947" s="96"/>
      <c r="H947" s="96"/>
      <c r="I947" s="96"/>
      <c r="J947" s="96"/>
      <c r="K947" s="99"/>
      <c r="L947" s="99"/>
      <c r="M947" s="96"/>
      <c r="N947" s="96"/>
      <c r="O947" s="79"/>
    </row>
    <row r="948" customFormat="false" ht="15" hidden="false" customHeight="false" outlineLevel="0" collapsed="false">
      <c r="A948" s="98"/>
      <c r="B948" s="79"/>
      <c r="C948" s="80" t="str">
        <f aca="false">IF(B948="","",IFERROR(INDEX(الموظفون!$C$6:$C$105,MATCH(B948,الموظفون!$B$6:$B$105,0)),"✖ رقم غير موجود"))</f>
        <v/>
      </c>
      <c r="D948" s="99"/>
      <c r="E948" s="99"/>
      <c r="F948" s="99"/>
      <c r="G948" s="96"/>
      <c r="H948" s="96"/>
      <c r="I948" s="96"/>
      <c r="J948" s="96"/>
      <c r="K948" s="99"/>
      <c r="L948" s="99"/>
      <c r="M948" s="96"/>
      <c r="N948" s="96"/>
      <c r="O948" s="79"/>
    </row>
    <row r="949" customFormat="false" ht="15" hidden="false" customHeight="false" outlineLevel="0" collapsed="false">
      <c r="A949" s="98"/>
      <c r="B949" s="79"/>
      <c r="C949" s="102" t="str">
        <f aca="false">IF(B949="","",IFERROR(INDEX(الموظفون!$C$6:$C$105,MATCH(B949,الموظفون!$B$6:$B$105,0)),"✖ رقم غير موجود"))</f>
        <v/>
      </c>
      <c r="D949" s="99"/>
      <c r="E949" s="99"/>
      <c r="F949" s="99"/>
      <c r="G949" s="96"/>
      <c r="H949" s="96"/>
      <c r="I949" s="96"/>
      <c r="J949" s="96"/>
      <c r="K949" s="99"/>
      <c r="L949" s="99"/>
      <c r="M949" s="96"/>
      <c r="N949" s="96"/>
      <c r="O949" s="79"/>
    </row>
    <row r="950" customFormat="false" ht="15" hidden="false" customHeight="false" outlineLevel="0" collapsed="false">
      <c r="A950" s="98"/>
      <c r="B950" s="79"/>
      <c r="C950" s="80" t="str">
        <f aca="false">IF(B950="","",IFERROR(INDEX(الموظفون!$C$6:$C$105,MATCH(B950,الموظفون!$B$6:$B$105,0)),"✖ رقم غير موجود"))</f>
        <v/>
      </c>
      <c r="D950" s="99"/>
      <c r="E950" s="99"/>
      <c r="F950" s="99"/>
      <c r="G950" s="96"/>
      <c r="H950" s="96"/>
      <c r="I950" s="96"/>
      <c r="J950" s="96"/>
      <c r="K950" s="99"/>
      <c r="L950" s="99"/>
      <c r="M950" s="96"/>
      <c r="N950" s="96"/>
      <c r="O950" s="79"/>
    </row>
    <row r="951" customFormat="false" ht="15" hidden="false" customHeight="false" outlineLevel="0" collapsed="false">
      <c r="A951" s="98"/>
      <c r="B951" s="79"/>
      <c r="C951" s="102" t="str">
        <f aca="false">IF(B951="","",IFERROR(INDEX(الموظفون!$C$6:$C$105,MATCH(B951,الموظفون!$B$6:$B$105,0)),"✖ رقم غير موجود"))</f>
        <v/>
      </c>
      <c r="D951" s="99"/>
      <c r="E951" s="99"/>
      <c r="F951" s="99"/>
      <c r="G951" s="96"/>
      <c r="H951" s="96"/>
      <c r="I951" s="96"/>
      <c r="J951" s="96"/>
      <c r="K951" s="99"/>
      <c r="L951" s="99"/>
      <c r="M951" s="96"/>
      <c r="N951" s="96"/>
      <c r="O951" s="79"/>
    </row>
    <row r="952" customFormat="false" ht="15" hidden="false" customHeight="false" outlineLevel="0" collapsed="false">
      <c r="A952" s="98"/>
      <c r="B952" s="79"/>
      <c r="C952" s="80" t="str">
        <f aca="false">IF(B952="","",IFERROR(INDEX(الموظفون!$C$6:$C$105,MATCH(B952,الموظفون!$B$6:$B$105,0)),"✖ رقم غير موجود"))</f>
        <v/>
      </c>
      <c r="D952" s="99"/>
      <c r="E952" s="99"/>
      <c r="F952" s="99"/>
      <c r="G952" s="96"/>
      <c r="H952" s="96"/>
      <c r="I952" s="96"/>
      <c r="J952" s="96"/>
      <c r="K952" s="99"/>
      <c r="L952" s="99"/>
      <c r="M952" s="96"/>
      <c r="N952" s="96"/>
      <c r="O952" s="79"/>
    </row>
    <row r="953" customFormat="false" ht="15" hidden="false" customHeight="false" outlineLevel="0" collapsed="false">
      <c r="A953" s="98"/>
      <c r="B953" s="79"/>
      <c r="C953" s="102" t="str">
        <f aca="false">IF(B953="","",IFERROR(INDEX(الموظفون!$C$6:$C$105,MATCH(B953,الموظفون!$B$6:$B$105,0)),"✖ رقم غير موجود"))</f>
        <v/>
      </c>
      <c r="D953" s="99"/>
      <c r="E953" s="99"/>
      <c r="F953" s="99"/>
      <c r="G953" s="96"/>
      <c r="H953" s="96"/>
      <c r="I953" s="96"/>
      <c r="J953" s="96"/>
      <c r="K953" s="99"/>
      <c r="L953" s="99"/>
      <c r="M953" s="96"/>
      <c r="N953" s="96"/>
      <c r="O953" s="79"/>
    </row>
    <row r="954" customFormat="false" ht="15" hidden="false" customHeight="false" outlineLevel="0" collapsed="false">
      <c r="A954" s="98"/>
      <c r="B954" s="79"/>
      <c r="C954" s="80" t="str">
        <f aca="false">IF(B954="","",IFERROR(INDEX(الموظفون!$C$6:$C$105,MATCH(B954,الموظفون!$B$6:$B$105,0)),"✖ رقم غير موجود"))</f>
        <v/>
      </c>
      <c r="D954" s="99"/>
      <c r="E954" s="99"/>
      <c r="F954" s="99"/>
      <c r="G954" s="96"/>
      <c r="H954" s="96"/>
      <c r="I954" s="96"/>
      <c r="J954" s="96"/>
      <c r="K954" s="99"/>
      <c r="L954" s="99"/>
      <c r="M954" s="96"/>
      <c r="N954" s="96"/>
      <c r="O954" s="79"/>
    </row>
    <row r="955" customFormat="false" ht="15" hidden="false" customHeight="false" outlineLevel="0" collapsed="false">
      <c r="A955" s="98"/>
      <c r="B955" s="79"/>
      <c r="C955" s="102" t="str">
        <f aca="false">IF(B955="","",IFERROR(INDEX(الموظفون!$C$6:$C$105,MATCH(B955,الموظفون!$B$6:$B$105,0)),"✖ رقم غير موجود"))</f>
        <v/>
      </c>
      <c r="D955" s="99"/>
      <c r="E955" s="99"/>
      <c r="F955" s="99"/>
      <c r="G955" s="96"/>
      <c r="H955" s="96"/>
      <c r="I955" s="96"/>
      <c r="J955" s="96"/>
      <c r="K955" s="99"/>
      <c r="L955" s="99"/>
      <c r="M955" s="96"/>
      <c r="N955" s="96"/>
      <c r="O955" s="79"/>
    </row>
    <row r="956" customFormat="false" ht="15" hidden="false" customHeight="false" outlineLevel="0" collapsed="false">
      <c r="A956" s="98"/>
      <c r="B956" s="79"/>
      <c r="C956" s="80" t="str">
        <f aca="false">IF(B956="","",IFERROR(INDEX(الموظفون!$C$6:$C$105,MATCH(B956,الموظفون!$B$6:$B$105,0)),"✖ رقم غير موجود"))</f>
        <v/>
      </c>
      <c r="D956" s="99"/>
      <c r="E956" s="99"/>
      <c r="F956" s="99"/>
      <c r="G956" s="96"/>
      <c r="H956" s="96"/>
      <c r="I956" s="96"/>
      <c r="J956" s="96"/>
      <c r="K956" s="99"/>
      <c r="L956" s="99"/>
      <c r="M956" s="96"/>
      <c r="N956" s="96"/>
      <c r="O956" s="79"/>
    </row>
    <row r="957" customFormat="false" ht="15" hidden="false" customHeight="false" outlineLevel="0" collapsed="false">
      <c r="A957" s="98"/>
      <c r="B957" s="79"/>
      <c r="C957" s="102" t="str">
        <f aca="false">IF(B957="","",IFERROR(INDEX(الموظفون!$C$6:$C$105,MATCH(B957,الموظفون!$B$6:$B$105,0)),"✖ رقم غير موجود"))</f>
        <v/>
      </c>
      <c r="D957" s="99"/>
      <c r="E957" s="99"/>
      <c r="F957" s="99"/>
      <c r="G957" s="96"/>
      <c r="H957" s="96"/>
      <c r="I957" s="96"/>
      <c r="J957" s="96"/>
      <c r="K957" s="99"/>
      <c r="L957" s="99"/>
      <c r="M957" s="96"/>
      <c r="N957" s="96"/>
      <c r="O957" s="79"/>
    </row>
    <row r="958" customFormat="false" ht="15" hidden="false" customHeight="false" outlineLevel="0" collapsed="false">
      <c r="A958" s="98"/>
      <c r="B958" s="79"/>
      <c r="C958" s="80" t="str">
        <f aca="false">IF(B958="","",IFERROR(INDEX(الموظفون!$C$6:$C$105,MATCH(B958,الموظفون!$B$6:$B$105,0)),"✖ رقم غير موجود"))</f>
        <v/>
      </c>
      <c r="D958" s="99"/>
      <c r="E958" s="99"/>
      <c r="F958" s="99"/>
      <c r="G958" s="96"/>
      <c r="H958" s="96"/>
      <c r="I958" s="96"/>
      <c r="J958" s="96"/>
      <c r="K958" s="99"/>
      <c r="L958" s="99"/>
      <c r="M958" s="96"/>
      <c r="N958" s="96"/>
      <c r="O958" s="79"/>
    </row>
    <row r="959" customFormat="false" ht="15" hidden="false" customHeight="false" outlineLevel="0" collapsed="false">
      <c r="A959" s="98"/>
      <c r="B959" s="79"/>
      <c r="C959" s="102" t="str">
        <f aca="false">IF(B959="","",IFERROR(INDEX(الموظفون!$C$6:$C$105,MATCH(B959,الموظفون!$B$6:$B$105,0)),"✖ رقم غير موجود"))</f>
        <v/>
      </c>
      <c r="D959" s="99"/>
      <c r="E959" s="99"/>
      <c r="F959" s="99"/>
      <c r="G959" s="96"/>
      <c r="H959" s="96"/>
      <c r="I959" s="96"/>
      <c r="J959" s="96"/>
      <c r="K959" s="99"/>
      <c r="L959" s="99"/>
      <c r="M959" s="96"/>
      <c r="N959" s="96"/>
      <c r="O959" s="79"/>
    </row>
    <row r="960" customFormat="false" ht="15" hidden="false" customHeight="false" outlineLevel="0" collapsed="false">
      <c r="A960" s="98"/>
      <c r="B960" s="79"/>
      <c r="C960" s="80" t="str">
        <f aca="false">IF(B960="","",IFERROR(INDEX(الموظفون!$C$6:$C$105,MATCH(B960,الموظفون!$B$6:$B$105,0)),"✖ رقم غير موجود"))</f>
        <v/>
      </c>
      <c r="D960" s="99"/>
      <c r="E960" s="99"/>
      <c r="F960" s="99"/>
      <c r="G960" s="96"/>
      <c r="H960" s="96"/>
      <c r="I960" s="96"/>
      <c r="J960" s="96"/>
      <c r="K960" s="99"/>
      <c r="L960" s="99"/>
      <c r="M960" s="96"/>
      <c r="N960" s="96"/>
      <c r="O960" s="79"/>
    </row>
    <row r="961" customFormat="false" ht="15" hidden="false" customHeight="false" outlineLevel="0" collapsed="false">
      <c r="A961" s="98"/>
      <c r="B961" s="79"/>
      <c r="C961" s="102" t="str">
        <f aca="false">IF(B961="","",IFERROR(INDEX(الموظفون!$C$6:$C$105,MATCH(B961,الموظفون!$B$6:$B$105,0)),"✖ رقم غير موجود"))</f>
        <v/>
      </c>
      <c r="D961" s="99"/>
      <c r="E961" s="99"/>
      <c r="F961" s="99"/>
      <c r="G961" s="96"/>
      <c r="H961" s="96"/>
      <c r="I961" s="96"/>
      <c r="J961" s="96"/>
      <c r="K961" s="99"/>
      <c r="L961" s="99"/>
      <c r="M961" s="96"/>
      <c r="N961" s="96"/>
      <c r="O961" s="79"/>
    </row>
    <row r="962" customFormat="false" ht="15" hidden="false" customHeight="false" outlineLevel="0" collapsed="false">
      <c r="A962" s="98"/>
      <c r="B962" s="79"/>
      <c r="C962" s="80" t="str">
        <f aca="false">IF(B962="","",IFERROR(INDEX(الموظفون!$C$6:$C$105,MATCH(B962,الموظفون!$B$6:$B$105,0)),"✖ رقم غير موجود"))</f>
        <v/>
      </c>
      <c r="D962" s="99"/>
      <c r="E962" s="99"/>
      <c r="F962" s="99"/>
      <c r="G962" s="96"/>
      <c r="H962" s="96"/>
      <c r="I962" s="96"/>
      <c r="J962" s="96"/>
      <c r="K962" s="99"/>
      <c r="L962" s="99"/>
      <c r="M962" s="96"/>
      <c r="N962" s="96"/>
      <c r="O962" s="79"/>
    </row>
    <row r="963" customFormat="false" ht="15" hidden="false" customHeight="false" outlineLevel="0" collapsed="false">
      <c r="A963" s="98"/>
      <c r="B963" s="79"/>
      <c r="C963" s="102" t="str">
        <f aca="false">IF(B963="","",IFERROR(INDEX(الموظفون!$C$6:$C$105,MATCH(B963,الموظفون!$B$6:$B$105,0)),"✖ رقم غير موجود"))</f>
        <v/>
      </c>
      <c r="D963" s="99"/>
      <c r="E963" s="99"/>
      <c r="F963" s="99"/>
      <c r="G963" s="96"/>
      <c r="H963" s="96"/>
      <c r="I963" s="96"/>
      <c r="J963" s="96"/>
      <c r="K963" s="99"/>
      <c r="L963" s="99"/>
      <c r="M963" s="96"/>
      <c r="N963" s="96"/>
      <c r="O963" s="79"/>
    </row>
    <row r="964" customFormat="false" ht="15" hidden="false" customHeight="false" outlineLevel="0" collapsed="false">
      <c r="A964" s="98"/>
      <c r="B964" s="79"/>
      <c r="C964" s="80" t="str">
        <f aca="false">IF(B964="","",IFERROR(INDEX(الموظفون!$C$6:$C$105,MATCH(B964,الموظفون!$B$6:$B$105,0)),"✖ رقم غير موجود"))</f>
        <v/>
      </c>
      <c r="D964" s="99"/>
      <c r="E964" s="99"/>
      <c r="F964" s="99"/>
      <c r="G964" s="96"/>
      <c r="H964" s="96"/>
      <c r="I964" s="96"/>
      <c r="J964" s="96"/>
      <c r="K964" s="99"/>
      <c r="L964" s="99"/>
      <c r="M964" s="96"/>
      <c r="N964" s="96"/>
      <c r="O964" s="79"/>
    </row>
    <row r="965" customFormat="false" ht="15" hidden="false" customHeight="false" outlineLevel="0" collapsed="false">
      <c r="A965" s="98"/>
      <c r="B965" s="79"/>
      <c r="C965" s="102" t="str">
        <f aca="false">IF(B965="","",IFERROR(INDEX(الموظفون!$C$6:$C$105,MATCH(B965,الموظفون!$B$6:$B$105,0)),"✖ رقم غير موجود"))</f>
        <v/>
      </c>
      <c r="D965" s="99"/>
      <c r="E965" s="99"/>
      <c r="F965" s="99"/>
      <c r="G965" s="96"/>
      <c r="H965" s="96"/>
      <c r="I965" s="96"/>
      <c r="J965" s="96"/>
      <c r="K965" s="99"/>
      <c r="L965" s="99"/>
      <c r="M965" s="96"/>
      <c r="N965" s="96"/>
      <c r="O965" s="79"/>
    </row>
    <row r="966" customFormat="false" ht="15" hidden="false" customHeight="false" outlineLevel="0" collapsed="false">
      <c r="A966" s="98"/>
      <c r="B966" s="79"/>
      <c r="C966" s="80" t="str">
        <f aca="false">IF(B966="","",IFERROR(INDEX(الموظفون!$C$6:$C$105,MATCH(B966,الموظفون!$B$6:$B$105,0)),"✖ رقم غير موجود"))</f>
        <v/>
      </c>
      <c r="D966" s="99"/>
      <c r="E966" s="99"/>
      <c r="F966" s="99"/>
      <c r="G966" s="96"/>
      <c r="H966" s="96"/>
      <c r="I966" s="96"/>
      <c r="J966" s="96"/>
      <c r="K966" s="99"/>
      <c r="L966" s="99"/>
      <c r="M966" s="96"/>
      <c r="N966" s="96"/>
      <c r="O966" s="79"/>
    </row>
    <row r="967" customFormat="false" ht="15" hidden="false" customHeight="false" outlineLevel="0" collapsed="false">
      <c r="A967" s="98"/>
      <c r="B967" s="79"/>
      <c r="C967" s="102" t="str">
        <f aca="false">IF(B967="","",IFERROR(INDEX(الموظفون!$C$6:$C$105,MATCH(B967,الموظفون!$B$6:$B$105,0)),"✖ رقم غير موجود"))</f>
        <v/>
      </c>
      <c r="D967" s="99"/>
      <c r="E967" s="99"/>
      <c r="F967" s="99"/>
      <c r="G967" s="96"/>
      <c r="H967" s="96"/>
      <c r="I967" s="96"/>
      <c r="J967" s="96"/>
      <c r="K967" s="99"/>
      <c r="L967" s="99"/>
      <c r="M967" s="96"/>
      <c r="N967" s="96"/>
      <c r="O967" s="79"/>
    </row>
    <row r="968" customFormat="false" ht="15" hidden="false" customHeight="false" outlineLevel="0" collapsed="false">
      <c r="A968" s="98"/>
      <c r="B968" s="79"/>
      <c r="C968" s="80" t="str">
        <f aca="false">IF(B968="","",IFERROR(INDEX(الموظفون!$C$6:$C$105,MATCH(B968,الموظفون!$B$6:$B$105,0)),"✖ رقم غير موجود"))</f>
        <v/>
      </c>
      <c r="D968" s="99"/>
      <c r="E968" s="99"/>
      <c r="F968" s="99"/>
      <c r="G968" s="96"/>
      <c r="H968" s="96"/>
      <c r="I968" s="96"/>
      <c r="J968" s="96"/>
      <c r="K968" s="99"/>
      <c r="L968" s="99"/>
      <c r="M968" s="96"/>
      <c r="N968" s="96"/>
      <c r="O968" s="79"/>
    </row>
    <row r="969" customFormat="false" ht="15" hidden="false" customHeight="false" outlineLevel="0" collapsed="false">
      <c r="A969" s="98"/>
      <c r="B969" s="79"/>
      <c r="C969" s="102" t="str">
        <f aca="false">IF(B969="","",IFERROR(INDEX(الموظفون!$C$6:$C$105,MATCH(B969,الموظفون!$B$6:$B$105,0)),"✖ رقم غير موجود"))</f>
        <v/>
      </c>
      <c r="D969" s="99"/>
      <c r="E969" s="99"/>
      <c r="F969" s="99"/>
      <c r="G969" s="96"/>
      <c r="H969" s="96"/>
      <c r="I969" s="96"/>
      <c r="J969" s="96"/>
      <c r="K969" s="99"/>
      <c r="L969" s="99"/>
      <c r="M969" s="96"/>
      <c r="N969" s="96"/>
      <c r="O969" s="79"/>
    </row>
    <row r="970" customFormat="false" ht="15" hidden="false" customHeight="false" outlineLevel="0" collapsed="false">
      <c r="A970" s="98"/>
      <c r="B970" s="79"/>
      <c r="C970" s="80" t="str">
        <f aca="false">IF(B970="","",IFERROR(INDEX(الموظفون!$C$6:$C$105,MATCH(B970,الموظفون!$B$6:$B$105,0)),"✖ رقم غير موجود"))</f>
        <v/>
      </c>
      <c r="D970" s="99"/>
      <c r="E970" s="99"/>
      <c r="F970" s="99"/>
      <c r="G970" s="96"/>
      <c r="H970" s="96"/>
      <c r="I970" s="96"/>
      <c r="J970" s="96"/>
      <c r="K970" s="99"/>
      <c r="L970" s="99"/>
      <c r="M970" s="96"/>
      <c r="N970" s="96"/>
      <c r="O970" s="79"/>
    </row>
    <row r="971" customFormat="false" ht="15" hidden="false" customHeight="false" outlineLevel="0" collapsed="false">
      <c r="A971" s="98"/>
      <c r="B971" s="79"/>
      <c r="C971" s="102" t="str">
        <f aca="false">IF(B971="","",IFERROR(INDEX(الموظفون!$C$6:$C$105,MATCH(B971,الموظفون!$B$6:$B$105,0)),"✖ رقم غير موجود"))</f>
        <v/>
      </c>
      <c r="D971" s="99"/>
      <c r="E971" s="99"/>
      <c r="F971" s="99"/>
      <c r="G971" s="96"/>
      <c r="H971" s="96"/>
      <c r="I971" s="96"/>
      <c r="J971" s="96"/>
      <c r="K971" s="99"/>
      <c r="L971" s="99"/>
      <c r="M971" s="96"/>
      <c r="N971" s="96"/>
      <c r="O971" s="79"/>
    </row>
    <row r="972" customFormat="false" ht="15" hidden="false" customHeight="false" outlineLevel="0" collapsed="false">
      <c r="A972" s="98"/>
      <c r="B972" s="79"/>
      <c r="C972" s="80" t="str">
        <f aca="false">IF(B972="","",IFERROR(INDEX(الموظفون!$C$6:$C$105,MATCH(B972,الموظفون!$B$6:$B$105,0)),"✖ رقم غير موجود"))</f>
        <v/>
      </c>
      <c r="D972" s="99"/>
      <c r="E972" s="99"/>
      <c r="F972" s="99"/>
      <c r="G972" s="96"/>
      <c r="H972" s="96"/>
      <c r="I972" s="96"/>
      <c r="J972" s="96"/>
      <c r="K972" s="99"/>
      <c r="L972" s="99"/>
      <c r="M972" s="96"/>
      <c r="N972" s="96"/>
      <c r="O972" s="79"/>
    </row>
    <row r="973" customFormat="false" ht="15" hidden="false" customHeight="false" outlineLevel="0" collapsed="false">
      <c r="A973" s="98"/>
      <c r="B973" s="79"/>
      <c r="C973" s="102" t="str">
        <f aca="false">IF(B973="","",IFERROR(INDEX(الموظفون!$C$6:$C$105,MATCH(B973,الموظفون!$B$6:$B$105,0)),"✖ رقم غير موجود"))</f>
        <v/>
      </c>
      <c r="D973" s="99"/>
      <c r="E973" s="99"/>
      <c r="F973" s="99"/>
      <c r="G973" s="96"/>
      <c r="H973" s="96"/>
      <c r="I973" s="96"/>
      <c r="J973" s="96"/>
      <c r="K973" s="99"/>
      <c r="L973" s="99"/>
      <c r="M973" s="96"/>
      <c r="N973" s="96"/>
      <c r="O973" s="79"/>
    </row>
    <row r="974" customFormat="false" ht="15" hidden="false" customHeight="false" outlineLevel="0" collapsed="false">
      <c r="A974" s="98"/>
      <c r="B974" s="79"/>
      <c r="C974" s="80" t="str">
        <f aca="false">IF(B974="","",IFERROR(INDEX(الموظفون!$C$6:$C$105,MATCH(B974,الموظفون!$B$6:$B$105,0)),"✖ رقم غير موجود"))</f>
        <v/>
      </c>
      <c r="D974" s="99"/>
      <c r="E974" s="99"/>
      <c r="F974" s="99"/>
      <c r="G974" s="96"/>
      <c r="H974" s="96"/>
      <c r="I974" s="96"/>
      <c r="J974" s="96"/>
      <c r="K974" s="99"/>
      <c r="L974" s="99"/>
      <c r="M974" s="96"/>
      <c r="N974" s="96"/>
      <c r="O974" s="79"/>
    </row>
    <row r="975" customFormat="false" ht="15" hidden="false" customHeight="false" outlineLevel="0" collapsed="false">
      <c r="A975" s="98"/>
      <c r="B975" s="79"/>
      <c r="C975" s="102" t="str">
        <f aca="false">IF(B975="","",IFERROR(INDEX(الموظفون!$C$6:$C$105,MATCH(B975,الموظفون!$B$6:$B$105,0)),"✖ رقم غير موجود"))</f>
        <v/>
      </c>
      <c r="D975" s="99"/>
      <c r="E975" s="99"/>
      <c r="F975" s="99"/>
      <c r="G975" s="96"/>
      <c r="H975" s="96"/>
      <c r="I975" s="96"/>
      <c r="J975" s="96"/>
      <c r="K975" s="99"/>
      <c r="L975" s="99"/>
      <c r="M975" s="96"/>
      <c r="N975" s="96"/>
      <c r="O975" s="79"/>
    </row>
    <row r="976" customFormat="false" ht="15" hidden="false" customHeight="false" outlineLevel="0" collapsed="false">
      <c r="A976" s="98"/>
      <c r="B976" s="79"/>
      <c r="C976" s="80" t="str">
        <f aca="false">IF(B976="","",IFERROR(INDEX(الموظفون!$C$6:$C$105,MATCH(B976,الموظفون!$B$6:$B$105,0)),"✖ رقم غير موجود"))</f>
        <v/>
      </c>
      <c r="D976" s="99"/>
      <c r="E976" s="99"/>
      <c r="F976" s="99"/>
      <c r="G976" s="96"/>
      <c r="H976" s="96"/>
      <c r="I976" s="96"/>
      <c r="J976" s="96"/>
      <c r="K976" s="99"/>
      <c r="L976" s="99"/>
      <c r="M976" s="96"/>
      <c r="N976" s="96"/>
      <c r="O976" s="79"/>
    </row>
    <row r="977" customFormat="false" ht="15" hidden="false" customHeight="false" outlineLevel="0" collapsed="false">
      <c r="A977" s="98"/>
      <c r="B977" s="79"/>
      <c r="C977" s="102" t="str">
        <f aca="false">IF(B977="","",IFERROR(INDEX(الموظفون!$C$6:$C$105,MATCH(B977,الموظفون!$B$6:$B$105,0)),"✖ رقم غير موجود"))</f>
        <v/>
      </c>
      <c r="D977" s="99"/>
      <c r="E977" s="99"/>
      <c r="F977" s="99"/>
      <c r="G977" s="96"/>
      <c r="H977" s="96"/>
      <c r="I977" s="96"/>
      <c r="J977" s="96"/>
      <c r="K977" s="99"/>
      <c r="L977" s="99"/>
      <c r="M977" s="96"/>
      <c r="N977" s="96"/>
      <c r="O977" s="79"/>
    </row>
    <row r="978" customFormat="false" ht="15" hidden="false" customHeight="false" outlineLevel="0" collapsed="false">
      <c r="A978" s="98"/>
      <c r="B978" s="79"/>
      <c r="C978" s="80" t="str">
        <f aca="false">IF(B978="","",IFERROR(INDEX(الموظفون!$C$6:$C$105,MATCH(B978,الموظفون!$B$6:$B$105,0)),"✖ رقم غير موجود"))</f>
        <v/>
      </c>
      <c r="D978" s="99"/>
      <c r="E978" s="99"/>
      <c r="F978" s="99"/>
      <c r="G978" s="96"/>
      <c r="H978" s="96"/>
      <c r="I978" s="96"/>
      <c r="J978" s="96"/>
      <c r="K978" s="99"/>
      <c r="L978" s="99"/>
      <c r="M978" s="96"/>
      <c r="N978" s="96"/>
      <c r="O978" s="79"/>
    </row>
    <row r="979" customFormat="false" ht="15" hidden="false" customHeight="false" outlineLevel="0" collapsed="false">
      <c r="A979" s="98"/>
      <c r="B979" s="79"/>
      <c r="C979" s="102" t="str">
        <f aca="false">IF(B979="","",IFERROR(INDEX(الموظفون!$C$6:$C$105,MATCH(B979,الموظفون!$B$6:$B$105,0)),"✖ رقم غير موجود"))</f>
        <v/>
      </c>
      <c r="D979" s="99"/>
      <c r="E979" s="99"/>
      <c r="F979" s="99"/>
      <c r="G979" s="96"/>
      <c r="H979" s="96"/>
      <c r="I979" s="96"/>
      <c r="J979" s="96"/>
      <c r="K979" s="99"/>
      <c r="L979" s="99"/>
      <c r="M979" s="96"/>
      <c r="N979" s="96"/>
      <c r="O979" s="79"/>
    </row>
    <row r="980" customFormat="false" ht="15" hidden="false" customHeight="false" outlineLevel="0" collapsed="false">
      <c r="A980" s="98"/>
      <c r="B980" s="79"/>
      <c r="C980" s="80" t="str">
        <f aca="false">IF(B980="","",IFERROR(INDEX(الموظفون!$C$6:$C$105,MATCH(B980,الموظفون!$B$6:$B$105,0)),"✖ رقم غير موجود"))</f>
        <v/>
      </c>
      <c r="D980" s="99"/>
      <c r="E980" s="99"/>
      <c r="F980" s="99"/>
      <c r="G980" s="96"/>
      <c r="H980" s="96"/>
      <c r="I980" s="96"/>
      <c r="J980" s="96"/>
      <c r="K980" s="99"/>
      <c r="L980" s="99"/>
      <c r="M980" s="96"/>
      <c r="N980" s="96"/>
      <c r="O980" s="79"/>
    </row>
    <row r="981" customFormat="false" ht="15" hidden="false" customHeight="false" outlineLevel="0" collapsed="false">
      <c r="A981" s="98"/>
      <c r="B981" s="79"/>
      <c r="C981" s="102" t="str">
        <f aca="false">IF(B981="","",IFERROR(INDEX(الموظفون!$C$6:$C$105,MATCH(B981,الموظفون!$B$6:$B$105,0)),"✖ رقم غير موجود"))</f>
        <v/>
      </c>
      <c r="D981" s="99"/>
      <c r="E981" s="99"/>
      <c r="F981" s="99"/>
      <c r="G981" s="96"/>
      <c r="H981" s="96"/>
      <c r="I981" s="96"/>
      <c r="J981" s="96"/>
      <c r="K981" s="99"/>
      <c r="L981" s="99"/>
      <c r="M981" s="96"/>
      <c r="N981" s="96"/>
      <c r="O981" s="79"/>
    </row>
    <row r="982" customFormat="false" ht="15" hidden="false" customHeight="false" outlineLevel="0" collapsed="false">
      <c r="A982" s="98"/>
      <c r="B982" s="79"/>
      <c r="C982" s="80" t="str">
        <f aca="false">IF(B982="","",IFERROR(INDEX(الموظفون!$C$6:$C$105,MATCH(B982,الموظفون!$B$6:$B$105,0)),"✖ رقم غير موجود"))</f>
        <v/>
      </c>
      <c r="D982" s="99"/>
      <c r="E982" s="99"/>
      <c r="F982" s="99"/>
      <c r="G982" s="96"/>
      <c r="H982" s="96"/>
      <c r="I982" s="96"/>
      <c r="J982" s="96"/>
      <c r="K982" s="99"/>
      <c r="L982" s="99"/>
      <c r="M982" s="96"/>
      <c r="N982" s="96"/>
      <c r="O982" s="79"/>
    </row>
    <row r="983" customFormat="false" ht="15" hidden="false" customHeight="false" outlineLevel="0" collapsed="false">
      <c r="A983" s="98"/>
      <c r="B983" s="79"/>
      <c r="C983" s="102" t="str">
        <f aca="false">IF(B983="","",IFERROR(INDEX(الموظفون!$C$6:$C$105,MATCH(B983,الموظفون!$B$6:$B$105,0)),"✖ رقم غير موجود"))</f>
        <v/>
      </c>
      <c r="D983" s="99"/>
      <c r="E983" s="99"/>
      <c r="F983" s="99"/>
      <c r="G983" s="96"/>
      <c r="H983" s="96"/>
      <c r="I983" s="96"/>
      <c r="J983" s="96"/>
      <c r="K983" s="99"/>
      <c r="L983" s="99"/>
      <c r="M983" s="96"/>
      <c r="N983" s="96"/>
      <c r="O983" s="79"/>
    </row>
    <row r="984" customFormat="false" ht="15" hidden="false" customHeight="false" outlineLevel="0" collapsed="false">
      <c r="A984" s="98"/>
      <c r="B984" s="79"/>
      <c r="C984" s="80" t="str">
        <f aca="false">IF(B984="","",IFERROR(INDEX(الموظفون!$C$6:$C$105,MATCH(B984,الموظفون!$B$6:$B$105,0)),"✖ رقم غير موجود"))</f>
        <v/>
      </c>
      <c r="D984" s="99"/>
      <c r="E984" s="99"/>
      <c r="F984" s="99"/>
      <c r="G984" s="96"/>
      <c r="H984" s="96"/>
      <c r="I984" s="96"/>
      <c r="J984" s="96"/>
      <c r="K984" s="99"/>
      <c r="L984" s="99"/>
      <c r="M984" s="96"/>
      <c r="N984" s="96"/>
      <c r="O984" s="79"/>
    </row>
    <row r="985" customFormat="false" ht="15" hidden="false" customHeight="false" outlineLevel="0" collapsed="false">
      <c r="A985" s="98"/>
      <c r="B985" s="79"/>
      <c r="C985" s="102" t="str">
        <f aca="false">IF(B985="","",IFERROR(INDEX(الموظفون!$C$6:$C$105,MATCH(B985,الموظفون!$B$6:$B$105,0)),"✖ رقم غير موجود"))</f>
        <v/>
      </c>
      <c r="D985" s="99"/>
      <c r="E985" s="99"/>
      <c r="F985" s="99"/>
      <c r="G985" s="96"/>
      <c r="H985" s="96"/>
      <c r="I985" s="96"/>
      <c r="J985" s="96"/>
      <c r="K985" s="99"/>
      <c r="L985" s="99"/>
      <c r="M985" s="96"/>
      <c r="N985" s="96"/>
      <c r="O985" s="79"/>
    </row>
    <row r="986" customFormat="false" ht="15" hidden="false" customHeight="false" outlineLevel="0" collapsed="false">
      <c r="A986" s="98"/>
      <c r="B986" s="79"/>
      <c r="C986" s="80" t="str">
        <f aca="false">IF(B986="","",IFERROR(INDEX(الموظفون!$C$6:$C$105,MATCH(B986,الموظفون!$B$6:$B$105,0)),"✖ رقم غير موجود"))</f>
        <v/>
      </c>
      <c r="D986" s="99"/>
      <c r="E986" s="99"/>
      <c r="F986" s="99"/>
      <c r="G986" s="96"/>
      <c r="H986" s="96"/>
      <c r="I986" s="96"/>
      <c r="J986" s="96"/>
      <c r="K986" s="99"/>
      <c r="L986" s="99"/>
      <c r="M986" s="96"/>
      <c r="N986" s="96"/>
      <c r="O986" s="79"/>
    </row>
    <row r="987" customFormat="false" ht="15" hidden="false" customHeight="false" outlineLevel="0" collapsed="false">
      <c r="A987" s="98"/>
      <c r="B987" s="79"/>
      <c r="C987" s="102" t="str">
        <f aca="false">IF(B987="","",IFERROR(INDEX(الموظفون!$C$6:$C$105,MATCH(B987,الموظفون!$B$6:$B$105,0)),"✖ رقم غير موجود"))</f>
        <v/>
      </c>
      <c r="D987" s="99"/>
      <c r="E987" s="99"/>
      <c r="F987" s="99"/>
      <c r="G987" s="96"/>
      <c r="H987" s="96"/>
      <c r="I987" s="96"/>
      <c r="J987" s="96"/>
      <c r="K987" s="99"/>
      <c r="L987" s="99"/>
      <c r="M987" s="96"/>
      <c r="N987" s="96"/>
      <c r="O987" s="79"/>
    </row>
    <row r="988" customFormat="false" ht="15" hidden="false" customHeight="false" outlineLevel="0" collapsed="false">
      <c r="A988" s="98"/>
      <c r="B988" s="79"/>
      <c r="C988" s="80" t="str">
        <f aca="false">IF(B988="","",IFERROR(INDEX(الموظفون!$C$6:$C$105,MATCH(B988,الموظفون!$B$6:$B$105,0)),"✖ رقم غير موجود"))</f>
        <v/>
      </c>
      <c r="D988" s="99"/>
      <c r="E988" s="99"/>
      <c r="F988" s="99"/>
      <c r="G988" s="96"/>
      <c r="H988" s="96"/>
      <c r="I988" s="96"/>
      <c r="J988" s="96"/>
      <c r="K988" s="99"/>
      <c r="L988" s="99"/>
      <c r="M988" s="96"/>
      <c r="N988" s="96"/>
      <c r="O988" s="79"/>
    </row>
    <row r="989" customFormat="false" ht="15" hidden="false" customHeight="false" outlineLevel="0" collapsed="false">
      <c r="A989" s="98"/>
      <c r="B989" s="79"/>
      <c r="C989" s="102" t="str">
        <f aca="false">IF(B989="","",IFERROR(INDEX(الموظفون!$C$6:$C$105,MATCH(B989,الموظفون!$B$6:$B$105,0)),"✖ رقم غير موجود"))</f>
        <v/>
      </c>
      <c r="D989" s="99"/>
      <c r="E989" s="99"/>
      <c r="F989" s="99"/>
      <c r="G989" s="96"/>
      <c r="H989" s="96"/>
      <c r="I989" s="96"/>
      <c r="J989" s="96"/>
      <c r="K989" s="99"/>
      <c r="L989" s="99"/>
      <c r="M989" s="96"/>
      <c r="N989" s="96"/>
      <c r="O989" s="79"/>
    </row>
    <row r="990" customFormat="false" ht="15" hidden="false" customHeight="false" outlineLevel="0" collapsed="false">
      <c r="A990" s="98"/>
      <c r="B990" s="79"/>
      <c r="C990" s="80" t="str">
        <f aca="false">IF(B990="","",IFERROR(INDEX(الموظفون!$C$6:$C$105,MATCH(B990,الموظفون!$B$6:$B$105,0)),"✖ رقم غير موجود"))</f>
        <v/>
      </c>
      <c r="D990" s="99"/>
      <c r="E990" s="99"/>
      <c r="F990" s="99"/>
      <c r="G990" s="96"/>
      <c r="H990" s="96"/>
      <c r="I990" s="96"/>
      <c r="J990" s="96"/>
      <c r="K990" s="99"/>
      <c r="L990" s="99"/>
      <c r="M990" s="96"/>
      <c r="N990" s="96"/>
      <c r="O990" s="79"/>
    </row>
    <row r="991" customFormat="false" ht="15" hidden="false" customHeight="false" outlineLevel="0" collapsed="false">
      <c r="A991" s="98"/>
      <c r="B991" s="79"/>
      <c r="C991" s="102" t="str">
        <f aca="false">IF(B991="","",IFERROR(INDEX(الموظفون!$C$6:$C$105,MATCH(B991,الموظفون!$B$6:$B$105,0)),"✖ رقم غير موجود"))</f>
        <v/>
      </c>
      <c r="D991" s="99"/>
      <c r="E991" s="99"/>
      <c r="F991" s="99"/>
      <c r="G991" s="96"/>
      <c r="H991" s="96"/>
      <c r="I991" s="96"/>
      <c r="J991" s="96"/>
      <c r="K991" s="99"/>
      <c r="L991" s="99"/>
      <c r="M991" s="96"/>
      <c r="N991" s="96"/>
      <c r="O991" s="79"/>
    </row>
    <row r="992" customFormat="false" ht="15" hidden="false" customHeight="false" outlineLevel="0" collapsed="false">
      <c r="A992" s="98"/>
      <c r="B992" s="79"/>
      <c r="C992" s="80" t="str">
        <f aca="false">IF(B992="","",IFERROR(INDEX(الموظفون!$C$6:$C$105,MATCH(B992,الموظفون!$B$6:$B$105,0)),"✖ رقم غير موجود"))</f>
        <v/>
      </c>
      <c r="D992" s="99"/>
      <c r="E992" s="99"/>
      <c r="F992" s="99"/>
      <c r="G992" s="96"/>
      <c r="H992" s="96"/>
      <c r="I992" s="96"/>
      <c r="J992" s="96"/>
      <c r="K992" s="99"/>
      <c r="L992" s="99"/>
      <c r="M992" s="96"/>
      <c r="N992" s="96"/>
      <c r="O992" s="79"/>
    </row>
    <row r="993" customFormat="false" ht="15" hidden="false" customHeight="false" outlineLevel="0" collapsed="false">
      <c r="A993" s="98"/>
      <c r="B993" s="79"/>
      <c r="C993" s="102" t="str">
        <f aca="false">IF(B993="","",IFERROR(INDEX(الموظفون!$C$6:$C$105,MATCH(B993,الموظفون!$B$6:$B$105,0)),"✖ رقم غير موجود"))</f>
        <v/>
      </c>
      <c r="D993" s="99"/>
      <c r="E993" s="99"/>
      <c r="F993" s="99"/>
      <c r="G993" s="96"/>
      <c r="H993" s="96"/>
      <c r="I993" s="96"/>
      <c r="J993" s="96"/>
      <c r="K993" s="99"/>
      <c r="L993" s="99"/>
      <c r="M993" s="96"/>
      <c r="N993" s="96"/>
      <c r="O993" s="79"/>
    </row>
    <row r="994" customFormat="false" ht="15" hidden="false" customHeight="false" outlineLevel="0" collapsed="false">
      <c r="A994" s="98"/>
      <c r="B994" s="79"/>
      <c r="C994" s="80" t="str">
        <f aca="false">IF(B994="","",IFERROR(INDEX(الموظفون!$C$6:$C$105,MATCH(B994,الموظفون!$B$6:$B$105,0)),"✖ رقم غير موجود"))</f>
        <v/>
      </c>
      <c r="D994" s="99"/>
      <c r="E994" s="99"/>
      <c r="F994" s="99"/>
      <c r="G994" s="96"/>
      <c r="H994" s="96"/>
      <c r="I994" s="96"/>
      <c r="J994" s="96"/>
      <c r="K994" s="99"/>
      <c r="L994" s="99"/>
      <c r="M994" s="96"/>
      <c r="N994" s="96"/>
      <c r="O994" s="79"/>
    </row>
    <row r="995" customFormat="false" ht="15" hidden="false" customHeight="false" outlineLevel="0" collapsed="false">
      <c r="A995" s="98"/>
      <c r="B995" s="79"/>
      <c r="C995" s="102" t="str">
        <f aca="false">IF(B995="","",IFERROR(INDEX(الموظفون!$C$6:$C$105,MATCH(B995,الموظفون!$B$6:$B$105,0)),"✖ رقم غير موجود"))</f>
        <v/>
      </c>
      <c r="D995" s="99"/>
      <c r="E995" s="99"/>
      <c r="F995" s="99"/>
      <c r="G995" s="96"/>
      <c r="H995" s="96"/>
      <c r="I995" s="96"/>
      <c r="J995" s="96"/>
      <c r="K995" s="99"/>
      <c r="L995" s="99"/>
      <c r="M995" s="96"/>
      <c r="N995" s="96"/>
      <c r="O995" s="79"/>
    </row>
    <row r="996" customFormat="false" ht="15" hidden="false" customHeight="false" outlineLevel="0" collapsed="false">
      <c r="A996" s="98"/>
      <c r="B996" s="79"/>
      <c r="C996" s="80" t="str">
        <f aca="false">IF(B996="","",IFERROR(INDEX(الموظفون!$C$6:$C$105,MATCH(B996,الموظفون!$B$6:$B$105,0)),"✖ رقم غير موجود"))</f>
        <v/>
      </c>
      <c r="D996" s="99"/>
      <c r="E996" s="99"/>
      <c r="F996" s="99"/>
      <c r="G996" s="96"/>
      <c r="H996" s="96"/>
      <c r="I996" s="96"/>
      <c r="J996" s="96"/>
      <c r="K996" s="99"/>
      <c r="L996" s="99"/>
      <c r="M996" s="96"/>
      <c r="N996" s="96"/>
      <c r="O996" s="79"/>
    </row>
    <row r="997" customFormat="false" ht="15" hidden="false" customHeight="false" outlineLevel="0" collapsed="false">
      <c r="A997" s="98"/>
      <c r="B997" s="79"/>
      <c r="C997" s="102" t="str">
        <f aca="false">IF(B997="","",IFERROR(INDEX(الموظفون!$C$6:$C$105,MATCH(B997,الموظفون!$B$6:$B$105,0)),"✖ رقم غير موجود"))</f>
        <v/>
      </c>
      <c r="D997" s="99"/>
      <c r="E997" s="99"/>
      <c r="F997" s="99"/>
      <c r="G997" s="96"/>
      <c r="H997" s="96"/>
      <c r="I997" s="96"/>
      <c r="J997" s="96"/>
      <c r="K997" s="99"/>
      <c r="L997" s="99"/>
      <c r="M997" s="96"/>
      <c r="N997" s="96"/>
      <c r="O997" s="79"/>
    </row>
    <row r="998" customFormat="false" ht="15" hidden="false" customHeight="false" outlineLevel="0" collapsed="false">
      <c r="A998" s="98"/>
      <c r="B998" s="79"/>
      <c r="C998" s="80" t="str">
        <f aca="false">IF(B998="","",IFERROR(INDEX(الموظفون!$C$6:$C$105,MATCH(B998,الموظفون!$B$6:$B$105,0)),"✖ رقم غير موجود"))</f>
        <v/>
      </c>
      <c r="D998" s="99"/>
      <c r="E998" s="99"/>
      <c r="F998" s="99"/>
      <c r="G998" s="96"/>
      <c r="H998" s="96"/>
      <c r="I998" s="96"/>
      <c r="J998" s="96"/>
      <c r="K998" s="99"/>
      <c r="L998" s="99"/>
      <c r="M998" s="96"/>
      <c r="N998" s="96"/>
      <c r="O998" s="79"/>
    </row>
    <row r="999" customFormat="false" ht="15" hidden="false" customHeight="false" outlineLevel="0" collapsed="false">
      <c r="A999" s="98"/>
      <c r="B999" s="79"/>
      <c r="C999" s="102" t="str">
        <f aca="false">IF(B999="","",IFERROR(INDEX(الموظفون!$C$6:$C$105,MATCH(B999,الموظفون!$B$6:$B$105,0)),"✖ رقم غير موجود"))</f>
        <v/>
      </c>
      <c r="D999" s="99"/>
      <c r="E999" s="99"/>
      <c r="F999" s="99"/>
      <c r="G999" s="96"/>
      <c r="H999" s="96"/>
      <c r="I999" s="96"/>
      <c r="J999" s="96"/>
      <c r="K999" s="99"/>
      <c r="L999" s="99"/>
      <c r="M999" s="96"/>
      <c r="N999" s="96"/>
      <c r="O999" s="79"/>
    </row>
    <row r="1000" customFormat="false" ht="15" hidden="false" customHeight="false" outlineLevel="0" collapsed="false">
      <c r="A1000" s="98"/>
      <c r="B1000" s="79"/>
      <c r="C1000" s="80" t="str">
        <f aca="false">IF(B1000="","",IFERROR(INDEX(الموظفون!$C$6:$C$105,MATCH(B1000,الموظفون!$B$6:$B$105,0)),"✖ رقم غير موجود"))</f>
        <v/>
      </c>
      <c r="D1000" s="99"/>
      <c r="E1000" s="99"/>
      <c r="F1000" s="99"/>
      <c r="G1000" s="96"/>
      <c r="H1000" s="96"/>
      <c r="I1000" s="96"/>
      <c r="J1000" s="96"/>
      <c r="K1000" s="99"/>
      <c r="L1000" s="99"/>
      <c r="M1000" s="96"/>
      <c r="N1000" s="96"/>
      <c r="O1000" s="79"/>
    </row>
    <row r="1001" customFormat="false" ht="15" hidden="false" customHeight="false" outlineLevel="0" collapsed="false">
      <c r="A1001" s="98"/>
      <c r="B1001" s="79"/>
      <c r="C1001" s="102" t="str">
        <f aca="false">IF(B1001="","",IFERROR(INDEX(الموظفون!$C$6:$C$105,MATCH(B1001,الموظفون!$B$6:$B$105,0)),"✖ رقم غير موجود"))</f>
        <v/>
      </c>
      <c r="D1001" s="99"/>
      <c r="E1001" s="99"/>
      <c r="F1001" s="99"/>
      <c r="G1001" s="96"/>
      <c r="H1001" s="96"/>
      <c r="I1001" s="96"/>
      <c r="J1001" s="96"/>
      <c r="K1001" s="99"/>
      <c r="L1001" s="99"/>
      <c r="M1001" s="96"/>
      <c r="N1001" s="96"/>
      <c r="O1001" s="79"/>
    </row>
    <row r="1002" customFormat="false" ht="15" hidden="false" customHeight="false" outlineLevel="0" collapsed="false">
      <c r="A1002" s="98"/>
      <c r="B1002" s="79"/>
      <c r="C1002" s="80" t="str">
        <f aca="false">IF(B1002="","",IFERROR(INDEX(الموظفون!$C$6:$C$105,MATCH(B1002,الموظفون!$B$6:$B$105,0)),"✖ رقم غير موجود"))</f>
        <v/>
      </c>
      <c r="D1002" s="99"/>
      <c r="E1002" s="99"/>
      <c r="F1002" s="99"/>
      <c r="G1002" s="96"/>
      <c r="H1002" s="96"/>
      <c r="I1002" s="96"/>
      <c r="J1002" s="96"/>
      <c r="K1002" s="99"/>
      <c r="L1002" s="99"/>
      <c r="M1002" s="96"/>
      <c r="N1002" s="96"/>
      <c r="O1002" s="79"/>
    </row>
    <row r="1003" customFormat="false" ht="15" hidden="false" customHeight="false" outlineLevel="0" collapsed="false">
      <c r="A1003" s="98"/>
      <c r="B1003" s="79"/>
      <c r="C1003" s="102" t="str">
        <f aca="false">IF(B1003="","",IFERROR(INDEX(الموظفون!$C$6:$C$105,MATCH(B1003,الموظفون!$B$6:$B$105,0)),"✖ رقم غير موجود"))</f>
        <v/>
      </c>
      <c r="D1003" s="99"/>
      <c r="E1003" s="99"/>
      <c r="F1003" s="99"/>
      <c r="G1003" s="96"/>
      <c r="H1003" s="96"/>
      <c r="I1003" s="96"/>
      <c r="J1003" s="96"/>
      <c r="K1003" s="99"/>
      <c r="L1003" s="99"/>
      <c r="M1003" s="96"/>
      <c r="N1003" s="96"/>
      <c r="O1003" s="79"/>
    </row>
    <row r="1004" customFormat="false" ht="15" hidden="false" customHeight="false" outlineLevel="0" collapsed="false">
      <c r="A1004" s="98"/>
      <c r="B1004" s="79"/>
      <c r="C1004" s="80" t="str">
        <f aca="false">IF(B1004="","",IFERROR(INDEX(الموظفون!$C$6:$C$105,MATCH(B1004,الموظفون!$B$6:$B$105,0)),"✖ رقم غير موجود"))</f>
        <v/>
      </c>
      <c r="D1004" s="99"/>
      <c r="E1004" s="99"/>
      <c r="F1004" s="99"/>
      <c r="G1004" s="96"/>
      <c r="H1004" s="96"/>
      <c r="I1004" s="96"/>
      <c r="J1004" s="96"/>
      <c r="K1004" s="99"/>
      <c r="L1004" s="99"/>
      <c r="M1004" s="96"/>
      <c r="N1004" s="96"/>
      <c r="O1004" s="79"/>
    </row>
    <row r="1005" customFormat="false" ht="15" hidden="false" customHeight="false" outlineLevel="0" collapsed="false">
      <c r="A1005" s="98"/>
      <c r="B1005" s="79"/>
      <c r="C1005" s="102" t="str">
        <f aca="false">IF(B1005="","",IFERROR(INDEX(الموظفون!$C$6:$C$105,MATCH(B1005,الموظفون!$B$6:$B$105,0)),"✖ رقم غير موجود"))</f>
        <v/>
      </c>
      <c r="D1005" s="99"/>
      <c r="E1005" s="99"/>
      <c r="F1005" s="99"/>
      <c r="G1005" s="96"/>
      <c r="H1005" s="96"/>
      <c r="I1005" s="96"/>
      <c r="J1005" s="96"/>
      <c r="K1005" s="99"/>
      <c r="L1005" s="99"/>
      <c r="M1005" s="96"/>
      <c r="N1005" s="96"/>
      <c r="O1005" s="79"/>
    </row>
  </sheetData>
  <autoFilter ref="A5:O1005"/>
  <mergeCells count="2">
    <mergeCell ref="A1:O1"/>
    <mergeCell ref="A2:O2"/>
  </mergeCells>
  <conditionalFormatting sqref="C6:C1005">
    <cfRule type="expression" priority="2" aboveAverage="0" equalAverage="0" bottom="0" percent="0" rank="0" text="" dxfId="0">
      <formula>ISNUMBER(SEARCH("✔",C6))</formula>
    </cfRule>
    <cfRule type="expression" priority="3" aboveAverage="0" equalAverage="0" bottom="0" percent="0" rank="0" text="" dxfId="1">
      <formula>ISNUMBER(SEARCH("✖",C6))</formula>
    </cfRule>
    <cfRule type="expression" priority="4" aboveAverage="0" equalAverage="0" bottom="0" percent="0" rank="0" text="" dxfId="2">
      <formula>ISNUMBER(SEARCH("⚠",C6))</formula>
    </cfRule>
    <cfRule type="expression" priority="5" aboveAverage="0" equalAverage="0" bottom="0" percent="0" rank="0" text="" dxfId="3">
      <formula>ISNUMBER(SEARCH("✈",C6))</formula>
    </cfRule>
    <cfRule type="expression" priority="6" aboveAverage="0" equalAverage="0" bottom="0" percent="0" rank="0" text="" dxfId="1">
      <formula>ISNUMBER(SEARCH("⛔",C6))</formula>
    </cfRule>
    <cfRule type="expression" priority="7" aboveAverage="0" equalAverage="0" bottom="0" percent="0" rank="0" text="" dxfId="0">
      <formula>ISNUMBER(SEARCH("🌴",C6))</formula>
    </cfRule>
    <cfRule type="expression" priority="8" aboveAverage="0" equalAverage="0" bottom="0" percent="0" rank="0" text="" dxfId="4">
      <formula>ISNUMBER(SEARCH("⏳",C6))</formula>
    </cfRule>
  </conditionalFormatting>
  <dataValidations count="3">
    <dataValidation allowBlank="true" error="الشهر رقم من 1 إلى 12" errorStyle="stop" errorTitle="قيمة غير صحيحة" operator="between" showDropDown="false" showErrorMessage="true" showInputMessage="false" sqref="A6:A1005" type="whole">
      <formula1>1</formula1>
      <formula2>12</formula2>
    </dataValidation>
    <dataValidation allowBlank="true" error="من فضلك اختر قيمة من القائمة المنسدلة." errorStyle="stop" errorTitle="قيمة غير مسموحة" operator="between" prompt="اختر رقم الموظف من القائمة" promptTitle="الرقم الوظيفي" showDropDown="false" showErrorMessage="true" showInputMessage="true" sqref="B6:B1005" type="list">
      <formula1>L_EMPID</formula1>
      <formula2>0</formula2>
    </dataValidation>
    <dataValidation allowBlank="true" error="القيم يجب أن تكون موجبة" errorStyle="stop" errorTitle="قيمة غير صحيحة" operator="greaterThanOrEqual" showDropDown="false" showErrorMessage="true" showInputMessage="false" sqref="D6:N1005" type="decimal">
      <formula1>0</formula1>
      <formula2>0</formula2>
    </dataValidation>
  </dataValidations>
  <hyperlinks>
    <hyperlink ref="A3" location="'الرئيسية'!A1" display="🏠 الرئيسية"/>
    <hyperlink ref="B3" location="'لوحة التحكم'!A1" display="📊 لوحة التحكم"/>
    <hyperlink ref="C3" location="'الإعدادات'!A1" display="⚙ الإعدادات"/>
    <hyperlink ref="D3" location="'الموظفون'!A1" display="👥 الموظفون"/>
    <hyperlink ref="E3" location="'سجل الإجازات والحالات'!A1" display="🌴 سجل الإجازات"/>
    <hyperlink ref="F3" location="'الإقامات ورخص العمل'!A1" display="🪪 الإقامات"/>
    <hyperlink ref="G3" location="'الملخص الشهري'!A1" display="📅 الملخص الشهري"/>
    <hyperlink ref="H3" location="'قيود الرواتب'!A1" display="🧾 القيود"/>
    <hyperlink ref="I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يناير "&amp;cfg_FY</f>
        <v>💵 مسير رواتب شهر يناير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1</v>
      </c>
      <c r="D3" s="112" t="s">
        <v>434</v>
      </c>
      <c r="E3" s="114" t="n">
        <f aca="false">DATE(cfg_FY,C3,1)</f>
        <v>46023</v>
      </c>
      <c r="F3" s="114" t="n">
        <f aca="false">EOMONTH(E3,0)</f>
        <v>46053</v>
      </c>
      <c r="G3" s="115" t="str">
        <f aca="false">IF(C3&lt;=cfg_VAL_M,"✔ فعلي","⚠ متوقع")</f>
        <v>✔ فعلي</v>
      </c>
      <c r="H3" s="115"/>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3210.41095890406</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والحالات'!$AH$6:$AH$505,'سجل الإجازات والحالات'!$B$6:$B$505,$B6))/cfg_DAYS_Y)</f>
        <v>14.0575342465753</v>
      </c>
      <c r="AI6" s="130" t="n">
        <f aca="false">IF($B6="","",MAX(0,IF(OR(الموظفون!$AE6="",الموظفون!$AE6&gt;($E$3-1)),($E$3-1),الموظفون!$AE6)-الموظفون!$H6+1-SUMIFS('سجل الإجازات والحالات'!$R$6:$R$505,'سجل الإجازات والحالات'!$B$6:$B$505,$B6))/cfg_DAYS_Y)</f>
        <v>13.972602739726</v>
      </c>
      <c r="AJ6" s="57" t="n">
        <f aca="false">IF($B6="","",MAX(0,AK6-(SUMIFS('سجل الإجازات والحالات'!$AH$6:$AH$505,'سجل الإجازات والحالات'!$B$6:$B$505,$B6)-SUMIFS('سجل الإجازات والحالات'!$R$6:$R$505,'سجل الإجازات والحالات'!$B$6:$B$505,$B6))))</f>
        <v>31</v>
      </c>
      <c r="AK6" s="57" t="n">
        <f aca="false">IF($B6="","",MAX(0,IF(OR(الموظفون!$AE6="",الموظفون!$AE6&gt;$F$3),$F$3,الموظفون!$AE6)-MAX($E$3,الموظفون!$H6)+1))</f>
        <v>31</v>
      </c>
      <c r="AL6" s="126" t="n">
        <f aca="false">IF($B6="","",SUMIFS('سجل الإجازات والحالات'!$AT$6:$AT$505,'سجل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والحالات'!$V$6:$V$505,'سجل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والحالات'!$AH$6:$AH$505,'سجل الإجازات والحالات'!$B$6:$B$505,$B7))/cfg_DAYS_Y)</f>
        <v>9.67671232876712</v>
      </c>
      <c r="AI7" s="135" t="n">
        <f aca="false">IF($B7="","",MAX(0,IF(OR(الموظفون!$AE7="",الموظفون!$AE7&gt;($E$3-1)),($E$3-1),الموظفون!$AE7)-الموظفون!$H7+1-SUMIFS('سجل الإجازات والحالات'!$R$6:$R$505,'سجل الإجازات والحالات'!$B$6:$B$505,$B7))/cfg_DAYS_Y)</f>
        <v>9.59178082191781</v>
      </c>
      <c r="AJ7" s="110" t="n">
        <f aca="false">IF($B7="","",MAX(0,AK7-(SUMIFS('سجل الإجازات والحالات'!$AH$6:$AH$505,'سجل الإجازات والحالات'!$B$6:$B$505,$B7)-SUMIFS('سجل الإجازات والحالات'!$R$6:$R$505,'سجل الإجازات والحالات'!$B$6:$B$505,$B7))))</f>
        <v>31</v>
      </c>
      <c r="AK7" s="110" t="n">
        <f aca="false">IF($B7="","",MAX(0,IF(OR(الموظفون!$AE7="",الموظفون!$AE7&gt;$F$3),$F$3,الموظفون!$AE7)-MAX($E$3,الموظفون!$H7)+1))</f>
        <v>31</v>
      </c>
      <c r="AL7" s="131" t="n">
        <f aca="false">IF($B7="","",SUMIFS('سجل الإجازات والحالات'!$AT$6:$AT$505,'سجل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والحالات'!$V$6:$V$505,'سجل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12</v>
      </c>
      <c r="P8" s="97" t="n">
        <f aca="false">IF($B8="","",O8*(الموظفون!$P8+الموظفون!$L8*cfg_OT_P)/cfg_DAYS_M/cfg_HRS)</f>
        <v>811.25</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12786.25</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11786.25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16137.9851598174</v>
      </c>
      <c r="AH8" s="130" t="n">
        <f aca="false">IF($B8="","",MAX(0,IF(OR(الموظفون!$AE8="",الموظفون!$AE8&gt;$F$3),$F$3,الموظفون!$AE8)-الموظفون!$H8+1-SUMIFS('سجل الإجازات والحالات'!$AH$6:$AH$505,'سجل الإجازات والحالات'!$B$6:$B$505,$B8))/cfg_DAYS_Y)</f>
        <v>7.4</v>
      </c>
      <c r="AI8" s="130" t="n">
        <f aca="false">IF($B8="","",MAX(0,IF(OR(الموظفون!$AE8="",الموظفون!$AE8&gt;($E$3-1)),($E$3-1),الموظفون!$AE8)-الموظفون!$H8+1-SUMIFS('سجل الإجازات والحالات'!$R$6:$R$505,'سجل الإجازات والحالات'!$B$6:$B$505,$B8))/cfg_DAYS_Y)</f>
        <v>7.31506849315069</v>
      </c>
      <c r="AJ8" s="57" t="n">
        <f aca="false">IF($B8="","",MAX(0,AK8-(SUMIFS('سجل الإجازات والحالات'!$AH$6:$AH$505,'سجل الإجازات والحالات'!$B$6:$B$505,$B8)-SUMIFS('سجل الإجازات والحالات'!$R$6:$R$505,'سجل الإجازات والحالات'!$B$6:$B$505,$B8))))</f>
        <v>31</v>
      </c>
      <c r="AK8" s="57" t="n">
        <f aca="false">IF($B8="","",MAX(0,IF(OR(الموظفون!$AE8="",الموظفون!$AE8&gt;$F$3),$F$3,الموظفون!$AE8)-MAX($E$3,الموظفون!$H8)+1))</f>
        <v>31</v>
      </c>
      <c r="AL8" s="126" t="n">
        <f aca="false">IF($B8="","",SUMIFS('سجل الإجازات والحالات'!$AT$6:$AT$505,'سجل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والحالات'!$V$6:$V$505,'سجل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1605.20547945206</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والحالات'!$AH$6:$AH$505,'سجل الإجازات والحالات'!$B$6:$B$505,$B9))/cfg_DAYS_Y)</f>
        <v>7.0054794520548</v>
      </c>
      <c r="AI9" s="135" t="n">
        <f aca="false">IF($B9="","",MAX(0,IF(OR(الموظفون!$AE9="",الموظفون!$AE9&gt;($E$3-1)),($E$3-1),الموظفون!$AE9)-الموظفون!$H9+1-SUMIFS('سجل الإجازات والحالات'!$R$6:$R$505,'سجل الإجازات والحالات'!$B$6:$B$505,$B9))/cfg_DAYS_Y)</f>
        <v>6.92054794520548</v>
      </c>
      <c r="AJ9" s="110" t="n">
        <f aca="false">IF($B9="","",MAX(0,AK9-(SUMIFS('سجل الإجازات والحالات'!$AH$6:$AH$505,'سجل الإجازات والحالات'!$B$6:$B$505,$B9)-SUMIFS('سجل الإجازات والحالات'!$R$6:$R$505,'سجل الإجازات والحالات'!$B$6:$B$505,$B9))))</f>
        <v>31</v>
      </c>
      <c r="AK9" s="110" t="n">
        <f aca="false">IF($B9="","",MAX(0,IF(OR(الموظفون!$AE9="",الموظفون!$AE9&gt;$F$3),$F$3,الموظفون!$AE9)-MAX($E$3,الموظفون!$H9)+1))</f>
        <v>31</v>
      </c>
      <c r="AL9" s="131" t="n">
        <f aca="false">IF($B9="","",SUMIFS('سجل الإجازات والحالات'!$AT$6:$AT$505,'سجل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والحالات'!$V$6:$V$505,'سجل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1031.91780821918</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والحالات'!$AH$6:$AH$505,'سجل الإجازات والحالات'!$B$6:$B$505,$B10))/cfg_DAYS_Y)</f>
        <v>5.81095890410959</v>
      </c>
      <c r="AI10" s="130" t="n">
        <f aca="false">IF($B10="","",MAX(0,IF(OR(الموظفون!$AE10="",الموظفون!$AE10&gt;($E$3-1)),($E$3-1),الموظفون!$AE10)-الموظفون!$H10+1-SUMIFS('سجل الإجازات والحالات'!$R$6:$R$505,'سجل الإجازات والحالات'!$B$6:$B$505,$B10))/cfg_DAYS_Y)</f>
        <v>5.72602739726027</v>
      </c>
      <c r="AJ10" s="57" t="n">
        <f aca="false">IF($B10="","",MAX(0,AK10-(SUMIFS('سجل الإجازات والحالات'!$AH$6:$AH$505,'سجل الإجازات والحالات'!$B$6:$B$505,$B10)-SUMIFS('سجل الإجازات والحالات'!$R$6:$R$505,'سجل الإجازات والحالات'!$B$6:$B$505,$B10))))</f>
        <v>31</v>
      </c>
      <c r="AK10" s="57" t="n">
        <f aca="false">IF($B10="","",MAX(0,IF(OR(الموظفون!$AE10="",الموظفون!$AE10&gt;$F$3),$F$3,الموظفون!$AE10)-MAX($E$3,الموظفون!$H10)+1))</f>
        <v>31</v>
      </c>
      <c r="AL10" s="126" t="n">
        <f aca="false">IF($B10="","",SUMIFS('سجل الإجازات والحالات'!$AT$6:$AT$505,'سجل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والحالات'!$V$6:$V$505,'سجل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والحالات'!$AH$6:$AH$505,'سجل الإجازات والحالات'!$B$6:$B$505,$B11))/cfg_DAYS_Y)</f>
        <v>8.24657534246575</v>
      </c>
      <c r="AI11" s="135" t="n">
        <f aca="false">IF($B11="","",MAX(0,IF(OR(الموظفون!$AE11="",الموظفون!$AE11&gt;($E$3-1)),($E$3-1),الموظفون!$AE11)-الموظفون!$H11+1-SUMIFS('سجل الإجازات والحالات'!$R$6:$R$505,'سجل الإجازات والحالات'!$B$6:$B$505,$B11))/cfg_DAYS_Y)</f>
        <v>8.16164383561644</v>
      </c>
      <c r="AJ11" s="110" t="n">
        <f aca="false">IF($B11="","",MAX(0,AK11-(SUMIFS('سجل الإجازات والحالات'!$AH$6:$AH$505,'سجل الإجازات والحالات'!$B$6:$B$505,$B11)-SUMIFS('سجل الإجازات والحالات'!$R$6:$R$505,'سجل الإجازات والحالات'!$B$6:$B$505,$B11))))</f>
        <v>31</v>
      </c>
      <c r="AK11" s="110" t="n">
        <f aca="false">IF($B11="","",MAX(0,IF(OR(الموظفون!$AE11="",الموظفون!$AE11&gt;$F$3),$F$3,الموظفون!$AE11)-MAX($E$3,الموظفون!$H11)+1))</f>
        <v>31</v>
      </c>
      <c r="AL11" s="131" t="n">
        <f aca="false">IF($B11="","",SUMIFS('سجل الإجازات والحالات'!$AT$6:$AT$505,'سجل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والحالات'!$V$6:$V$505,'سجل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895.068493150691</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19917.6598173516</v>
      </c>
      <c r="AH12" s="130" t="n">
        <f aca="false">IF($B12="","",MAX(0,IF(OR(الموظفون!$AE12="",الموظفون!$AE12&gt;$F$3),$F$3,الموظفون!$AE12)-الموظفون!$H12+1-SUMIFS('سجل الإجازات والحالات'!$AH$6:$AH$505,'سجل الإجازات والحالات'!$B$6:$B$505,$B12))/cfg_DAYS_Y)</f>
        <v>5.03561643835617</v>
      </c>
      <c r="AI12" s="130" t="n">
        <f aca="false">IF($B12="","",MAX(0,IF(OR(الموظفون!$AE12="",الموظفون!$AE12&gt;($E$3-1)),($E$3-1),الموظفون!$AE12)-الموظفون!$H12+1-SUMIFS('سجل الإجازات والحالات'!$R$6:$R$505,'سجل الإجازات والحالات'!$B$6:$B$505,$B12))/cfg_DAYS_Y)</f>
        <v>4.95068493150685</v>
      </c>
      <c r="AJ12" s="57" t="n">
        <f aca="false">IF($B12="","",MAX(0,AK12-(SUMIFS('سجل الإجازات والحالات'!$AH$6:$AH$505,'سجل الإجازات والحالات'!$B$6:$B$505,$B12)-SUMIFS('سجل الإجازات والحالات'!$R$6:$R$505,'سجل الإجازات والحالات'!$B$6:$B$505,$B12))))</f>
        <v>31</v>
      </c>
      <c r="AK12" s="57" t="n">
        <f aca="false">IF($B12="","",MAX(0,IF(OR(الموظفون!$AE12="",الموظفون!$AE12&gt;$F$3),$F$3,الموظفون!$AE12)-MAX($E$3,الموظفون!$H12)+1))</f>
        <v>31</v>
      </c>
      <c r="AL12" s="126" t="n">
        <f aca="false">IF($B12="","",SUMIFS('سجل الإجازات والحالات'!$AT$6:$AT$505,'سجل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والحالات'!$V$6:$V$505,'سجل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والحالات'!$AH$6:$AH$505,'سجل الإجازات والحالات'!$B$6:$B$505,$B13))/cfg_DAYS_Y)</f>
        <v>2.92602739726027</v>
      </c>
      <c r="AI13" s="135" t="n">
        <f aca="false">IF($B13="","",MAX(0,IF(OR(الموظفون!$AE13="",الموظفون!$AE13&gt;($E$3-1)),($E$3-1),الموظفون!$AE13)-الموظفون!$H13+1-SUMIFS('سجل الإجازات والحالات'!$R$6:$R$505,'سجل الإجازات والحالات'!$B$6:$B$505,$B13))/cfg_DAYS_Y)</f>
        <v>2.84109589041096</v>
      </c>
      <c r="AJ13" s="110" t="n">
        <f aca="false">IF($B13="","",MAX(0,AK13-(SUMIFS('سجل الإجازات والحالات'!$AH$6:$AH$505,'سجل الإجازات والحالات'!$B$6:$B$505,$B13)-SUMIFS('سجل الإجازات والحالات'!$R$6:$R$505,'سجل الإجازات والحالات'!$B$6:$B$505,$B13))))</f>
        <v>31</v>
      </c>
      <c r="AK13" s="110" t="n">
        <f aca="false">IF($B13="","",MAX(0,IF(OR(الموظفون!$AE13="",الموظفون!$AE13&gt;$F$3),$F$3,الموظفون!$AE13)-MAX($E$3,الموظفون!$H13)+1))</f>
        <v>31</v>
      </c>
      <c r="AL13" s="131" t="n">
        <f aca="false">IF($B13="","",SUMIFS('سجل الإجازات والحالات'!$AT$6:$AT$505,'سجل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والحالات'!$V$6:$V$505,'سجل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غياب 1 يوم</v>
      </c>
      <c r="G14" s="126" t="n">
        <f aca="false">IF($B14="","",IF(AK14&gt;=DAY($F$3),cfg_DAYS_M,MIN(AK14,cfg_DAYS_M)))</f>
        <v>30</v>
      </c>
      <c r="H14" s="126" t="n">
        <f aca="false">IF($B14="","",SUMIFS('الحركات الشهرية'!$D$6:$D$1005,'الحركات الشهرية'!$B$6:$B$1005,$B14,'الحركات الشهرية'!$A$6:$A$1005,$C$3))</f>
        <v>1</v>
      </c>
      <c r="I14" s="126" t="n">
        <f aca="false">IF($B14="","",MIN(G14,IF(AND(AK14&gt;0,AN14&gt;=AK14),G14,AN14)+SUMIFS('الحركات الشهرية'!$E$6:$E$1005,'الحركات الشهرية'!$B$6:$B$1005,$B14,'الحركات الشهرية'!$A$6:$A$1005,$C$3)))</f>
        <v>0</v>
      </c>
      <c r="J14" s="126" t="n">
        <f aca="false">IF($B14="","",MAX(0,G14-H14-I14))</f>
        <v>29</v>
      </c>
      <c r="K14" s="97" t="n">
        <f aca="false">IF($B14="","",الموظفون!$L14*$J14/cfg_DAYS_M)</f>
        <v>6283.33333333333</v>
      </c>
      <c r="L14" s="97" t="n">
        <f aca="false">IF($B14="","",الموظفون!$M14*$J14/cfg_DAYS_M)</f>
        <v>1570.83333333333</v>
      </c>
      <c r="M14" s="97" t="n">
        <f aca="false">IF($B14="","",الموظفون!$N14*$J14/cfg_DAYS_M)</f>
        <v>628.333333333333</v>
      </c>
      <c r="N14" s="97" t="n">
        <f aca="false">IF($B14="","",الموظفون!$O14*$J14/cfg_DAYS_M)</f>
        <v>290</v>
      </c>
      <c r="O14" s="126" t="n">
        <f aca="false">IF($B14="","",SUMIFS('الحركات الشهرية'!$F$6:$F$1005,'الحركات الشهرية'!$B$6:$B$1005,$B14,'الحركات الشهرية'!$A$6:$A$1005,$C$3))</f>
        <v>20</v>
      </c>
      <c r="P14" s="97" t="n">
        <f aca="false">IF($B14="","",O14*(الموظفون!$P14+الموظفون!$L14*cfg_OT_P)/cfg_DAYS_M/cfg_HRS)</f>
        <v>1027.08333333333</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9799.58333333333</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100</v>
      </c>
      <c r="X14" s="97" t="n">
        <f aca="false">IF($B14="","",SUM(U14:W14))</f>
        <v>100</v>
      </c>
      <c r="Y14" s="128" t="n">
        <f aca="false">IF($B14="","",T14-X14)</f>
        <v>9699.58333333333</v>
      </c>
      <c r="Z14" s="97" t="n">
        <f aca="false">IF($B14="","",الموظفون!$S14*IF(E14="سعودي",cfg_G_SR,cfg_G_NR)*G14/cfg_DAYS_M)</f>
        <v>162.5</v>
      </c>
      <c r="AA14" s="97" t="n">
        <f aca="false">IF($B14="","",الموظفون!$Q14*(cfg_EOS_R1*(MIN(AH14,cfg_EOS_TH)-MIN(AI14,cfg_EOS_TH))+cfg_EOS_R2*(MAX(AH14-cfg_EOS_TH,0)-MAX(AI14-cfg_EOS_TH,0))))</f>
        <v>745.273972602728</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12550.2226027397</v>
      </c>
      <c r="AH14" s="130" t="n">
        <f aca="false">IF($B14="","",MAX(0,IF(OR(الموظفون!$AE14="",الموظفون!$AE14&gt;$F$3),$F$3,الموظفون!$AE14)-الموظفون!$H14+1-SUMIFS('سجل الإجازات والحالات'!$AH$6:$AH$505,'سجل الإجازات والحالات'!$B$6:$B$505,$B14))/cfg_DAYS_Y)</f>
        <v>11.4657534246575</v>
      </c>
      <c r="AI14" s="130" t="n">
        <f aca="false">IF($B14="","",MAX(0,IF(OR(الموظفون!$AE14="",الموظفون!$AE14&gt;($E$3-1)),($E$3-1),الموظفون!$AE14)-الموظفون!$H14+1-SUMIFS('سجل الإجازات والحالات'!$R$6:$R$505,'سجل الإجازات والحالات'!$B$6:$B$505,$B14))/cfg_DAYS_Y)</f>
        <v>11.3808219178082</v>
      </c>
      <c r="AJ14" s="57" t="n">
        <f aca="false">IF($B14="","",MAX(0,AK14-(SUMIFS('سجل الإجازات والحالات'!$AH$6:$AH$505,'سجل الإجازات والحالات'!$B$6:$B$505,$B14)-SUMIFS('سجل الإجازات والحالات'!$R$6:$R$505,'سجل الإجازات والحالات'!$B$6:$B$505,$B14))))</f>
        <v>31</v>
      </c>
      <c r="AK14" s="57" t="n">
        <f aca="false">IF($B14="","",MAX(0,IF(OR(الموظفون!$AE14="",الموظفون!$AE14&gt;$F$3),$F$3,الموظفون!$AE14)-MAX($E$3,الموظفون!$H14)+1))</f>
        <v>31</v>
      </c>
      <c r="AL14" s="126" t="n">
        <f aca="false">IF($B14="","",SUMIFS('سجل الإجازات والحالات'!$AT$6:$AT$505,'سجل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والحالات'!$V$6:$V$505,'سجل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لم يباشر</v>
      </c>
      <c r="G15" s="131" t="n">
        <f aca="false">IF($B15="","",IF(AK15&gt;=DAY($F$3),cfg_DAYS_M,MIN(AK15,cfg_DAYS_M)))</f>
        <v>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0</v>
      </c>
      <c r="K15" s="101" t="n">
        <f aca="false">IF($B15="","",الموظفون!$L15*$J15/cfg_DAYS_M)</f>
        <v>0</v>
      </c>
      <c r="L15" s="101" t="n">
        <f aca="false">IF($B15="","",الموظفون!$M15*$J15/cfg_DAYS_M)</f>
        <v>0</v>
      </c>
      <c r="M15" s="101" t="n">
        <f aca="false">IF($B15="","",الموظفون!$N15*$J15/cfg_DAYS_M)</f>
        <v>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0</v>
      </c>
      <c r="U15" s="101" t="n">
        <f aca="false">IF($B15="","",الموظفون!$S15*IF(E15="سعودي",cfg_G_SE,cfg_G_NE)*G15/cfg_DAYS_M)</f>
        <v>0</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0</v>
      </c>
      <c r="Y15" s="133" t="n">
        <f aca="false">IF($B15="","",T15-X15)</f>
        <v>0</v>
      </c>
      <c r="Z15" s="101" t="n">
        <f aca="false">IF($B15="","",الموظفون!$S15*IF(E15="سعودي",cfg_G_SR,cfg_G_NR)*G15/cfg_DAYS_M)</f>
        <v>0</v>
      </c>
      <c r="AA15" s="101" t="n">
        <f aca="false">IF($B15="","",الموظفون!$Q15*(cfg_EOS_R1*(MIN(AH15,cfg_EOS_TH)-MIN(AI15,cfg_EOS_TH))+cfg_EOS_R2*(MAX(AH15-cfg_EOS_TH,0)-MAX(AI15-cfg_EOS_TH,0))))</f>
        <v>0</v>
      </c>
      <c r="AB15" s="101" t="n">
        <f aca="false">IF($B15="","",IF(الموظفون!$T15&lt;&gt;"",الموظفون!$T15,IF(AH15&gt;=cfg_LV_TH,cfg_LV_D2,cfg_LV_D1))/cfg_DAYS_Y*AJ15*الموظفون!$R15/cfg_DAYS_M)</f>
        <v>0</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0</v>
      </c>
      <c r="AF15" s="101" t="n">
        <f aca="false">IF($B15="","",N(الموظفون!$AA15)/12*G15/cfg_DAYS_M)</f>
        <v>0</v>
      </c>
      <c r="AG15" s="134" t="n">
        <f aca="false">IF($B15="","",T15+SUM(Z15:AF15))</f>
        <v>0</v>
      </c>
      <c r="AH15" s="135" t="n">
        <f aca="false">IF($B15="","",MAX(0,IF(OR(الموظفون!$AE15="",الموظفون!$AE15&gt;$F$3),$F$3,الموظفون!$AE15)-الموظفون!$H15+1-SUMIFS('سجل الإجازات والحالات'!$AH$6:$AH$505,'سجل الإجازات والحالات'!$B$6:$B$505,$B15))/cfg_DAYS_Y)</f>
        <v>0</v>
      </c>
      <c r="AI15" s="135" t="n">
        <f aca="false">IF($B15="","",MAX(0,IF(OR(الموظفون!$AE15="",الموظفون!$AE15&gt;($E$3-1)),($E$3-1),الموظفون!$AE15)-الموظفون!$H15+1-SUMIFS('سجل الإجازات والحالات'!$R$6:$R$505,'سجل الإجازات والحالات'!$B$6:$B$505,$B15))/cfg_DAYS_Y)</f>
        <v>0</v>
      </c>
      <c r="AJ15" s="110" t="n">
        <f aca="false">IF($B15="","",MAX(0,AK15-(SUMIFS('سجل الإجازات والحالات'!$AH$6:$AH$505,'سجل الإجازات والحالات'!$B$6:$B$505,$B15)-SUMIFS('سجل الإجازات والحالات'!$R$6:$R$505,'سجل الإجازات والحالات'!$B$6:$B$505,$B15))))</f>
        <v>0</v>
      </c>
      <c r="AK15" s="110" t="n">
        <f aca="false">IF($B15="","",MAX(0,IF(OR(الموظفون!$AE15="",الموظفون!$AE15&gt;$F$3),$F$3,الموظفون!$AE15)-MAX($E$3,الموظفون!$H15)+1))</f>
        <v>0</v>
      </c>
      <c r="AL15" s="131" t="n">
        <f aca="false">IF($B15="","",SUMIFS('سجل الإجازات والحالات'!$AT$6:$AT$505,'سجل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والحالات'!$V$6:$V$505,'سجل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573.28767123288</v>
      </c>
      <c r="AB16" s="97" t="n">
        <f aca="false">IF($B16="","",IF(الموظفون!$T16&lt;&gt;"",الموظفون!$T16,IF(AH16&gt;=cfg_LV_TH,cfg_LV_D2,cfg_LV_D1))/cfg_DAYS_Y*AJ16*الموظفون!$R16/cfg_DAYS_M)</f>
        <v>573.287671232877</v>
      </c>
      <c r="AC16" s="97" t="n">
        <f aca="false">IF($B16="","",IF(AND(الموظفون!$U16="نعم",N(الموظفون!$W16)&gt;0),الموظفون!$V16/الموظفون!$W16*12/cfg_DAYS_Y*AJ16,0))</f>
        <v>110.41095890411</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9136.15296803653</v>
      </c>
      <c r="AH16" s="130" t="n">
        <f aca="false">IF($B16="","",MAX(0,IF(OR(الموظفون!$AE16="",الموظفون!$AE16&gt;$F$3),$F$3,الموظفون!$AE16)-الموظفون!$H16+1-SUMIFS('سجل الإجازات والحالات'!$AH$6:$AH$505,'سجل الإجازات والحالات'!$B$6:$B$505,$B16))/cfg_DAYS_Y)</f>
        <v>6.92876712328767</v>
      </c>
      <c r="AI16" s="130" t="n">
        <f aca="false">IF($B16="","",MAX(0,IF(OR(الموظفون!$AE16="",الموظفون!$AE16&gt;($E$3-1)),($E$3-1),الموظفون!$AE16)-الموظفون!$H16+1-SUMIFS('سجل الإجازات والحالات'!$R$6:$R$505,'سجل الإجازات والحالات'!$B$6:$B$505,$B16))/cfg_DAYS_Y)</f>
        <v>6.84383561643836</v>
      </c>
      <c r="AJ16" s="57" t="n">
        <f aca="false">IF($B16="","",MAX(0,AK16-(SUMIFS('سجل الإجازات والحالات'!$AH$6:$AH$505,'سجل الإجازات والحالات'!$B$6:$B$505,$B16)-SUMIFS('سجل الإجازات والحالات'!$R$6:$R$505,'سجل الإجازات والحالات'!$B$6:$B$505,$B16))))</f>
        <v>31</v>
      </c>
      <c r="AK16" s="57" t="n">
        <f aca="false">IF($B16="","",MAX(0,IF(OR(الموظفون!$AE16="",الموظفون!$AE16&gt;$F$3),$F$3,الموظفون!$AE16)-MAX($E$3,الموظفون!$H16)+1))</f>
        <v>31</v>
      </c>
      <c r="AL16" s="126" t="n">
        <f aca="false">IF($B16="","",SUMIFS('سجل الإجازات والحالات'!$AT$6:$AT$505,'سجل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والحالات'!$V$6:$V$505,'سجل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687.945205479452</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والحالات'!$AH$6:$AH$505,'سجل الإجازات والحالات'!$B$6:$B$505,$B17))/cfg_DAYS_Y)</f>
        <v>3.56712328767123</v>
      </c>
      <c r="AI17" s="135" t="n">
        <f aca="false">IF($B17="","",MAX(0,IF(OR(الموظفون!$AE17="",الموظفون!$AE17&gt;($E$3-1)),($E$3-1),الموظفون!$AE17)-الموظفون!$H17+1-SUMIFS('سجل الإجازات والحالات'!$R$6:$R$505,'سجل الإجازات والحالات'!$B$6:$B$505,$B17))/cfg_DAYS_Y)</f>
        <v>3.48219178082192</v>
      </c>
      <c r="AJ17" s="110" t="n">
        <f aca="false">IF($B17="","",MAX(0,AK17-(SUMIFS('سجل الإجازات والحالات'!$AH$6:$AH$505,'سجل الإجازات والحالات'!$B$6:$B$505,$B17)-SUMIFS('سجل الإجازات والحالات'!$R$6:$R$505,'سجل الإجازات والحالات'!$B$6:$B$505,$B17))))</f>
        <v>31</v>
      </c>
      <c r="AK17" s="110" t="n">
        <f aca="false">IF($B17="","",MAX(0,IF(OR(الموظفون!$AE17="",الموظفون!$AE17&gt;$F$3),$F$3,الموظفون!$AE17)-MAX($E$3,الموظفون!$H17)+1))</f>
        <v>31</v>
      </c>
      <c r="AL17" s="131" t="n">
        <f aca="false">IF($B17="","",SUMIFS('سجل الإجازات والحالات'!$AT$6:$AT$505,'سجل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والحالات'!$V$6:$V$505,'سجل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والحالات'!$AH$6:$AH$505,'سجل الإجازات والحالات'!$B$6:$B$505,$B18))/cfg_DAYS_Y)</f>
        <v/>
      </c>
      <c r="AI18" s="130" t="str">
        <f aca="false">IF($B18="","",MAX(0,IF(OR(الموظفون!$AE18="",الموظفون!$AE18&gt;($E$3-1)),($E$3-1),الموظفون!$AE18)-الموظفون!$H18+1-SUMIFS('سجل الإجازات والحالات'!$R$6:$R$505,'سجل الإجازات والحالات'!$B$6:$B$505,$B18))/cfg_DAYS_Y)</f>
        <v/>
      </c>
      <c r="AJ18" s="57" t="str">
        <f aca="false">IF($B18="","",MAX(0,AK18-(SUMIFS('سجل الإجازات والحالات'!$AH$6:$AH$505,'سجل الإجازات والحالات'!$B$6:$B$505,$B18)-SUMIFS('سجل الإجازات والحالات'!$R$6:$R$505,'سجل الإجازات والحالات'!$B$6:$B$505,$B18))))</f>
        <v/>
      </c>
      <c r="AK18" s="57" t="str">
        <f aca="false">IF($B18="","",MAX(0,IF(OR(الموظفون!$AE18="",الموظفون!$AE18&gt;$F$3),$F$3,الموظفون!$AE18)-MAX($E$3,الموظفون!$H18)+1))</f>
        <v/>
      </c>
      <c r="AL18" s="126" t="str">
        <f aca="false">IF($B18="","",SUMIFS('سجل الإجازات والحالات'!$AT$6:$AT$505,'سجل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والحالات'!$V$6:$V$505,'سجل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والحالات'!$AH$6:$AH$505,'سجل الإجازات والحالات'!$B$6:$B$505,$B19))/cfg_DAYS_Y)</f>
        <v/>
      </c>
      <c r="AI19" s="135" t="str">
        <f aca="false">IF($B19="","",MAX(0,IF(OR(الموظفون!$AE19="",الموظفون!$AE19&gt;($E$3-1)),($E$3-1),الموظفون!$AE19)-الموظفون!$H19+1-SUMIFS('سجل الإجازات والحالات'!$R$6:$R$505,'سجل الإجازات والحالات'!$B$6:$B$505,$B19))/cfg_DAYS_Y)</f>
        <v/>
      </c>
      <c r="AJ19" s="110" t="str">
        <f aca="false">IF($B19="","",MAX(0,AK19-(SUMIFS('سجل الإجازات والحالات'!$AH$6:$AH$505,'سجل الإجازات والحالات'!$B$6:$B$505,$B19)-SUMIFS('سجل الإجازات والحالات'!$R$6:$R$505,'سجل الإجازات والحالات'!$B$6:$B$505,$B19))))</f>
        <v/>
      </c>
      <c r="AK19" s="110" t="str">
        <f aca="false">IF($B19="","",MAX(0,IF(OR(الموظفون!$AE19="",الموظفون!$AE19&gt;$F$3),$F$3,الموظفون!$AE19)-MAX($E$3,الموظفون!$H19)+1))</f>
        <v/>
      </c>
      <c r="AL19" s="131" t="str">
        <f aca="false">IF($B19="","",SUMIFS('سجل الإجازات والحالات'!$AT$6:$AT$505,'سجل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والحالات'!$V$6:$V$505,'سجل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والحالات'!$AH$6:$AH$505,'سجل الإجازات والحالات'!$B$6:$B$505,$B20))/cfg_DAYS_Y)</f>
        <v/>
      </c>
      <c r="AI20" s="130" t="str">
        <f aca="false">IF($B20="","",MAX(0,IF(OR(الموظفون!$AE20="",الموظفون!$AE20&gt;($E$3-1)),($E$3-1),الموظفون!$AE20)-الموظفون!$H20+1-SUMIFS('سجل الإجازات والحالات'!$R$6:$R$505,'سجل الإجازات والحالات'!$B$6:$B$505,$B20))/cfg_DAYS_Y)</f>
        <v/>
      </c>
      <c r="AJ20" s="57" t="str">
        <f aca="false">IF($B20="","",MAX(0,AK20-(SUMIFS('سجل الإجازات والحالات'!$AH$6:$AH$505,'سجل الإجازات والحالات'!$B$6:$B$505,$B20)-SUMIFS('سجل الإجازات والحالات'!$R$6:$R$505,'سجل الإجازات والحالات'!$B$6:$B$505,$B20))))</f>
        <v/>
      </c>
      <c r="AK20" s="57" t="str">
        <f aca="false">IF($B20="","",MAX(0,IF(OR(الموظفون!$AE20="",الموظفون!$AE20&gt;$F$3),$F$3,الموظفون!$AE20)-MAX($E$3,الموظفون!$H20)+1))</f>
        <v/>
      </c>
      <c r="AL20" s="126" t="str">
        <f aca="false">IF($B20="","",SUMIFS('سجل الإجازات والحالات'!$AT$6:$AT$505,'سجل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والحالات'!$V$6:$V$505,'سجل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والحالات'!$AH$6:$AH$505,'سجل الإجازات والحالات'!$B$6:$B$505,$B21))/cfg_DAYS_Y)</f>
        <v/>
      </c>
      <c r="AI21" s="135" t="str">
        <f aca="false">IF($B21="","",MAX(0,IF(OR(الموظفون!$AE21="",الموظفون!$AE21&gt;($E$3-1)),($E$3-1),الموظفون!$AE21)-الموظفون!$H21+1-SUMIFS('سجل الإجازات والحالات'!$R$6:$R$505,'سجل الإجازات والحالات'!$B$6:$B$505,$B21))/cfg_DAYS_Y)</f>
        <v/>
      </c>
      <c r="AJ21" s="110" t="str">
        <f aca="false">IF($B21="","",MAX(0,AK21-(SUMIFS('سجل الإجازات والحالات'!$AH$6:$AH$505,'سجل الإجازات والحالات'!$B$6:$B$505,$B21)-SUMIFS('سجل الإجازات والحالات'!$R$6:$R$505,'سجل الإجازات والحالات'!$B$6:$B$505,$B21))))</f>
        <v/>
      </c>
      <c r="AK21" s="110" t="str">
        <f aca="false">IF($B21="","",MAX(0,IF(OR(الموظفون!$AE21="",الموظفون!$AE21&gt;$F$3),$F$3,الموظفون!$AE21)-MAX($E$3,الموظفون!$H21)+1))</f>
        <v/>
      </c>
      <c r="AL21" s="131" t="str">
        <f aca="false">IF($B21="","",SUMIFS('سجل الإجازات والحالات'!$AT$6:$AT$505,'سجل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والحالات'!$V$6:$V$505,'سجل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والحالات'!$AH$6:$AH$505,'سجل الإجازات والحالات'!$B$6:$B$505,$B22))/cfg_DAYS_Y)</f>
        <v/>
      </c>
      <c r="AI22" s="130" t="str">
        <f aca="false">IF($B22="","",MAX(0,IF(OR(الموظفون!$AE22="",الموظفون!$AE22&gt;($E$3-1)),($E$3-1),الموظفون!$AE22)-الموظفون!$H22+1-SUMIFS('سجل الإجازات والحالات'!$R$6:$R$505,'سجل الإجازات والحالات'!$B$6:$B$505,$B22))/cfg_DAYS_Y)</f>
        <v/>
      </c>
      <c r="AJ22" s="57" t="str">
        <f aca="false">IF($B22="","",MAX(0,AK22-(SUMIFS('سجل الإجازات والحالات'!$AH$6:$AH$505,'سجل الإجازات والحالات'!$B$6:$B$505,$B22)-SUMIFS('سجل الإجازات والحالات'!$R$6:$R$505,'سجل الإجازات والحالات'!$B$6:$B$505,$B22))))</f>
        <v/>
      </c>
      <c r="AK22" s="57" t="str">
        <f aca="false">IF($B22="","",MAX(0,IF(OR(الموظفون!$AE22="",الموظفون!$AE22&gt;$F$3),$F$3,الموظفون!$AE22)-MAX($E$3,الموظفون!$H22)+1))</f>
        <v/>
      </c>
      <c r="AL22" s="126" t="str">
        <f aca="false">IF($B22="","",SUMIFS('سجل الإجازات والحالات'!$AT$6:$AT$505,'سجل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والحالات'!$V$6:$V$505,'سجل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والحالات'!$AH$6:$AH$505,'سجل الإجازات والحالات'!$B$6:$B$505,$B23))/cfg_DAYS_Y)</f>
        <v/>
      </c>
      <c r="AI23" s="135" t="str">
        <f aca="false">IF($B23="","",MAX(0,IF(OR(الموظفون!$AE23="",الموظفون!$AE23&gt;($E$3-1)),($E$3-1),الموظفون!$AE23)-الموظفون!$H23+1-SUMIFS('سجل الإجازات والحالات'!$R$6:$R$505,'سجل الإجازات والحالات'!$B$6:$B$505,$B23))/cfg_DAYS_Y)</f>
        <v/>
      </c>
      <c r="AJ23" s="110" t="str">
        <f aca="false">IF($B23="","",MAX(0,AK23-(SUMIFS('سجل الإجازات والحالات'!$AH$6:$AH$505,'سجل الإجازات والحالات'!$B$6:$B$505,$B23)-SUMIFS('سجل الإجازات والحالات'!$R$6:$R$505,'سجل الإجازات والحالات'!$B$6:$B$505,$B23))))</f>
        <v/>
      </c>
      <c r="AK23" s="110" t="str">
        <f aca="false">IF($B23="","",MAX(0,IF(OR(الموظفون!$AE23="",الموظفون!$AE23&gt;$F$3),$F$3,الموظفون!$AE23)-MAX($E$3,الموظفون!$H23)+1))</f>
        <v/>
      </c>
      <c r="AL23" s="131" t="str">
        <f aca="false">IF($B23="","",SUMIFS('سجل الإجازات والحالات'!$AT$6:$AT$505,'سجل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والحالات'!$V$6:$V$505,'سجل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والحالات'!$AH$6:$AH$505,'سجل الإجازات والحالات'!$B$6:$B$505,$B24))/cfg_DAYS_Y)</f>
        <v/>
      </c>
      <c r="AI24" s="130" t="str">
        <f aca="false">IF($B24="","",MAX(0,IF(OR(الموظفون!$AE24="",الموظفون!$AE24&gt;($E$3-1)),($E$3-1),الموظفون!$AE24)-الموظفون!$H24+1-SUMIFS('سجل الإجازات والحالات'!$R$6:$R$505,'سجل الإجازات والحالات'!$B$6:$B$505,$B24))/cfg_DAYS_Y)</f>
        <v/>
      </c>
      <c r="AJ24" s="57" t="str">
        <f aca="false">IF($B24="","",MAX(0,AK24-(SUMIFS('سجل الإجازات والحالات'!$AH$6:$AH$505,'سجل الإجازات والحالات'!$B$6:$B$505,$B24)-SUMIFS('سجل الإجازات والحالات'!$R$6:$R$505,'سجل الإجازات والحالات'!$B$6:$B$505,$B24))))</f>
        <v/>
      </c>
      <c r="AK24" s="57" t="str">
        <f aca="false">IF($B24="","",MAX(0,IF(OR(الموظفون!$AE24="",الموظفون!$AE24&gt;$F$3),$F$3,الموظفون!$AE24)-MAX($E$3,الموظفون!$H24)+1))</f>
        <v/>
      </c>
      <c r="AL24" s="126" t="str">
        <f aca="false">IF($B24="","",SUMIFS('سجل الإجازات والحالات'!$AT$6:$AT$505,'سجل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والحالات'!$V$6:$V$505,'سجل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والحالات'!$AH$6:$AH$505,'سجل الإجازات والحالات'!$B$6:$B$505,$B25))/cfg_DAYS_Y)</f>
        <v/>
      </c>
      <c r="AI25" s="135" t="str">
        <f aca="false">IF($B25="","",MAX(0,IF(OR(الموظفون!$AE25="",الموظفون!$AE25&gt;($E$3-1)),($E$3-1),الموظفون!$AE25)-الموظفون!$H25+1-SUMIFS('سجل الإجازات والحالات'!$R$6:$R$505,'سجل الإجازات والحالات'!$B$6:$B$505,$B25))/cfg_DAYS_Y)</f>
        <v/>
      </c>
      <c r="AJ25" s="110" t="str">
        <f aca="false">IF($B25="","",MAX(0,AK25-(SUMIFS('سجل الإجازات والحالات'!$AH$6:$AH$505,'سجل الإجازات والحالات'!$B$6:$B$505,$B25)-SUMIFS('سجل الإجازات والحالات'!$R$6:$R$505,'سجل الإجازات والحالات'!$B$6:$B$505,$B25))))</f>
        <v/>
      </c>
      <c r="AK25" s="110" t="str">
        <f aca="false">IF($B25="","",MAX(0,IF(OR(الموظفون!$AE25="",الموظفون!$AE25&gt;$F$3),$F$3,الموظفون!$AE25)-MAX($E$3,الموظفون!$H25)+1))</f>
        <v/>
      </c>
      <c r="AL25" s="131" t="str">
        <f aca="false">IF($B25="","",SUMIFS('سجل الإجازات والحالات'!$AT$6:$AT$505,'سجل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والحالات'!$V$6:$V$505,'سجل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والحالات'!$AH$6:$AH$505,'سجل الإجازات والحالات'!$B$6:$B$505,$B26))/cfg_DAYS_Y)</f>
        <v/>
      </c>
      <c r="AI26" s="130" t="str">
        <f aca="false">IF($B26="","",MAX(0,IF(OR(الموظفون!$AE26="",الموظفون!$AE26&gt;($E$3-1)),($E$3-1),الموظفون!$AE26)-الموظفون!$H26+1-SUMIFS('سجل الإجازات والحالات'!$R$6:$R$505,'سجل الإجازات والحالات'!$B$6:$B$505,$B26))/cfg_DAYS_Y)</f>
        <v/>
      </c>
      <c r="AJ26" s="57" t="str">
        <f aca="false">IF($B26="","",MAX(0,AK26-(SUMIFS('سجل الإجازات والحالات'!$AH$6:$AH$505,'سجل الإجازات والحالات'!$B$6:$B$505,$B26)-SUMIFS('سجل الإجازات والحالات'!$R$6:$R$505,'سجل الإجازات والحالات'!$B$6:$B$505,$B26))))</f>
        <v/>
      </c>
      <c r="AK26" s="57" t="str">
        <f aca="false">IF($B26="","",MAX(0,IF(OR(الموظفون!$AE26="",الموظفون!$AE26&gt;$F$3),$F$3,الموظفون!$AE26)-MAX($E$3,الموظفون!$H26)+1))</f>
        <v/>
      </c>
      <c r="AL26" s="126" t="str">
        <f aca="false">IF($B26="","",SUMIFS('سجل الإجازات والحالات'!$AT$6:$AT$505,'سجل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والحالات'!$V$6:$V$505,'سجل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والحالات'!$AH$6:$AH$505,'سجل الإجازات والحالات'!$B$6:$B$505,$B27))/cfg_DAYS_Y)</f>
        <v/>
      </c>
      <c r="AI27" s="135" t="str">
        <f aca="false">IF($B27="","",MAX(0,IF(OR(الموظفون!$AE27="",الموظفون!$AE27&gt;($E$3-1)),($E$3-1),الموظفون!$AE27)-الموظفون!$H27+1-SUMIFS('سجل الإجازات والحالات'!$R$6:$R$505,'سجل الإجازات والحالات'!$B$6:$B$505,$B27))/cfg_DAYS_Y)</f>
        <v/>
      </c>
      <c r="AJ27" s="110" t="str">
        <f aca="false">IF($B27="","",MAX(0,AK27-(SUMIFS('سجل الإجازات والحالات'!$AH$6:$AH$505,'سجل الإجازات والحالات'!$B$6:$B$505,$B27)-SUMIFS('سجل الإجازات والحالات'!$R$6:$R$505,'سجل الإجازات والحالات'!$B$6:$B$505,$B27))))</f>
        <v/>
      </c>
      <c r="AK27" s="110" t="str">
        <f aca="false">IF($B27="","",MAX(0,IF(OR(الموظفون!$AE27="",الموظفون!$AE27&gt;$F$3),$F$3,الموظفون!$AE27)-MAX($E$3,الموظفون!$H27)+1))</f>
        <v/>
      </c>
      <c r="AL27" s="131" t="str">
        <f aca="false">IF($B27="","",SUMIFS('سجل الإجازات والحالات'!$AT$6:$AT$505,'سجل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والحالات'!$V$6:$V$505,'سجل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والحالات'!$AH$6:$AH$505,'سجل الإجازات والحالات'!$B$6:$B$505,$B28))/cfg_DAYS_Y)</f>
        <v/>
      </c>
      <c r="AI28" s="130" t="str">
        <f aca="false">IF($B28="","",MAX(0,IF(OR(الموظفون!$AE28="",الموظفون!$AE28&gt;($E$3-1)),($E$3-1),الموظفون!$AE28)-الموظفون!$H28+1-SUMIFS('سجل الإجازات والحالات'!$R$6:$R$505,'سجل الإجازات والحالات'!$B$6:$B$505,$B28))/cfg_DAYS_Y)</f>
        <v/>
      </c>
      <c r="AJ28" s="57" t="str">
        <f aca="false">IF($B28="","",MAX(0,AK28-(SUMIFS('سجل الإجازات والحالات'!$AH$6:$AH$505,'سجل الإجازات والحالات'!$B$6:$B$505,$B28)-SUMIFS('سجل الإجازات والحالات'!$R$6:$R$505,'سجل الإجازات والحالات'!$B$6:$B$505,$B28))))</f>
        <v/>
      </c>
      <c r="AK28" s="57" t="str">
        <f aca="false">IF($B28="","",MAX(0,IF(OR(الموظفون!$AE28="",الموظفون!$AE28&gt;$F$3),$F$3,الموظفون!$AE28)-MAX($E$3,الموظفون!$H28)+1))</f>
        <v/>
      </c>
      <c r="AL28" s="126" t="str">
        <f aca="false">IF($B28="","",SUMIFS('سجل الإجازات والحالات'!$AT$6:$AT$505,'سجل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والحالات'!$V$6:$V$505,'سجل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والحالات'!$AH$6:$AH$505,'سجل الإجازات والحالات'!$B$6:$B$505,$B29))/cfg_DAYS_Y)</f>
        <v/>
      </c>
      <c r="AI29" s="135" t="str">
        <f aca="false">IF($B29="","",MAX(0,IF(OR(الموظفون!$AE29="",الموظفون!$AE29&gt;($E$3-1)),($E$3-1),الموظفون!$AE29)-الموظفون!$H29+1-SUMIFS('سجل الإجازات والحالات'!$R$6:$R$505,'سجل الإجازات والحالات'!$B$6:$B$505,$B29))/cfg_DAYS_Y)</f>
        <v/>
      </c>
      <c r="AJ29" s="110" t="str">
        <f aca="false">IF($B29="","",MAX(0,AK29-(SUMIFS('سجل الإجازات والحالات'!$AH$6:$AH$505,'سجل الإجازات والحالات'!$B$6:$B$505,$B29)-SUMIFS('سجل الإجازات والحالات'!$R$6:$R$505,'سجل الإجازات والحالات'!$B$6:$B$505,$B29))))</f>
        <v/>
      </c>
      <c r="AK29" s="110" t="str">
        <f aca="false">IF($B29="","",MAX(0,IF(OR(الموظفون!$AE29="",الموظفون!$AE29&gt;$F$3),$F$3,الموظفون!$AE29)-MAX($E$3,الموظفون!$H29)+1))</f>
        <v/>
      </c>
      <c r="AL29" s="131" t="str">
        <f aca="false">IF($B29="","",SUMIFS('سجل الإجازات والحالات'!$AT$6:$AT$505,'سجل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والحالات'!$V$6:$V$505,'سجل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والحالات'!$AH$6:$AH$505,'سجل الإجازات والحالات'!$B$6:$B$505,$B30))/cfg_DAYS_Y)</f>
        <v/>
      </c>
      <c r="AI30" s="130" t="str">
        <f aca="false">IF($B30="","",MAX(0,IF(OR(الموظفون!$AE30="",الموظفون!$AE30&gt;($E$3-1)),($E$3-1),الموظفون!$AE30)-الموظفون!$H30+1-SUMIFS('سجل الإجازات والحالات'!$R$6:$R$505,'سجل الإجازات والحالات'!$B$6:$B$505,$B30))/cfg_DAYS_Y)</f>
        <v/>
      </c>
      <c r="AJ30" s="57" t="str">
        <f aca="false">IF($B30="","",MAX(0,AK30-(SUMIFS('سجل الإجازات والحالات'!$AH$6:$AH$505,'سجل الإجازات والحالات'!$B$6:$B$505,$B30)-SUMIFS('سجل الإجازات والحالات'!$R$6:$R$505,'سجل الإجازات والحالات'!$B$6:$B$505,$B30))))</f>
        <v/>
      </c>
      <c r="AK30" s="57" t="str">
        <f aca="false">IF($B30="","",MAX(0,IF(OR(الموظفون!$AE30="",الموظفون!$AE30&gt;$F$3),$F$3,الموظفون!$AE30)-MAX($E$3,الموظفون!$H30)+1))</f>
        <v/>
      </c>
      <c r="AL30" s="126" t="str">
        <f aca="false">IF($B30="","",SUMIFS('سجل الإجازات والحالات'!$AT$6:$AT$505,'سجل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والحالات'!$V$6:$V$505,'سجل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والحالات'!$AH$6:$AH$505,'سجل الإجازات والحالات'!$B$6:$B$505,$B31))/cfg_DAYS_Y)</f>
        <v/>
      </c>
      <c r="AI31" s="135" t="str">
        <f aca="false">IF($B31="","",MAX(0,IF(OR(الموظفون!$AE31="",الموظفون!$AE31&gt;($E$3-1)),($E$3-1),الموظفون!$AE31)-الموظفون!$H31+1-SUMIFS('سجل الإجازات والحالات'!$R$6:$R$505,'سجل الإجازات والحالات'!$B$6:$B$505,$B31))/cfg_DAYS_Y)</f>
        <v/>
      </c>
      <c r="AJ31" s="110" t="str">
        <f aca="false">IF($B31="","",MAX(0,AK31-(SUMIFS('سجل الإجازات والحالات'!$AH$6:$AH$505,'سجل الإجازات والحالات'!$B$6:$B$505,$B31)-SUMIFS('سجل الإجازات والحالات'!$R$6:$R$505,'سجل الإجازات والحالات'!$B$6:$B$505,$B31))))</f>
        <v/>
      </c>
      <c r="AK31" s="110" t="str">
        <f aca="false">IF($B31="","",MAX(0,IF(OR(الموظفون!$AE31="",الموظفون!$AE31&gt;$F$3),$F$3,الموظفون!$AE31)-MAX($E$3,الموظفون!$H31)+1))</f>
        <v/>
      </c>
      <c r="AL31" s="131" t="str">
        <f aca="false">IF($B31="","",SUMIFS('سجل الإجازات والحالات'!$AT$6:$AT$505,'سجل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والحالات'!$V$6:$V$505,'سجل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والحالات'!$AH$6:$AH$505,'سجل الإجازات والحالات'!$B$6:$B$505,$B32))/cfg_DAYS_Y)</f>
        <v/>
      </c>
      <c r="AI32" s="130" t="str">
        <f aca="false">IF($B32="","",MAX(0,IF(OR(الموظفون!$AE32="",الموظفون!$AE32&gt;($E$3-1)),($E$3-1),الموظفون!$AE32)-الموظفون!$H32+1-SUMIFS('سجل الإجازات والحالات'!$R$6:$R$505,'سجل الإجازات والحالات'!$B$6:$B$505,$B32))/cfg_DAYS_Y)</f>
        <v/>
      </c>
      <c r="AJ32" s="57" t="str">
        <f aca="false">IF($B32="","",MAX(0,AK32-(SUMIFS('سجل الإجازات والحالات'!$AH$6:$AH$505,'سجل الإجازات والحالات'!$B$6:$B$505,$B32)-SUMIFS('سجل الإجازات والحالات'!$R$6:$R$505,'سجل الإجازات والحالات'!$B$6:$B$505,$B32))))</f>
        <v/>
      </c>
      <c r="AK32" s="57" t="str">
        <f aca="false">IF($B32="","",MAX(0,IF(OR(الموظفون!$AE32="",الموظفون!$AE32&gt;$F$3),$F$3,الموظفون!$AE32)-MAX($E$3,الموظفون!$H32)+1))</f>
        <v/>
      </c>
      <c r="AL32" s="126" t="str">
        <f aca="false">IF($B32="","",SUMIFS('سجل الإجازات والحالات'!$AT$6:$AT$505,'سجل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والحالات'!$V$6:$V$505,'سجل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والحالات'!$AH$6:$AH$505,'سجل الإجازات والحالات'!$B$6:$B$505,$B33))/cfg_DAYS_Y)</f>
        <v/>
      </c>
      <c r="AI33" s="135" t="str">
        <f aca="false">IF($B33="","",MAX(0,IF(OR(الموظفون!$AE33="",الموظفون!$AE33&gt;($E$3-1)),($E$3-1),الموظفون!$AE33)-الموظفون!$H33+1-SUMIFS('سجل الإجازات والحالات'!$R$6:$R$505,'سجل الإجازات والحالات'!$B$6:$B$505,$B33))/cfg_DAYS_Y)</f>
        <v/>
      </c>
      <c r="AJ33" s="110" t="str">
        <f aca="false">IF($B33="","",MAX(0,AK33-(SUMIFS('سجل الإجازات والحالات'!$AH$6:$AH$505,'سجل الإجازات والحالات'!$B$6:$B$505,$B33)-SUMIFS('سجل الإجازات والحالات'!$R$6:$R$505,'سجل الإجازات والحالات'!$B$6:$B$505,$B33))))</f>
        <v/>
      </c>
      <c r="AK33" s="110" t="str">
        <f aca="false">IF($B33="","",MAX(0,IF(OR(الموظفون!$AE33="",الموظفون!$AE33&gt;$F$3),$F$3,الموظفون!$AE33)-MAX($E$3,الموظفون!$H33)+1))</f>
        <v/>
      </c>
      <c r="AL33" s="131" t="str">
        <f aca="false">IF($B33="","",SUMIFS('سجل الإجازات والحالات'!$AT$6:$AT$505,'سجل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والحالات'!$V$6:$V$505,'سجل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والحالات'!$AH$6:$AH$505,'سجل الإجازات والحالات'!$B$6:$B$505,$B34))/cfg_DAYS_Y)</f>
        <v/>
      </c>
      <c r="AI34" s="130" t="str">
        <f aca="false">IF($B34="","",MAX(0,IF(OR(الموظفون!$AE34="",الموظفون!$AE34&gt;($E$3-1)),($E$3-1),الموظفون!$AE34)-الموظفون!$H34+1-SUMIFS('سجل الإجازات والحالات'!$R$6:$R$505,'سجل الإجازات والحالات'!$B$6:$B$505,$B34))/cfg_DAYS_Y)</f>
        <v/>
      </c>
      <c r="AJ34" s="57" t="str">
        <f aca="false">IF($B34="","",MAX(0,AK34-(SUMIFS('سجل الإجازات والحالات'!$AH$6:$AH$505,'سجل الإجازات والحالات'!$B$6:$B$505,$B34)-SUMIFS('سجل الإجازات والحالات'!$R$6:$R$505,'سجل الإجازات والحالات'!$B$6:$B$505,$B34))))</f>
        <v/>
      </c>
      <c r="AK34" s="57" t="str">
        <f aca="false">IF($B34="","",MAX(0,IF(OR(الموظفون!$AE34="",الموظفون!$AE34&gt;$F$3),$F$3,الموظفون!$AE34)-MAX($E$3,الموظفون!$H34)+1))</f>
        <v/>
      </c>
      <c r="AL34" s="126" t="str">
        <f aca="false">IF($B34="","",SUMIFS('سجل الإجازات والحالات'!$AT$6:$AT$505,'سجل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والحالات'!$V$6:$V$505,'سجل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والحالات'!$AH$6:$AH$505,'سجل الإجازات والحالات'!$B$6:$B$505,$B35))/cfg_DAYS_Y)</f>
        <v/>
      </c>
      <c r="AI35" s="135" t="str">
        <f aca="false">IF($B35="","",MAX(0,IF(OR(الموظفون!$AE35="",الموظفون!$AE35&gt;($E$3-1)),($E$3-1),الموظفون!$AE35)-الموظفون!$H35+1-SUMIFS('سجل الإجازات والحالات'!$R$6:$R$505,'سجل الإجازات والحالات'!$B$6:$B$505,$B35))/cfg_DAYS_Y)</f>
        <v/>
      </c>
      <c r="AJ35" s="110" t="str">
        <f aca="false">IF($B35="","",MAX(0,AK35-(SUMIFS('سجل الإجازات والحالات'!$AH$6:$AH$505,'سجل الإجازات والحالات'!$B$6:$B$505,$B35)-SUMIFS('سجل الإجازات والحالات'!$R$6:$R$505,'سجل الإجازات والحالات'!$B$6:$B$505,$B35))))</f>
        <v/>
      </c>
      <c r="AK35" s="110" t="str">
        <f aca="false">IF($B35="","",MAX(0,IF(OR(الموظفون!$AE35="",الموظفون!$AE35&gt;$F$3),$F$3,الموظفون!$AE35)-MAX($E$3,الموظفون!$H35)+1))</f>
        <v/>
      </c>
      <c r="AL35" s="131" t="str">
        <f aca="false">IF($B35="","",SUMIFS('سجل الإجازات والحالات'!$AT$6:$AT$505,'سجل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والحالات'!$V$6:$V$505,'سجل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والحالات'!$AH$6:$AH$505,'سجل الإجازات والحالات'!$B$6:$B$505,$B36))/cfg_DAYS_Y)</f>
        <v/>
      </c>
      <c r="AI36" s="130" t="str">
        <f aca="false">IF($B36="","",MAX(0,IF(OR(الموظفون!$AE36="",الموظفون!$AE36&gt;($E$3-1)),($E$3-1),الموظفون!$AE36)-الموظفون!$H36+1-SUMIFS('سجل الإجازات والحالات'!$R$6:$R$505,'سجل الإجازات والحالات'!$B$6:$B$505,$B36))/cfg_DAYS_Y)</f>
        <v/>
      </c>
      <c r="AJ36" s="57" t="str">
        <f aca="false">IF($B36="","",MAX(0,AK36-(SUMIFS('سجل الإجازات والحالات'!$AH$6:$AH$505,'سجل الإجازات والحالات'!$B$6:$B$505,$B36)-SUMIFS('سجل الإجازات والحالات'!$R$6:$R$505,'سجل الإجازات والحالات'!$B$6:$B$505,$B36))))</f>
        <v/>
      </c>
      <c r="AK36" s="57" t="str">
        <f aca="false">IF($B36="","",MAX(0,IF(OR(الموظفون!$AE36="",الموظفون!$AE36&gt;$F$3),$F$3,الموظفون!$AE36)-MAX($E$3,الموظفون!$H36)+1))</f>
        <v/>
      </c>
      <c r="AL36" s="126" t="str">
        <f aca="false">IF($B36="","",SUMIFS('سجل الإجازات والحالات'!$AT$6:$AT$505,'سجل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والحالات'!$V$6:$V$505,'سجل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والحالات'!$AH$6:$AH$505,'سجل الإجازات والحالات'!$B$6:$B$505,$B37))/cfg_DAYS_Y)</f>
        <v/>
      </c>
      <c r="AI37" s="135" t="str">
        <f aca="false">IF($B37="","",MAX(0,IF(OR(الموظفون!$AE37="",الموظفون!$AE37&gt;($E$3-1)),($E$3-1),الموظفون!$AE37)-الموظفون!$H37+1-SUMIFS('سجل الإجازات والحالات'!$R$6:$R$505,'سجل الإجازات والحالات'!$B$6:$B$505,$B37))/cfg_DAYS_Y)</f>
        <v/>
      </c>
      <c r="AJ37" s="110" t="str">
        <f aca="false">IF($B37="","",MAX(0,AK37-(SUMIFS('سجل الإجازات والحالات'!$AH$6:$AH$505,'سجل الإجازات والحالات'!$B$6:$B$505,$B37)-SUMIFS('سجل الإجازات والحالات'!$R$6:$R$505,'سجل الإجازات والحالات'!$B$6:$B$505,$B37))))</f>
        <v/>
      </c>
      <c r="AK37" s="110" t="str">
        <f aca="false">IF($B37="","",MAX(0,IF(OR(الموظفون!$AE37="",الموظفون!$AE37&gt;$F$3),$F$3,الموظفون!$AE37)-MAX($E$3,الموظفون!$H37)+1))</f>
        <v/>
      </c>
      <c r="AL37" s="131" t="str">
        <f aca="false">IF($B37="","",SUMIFS('سجل الإجازات والحالات'!$AT$6:$AT$505,'سجل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والحالات'!$V$6:$V$505,'سجل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والحالات'!$AH$6:$AH$505,'سجل الإجازات والحالات'!$B$6:$B$505,$B38))/cfg_DAYS_Y)</f>
        <v/>
      </c>
      <c r="AI38" s="130" t="str">
        <f aca="false">IF($B38="","",MAX(0,IF(OR(الموظفون!$AE38="",الموظفون!$AE38&gt;($E$3-1)),($E$3-1),الموظفون!$AE38)-الموظفون!$H38+1-SUMIFS('سجل الإجازات والحالات'!$R$6:$R$505,'سجل الإجازات والحالات'!$B$6:$B$505,$B38))/cfg_DAYS_Y)</f>
        <v/>
      </c>
      <c r="AJ38" s="57" t="str">
        <f aca="false">IF($B38="","",MAX(0,AK38-(SUMIFS('سجل الإجازات والحالات'!$AH$6:$AH$505,'سجل الإجازات والحالات'!$B$6:$B$505,$B38)-SUMIFS('سجل الإجازات والحالات'!$R$6:$R$505,'سجل الإجازات والحالات'!$B$6:$B$505,$B38))))</f>
        <v/>
      </c>
      <c r="AK38" s="57" t="str">
        <f aca="false">IF($B38="","",MAX(0,IF(OR(الموظفون!$AE38="",الموظفون!$AE38&gt;$F$3),$F$3,الموظفون!$AE38)-MAX($E$3,الموظفون!$H38)+1))</f>
        <v/>
      </c>
      <c r="AL38" s="126" t="str">
        <f aca="false">IF($B38="","",SUMIFS('سجل الإجازات والحالات'!$AT$6:$AT$505,'سجل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والحالات'!$V$6:$V$505,'سجل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والحالات'!$AH$6:$AH$505,'سجل الإجازات والحالات'!$B$6:$B$505,$B39))/cfg_DAYS_Y)</f>
        <v/>
      </c>
      <c r="AI39" s="135" t="str">
        <f aca="false">IF($B39="","",MAX(0,IF(OR(الموظفون!$AE39="",الموظفون!$AE39&gt;($E$3-1)),($E$3-1),الموظفون!$AE39)-الموظفون!$H39+1-SUMIFS('سجل الإجازات والحالات'!$R$6:$R$505,'سجل الإجازات والحالات'!$B$6:$B$505,$B39))/cfg_DAYS_Y)</f>
        <v/>
      </c>
      <c r="AJ39" s="110" t="str">
        <f aca="false">IF($B39="","",MAX(0,AK39-(SUMIFS('سجل الإجازات والحالات'!$AH$6:$AH$505,'سجل الإجازات والحالات'!$B$6:$B$505,$B39)-SUMIFS('سجل الإجازات والحالات'!$R$6:$R$505,'سجل الإجازات والحالات'!$B$6:$B$505,$B39))))</f>
        <v/>
      </c>
      <c r="AK39" s="110" t="str">
        <f aca="false">IF($B39="","",MAX(0,IF(OR(الموظفون!$AE39="",الموظفون!$AE39&gt;$F$3),$F$3,الموظفون!$AE39)-MAX($E$3,الموظفون!$H39)+1))</f>
        <v/>
      </c>
      <c r="AL39" s="131" t="str">
        <f aca="false">IF($B39="","",SUMIFS('سجل الإجازات والحالات'!$AT$6:$AT$505,'سجل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والحالات'!$V$6:$V$505,'سجل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والحالات'!$AH$6:$AH$505,'سجل الإجازات والحالات'!$B$6:$B$505,$B40))/cfg_DAYS_Y)</f>
        <v/>
      </c>
      <c r="AI40" s="130" t="str">
        <f aca="false">IF($B40="","",MAX(0,IF(OR(الموظفون!$AE40="",الموظفون!$AE40&gt;($E$3-1)),($E$3-1),الموظفون!$AE40)-الموظفون!$H40+1-SUMIFS('سجل الإجازات والحالات'!$R$6:$R$505,'سجل الإجازات والحالات'!$B$6:$B$505,$B40))/cfg_DAYS_Y)</f>
        <v/>
      </c>
      <c r="AJ40" s="57" t="str">
        <f aca="false">IF($B40="","",MAX(0,AK40-(SUMIFS('سجل الإجازات والحالات'!$AH$6:$AH$505,'سجل الإجازات والحالات'!$B$6:$B$505,$B40)-SUMIFS('سجل الإجازات والحالات'!$R$6:$R$505,'سجل الإجازات والحالات'!$B$6:$B$505,$B40))))</f>
        <v/>
      </c>
      <c r="AK40" s="57" t="str">
        <f aca="false">IF($B40="","",MAX(0,IF(OR(الموظفون!$AE40="",الموظفون!$AE40&gt;$F$3),$F$3,الموظفون!$AE40)-MAX($E$3,الموظفون!$H40)+1))</f>
        <v/>
      </c>
      <c r="AL40" s="126" t="str">
        <f aca="false">IF($B40="","",SUMIFS('سجل الإجازات والحالات'!$AT$6:$AT$505,'سجل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والحالات'!$V$6:$V$505,'سجل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والحالات'!$AH$6:$AH$505,'سجل الإجازات والحالات'!$B$6:$B$505,$B41))/cfg_DAYS_Y)</f>
        <v/>
      </c>
      <c r="AI41" s="135" t="str">
        <f aca="false">IF($B41="","",MAX(0,IF(OR(الموظفون!$AE41="",الموظفون!$AE41&gt;($E$3-1)),($E$3-1),الموظفون!$AE41)-الموظفون!$H41+1-SUMIFS('سجل الإجازات والحالات'!$R$6:$R$505,'سجل الإجازات والحالات'!$B$6:$B$505,$B41))/cfg_DAYS_Y)</f>
        <v/>
      </c>
      <c r="AJ41" s="110" t="str">
        <f aca="false">IF($B41="","",MAX(0,AK41-(SUMIFS('سجل الإجازات والحالات'!$AH$6:$AH$505,'سجل الإجازات والحالات'!$B$6:$B$505,$B41)-SUMIFS('سجل الإجازات والحالات'!$R$6:$R$505,'سجل الإجازات والحالات'!$B$6:$B$505,$B41))))</f>
        <v/>
      </c>
      <c r="AK41" s="110" t="str">
        <f aca="false">IF($B41="","",MAX(0,IF(OR(الموظفون!$AE41="",الموظفون!$AE41&gt;$F$3),$F$3,الموظفون!$AE41)-MAX($E$3,الموظفون!$H41)+1))</f>
        <v/>
      </c>
      <c r="AL41" s="131" t="str">
        <f aca="false">IF($B41="","",SUMIFS('سجل الإجازات والحالات'!$AT$6:$AT$505,'سجل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والحالات'!$V$6:$V$505,'سجل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والحالات'!$AH$6:$AH$505,'سجل الإجازات والحالات'!$B$6:$B$505,$B42))/cfg_DAYS_Y)</f>
        <v/>
      </c>
      <c r="AI42" s="130" t="str">
        <f aca="false">IF($B42="","",MAX(0,IF(OR(الموظفون!$AE42="",الموظفون!$AE42&gt;($E$3-1)),($E$3-1),الموظفون!$AE42)-الموظفون!$H42+1-SUMIFS('سجل الإجازات والحالات'!$R$6:$R$505,'سجل الإجازات والحالات'!$B$6:$B$505,$B42))/cfg_DAYS_Y)</f>
        <v/>
      </c>
      <c r="AJ42" s="57" t="str">
        <f aca="false">IF($B42="","",MAX(0,AK42-(SUMIFS('سجل الإجازات والحالات'!$AH$6:$AH$505,'سجل الإجازات والحالات'!$B$6:$B$505,$B42)-SUMIFS('سجل الإجازات والحالات'!$R$6:$R$505,'سجل الإجازات والحالات'!$B$6:$B$505,$B42))))</f>
        <v/>
      </c>
      <c r="AK42" s="57" t="str">
        <f aca="false">IF($B42="","",MAX(0,IF(OR(الموظفون!$AE42="",الموظفون!$AE42&gt;$F$3),$F$3,الموظفون!$AE42)-MAX($E$3,الموظفون!$H42)+1))</f>
        <v/>
      </c>
      <c r="AL42" s="126" t="str">
        <f aca="false">IF($B42="","",SUMIFS('سجل الإجازات والحالات'!$AT$6:$AT$505,'سجل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والحالات'!$V$6:$V$505,'سجل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والحالات'!$AH$6:$AH$505,'سجل الإجازات والحالات'!$B$6:$B$505,$B43))/cfg_DAYS_Y)</f>
        <v/>
      </c>
      <c r="AI43" s="135" t="str">
        <f aca="false">IF($B43="","",MAX(0,IF(OR(الموظفون!$AE43="",الموظفون!$AE43&gt;($E$3-1)),($E$3-1),الموظفون!$AE43)-الموظفون!$H43+1-SUMIFS('سجل الإجازات والحالات'!$R$6:$R$505,'سجل الإجازات والحالات'!$B$6:$B$505,$B43))/cfg_DAYS_Y)</f>
        <v/>
      </c>
      <c r="AJ43" s="110" t="str">
        <f aca="false">IF($B43="","",MAX(0,AK43-(SUMIFS('سجل الإجازات والحالات'!$AH$6:$AH$505,'سجل الإجازات والحالات'!$B$6:$B$505,$B43)-SUMIFS('سجل الإجازات والحالات'!$R$6:$R$505,'سجل الإجازات والحالات'!$B$6:$B$505,$B43))))</f>
        <v/>
      </c>
      <c r="AK43" s="110" t="str">
        <f aca="false">IF($B43="","",MAX(0,IF(OR(الموظفون!$AE43="",الموظفون!$AE43&gt;$F$3),$F$3,الموظفون!$AE43)-MAX($E$3,الموظفون!$H43)+1))</f>
        <v/>
      </c>
      <c r="AL43" s="131" t="str">
        <f aca="false">IF($B43="","",SUMIFS('سجل الإجازات والحالات'!$AT$6:$AT$505,'سجل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والحالات'!$V$6:$V$505,'سجل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والحالات'!$AH$6:$AH$505,'سجل الإجازات والحالات'!$B$6:$B$505,$B44))/cfg_DAYS_Y)</f>
        <v/>
      </c>
      <c r="AI44" s="130" t="str">
        <f aca="false">IF($B44="","",MAX(0,IF(OR(الموظفون!$AE44="",الموظفون!$AE44&gt;($E$3-1)),($E$3-1),الموظفون!$AE44)-الموظفون!$H44+1-SUMIFS('سجل الإجازات والحالات'!$R$6:$R$505,'سجل الإجازات والحالات'!$B$6:$B$505,$B44))/cfg_DAYS_Y)</f>
        <v/>
      </c>
      <c r="AJ44" s="57" t="str">
        <f aca="false">IF($B44="","",MAX(0,AK44-(SUMIFS('سجل الإجازات والحالات'!$AH$6:$AH$505,'سجل الإجازات والحالات'!$B$6:$B$505,$B44)-SUMIFS('سجل الإجازات والحالات'!$R$6:$R$505,'سجل الإجازات والحالات'!$B$6:$B$505,$B44))))</f>
        <v/>
      </c>
      <c r="AK44" s="57" t="str">
        <f aca="false">IF($B44="","",MAX(0,IF(OR(الموظفون!$AE44="",الموظفون!$AE44&gt;$F$3),$F$3,الموظفون!$AE44)-MAX($E$3,الموظفون!$H44)+1))</f>
        <v/>
      </c>
      <c r="AL44" s="126" t="str">
        <f aca="false">IF($B44="","",SUMIFS('سجل الإجازات والحالات'!$AT$6:$AT$505,'سجل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والحالات'!$V$6:$V$505,'سجل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والحالات'!$AH$6:$AH$505,'سجل الإجازات والحالات'!$B$6:$B$505,$B45))/cfg_DAYS_Y)</f>
        <v/>
      </c>
      <c r="AI45" s="135" t="str">
        <f aca="false">IF($B45="","",MAX(0,IF(OR(الموظفون!$AE45="",الموظفون!$AE45&gt;($E$3-1)),($E$3-1),الموظفون!$AE45)-الموظفون!$H45+1-SUMIFS('سجل الإجازات والحالات'!$R$6:$R$505,'سجل الإجازات والحالات'!$B$6:$B$505,$B45))/cfg_DAYS_Y)</f>
        <v/>
      </c>
      <c r="AJ45" s="110" t="str">
        <f aca="false">IF($B45="","",MAX(0,AK45-(SUMIFS('سجل الإجازات والحالات'!$AH$6:$AH$505,'سجل الإجازات والحالات'!$B$6:$B$505,$B45)-SUMIFS('سجل الإجازات والحالات'!$R$6:$R$505,'سجل الإجازات والحالات'!$B$6:$B$505,$B45))))</f>
        <v/>
      </c>
      <c r="AK45" s="110" t="str">
        <f aca="false">IF($B45="","",MAX(0,IF(OR(الموظفون!$AE45="",الموظفون!$AE45&gt;$F$3),$F$3,الموظفون!$AE45)-MAX($E$3,الموظفون!$H45)+1))</f>
        <v/>
      </c>
      <c r="AL45" s="131" t="str">
        <f aca="false">IF($B45="","",SUMIFS('سجل الإجازات والحالات'!$AT$6:$AT$505,'سجل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والحالات'!$V$6:$V$505,'سجل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والحالات'!$AH$6:$AH$505,'سجل الإجازات والحالات'!$B$6:$B$505,$B46))/cfg_DAYS_Y)</f>
        <v/>
      </c>
      <c r="AI46" s="130" t="str">
        <f aca="false">IF($B46="","",MAX(0,IF(OR(الموظفون!$AE46="",الموظفون!$AE46&gt;($E$3-1)),($E$3-1),الموظفون!$AE46)-الموظفون!$H46+1-SUMIFS('سجل الإجازات والحالات'!$R$6:$R$505,'سجل الإجازات والحالات'!$B$6:$B$505,$B46))/cfg_DAYS_Y)</f>
        <v/>
      </c>
      <c r="AJ46" s="57" t="str">
        <f aca="false">IF($B46="","",MAX(0,AK46-(SUMIFS('سجل الإجازات والحالات'!$AH$6:$AH$505,'سجل الإجازات والحالات'!$B$6:$B$505,$B46)-SUMIFS('سجل الإجازات والحالات'!$R$6:$R$505,'سجل الإجازات والحالات'!$B$6:$B$505,$B46))))</f>
        <v/>
      </c>
      <c r="AK46" s="57" t="str">
        <f aca="false">IF($B46="","",MAX(0,IF(OR(الموظفون!$AE46="",الموظفون!$AE46&gt;$F$3),$F$3,الموظفون!$AE46)-MAX($E$3,الموظفون!$H46)+1))</f>
        <v/>
      </c>
      <c r="AL46" s="126" t="str">
        <f aca="false">IF($B46="","",SUMIFS('سجل الإجازات والحالات'!$AT$6:$AT$505,'سجل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والحالات'!$V$6:$V$505,'سجل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والحالات'!$AH$6:$AH$505,'سجل الإجازات والحالات'!$B$6:$B$505,$B47))/cfg_DAYS_Y)</f>
        <v/>
      </c>
      <c r="AI47" s="135" t="str">
        <f aca="false">IF($B47="","",MAX(0,IF(OR(الموظفون!$AE47="",الموظفون!$AE47&gt;($E$3-1)),($E$3-1),الموظفون!$AE47)-الموظفون!$H47+1-SUMIFS('سجل الإجازات والحالات'!$R$6:$R$505,'سجل الإجازات والحالات'!$B$6:$B$505,$B47))/cfg_DAYS_Y)</f>
        <v/>
      </c>
      <c r="AJ47" s="110" t="str">
        <f aca="false">IF($B47="","",MAX(0,AK47-(SUMIFS('سجل الإجازات والحالات'!$AH$6:$AH$505,'سجل الإجازات والحالات'!$B$6:$B$505,$B47)-SUMIFS('سجل الإجازات والحالات'!$R$6:$R$505,'سجل الإجازات والحالات'!$B$6:$B$505,$B47))))</f>
        <v/>
      </c>
      <c r="AK47" s="110" t="str">
        <f aca="false">IF($B47="","",MAX(0,IF(OR(الموظفون!$AE47="",الموظفون!$AE47&gt;$F$3),$F$3,الموظفون!$AE47)-MAX($E$3,الموظفون!$H47)+1))</f>
        <v/>
      </c>
      <c r="AL47" s="131" t="str">
        <f aca="false">IF($B47="","",SUMIFS('سجل الإجازات والحالات'!$AT$6:$AT$505,'سجل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والحالات'!$V$6:$V$505,'سجل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والحالات'!$AH$6:$AH$505,'سجل الإجازات والحالات'!$B$6:$B$505,$B48))/cfg_DAYS_Y)</f>
        <v/>
      </c>
      <c r="AI48" s="130" t="str">
        <f aca="false">IF($B48="","",MAX(0,IF(OR(الموظفون!$AE48="",الموظفون!$AE48&gt;($E$3-1)),($E$3-1),الموظفون!$AE48)-الموظفون!$H48+1-SUMIFS('سجل الإجازات والحالات'!$R$6:$R$505,'سجل الإجازات والحالات'!$B$6:$B$505,$B48))/cfg_DAYS_Y)</f>
        <v/>
      </c>
      <c r="AJ48" s="57" t="str">
        <f aca="false">IF($B48="","",MAX(0,AK48-(SUMIFS('سجل الإجازات والحالات'!$AH$6:$AH$505,'سجل الإجازات والحالات'!$B$6:$B$505,$B48)-SUMIFS('سجل الإجازات والحالات'!$R$6:$R$505,'سجل الإجازات والحالات'!$B$6:$B$505,$B48))))</f>
        <v/>
      </c>
      <c r="AK48" s="57" t="str">
        <f aca="false">IF($B48="","",MAX(0,IF(OR(الموظفون!$AE48="",الموظفون!$AE48&gt;$F$3),$F$3,الموظفون!$AE48)-MAX($E$3,الموظفون!$H48)+1))</f>
        <v/>
      </c>
      <c r="AL48" s="126" t="str">
        <f aca="false">IF($B48="","",SUMIFS('سجل الإجازات والحالات'!$AT$6:$AT$505,'سجل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والحالات'!$V$6:$V$505,'سجل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والحالات'!$AH$6:$AH$505,'سجل الإجازات والحالات'!$B$6:$B$505,$B49))/cfg_DAYS_Y)</f>
        <v/>
      </c>
      <c r="AI49" s="135" t="str">
        <f aca="false">IF($B49="","",MAX(0,IF(OR(الموظفون!$AE49="",الموظفون!$AE49&gt;($E$3-1)),($E$3-1),الموظفون!$AE49)-الموظفون!$H49+1-SUMIFS('سجل الإجازات والحالات'!$R$6:$R$505,'سجل الإجازات والحالات'!$B$6:$B$505,$B49))/cfg_DAYS_Y)</f>
        <v/>
      </c>
      <c r="AJ49" s="110" t="str">
        <f aca="false">IF($B49="","",MAX(0,AK49-(SUMIFS('سجل الإجازات والحالات'!$AH$6:$AH$505,'سجل الإجازات والحالات'!$B$6:$B$505,$B49)-SUMIFS('سجل الإجازات والحالات'!$R$6:$R$505,'سجل الإجازات والحالات'!$B$6:$B$505,$B49))))</f>
        <v/>
      </c>
      <c r="AK49" s="110" t="str">
        <f aca="false">IF($B49="","",MAX(0,IF(OR(الموظفون!$AE49="",الموظفون!$AE49&gt;$F$3),$F$3,الموظفون!$AE49)-MAX($E$3,الموظفون!$H49)+1))</f>
        <v/>
      </c>
      <c r="AL49" s="131" t="str">
        <f aca="false">IF($B49="","",SUMIFS('سجل الإجازات والحالات'!$AT$6:$AT$505,'سجل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والحالات'!$V$6:$V$505,'سجل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والحالات'!$AH$6:$AH$505,'سجل الإجازات والحالات'!$B$6:$B$505,$B50))/cfg_DAYS_Y)</f>
        <v/>
      </c>
      <c r="AI50" s="130" t="str">
        <f aca="false">IF($B50="","",MAX(0,IF(OR(الموظفون!$AE50="",الموظفون!$AE50&gt;($E$3-1)),($E$3-1),الموظفون!$AE50)-الموظفون!$H50+1-SUMIFS('سجل الإجازات والحالات'!$R$6:$R$505,'سجل الإجازات والحالات'!$B$6:$B$505,$B50))/cfg_DAYS_Y)</f>
        <v/>
      </c>
      <c r="AJ50" s="57" t="str">
        <f aca="false">IF($B50="","",MAX(0,AK50-(SUMIFS('سجل الإجازات والحالات'!$AH$6:$AH$505,'سجل الإجازات والحالات'!$B$6:$B$505,$B50)-SUMIFS('سجل الإجازات والحالات'!$R$6:$R$505,'سجل الإجازات والحالات'!$B$6:$B$505,$B50))))</f>
        <v/>
      </c>
      <c r="AK50" s="57" t="str">
        <f aca="false">IF($B50="","",MAX(0,IF(OR(الموظفون!$AE50="",الموظفون!$AE50&gt;$F$3),$F$3,الموظفون!$AE50)-MAX($E$3,الموظفون!$H50)+1))</f>
        <v/>
      </c>
      <c r="AL50" s="126" t="str">
        <f aca="false">IF($B50="","",SUMIFS('سجل الإجازات والحالات'!$AT$6:$AT$505,'سجل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والحالات'!$V$6:$V$505,'سجل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والحالات'!$AH$6:$AH$505,'سجل الإجازات والحالات'!$B$6:$B$505,$B51))/cfg_DAYS_Y)</f>
        <v/>
      </c>
      <c r="AI51" s="135" t="str">
        <f aca="false">IF($B51="","",MAX(0,IF(OR(الموظفون!$AE51="",الموظفون!$AE51&gt;($E$3-1)),($E$3-1),الموظفون!$AE51)-الموظفون!$H51+1-SUMIFS('سجل الإجازات والحالات'!$R$6:$R$505,'سجل الإجازات والحالات'!$B$6:$B$505,$B51))/cfg_DAYS_Y)</f>
        <v/>
      </c>
      <c r="AJ51" s="110" t="str">
        <f aca="false">IF($B51="","",MAX(0,AK51-(SUMIFS('سجل الإجازات والحالات'!$AH$6:$AH$505,'سجل الإجازات والحالات'!$B$6:$B$505,$B51)-SUMIFS('سجل الإجازات والحالات'!$R$6:$R$505,'سجل الإجازات والحالات'!$B$6:$B$505,$B51))))</f>
        <v/>
      </c>
      <c r="AK51" s="110" t="str">
        <f aca="false">IF($B51="","",MAX(0,IF(OR(الموظفون!$AE51="",الموظفون!$AE51&gt;$F$3),$F$3,الموظفون!$AE51)-MAX($E$3,الموظفون!$H51)+1))</f>
        <v/>
      </c>
      <c r="AL51" s="131" t="str">
        <f aca="false">IF($B51="","",SUMIFS('سجل الإجازات والحالات'!$AT$6:$AT$505,'سجل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والحالات'!$V$6:$V$505,'سجل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والحالات'!$AH$6:$AH$505,'سجل الإجازات والحالات'!$B$6:$B$505,$B52))/cfg_DAYS_Y)</f>
        <v/>
      </c>
      <c r="AI52" s="130" t="str">
        <f aca="false">IF($B52="","",MAX(0,IF(OR(الموظفون!$AE52="",الموظفون!$AE52&gt;($E$3-1)),($E$3-1),الموظفون!$AE52)-الموظفون!$H52+1-SUMIFS('سجل الإجازات والحالات'!$R$6:$R$505,'سجل الإجازات والحالات'!$B$6:$B$505,$B52))/cfg_DAYS_Y)</f>
        <v/>
      </c>
      <c r="AJ52" s="57" t="str">
        <f aca="false">IF($B52="","",MAX(0,AK52-(SUMIFS('سجل الإجازات والحالات'!$AH$6:$AH$505,'سجل الإجازات والحالات'!$B$6:$B$505,$B52)-SUMIFS('سجل الإجازات والحالات'!$R$6:$R$505,'سجل الإجازات والحالات'!$B$6:$B$505,$B52))))</f>
        <v/>
      </c>
      <c r="AK52" s="57" t="str">
        <f aca="false">IF($B52="","",MAX(0,IF(OR(الموظفون!$AE52="",الموظفون!$AE52&gt;$F$3),$F$3,الموظفون!$AE52)-MAX($E$3,الموظفون!$H52)+1))</f>
        <v/>
      </c>
      <c r="AL52" s="126" t="str">
        <f aca="false">IF($B52="","",SUMIFS('سجل الإجازات والحالات'!$AT$6:$AT$505,'سجل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والحالات'!$V$6:$V$505,'سجل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والحالات'!$AH$6:$AH$505,'سجل الإجازات والحالات'!$B$6:$B$505,$B53))/cfg_DAYS_Y)</f>
        <v/>
      </c>
      <c r="AI53" s="135" t="str">
        <f aca="false">IF($B53="","",MAX(0,IF(OR(الموظفون!$AE53="",الموظفون!$AE53&gt;($E$3-1)),($E$3-1),الموظفون!$AE53)-الموظفون!$H53+1-SUMIFS('سجل الإجازات والحالات'!$R$6:$R$505,'سجل الإجازات والحالات'!$B$6:$B$505,$B53))/cfg_DAYS_Y)</f>
        <v/>
      </c>
      <c r="AJ53" s="110" t="str">
        <f aca="false">IF($B53="","",MAX(0,AK53-(SUMIFS('سجل الإجازات والحالات'!$AH$6:$AH$505,'سجل الإجازات والحالات'!$B$6:$B$505,$B53)-SUMIFS('سجل الإجازات والحالات'!$R$6:$R$505,'سجل الإجازات والحالات'!$B$6:$B$505,$B53))))</f>
        <v/>
      </c>
      <c r="AK53" s="110" t="str">
        <f aca="false">IF($B53="","",MAX(0,IF(OR(الموظفون!$AE53="",الموظفون!$AE53&gt;$F$3),$F$3,الموظفون!$AE53)-MAX($E$3,الموظفون!$H53)+1))</f>
        <v/>
      </c>
      <c r="AL53" s="131" t="str">
        <f aca="false">IF($B53="","",SUMIFS('سجل الإجازات والحالات'!$AT$6:$AT$505,'سجل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والحالات'!$V$6:$V$505,'سجل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والحالات'!$AH$6:$AH$505,'سجل الإجازات والحالات'!$B$6:$B$505,$B54))/cfg_DAYS_Y)</f>
        <v/>
      </c>
      <c r="AI54" s="130" t="str">
        <f aca="false">IF($B54="","",MAX(0,IF(OR(الموظفون!$AE54="",الموظفون!$AE54&gt;($E$3-1)),($E$3-1),الموظفون!$AE54)-الموظفون!$H54+1-SUMIFS('سجل الإجازات والحالات'!$R$6:$R$505,'سجل الإجازات والحالات'!$B$6:$B$505,$B54))/cfg_DAYS_Y)</f>
        <v/>
      </c>
      <c r="AJ54" s="57" t="str">
        <f aca="false">IF($B54="","",MAX(0,AK54-(SUMIFS('سجل الإجازات والحالات'!$AH$6:$AH$505,'سجل الإجازات والحالات'!$B$6:$B$505,$B54)-SUMIFS('سجل الإجازات والحالات'!$R$6:$R$505,'سجل الإجازات والحالات'!$B$6:$B$505,$B54))))</f>
        <v/>
      </c>
      <c r="AK54" s="57" t="str">
        <f aca="false">IF($B54="","",MAX(0,IF(OR(الموظفون!$AE54="",الموظفون!$AE54&gt;$F$3),$F$3,الموظفون!$AE54)-MAX($E$3,الموظفون!$H54)+1))</f>
        <v/>
      </c>
      <c r="AL54" s="126" t="str">
        <f aca="false">IF($B54="","",SUMIFS('سجل الإجازات والحالات'!$AT$6:$AT$505,'سجل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والحالات'!$V$6:$V$505,'سجل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والحالات'!$AH$6:$AH$505,'سجل الإجازات والحالات'!$B$6:$B$505,$B55))/cfg_DAYS_Y)</f>
        <v/>
      </c>
      <c r="AI55" s="135" t="str">
        <f aca="false">IF($B55="","",MAX(0,IF(OR(الموظفون!$AE55="",الموظفون!$AE55&gt;($E$3-1)),($E$3-1),الموظفون!$AE55)-الموظفون!$H55+1-SUMIFS('سجل الإجازات والحالات'!$R$6:$R$505,'سجل الإجازات والحالات'!$B$6:$B$505,$B55))/cfg_DAYS_Y)</f>
        <v/>
      </c>
      <c r="AJ55" s="110" t="str">
        <f aca="false">IF($B55="","",MAX(0,AK55-(SUMIFS('سجل الإجازات والحالات'!$AH$6:$AH$505,'سجل الإجازات والحالات'!$B$6:$B$505,$B55)-SUMIFS('سجل الإجازات والحالات'!$R$6:$R$505,'سجل الإجازات والحالات'!$B$6:$B$505,$B55))))</f>
        <v/>
      </c>
      <c r="AK55" s="110" t="str">
        <f aca="false">IF($B55="","",MAX(0,IF(OR(الموظفون!$AE55="",الموظفون!$AE55&gt;$F$3),$F$3,الموظفون!$AE55)-MAX($E$3,الموظفون!$H55)+1))</f>
        <v/>
      </c>
      <c r="AL55" s="131" t="str">
        <f aca="false">IF($B55="","",SUMIFS('سجل الإجازات والحالات'!$AT$6:$AT$505,'سجل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والحالات'!$V$6:$V$505,'سجل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والحالات'!$AH$6:$AH$505,'سجل الإجازات والحالات'!$B$6:$B$505,$B56))/cfg_DAYS_Y)</f>
        <v/>
      </c>
      <c r="AI56" s="130" t="str">
        <f aca="false">IF($B56="","",MAX(0,IF(OR(الموظفون!$AE56="",الموظفون!$AE56&gt;($E$3-1)),($E$3-1),الموظفون!$AE56)-الموظفون!$H56+1-SUMIFS('سجل الإجازات والحالات'!$R$6:$R$505,'سجل الإجازات والحالات'!$B$6:$B$505,$B56))/cfg_DAYS_Y)</f>
        <v/>
      </c>
      <c r="AJ56" s="57" t="str">
        <f aca="false">IF($B56="","",MAX(0,AK56-(SUMIFS('سجل الإجازات والحالات'!$AH$6:$AH$505,'سجل الإجازات والحالات'!$B$6:$B$505,$B56)-SUMIFS('سجل الإجازات والحالات'!$R$6:$R$505,'سجل الإجازات والحالات'!$B$6:$B$505,$B56))))</f>
        <v/>
      </c>
      <c r="AK56" s="57" t="str">
        <f aca="false">IF($B56="","",MAX(0,IF(OR(الموظفون!$AE56="",الموظفون!$AE56&gt;$F$3),$F$3,الموظفون!$AE56)-MAX($E$3,الموظفون!$H56)+1))</f>
        <v/>
      </c>
      <c r="AL56" s="126" t="str">
        <f aca="false">IF($B56="","",SUMIFS('سجل الإجازات والحالات'!$AT$6:$AT$505,'سجل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والحالات'!$V$6:$V$505,'سجل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والحالات'!$AH$6:$AH$505,'سجل الإجازات والحالات'!$B$6:$B$505,$B57))/cfg_DAYS_Y)</f>
        <v/>
      </c>
      <c r="AI57" s="135" t="str">
        <f aca="false">IF($B57="","",MAX(0,IF(OR(الموظفون!$AE57="",الموظفون!$AE57&gt;($E$3-1)),($E$3-1),الموظفون!$AE57)-الموظفون!$H57+1-SUMIFS('سجل الإجازات والحالات'!$R$6:$R$505,'سجل الإجازات والحالات'!$B$6:$B$505,$B57))/cfg_DAYS_Y)</f>
        <v/>
      </c>
      <c r="AJ57" s="110" t="str">
        <f aca="false">IF($B57="","",MAX(0,AK57-(SUMIFS('سجل الإجازات والحالات'!$AH$6:$AH$505,'سجل الإجازات والحالات'!$B$6:$B$505,$B57)-SUMIFS('سجل الإجازات والحالات'!$R$6:$R$505,'سجل الإجازات والحالات'!$B$6:$B$505,$B57))))</f>
        <v/>
      </c>
      <c r="AK57" s="110" t="str">
        <f aca="false">IF($B57="","",MAX(0,IF(OR(الموظفون!$AE57="",الموظفون!$AE57&gt;$F$3),$F$3,الموظفون!$AE57)-MAX($E$3,الموظفون!$H57)+1))</f>
        <v/>
      </c>
      <c r="AL57" s="131" t="str">
        <f aca="false">IF($B57="","",SUMIFS('سجل الإجازات والحالات'!$AT$6:$AT$505,'سجل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والحالات'!$V$6:$V$505,'سجل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والحالات'!$AH$6:$AH$505,'سجل الإجازات والحالات'!$B$6:$B$505,$B58))/cfg_DAYS_Y)</f>
        <v/>
      </c>
      <c r="AI58" s="130" t="str">
        <f aca="false">IF($B58="","",MAX(0,IF(OR(الموظفون!$AE58="",الموظفون!$AE58&gt;($E$3-1)),($E$3-1),الموظفون!$AE58)-الموظفون!$H58+1-SUMIFS('سجل الإجازات والحالات'!$R$6:$R$505,'سجل الإجازات والحالات'!$B$6:$B$505,$B58))/cfg_DAYS_Y)</f>
        <v/>
      </c>
      <c r="AJ58" s="57" t="str">
        <f aca="false">IF($B58="","",MAX(0,AK58-(SUMIFS('سجل الإجازات والحالات'!$AH$6:$AH$505,'سجل الإجازات والحالات'!$B$6:$B$505,$B58)-SUMIFS('سجل الإجازات والحالات'!$R$6:$R$505,'سجل الإجازات والحالات'!$B$6:$B$505,$B58))))</f>
        <v/>
      </c>
      <c r="AK58" s="57" t="str">
        <f aca="false">IF($B58="","",MAX(0,IF(OR(الموظفون!$AE58="",الموظفون!$AE58&gt;$F$3),$F$3,الموظفون!$AE58)-MAX($E$3,الموظفون!$H58)+1))</f>
        <v/>
      </c>
      <c r="AL58" s="126" t="str">
        <f aca="false">IF($B58="","",SUMIFS('سجل الإجازات والحالات'!$AT$6:$AT$505,'سجل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والحالات'!$V$6:$V$505,'سجل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والحالات'!$AH$6:$AH$505,'سجل الإجازات والحالات'!$B$6:$B$505,$B59))/cfg_DAYS_Y)</f>
        <v/>
      </c>
      <c r="AI59" s="135" t="str">
        <f aca="false">IF($B59="","",MAX(0,IF(OR(الموظفون!$AE59="",الموظفون!$AE59&gt;($E$3-1)),($E$3-1),الموظفون!$AE59)-الموظفون!$H59+1-SUMIFS('سجل الإجازات والحالات'!$R$6:$R$505,'سجل الإجازات والحالات'!$B$6:$B$505,$B59))/cfg_DAYS_Y)</f>
        <v/>
      </c>
      <c r="AJ59" s="110" t="str">
        <f aca="false">IF($B59="","",MAX(0,AK59-(SUMIFS('سجل الإجازات والحالات'!$AH$6:$AH$505,'سجل الإجازات والحالات'!$B$6:$B$505,$B59)-SUMIFS('سجل الإجازات والحالات'!$R$6:$R$505,'سجل الإجازات والحالات'!$B$6:$B$505,$B59))))</f>
        <v/>
      </c>
      <c r="AK59" s="110" t="str">
        <f aca="false">IF($B59="","",MAX(0,IF(OR(الموظفون!$AE59="",الموظفون!$AE59&gt;$F$3),$F$3,الموظفون!$AE59)-MAX($E$3,الموظفون!$H59)+1))</f>
        <v/>
      </c>
      <c r="AL59" s="131" t="str">
        <f aca="false">IF($B59="","",SUMIFS('سجل الإجازات والحالات'!$AT$6:$AT$505,'سجل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والحالات'!$V$6:$V$505,'سجل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والحالات'!$AH$6:$AH$505,'سجل الإجازات والحالات'!$B$6:$B$505,$B60))/cfg_DAYS_Y)</f>
        <v/>
      </c>
      <c r="AI60" s="130" t="str">
        <f aca="false">IF($B60="","",MAX(0,IF(OR(الموظفون!$AE60="",الموظفون!$AE60&gt;($E$3-1)),($E$3-1),الموظفون!$AE60)-الموظفون!$H60+1-SUMIFS('سجل الإجازات والحالات'!$R$6:$R$505,'سجل الإجازات والحالات'!$B$6:$B$505,$B60))/cfg_DAYS_Y)</f>
        <v/>
      </c>
      <c r="AJ60" s="57" t="str">
        <f aca="false">IF($B60="","",MAX(0,AK60-(SUMIFS('سجل الإجازات والحالات'!$AH$6:$AH$505,'سجل الإجازات والحالات'!$B$6:$B$505,$B60)-SUMIFS('سجل الإجازات والحالات'!$R$6:$R$505,'سجل الإجازات والحالات'!$B$6:$B$505,$B60))))</f>
        <v/>
      </c>
      <c r="AK60" s="57" t="str">
        <f aca="false">IF($B60="","",MAX(0,IF(OR(الموظفون!$AE60="",الموظفون!$AE60&gt;$F$3),$F$3,الموظفون!$AE60)-MAX($E$3,الموظفون!$H60)+1))</f>
        <v/>
      </c>
      <c r="AL60" s="126" t="str">
        <f aca="false">IF($B60="","",SUMIFS('سجل الإجازات والحالات'!$AT$6:$AT$505,'سجل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والحالات'!$V$6:$V$505,'سجل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والحالات'!$AH$6:$AH$505,'سجل الإجازات والحالات'!$B$6:$B$505,$B61))/cfg_DAYS_Y)</f>
        <v/>
      </c>
      <c r="AI61" s="135" t="str">
        <f aca="false">IF($B61="","",MAX(0,IF(OR(الموظفون!$AE61="",الموظفون!$AE61&gt;($E$3-1)),($E$3-1),الموظفون!$AE61)-الموظفون!$H61+1-SUMIFS('سجل الإجازات والحالات'!$R$6:$R$505,'سجل الإجازات والحالات'!$B$6:$B$505,$B61))/cfg_DAYS_Y)</f>
        <v/>
      </c>
      <c r="AJ61" s="110" t="str">
        <f aca="false">IF($B61="","",MAX(0,AK61-(SUMIFS('سجل الإجازات والحالات'!$AH$6:$AH$505,'سجل الإجازات والحالات'!$B$6:$B$505,$B61)-SUMIFS('سجل الإجازات والحالات'!$R$6:$R$505,'سجل الإجازات والحالات'!$B$6:$B$505,$B61))))</f>
        <v/>
      </c>
      <c r="AK61" s="110" t="str">
        <f aca="false">IF($B61="","",MAX(0,IF(OR(الموظفون!$AE61="",الموظفون!$AE61&gt;$F$3),$F$3,الموظفون!$AE61)-MAX($E$3,الموظفون!$H61)+1))</f>
        <v/>
      </c>
      <c r="AL61" s="131" t="str">
        <f aca="false">IF($B61="","",SUMIFS('سجل الإجازات والحالات'!$AT$6:$AT$505,'سجل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والحالات'!$V$6:$V$505,'سجل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والحالات'!$AH$6:$AH$505,'سجل الإجازات والحالات'!$B$6:$B$505,$B62))/cfg_DAYS_Y)</f>
        <v/>
      </c>
      <c r="AI62" s="130" t="str">
        <f aca="false">IF($B62="","",MAX(0,IF(OR(الموظفون!$AE62="",الموظفون!$AE62&gt;($E$3-1)),($E$3-1),الموظفون!$AE62)-الموظفون!$H62+1-SUMIFS('سجل الإجازات والحالات'!$R$6:$R$505,'سجل الإجازات والحالات'!$B$6:$B$505,$B62))/cfg_DAYS_Y)</f>
        <v/>
      </c>
      <c r="AJ62" s="57" t="str">
        <f aca="false">IF($B62="","",MAX(0,AK62-(SUMIFS('سجل الإجازات والحالات'!$AH$6:$AH$505,'سجل الإجازات والحالات'!$B$6:$B$505,$B62)-SUMIFS('سجل الإجازات والحالات'!$R$6:$R$505,'سجل الإجازات والحالات'!$B$6:$B$505,$B62))))</f>
        <v/>
      </c>
      <c r="AK62" s="57" t="str">
        <f aca="false">IF($B62="","",MAX(0,IF(OR(الموظفون!$AE62="",الموظفون!$AE62&gt;$F$3),$F$3,الموظفون!$AE62)-MAX($E$3,الموظفون!$H62)+1))</f>
        <v/>
      </c>
      <c r="AL62" s="126" t="str">
        <f aca="false">IF($B62="","",SUMIFS('سجل الإجازات والحالات'!$AT$6:$AT$505,'سجل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والحالات'!$V$6:$V$505,'سجل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والحالات'!$AH$6:$AH$505,'سجل الإجازات والحالات'!$B$6:$B$505,$B63))/cfg_DAYS_Y)</f>
        <v/>
      </c>
      <c r="AI63" s="135" t="str">
        <f aca="false">IF($B63="","",MAX(0,IF(OR(الموظفون!$AE63="",الموظفون!$AE63&gt;($E$3-1)),($E$3-1),الموظفون!$AE63)-الموظفون!$H63+1-SUMIFS('سجل الإجازات والحالات'!$R$6:$R$505,'سجل الإجازات والحالات'!$B$6:$B$505,$B63))/cfg_DAYS_Y)</f>
        <v/>
      </c>
      <c r="AJ63" s="110" t="str">
        <f aca="false">IF($B63="","",MAX(0,AK63-(SUMIFS('سجل الإجازات والحالات'!$AH$6:$AH$505,'سجل الإجازات والحالات'!$B$6:$B$505,$B63)-SUMIFS('سجل الإجازات والحالات'!$R$6:$R$505,'سجل الإجازات والحالات'!$B$6:$B$505,$B63))))</f>
        <v/>
      </c>
      <c r="AK63" s="110" t="str">
        <f aca="false">IF($B63="","",MAX(0,IF(OR(الموظفون!$AE63="",الموظفون!$AE63&gt;$F$3),$F$3,الموظفون!$AE63)-MAX($E$3,الموظفون!$H63)+1))</f>
        <v/>
      </c>
      <c r="AL63" s="131" t="str">
        <f aca="false">IF($B63="","",SUMIFS('سجل الإجازات والحالات'!$AT$6:$AT$505,'سجل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والحالات'!$V$6:$V$505,'سجل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والحالات'!$AH$6:$AH$505,'سجل الإجازات والحالات'!$B$6:$B$505,$B64))/cfg_DAYS_Y)</f>
        <v/>
      </c>
      <c r="AI64" s="130" t="str">
        <f aca="false">IF($B64="","",MAX(0,IF(OR(الموظفون!$AE64="",الموظفون!$AE64&gt;($E$3-1)),($E$3-1),الموظفون!$AE64)-الموظفون!$H64+1-SUMIFS('سجل الإجازات والحالات'!$R$6:$R$505,'سجل الإجازات والحالات'!$B$6:$B$505,$B64))/cfg_DAYS_Y)</f>
        <v/>
      </c>
      <c r="AJ64" s="57" t="str">
        <f aca="false">IF($B64="","",MAX(0,AK64-(SUMIFS('سجل الإجازات والحالات'!$AH$6:$AH$505,'سجل الإجازات والحالات'!$B$6:$B$505,$B64)-SUMIFS('سجل الإجازات والحالات'!$R$6:$R$505,'سجل الإجازات والحالات'!$B$6:$B$505,$B64))))</f>
        <v/>
      </c>
      <c r="AK64" s="57" t="str">
        <f aca="false">IF($B64="","",MAX(0,IF(OR(الموظفون!$AE64="",الموظفون!$AE64&gt;$F$3),$F$3,الموظفون!$AE64)-MAX($E$3,الموظفون!$H64)+1))</f>
        <v/>
      </c>
      <c r="AL64" s="126" t="str">
        <f aca="false">IF($B64="","",SUMIFS('سجل الإجازات والحالات'!$AT$6:$AT$505,'سجل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والحالات'!$V$6:$V$505,'سجل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والحالات'!$AH$6:$AH$505,'سجل الإجازات والحالات'!$B$6:$B$505,$B65))/cfg_DAYS_Y)</f>
        <v/>
      </c>
      <c r="AI65" s="135" t="str">
        <f aca="false">IF($B65="","",MAX(0,IF(OR(الموظفون!$AE65="",الموظفون!$AE65&gt;($E$3-1)),($E$3-1),الموظفون!$AE65)-الموظفون!$H65+1-SUMIFS('سجل الإجازات والحالات'!$R$6:$R$505,'سجل الإجازات والحالات'!$B$6:$B$505,$B65))/cfg_DAYS_Y)</f>
        <v/>
      </c>
      <c r="AJ65" s="110" t="str">
        <f aca="false">IF($B65="","",MAX(0,AK65-(SUMIFS('سجل الإجازات والحالات'!$AH$6:$AH$505,'سجل الإجازات والحالات'!$B$6:$B$505,$B65)-SUMIFS('سجل الإجازات والحالات'!$R$6:$R$505,'سجل الإجازات والحالات'!$B$6:$B$505,$B65))))</f>
        <v/>
      </c>
      <c r="AK65" s="110" t="str">
        <f aca="false">IF($B65="","",MAX(0,IF(OR(الموظفون!$AE65="",الموظفون!$AE65&gt;$F$3),$F$3,الموظفون!$AE65)-MAX($E$3,الموظفون!$H65)+1))</f>
        <v/>
      </c>
      <c r="AL65" s="131" t="str">
        <f aca="false">IF($B65="","",SUMIFS('سجل الإجازات والحالات'!$AT$6:$AT$505,'سجل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والحالات'!$V$6:$V$505,'سجل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والحالات'!$AH$6:$AH$505,'سجل الإجازات والحالات'!$B$6:$B$505,$B66))/cfg_DAYS_Y)</f>
        <v/>
      </c>
      <c r="AI66" s="130" t="str">
        <f aca="false">IF($B66="","",MAX(0,IF(OR(الموظفون!$AE66="",الموظفون!$AE66&gt;($E$3-1)),($E$3-1),الموظفون!$AE66)-الموظفون!$H66+1-SUMIFS('سجل الإجازات والحالات'!$R$6:$R$505,'سجل الإجازات والحالات'!$B$6:$B$505,$B66))/cfg_DAYS_Y)</f>
        <v/>
      </c>
      <c r="AJ66" s="57" t="str">
        <f aca="false">IF($B66="","",MAX(0,AK66-(SUMIFS('سجل الإجازات والحالات'!$AH$6:$AH$505,'سجل الإجازات والحالات'!$B$6:$B$505,$B66)-SUMIFS('سجل الإجازات والحالات'!$R$6:$R$505,'سجل الإجازات والحالات'!$B$6:$B$505,$B66))))</f>
        <v/>
      </c>
      <c r="AK66" s="57" t="str">
        <f aca="false">IF($B66="","",MAX(0,IF(OR(الموظفون!$AE66="",الموظفون!$AE66&gt;$F$3),$F$3,الموظفون!$AE66)-MAX($E$3,الموظفون!$H66)+1))</f>
        <v/>
      </c>
      <c r="AL66" s="126" t="str">
        <f aca="false">IF($B66="","",SUMIFS('سجل الإجازات والحالات'!$AT$6:$AT$505,'سجل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والحالات'!$V$6:$V$505,'سجل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والحالات'!$AH$6:$AH$505,'سجل الإجازات والحالات'!$B$6:$B$505,$B67))/cfg_DAYS_Y)</f>
        <v/>
      </c>
      <c r="AI67" s="135" t="str">
        <f aca="false">IF($B67="","",MAX(0,IF(OR(الموظفون!$AE67="",الموظفون!$AE67&gt;($E$3-1)),($E$3-1),الموظفون!$AE67)-الموظفون!$H67+1-SUMIFS('سجل الإجازات والحالات'!$R$6:$R$505,'سجل الإجازات والحالات'!$B$6:$B$505,$B67))/cfg_DAYS_Y)</f>
        <v/>
      </c>
      <c r="AJ67" s="110" t="str">
        <f aca="false">IF($B67="","",MAX(0,AK67-(SUMIFS('سجل الإجازات والحالات'!$AH$6:$AH$505,'سجل الإجازات والحالات'!$B$6:$B$505,$B67)-SUMIFS('سجل الإجازات والحالات'!$R$6:$R$505,'سجل الإجازات والحالات'!$B$6:$B$505,$B67))))</f>
        <v/>
      </c>
      <c r="AK67" s="110" t="str">
        <f aca="false">IF($B67="","",MAX(0,IF(OR(الموظفون!$AE67="",الموظفون!$AE67&gt;$F$3),$F$3,الموظفون!$AE67)-MAX($E$3,الموظفون!$H67)+1))</f>
        <v/>
      </c>
      <c r="AL67" s="131" t="str">
        <f aca="false">IF($B67="","",SUMIFS('سجل الإجازات والحالات'!$AT$6:$AT$505,'سجل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والحالات'!$V$6:$V$505,'سجل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والحالات'!$AH$6:$AH$505,'سجل الإجازات والحالات'!$B$6:$B$505,$B68))/cfg_DAYS_Y)</f>
        <v/>
      </c>
      <c r="AI68" s="130" t="str">
        <f aca="false">IF($B68="","",MAX(0,IF(OR(الموظفون!$AE68="",الموظفون!$AE68&gt;($E$3-1)),($E$3-1),الموظفون!$AE68)-الموظفون!$H68+1-SUMIFS('سجل الإجازات والحالات'!$R$6:$R$505,'سجل الإجازات والحالات'!$B$6:$B$505,$B68))/cfg_DAYS_Y)</f>
        <v/>
      </c>
      <c r="AJ68" s="57" t="str">
        <f aca="false">IF($B68="","",MAX(0,AK68-(SUMIFS('سجل الإجازات والحالات'!$AH$6:$AH$505,'سجل الإجازات والحالات'!$B$6:$B$505,$B68)-SUMIFS('سجل الإجازات والحالات'!$R$6:$R$505,'سجل الإجازات والحالات'!$B$6:$B$505,$B68))))</f>
        <v/>
      </c>
      <c r="AK68" s="57" t="str">
        <f aca="false">IF($B68="","",MAX(0,IF(OR(الموظفون!$AE68="",الموظفون!$AE68&gt;$F$3),$F$3,الموظفون!$AE68)-MAX($E$3,الموظفون!$H68)+1))</f>
        <v/>
      </c>
      <c r="AL68" s="126" t="str">
        <f aca="false">IF($B68="","",SUMIFS('سجل الإجازات والحالات'!$AT$6:$AT$505,'سجل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والحالات'!$V$6:$V$505,'سجل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والحالات'!$AH$6:$AH$505,'سجل الإجازات والحالات'!$B$6:$B$505,$B69))/cfg_DAYS_Y)</f>
        <v/>
      </c>
      <c r="AI69" s="135" t="str">
        <f aca="false">IF($B69="","",MAX(0,IF(OR(الموظفون!$AE69="",الموظفون!$AE69&gt;($E$3-1)),($E$3-1),الموظفون!$AE69)-الموظفون!$H69+1-SUMIFS('سجل الإجازات والحالات'!$R$6:$R$505,'سجل الإجازات والحالات'!$B$6:$B$505,$B69))/cfg_DAYS_Y)</f>
        <v/>
      </c>
      <c r="AJ69" s="110" t="str">
        <f aca="false">IF($B69="","",MAX(0,AK69-(SUMIFS('سجل الإجازات والحالات'!$AH$6:$AH$505,'سجل الإجازات والحالات'!$B$6:$B$505,$B69)-SUMIFS('سجل الإجازات والحالات'!$R$6:$R$505,'سجل الإجازات والحالات'!$B$6:$B$505,$B69))))</f>
        <v/>
      </c>
      <c r="AK69" s="110" t="str">
        <f aca="false">IF($B69="","",MAX(0,IF(OR(الموظفون!$AE69="",الموظفون!$AE69&gt;$F$3),$F$3,الموظفون!$AE69)-MAX($E$3,الموظفون!$H69)+1))</f>
        <v/>
      </c>
      <c r="AL69" s="131" t="str">
        <f aca="false">IF($B69="","",SUMIFS('سجل الإجازات والحالات'!$AT$6:$AT$505,'سجل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والحالات'!$V$6:$V$505,'سجل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والحالات'!$AH$6:$AH$505,'سجل الإجازات والحالات'!$B$6:$B$505,$B70))/cfg_DAYS_Y)</f>
        <v/>
      </c>
      <c r="AI70" s="130" t="str">
        <f aca="false">IF($B70="","",MAX(0,IF(OR(الموظفون!$AE70="",الموظفون!$AE70&gt;($E$3-1)),($E$3-1),الموظفون!$AE70)-الموظفون!$H70+1-SUMIFS('سجل الإجازات والحالات'!$R$6:$R$505,'سجل الإجازات والحالات'!$B$6:$B$505,$B70))/cfg_DAYS_Y)</f>
        <v/>
      </c>
      <c r="AJ70" s="57" t="str">
        <f aca="false">IF($B70="","",MAX(0,AK70-(SUMIFS('سجل الإجازات والحالات'!$AH$6:$AH$505,'سجل الإجازات والحالات'!$B$6:$B$505,$B70)-SUMIFS('سجل الإجازات والحالات'!$R$6:$R$505,'سجل الإجازات والحالات'!$B$6:$B$505,$B70))))</f>
        <v/>
      </c>
      <c r="AK70" s="57" t="str">
        <f aca="false">IF($B70="","",MAX(0,IF(OR(الموظفون!$AE70="",الموظفون!$AE70&gt;$F$3),$F$3,الموظفون!$AE70)-MAX($E$3,الموظفون!$H70)+1))</f>
        <v/>
      </c>
      <c r="AL70" s="126" t="str">
        <f aca="false">IF($B70="","",SUMIFS('سجل الإجازات والحالات'!$AT$6:$AT$505,'سجل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والحالات'!$V$6:$V$505,'سجل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والحالات'!$AH$6:$AH$505,'سجل الإجازات والحالات'!$B$6:$B$505,$B71))/cfg_DAYS_Y)</f>
        <v/>
      </c>
      <c r="AI71" s="135" t="str">
        <f aca="false">IF($B71="","",MAX(0,IF(OR(الموظفون!$AE71="",الموظفون!$AE71&gt;($E$3-1)),($E$3-1),الموظفون!$AE71)-الموظفون!$H71+1-SUMIFS('سجل الإجازات والحالات'!$R$6:$R$505,'سجل الإجازات والحالات'!$B$6:$B$505,$B71))/cfg_DAYS_Y)</f>
        <v/>
      </c>
      <c r="AJ71" s="110" t="str">
        <f aca="false">IF($B71="","",MAX(0,AK71-(SUMIFS('سجل الإجازات والحالات'!$AH$6:$AH$505,'سجل الإجازات والحالات'!$B$6:$B$505,$B71)-SUMIFS('سجل الإجازات والحالات'!$R$6:$R$505,'سجل الإجازات والحالات'!$B$6:$B$505,$B71))))</f>
        <v/>
      </c>
      <c r="AK71" s="110" t="str">
        <f aca="false">IF($B71="","",MAX(0,IF(OR(الموظفون!$AE71="",الموظفون!$AE71&gt;$F$3),$F$3,الموظفون!$AE71)-MAX($E$3,الموظفون!$H71)+1))</f>
        <v/>
      </c>
      <c r="AL71" s="131" t="str">
        <f aca="false">IF($B71="","",SUMIFS('سجل الإجازات والحالات'!$AT$6:$AT$505,'سجل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والحالات'!$V$6:$V$505,'سجل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والحالات'!$AH$6:$AH$505,'سجل الإجازات والحالات'!$B$6:$B$505,$B72))/cfg_DAYS_Y)</f>
        <v/>
      </c>
      <c r="AI72" s="130" t="str">
        <f aca="false">IF($B72="","",MAX(0,IF(OR(الموظفون!$AE72="",الموظفون!$AE72&gt;($E$3-1)),($E$3-1),الموظفون!$AE72)-الموظفون!$H72+1-SUMIFS('سجل الإجازات والحالات'!$R$6:$R$505,'سجل الإجازات والحالات'!$B$6:$B$505,$B72))/cfg_DAYS_Y)</f>
        <v/>
      </c>
      <c r="AJ72" s="57" t="str">
        <f aca="false">IF($B72="","",MAX(0,AK72-(SUMIFS('سجل الإجازات والحالات'!$AH$6:$AH$505,'سجل الإجازات والحالات'!$B$6:$B$505,$B72)-SUMIFS('سجل الإجازات والحالات'!$R$6:$R$505,'سجل الإجازات والحالات'!$B$6:$B$505,$B72))))</f>
        <v/>
      </c>
      <c r="AK72" s="57" t="str">
        <f aca="false">IF($B72="","",MAX(0,IF(OR(الموظفون!$AE72="",الموظفون!$AE72&gt;$F$3),$F$3,الموظفون!$AE72)-MAX($E$3,الموظفون!$H72)+1))</f>
        <v/>
      </c>
      <c r="AL72" s="126" t="str">
        <f aca="false">IF($B72="","",SUMIFS('سجل الإجازات والحالات'!$AT$6:$AT$505,'سجل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والحالات'!$V$6:$V$505,'سجل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والحالات'!$AH$6:$AH$505,'سجل الإجازات والحالات'!$B$6:$B$505,$B73))/cfg_DAYS_Y)</f>
        <v/>
      </c>
      <c r="AI73" s="135" t="str">
        <f aca="false">IF($B73="","",MAX(0,IF(OR(الموظفون!$AE73="",الموظفون!$AE73&gt;($E$3-1)),($E$3-1),الموظفون!$AE73)-الموظفون!$H73+1-SUMIFS('سجل الإجازات والحالات'!$R$6:$R$505,'سجل الإجازات والحالات'!$B$6:$B$505,$B73))/cfg_DAYS_Y)</f>
        <v/>
      </c>
      <c r="AJ73" s="110" t="str">
        <f aca="false">IF($B73="","",MAX(0,AK73-(SUMIFS('سجل الإجازات والحالات'!$AH$6:$AH$505,'سجل الإجازات والحالات'!$B$6:$B$505,$B73)-SUMIFS('سجل الإجازات والحالات'!$R$6:$R$505,'سجل الإجازات والحالات'!$B$6:$B$505,$B73))))</f>
        <v/>
      </c>
      <c r="AK73" s="110" t="str">
        <f aca="false">IF($B73="","",MAX(0,IF(OR(الموظفون!$AE73="",الموظفون!$AE73&gt;$F$3),$F$3,الموظفون!$AE73)-MAX($E$3,الموظفون!$H73)+1))</f>
        <v/>
      </c>
      <c r="AL73" s="131" t="str">
        <f aca="false">IF($B73="","",SUMIFS('سجل الإجازات والحالات'!$AT$6:$AT$505,'سجل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والحالات'!$V$6:$V$505,'سجل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والحالات'!$AH$6:$AH$505,'سجل الإجازات والحالات'!$B$6:$B$505,$B74))/cfg_DAYS_Y)</f>
        <v/>
      </c>
      <c r="AI74" s="130" t="str">
        <f aca="false">IF($B74="","",MAX(0,IF(OR(الموظفون!$AE74="",الموظفون!$AE74&gt;($E$3-1)),($E$3-1),الموظفون!$AE74)-الموظفون!$H74+1-SUMIFS('سجل الإجازات والحالات'!$R$6:$R$505,'سجل الإجازات والحالات'!$B$6:$B$505,$B74))/cfg_DAYS_Y)</f>
        <v/>
      </c>
      <c r="AJ74" s="57" t="str">
        <f aca="false">IF($B74="","",MAX(0,AK74-(SUMIFS('سجل الإجازات والحالات'!$AH$6:$AH$505,'سجل الإجازات والحالات'!$B$6:$B$505,$B74)-SUMIFS('سجل الإجازات والحالات'!$R$6:$R$505,'سجل الإجازات والحالات'!$B$6:$B$505,$B74))))</f>
        <v/>
      </c>
      <c r="AK74" s="57" t="str">
        <f aca="false">IF($B74="","",MAX(0,IF(OR(الموظفون!$AE74="",الموظفون!$AE74&gt;$F$3),$F$3,الموظفون!$AE74)-MAX($E$3,الموظفون!$H74)+1))</f>
        <v/>
      </c>
      <c r="AL74" s="126" t="str">
        <f aca="false">IF($B74="","",SUMIFS('سجل الإجازات والحالات'!$AT$6:$AT$505,'سجل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والحالات'!$V$6:$V$505,'سجل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والحالات'!$AH$6:$AH$505,'سجل الإجازات والحالات'!$B$6:$B$505,$B75))/cfg_DAYS_Y)</f>
        <v/>
      </c>
      <c r="AI75" s="135" t="str">
        <f aca="false">IF($B75="","",MAX(0,IF(OR(الموظفون!$AE75="",الموظفون!$AE75&gt;($E$3-1)),($E$3-1),الموظفون!$AE75)-الموظفون!$H75+1-SUMIFS('سجل الإجازات والحالات'!$R$6:$R$505,'سجل الإجازات والحالات'!$B$6:$B$505,$B75))/cfg_DAYS_Y)</f>
        <v/>
      </c>
      <c r="AJ75" s="110" t="str">
        <f aca="false">IF($B75="","",MAX(0,AK75-(SUMIFS('سجل الإجازات والحالات'!$AH$6:$AH$505,'سجل الإجازات والحالات'!$B$6:$B$505,$B75)-SUMIFS('سجل الإجازات والحالات'!$R$6:$R$505,'سجل الإجازات والحالات'!$B$6:$B$505,$B75))))</f>
        <v/>
      </c>
      <c r="AK75" s="110" t="str">
        <f aca="false">IF($B75="","",MAX(0,IF(OR(الموظفون!$AE75="",الموظفون!$AE75&gt;$F$3),$F$3,الموظفون!$AE75)-MAX($E$3,الموظفون!$H75)+1))</f>
        <v/>
      </c>
      <c r="AL75" s="131" t="str">
        <f aca="false">IF($B75="","",SUMIFS('سجل الإجازات والحالات'!$AT$6:$AT$505,'سجل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والحالات'!$V$6:$V$505,'سجل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والحالات'!$AH$6:$AH$505,'سجل الإجازات والحالات'!$B$6:$B$505,$B76))/cfg_DAYS_Y)</f>
        <v/>
      </c>
      <c r="AI76" s="130" t="str">
        <f aca="false">IF($B76="","",MAX(0,IF(OR(الموظفون!$AE76="",الموظفون!$AE76&gt;($E$3-1)),($E$3-1),الموظفون!$AE76)-الموظفون!$H76+1-SUMIFS('سجل الإجازات والحالات'!$R$6:$R$505,'سجل الإجازات والحالات'!$B$6:$B$505,$B76))/cfg_DAYS_Y)</f>
        <v/>
      </c>
      <c r="AJ76" s="57" t="str">
        <f aca="false">IF($B76="","",MAX(0,AK76-(SUMIFS('سجل الإجازات والحالات'!$AH$6:$AH$505,'سجل الإجازات والحالات'!$B$6:$B$505,$B76)-SUMIFS('سجل الإجازات والحالات'!$R$6:$R$505,'سجل الإجازات والحالات'!$B$6:$B$505,$B76))))</f>
        <v/>
      </c>
      <c r="AK76" s="57" t="str">
        <f aca="false">IF($B76="","",MAX(0,IF(OR(الموظفون!$AE76="",الموظفون!$AE76&gt;$F$3),$F$3,الموظفون!$AE76)-MAX($E$3,الموظفون!$H76)+1))</f>
        <v/>
      </c>
      <c r="AL76" s="126" t="str">
        <f aca="false">IF($B76="","",SUMIFS('سجل الإجازات والحالات'!$AT$6:$AT$505,'سجل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والحالات'!$V$6:$V$505,'سجل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والحالات'!$AH$6:$AH$505,'سجل الإجازات والحالات'!$B$6:$B$505,$B77))/cfg_DAYS_Y)</f>
        <v/>
      </c>
      <c r="AI77" s="135" t="str">
        <f aca="false">IF($B77="","",MAX(0,IF(OR(الموظفون!$AE77="",الموظفون!$AE77&gt;($E$3-1)),($E$3-1),الموظفون!$AE77)-الموظفون!$H77+1-SUMIFS('سجل الإجازات والحالات'!$R$6:$R$505,'سجل الإجازات والحالات'!$B$6:$B$505,$B77))/cfg_DAYS_Y)</f>
        <v/>
      </c>
      <c r="AJ77" s="110" t="str">
        <f aca="false">IF($B77="","",MAX(0,AK77-(SUMIFS('سجل الإجازات والحالات'!$AH$6:$AH$505,'سجل الإجازات والحالات'!$B$6:$B$505,$B77)-SUMIFS('سجل الإجازات والحالات'!$R$6:$R$505,'سجل الإجازات والحالات'!$B$6:$B$505,$B77))))</f>
        <v/>
      </c>
      <c r="AK77" s="110" t="str">
        <f aca="false">IF($B77="","",MAX(0,IF(OR(الموظفون!$AE77="",الموظفون!$AE77&gt;$F$3),$F$3,الموظفون!$AE77)-MAX($E$3,الموظفون!$H77)+1))</f>
        <v/>
      </c>
      <c r="AL77" s="131" t="str">
        <f aca="false">IF($B77="","",SUMIFS('سجل الإجازات والحالات'!$AT$6:$AT$505,'سجل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والحالات'!$V$6:$V$505,'سجل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والحالات'!$AH$6:$AH$505,'سجل الإجازات والحالات'!$B$6:$B$505,$B78))/cfg_DAYS_Y)</f>
        <v/>
      </c>
      <c r="AI78" s="130" t="str">
        <f aca="false">IF($B78="","",MAX(0,IF(OR(الموظفون!$AE78="",الموظفون!$AE78&gt;($E$3-1)),($E$3-1),الموظفون!$AE78)-الموظفون!$H78+1-SUMIFS('سجل الإجازات والحالات'!$R$6:$R$505,'سجل الإجازات والحالات'!$B$6:$B$505,$B78))/cfg_DAYS_Y)</f>
        <v/>
      </c>
      <c r="AJ78" s="57" t="str">
        <f aca="false">IF($B78="","",MAX(0,AK78-(SUMIFS('سجل الإجازات والحالات'!$AH$6:$AH$505,'سجل الإجازات والحالات'!$B$6:$B$505,$B78)-SUMIFS('سجل الإجازات والحالات'!$R$6:$R$505,'سجل الإجازات والحالات'!$B$6:$B$505,$B78))))</f>
        <v/>
      </c>
      <c r="AK78" s="57" t="str">
        <f aca="false">IF($B78="","",MAX(0,IF(OR(الموظفون!$AE78="",الموظفون!$AE78&gt;$F$3),$F$3,الموظفون!$AE78)-MAX($E$3,الموظفون!$H78)+1))</f>
        <v/>
      </c>
      <c r="AL78" s="126" t="str">
        <f aca="false">IF($B78="","",SUMIFS('سجل الإجازات والحالات'!$AT$6:$AT$505,'سجل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والحالات'!$V$6:$V$505,'سجل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والحالات'!$AH$6:$AH$505,'سجل الإجازات والحالات'!$B$6:$B$505,$B79))/cfg_DAYS_Y)</f>
        <v/>
      </c>
      <c r="AI79" s="135" t="str">
        <f aca="false">IF($B79="","",MAX(0,IF(OR(الموظفون!$AE79="",الموظفون!$AE79&gt;($E$3-1)),($E$3-1),الموظفون!$AE79)-الموظفون!$H79+1-SUMIFS('سجل الإجازات والحالات'!$R$6:$R$505,'سجل الإجازات والحالات'!$B$6:$B$505,$B79))/cfg_DAYS_Y)</f>
        <v/>
      </c>
      <c r="AJ79" s="110" t="str">
        <f aca="false">IF($B79="","",MAX(0,AK79-(SUMIFS('سجل الإجازات والحالات'!$AH$6:$AH$505,'سجل الإجازات والحالات'!$B$6:$B$505,$B79)-SUMIFS('سجل الإجازات والحالات'!$R$6:$R$505,'سجل الإجازات والحالات'!$B$6:$B$505,$B79))))</f>
        <v/>
      </c>
      <c r="AK79" s="110" t="str">
        <f aca="false">IF($B79="","",MAX(0,IF(OR(الموظفون!$AE79="",الموظفون!$AE79&gt;$F$3),$F$3,الموظفون!$AE79)-MAX($E$3,الموظفون!$H79)+1))</f>
        <v/>
      </c>
      <c r="AL79" s="131" t="str">
        <f aca="false">IF($B79="","",SUMIFS('سجل الإجازات والحالات'!$AT$6:$AT$505,'سجل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والحالات'!$V$6:$V$505,'سجل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والحالات'!$AH$6:$AH$505,'سجل الإجازات والحالات'!$B$6:$B$505,$B80))/cfg_DAYS_Y)</f>
        <v/>
      </c>
      <c r="AI80" s="130" t="str">
        <f aca="false">IF($B80="","",MAX(0,IF(OR(الموظفون!$AE80="",الموظفون!$AE80&gt;($E$3-1)),($E$3-1),الموظفون!$AE80)-الموظفون!$H80+1-SUMIFS('سجل الإجازات والحالات'!$R$6:$R$505,'سجل الإجازات والحالات'!$B$6:$B$505,$B80))/cfg_DAYS_Y)</f>
        <v/>
      </c>
      <c r="AJ80" s="57" t="str">
        <f aca="false">IF($B80="","",MAX(0,AK80-(SUMIFS('سجل الإجازات والحالات'!$AH$6:$AH$505,'سجل الإجازات والحالات'!$B$6:$B$505,$B80)-SUMIFS('سجل الإجازات والحالات'!$R$6:$R$505,'سجل الإجازات والحالات'!$B$6:$B$505,$B80))))</f>
        <v/>
      </c>
      <c r="AK80" s="57" t="str">
        <f aca="false">IF($B80="","",MAX(0,IF(OR(الموظفون!$AE80="",الموظفون!$AE80&gt;$F$3),$F$3,الموظفون!$AE80)-MAX($E$3,الموظفون!$H80)+1))</f>
        <v/>
      </c>
      <c r="AL80" s="126" t="str">
        <f aca="false">IF($B80="","",SUMIFS('سجل الإجازات والحالات'!$AT$6:$AT$505,'سجل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والحالات'!$V$6:$V$505,'سجل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والحالات'!$AH$6:$AH$505,'سجل الإجازات والحالات'!$B$6:$B$505,$B81))/cfg_DAYS_Y)</f>
        <v/>
      </c>
      <c r="AI81" s="135" t="str">
        <f aca="false">IF($B81="","",MAX(0,IF(OR(الموظفون!$AE81="",الموظفون!$AE81&gt;($E$3-1)),($E$3-1),الموظفون!$AE81)-الموظفون!$H81+1-SUMIFS('سجل الإجازات والحالات'!$R$6:$R$505,'سجل الإجازات والحالات'!$B$6:$B$505,$B81))/cfg_DAYS_Y)</f>
        <v/>
      </c>
      <c r="AJ81" s="110" t="str">
        <f aca="false">IF($B81="","",MAX(0,AK81-(SUMIFS('سجل الإجازات والحالات'!$AH$6:$AH$505,'سجل الإجازات والحالات'!$B$6:$B$505,$B81)-SUMIFS('سجل الإجازات والحالات'!$R$6:$R$505,'سجل الإجازات والحالات'!$B$6:$B$505,$B81))))</f>
        <v/>
      </c>
      <c r="AK81" s="110" t="str">
        <f aca="false">IF($B81="","",MAX(0,IF(OR(الموظفون!$AE81="",الموظفون!$AE81&gt;$F$3),$F$3,الموظفون!$AE81)-MAX($E$3,الموظفون!$H81)+1))</f>
        <v/>
      </c>
      <c r="AL81" s="131" t="str">
        <f aca="false">IF($B81="","",SUMIFS('سجل الإجازات والحالات'!$AT$6:$AT$505,'سجل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والحالات'!$V$6:$V$505,'سجل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والحالات'!$AH$6:$AH$505,'سجل الإجازات والحالات'!$B$6:$B$505,$B82))/cfg_DAYS_Y)</f>
        <v/>
      </c>
      <c r="AI82" s="130" t="str">
        <f aca="false">IF($B82="","",MAX(0,IF(OR(الموظفون!$AE82="",الموظفون!$AE82&gt;($E$3-1)),($E$3-1),الموظفون!$AE82)-الموظفون!$H82+1-SUMIFS('سجل الإجازات والحالات'!$R$6:$R$505,'سجل الإجازات والحالات'!$B$6:$B$505,$B82))/cfg_DAYS_Y)</f>
        <v/>
      </c>
      <c r="AJ82" s="57" t="str">
        <f aca="false">IF($B82="","",MAX(0,AK82-(SUMIFS('سجل الإجازات والحالات'!$AH$6:$AH$505,'سجل الإجازات والحالات'!$B$6:$B$505,$B82)-SUMIFS('سجل الإجازات والحالات'!$R$6:$R$505,'سجل الإجازات والحالات'!$B$6:$B$505,$B82))))</f>
        <v/>
      </c>
      <c r="AK82" s="57" t="str">
        <f aca="false">IF($B82="","",MAX(0,IF(OR(الموظفون!$AE82="",الموظفون!$AE82&gt;$F$3),$F$3,الموظفون!$AE82)-MAX($E$3,الموظفون!$H82)+1))</f>
        <v/>
      </c>
      <c r="AL82" s="126" t="str">
        <f aca="false">IF($B82="","",SUMIFS('سجل الإجازات والحالات'!$AT$6:$AT$505,'سجل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والحالات'!$V$6:$V$505,'سجل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والحالات'!$AH$6:$AH$505,'سجل الإجازات والحالات'!$B$6:$B$505,$B83))/cfg_DAYS_Y)</f>
        <v/>
      </c>
      <c r="AI83" s="135" t="str">
        <f aca="false">IF($B83="","",MAX(0,IF(OR(الموظفون!$AE83="",الموظفون!$AE83&gt;($E$3-1)),($E$3-1),الموظفون!$AE83)-الموظفون!$H83+1-SUMIFS('سجل الإجازات والحالات'!$R$6:$R$505,'سجل الإجازات والحالات'!$B$6:$B$505,$B83))/cfg_DAYS_Y)</f>
        <v/>
      </c>
      <c r="AJ83" s="110" t="str">
        <f aca="false">IF($B83="","",MAX(0,AK83-(SUMIFS('سجل الإجازات والحالات'!$AH$6:$AH$505,'سجل الإجازات والحالات'!$B$6:$B$505,$B83)-SUMIFS('سجل الإجازات والحالات'!$R$6:$R$505,'سجل الإجازات والحالات'!$B$6:$B$505,$B83))))</f>
        <v/>
      </c>
      <c r="AK83" s="110" t="str">
        <f aca="false">IF($B83="","",MAX(0,IF(OR(الموظفون!$AE83="",الموظفون!$AE83&gt;$F$3),$F$3,الموظفون!$AE83)-MAX($E$3,الموظفون!$H83)+1))</f>
        <v/>
      </c>
      <c r="AL83" s="131" t="str">
        <f aca="false">IF($B83="","",SUMIFS('سجل الإجازات والحالات'!$AT$6:$AT$505,'سجل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والحالات'!$V$6:$V$505,'سجل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والحالات'!$AH$6:$AH$505,'سجل الإجازات والحالات'!$B$6:$B$505,$B84))/cfg_DAYS_Y)</f>
        <v/>
      </c>
      <c r="AI84" s="130" t="str">
        <f aca="false">IF($B84="","",MAX(0,IF(OR(الموظفون!$AE84="",الموظفون!$AE84&gt;($E$3-1)),($E$3-1),الموظفون!$AE84)-الموظفون!$H84+1-SUMIFS('سجل الإجازات والحالات'!$R$6:$R$505,'سجل الإجازات والحالات'!$B$6:$B$505,$B84))/cfg_DAYS_Y)</f>
        <v/>
      </c>
      <c r="AJ84" s="57" t="str">
        <f aca="false">IF($B84="","",MAX(0,AK84-(SUMIFS('سجل الإجازات والحالات'!$AH$6:$AH$505,'سجل الإجازات والحالات'!$B$6:$B$505,$B84)-SUMIFS('سجل الإجازات والحالات'!$R$6:$R$505,'سجل الإجازات والحالات'!$B$6:$B$505,$B84))))</f>
        <v/>
      </c>
      <c r="AK84" s="57" t="str">
        <f aca="false">IF($B84="","",MAX(0,IF(OR(الموظفون!$AE84="",الموظفون!$AE84&gt;$F$3),$F$3,الموظفون!$AE84)-MAX($E$3,الموظفون!$H84)+1))</f>
        <v/>
      </c>
      <c r="AL84" s="126" t="str">
        <f aca="false">IF($B84="","",SUMIFS('سجل الإجازات والحالات'!$AT$6:$AT$505,'سجل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والحالات'!$V$6:$V$505,'سجل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والحالات'!$AH$6:$AH$505,'سجل الإجازات والحالات'!$B$6:$B$505,$B85))/cfg_DAYS_Y)</f>
        <v/>
      </c>
      <c r="AI85" s="135" t="str">
        <f aca="false">IF($B85="","",MAX(0,IF(OR(الموظفون!$AE85="",الموظفون!$AE85&gt;($E$3-1)),($E$3-1),الموظفون!$AE85)-الموظفون!$H85+1-SUMIFS('سجل الإجازات والحالات'!$R$6:$R$505,'سجل الإجازات والحالات'!$B$6:$B$505,$B85))/cfg_DAYS_Y)</f>
        <v/>
      </c>
      <c r="AJ85" s="110" t="str">
        <f aca="false">IF($B85="","",MAX(0,AK85-(SUMIFS('سجل الإجازات والحالات'!$AH$6:$AH$505,'سجل الإجازات والحالات'!$B$6:$B$505,$B85)-SUMIFS('سجل الإجازات والحالات'!$R$6:$R$505,'سجل الإجازات والحالات'!$B$6:$B$505,$B85))))</f>
        <v/>
      </c>
      <c r="AK85" s="110" t="str">
        <f aca="false">IF($B85="","",MAX(0,IF(OR(الموظفون!$AE85="",الموظفون!$AE85&gt;$F$3),$F$3,الموظفون!$AE85)-MAX($E$3,الموظفون!$H85)+1))</f>
        <v/>
      </c>
      <c r="AL85" s="131" t="str">
        <f aca="false">IF($B85="","",SUMIFS('سجل الإجازات والحالات'!$AT$6:$AT$505,'سجل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والحالات'!$V$6:$V$505,'سجل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والحالات'!$AH$6:$AH$505,'سجل الإجازات والحالات'!$B$6:$B$505,$B86))/cfg_DAYS_Y)</f>
        <v/>
      </c>
      <c r="AI86" s="130" t="str">
        <f aca="false">IF($B86="","",MAX(0,IF(OR(الموظفون!$AE86="",الموظفون!$AE86&gt;($E$3-1)),($E$3-1),الموظفون!$AE86)-الموظفون!$H86+1-SUMIFS('سجل الإجازات والحالات'!$R$6:$R$505,'سجل الإجازات والحالات'!$B$6:$B$505,$B86))/cfg_DAYS_Y)</f>
        <v/>
      </c>
      <c r="AJ86" s="57" t="str">
        <f aca="false">IF($B86="","",MAX(0,AK86-(SUMIFS('سجل الإجازات والحالات'!$AH$6:$AH$505,'سجل الإجازات والحالات'!$B$6:$B$505,$B86)-SUMIFS('سجل الإجازات والحالات'!$R$6:$R$505,'سجل الإجازات والحالات'!$B$6:$B$505,$B86))))</f>
        <v/>
      </c>
      <c r="AK86" s="57" t="str">
        <f aca="false">IF($B86="","",MAX(0,IF(OR(الموظفون!$AE86="",الموظفون!$AE86&gt;$F$3),$F$3,الموظفون!$AE86)-MAX($E$3,الموظفون!$H86)+1))</f>
        <v/>
      </c>
      <c r="AL86" s="126" t="str">
        <f aca="false">IF($B86="","",SUMIFS('سجل الإجازات والحالات'!$AT$6:$AT$505,'سجل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والحالات'!$V$6:$V$505,'سجل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والحالات'!$AH$6:$AH$505,'سجل الإجازات والحالات'!$B$6:$B$505,$B87))/cfg_DAYS_Y)</f>
        <v/>
      </c>
      <c r="AI87" s="135" t="str">
        <f aca="false">IF($B87="","",MAX(0,IF(OR(الموظفون!$AE87="",الموظفون!$AE87&gt;($E$3-1)),($E$3-1),الموظفون!$AE87)-الموظفون!$H87+1-SUMIFS('سجل الإجازات والحالات'!$R$6:$R$505,'سجل الإجازات والحالات'!$B$6:$B$505,$B87))/cfg_DAYS_Y)</f>
        <v/>
      </c>
      <c r="AJ87" s="110" t="str">
        <f aca="false">IF($B87="","",MAX(0,AK87-(SUMIFS('سجل الإجازات والحالات'!$AH$6:$AH$505,'سجل الإجازات والحالات'!$B$6:$B$505,$B87)-SUMIFS('سجل الإجازات والحالات'!$R$6:$R$505,'سجل الإجازات والحالات'!$B$6:$B$505,$B87))))</f>
        <v/>
      </c>
      <c r="AK87" s="110" t="str">
        <f aca="false">IF($B87="","",MAX(0,IF(OR(الموظفون!$AE87="",الموظفون!$AE87&gt;$F$3),$F$3,الموظفون!$AE87)-MAX($E$3,الموظفون!$H87)+1))</f>
        <v/>
      </c>
      <c r="AL87" s="131" t="str">
        <f aca="false">IF($B87="","",SUMIFS('سجل الإجازات والحالات'!$AT$6:$AT$505,'سجل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والحالات'!$V$6:$V$505,'سجل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والحالات'!$AH$6:$AH$505,'سجل الإجازات والحالات'!$B$6:$B$505,$B88))/cfg_DAYS_Y)</f>
        <v/>
      </c>
      <c r="AI88" s="130" t="str">
        <f aca="false">IF($B88="","",MAX(0,IF(OR(الموظفون!$AE88="",الموظفون!$AE88&gt;($E$3-1)),($E$3-1),الموظفون!$AE88)-الموظفون!$H88+1-SUMIFS('سجل الإجازات والحالات'!$R$6:$R$505,'سجل الإجازات والحالات'!$B$6:$B$505,$B88))/cfg_DAYS_Y)</f>
        <v/>
      </c>
      <c r="AJ88" s="57" t="str">
        <f aca="false">IF($B88="","",MAX(0,AK88-(SUMIFS('سجل الإجازات والحالات'!$AH$6:$AH$505,'سجل الإجازات والحالات'!$B$6:$B$505,$B88)-SUMIFS('سجل الإجازات والحالات'!$R$6:$R$505,'سجل الإجازات والحالات'!$B$6:$B$505,$B88))))</f>
        <v/>
      </c>
      <c r="AK88" s="57" t="str">
        <f aca="false">IF($B88="","",MAX(0,IF(OR(الموظفون!$AE88="",الموظفون!$AE88&gt;$F$3),$F$3,الموظفون!$AE88)-MAX($E$3,الموظفون!$H88)+1))</f>
        <v/>
      </c>
      <c r="AL88" s="126" t="str">
        <f aca="false">IF($B88="","",SUMIFS('سجل الإجازات والحالات'!$AT$6:$AT$505,'سجل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والحالات'!$V$6:$V$505,'سجل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والحالات'!$AH$6:$AH$505,'سجل الإجازات والحالات'!$B$6:$B$505,$B89))/cfg_DAYS_Y)</f>
        <v/>
      </c>
      <c r="AI89" s="135" t="str">
        <f aca="false">IF($B89="","",MAX(0,IF(OR(الموظفون!$AE89="",الموظفون!$AE89&gt;($E$3-1)),($E$3-1),الموظفون!$AE89)-الموظفون!$H89+1-SUMIFS('سجل الإجازات والحالات'!$R$6:$R$505,'سجل الإجازات والحالات'!$B$6:$B$505,$B89))/cfg_DAYS_Y)</f>
        <v/>
      </c>
      <c r="AJ89" s="110" t="str">
        <f aca="false">IF($B89="","",MAX(0,AK89-(SUMIFS('سجل الإجازات والحالات'!$AH$6:$AH$505,'سجل الإجازات والحالات'!$B$6:$B$505,$B89)-SUMIFS('سجل الإجازات والحالات'!$R$6:$R$505,'سجل الإجازات والحالات'!$B$6:$B$505,$B89))))</f>
        <v/>
      </c>
      <c r="AK89" s="110" t="str">
        <f aca="false">IF($B89="","",MAX(0,IF(OR(الموظفون!$AE89="",الموظفون!$AE89&gt;$F$3),$F$3,الموظفون!$AE89)-MAX($E$3,الموظفون!$H89)+1))</f>
        <v/>
      </c>
      <c r="AL89" s="131" t="str">
        <f aca="false">IF($B89="","",SUMIFS('سجل الإجازات والحالات'!$AT$6:$AT$505,'سجل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والحالات'!$V$6:$V$505,'سجل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والحالات'!$AH$6:$AH$505,'سجل الإجازات والحالات'!$B$6:$B$505,$B90))/cfg_DAYS_Y)</f>
        <v/>
      </c>
      <c r="AI90" s="130" t="str">
        <f aca="false">IF($B90="","",MAX(0,IF(OR(الموظفون!$AE90="",الموظفون!$AE90&gt;($E$3-1)),($E$3-1),الموظفون!$AE90)-الموظفون!$H90+1-SUMIFS('سجل الإجازات والحالات'!$R$6:$R$505,'سجل الإجازات والحالات'!$B$6:$B$505,$B90))/cfg_DAYS_Y)</f>
        <v/>
      </c>
      <c r="AJ90" s="57" t="str">
        <f aca="false">IF($B90="","",MAX(0,AK90-(SUMIFS('سجل الإجازات والحالات'!$AH$6:$AH$505,'سجل الإجازات والحالات'!$B$6:$B$505,$B90)-SUMIFS('سجل الإجازات والحالات'!$R$6:$R$505,'سجل الإجازات والحالات'!$B$6:$B$505,$B90))))</f>
        <v/>
      </c>
      <c r="AK90" s="57" t="str">
        <f aca="false">IF($B90="","",MAX(0,IF(OR(الموظفون!$AE90="",الموظفون!$AE90&gt;$F$3),$F$3,الموظفون!$AE90)-MAX($E$3,الموظفون!$H90)+1))</f>
        <v/>
      </c>
      <c r="AL90" s="126" t="str">
        <f aca="false">IF($B90="","",SUMIFS('سجل الإجازات والحالات'!$AT$6:$AT$505,'سجل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والحالات'!$V$6:$V$505,'سجل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والحالات'!$AH$6:$AH$505,'سجل الإجازات والحالات'!$B$6:$B$505,$B91))/cfg_DAYS_Y)</f>
        <v/>
      </c>
      <c r="AI91" s="135" t="str">
        <f aca="false">IF($B91="","",MAX(0,IF(OR(الموظفون!$AE91="",الموظفون!$AE91&gt;($E$3-1)),($E$3-1),الموظفون!$AE91)-الموظفون!$H91+1-SUMIFS('سجل الإجازات والحالات'!$R$6:$R$505,'سجل الإجازات والحالات'!$B$6:$B$505,$B91))/cfg_DAYS_Y)</f>
        <v/>
      </c>
      <c r="AJ91" s="110" t="str">
        <f aca="false">IF($B91="","",MAX(0,AK91-(SUMIFS('سجل الإجازات والحالات'!$AH$6:$AH$505,'سجل الإجازات والحالات'!$B$6:$B$505,$B91)-SUMIFS('سجل الإجازات والحالات'!$R$6:$R$505,'سجل الإجازات والحالات'!$B$6:$B$505,$B91))))</f>
        <v/>
      </c>
      <c r="AK91" s="110" t="str">
        <f aca="false">IF($B91="","",MAX(0,IF(OR(الموظفون!$AE91="",الموظفون!$AE91&gt;$F$3),$F$3,الموظفون!$AE91)-MAX($E$3,الموظفون!$H91)+1))</f>
        <v/>
      </c>
      <c r="AL91" s="131" t="str">
        <f aca="false">IF($B91="","",SUMIFS('سجل الإجازات والحالات'!$AT$6:$AT$505,'سجل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والحالات'!$V$6:$V$505,'سجل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والحالات'!$AH$6:$AH$505,'سجل الإجازات والحالات'!$B$6:$B$505,$B92))/cfg_DAYS_Y)</f>
        <v/>
      </c>
      <c r="AI92" s="130" t="str">
        <f aca="false">IF($B92="","",MAX(0,IF(OR(الموظفون!$AE92="",الموظفون!$AE92&gt;($E$3-1)),($E$3-1),الموظفون!$AE92)-الموظفون!$H92+1-SUMIFS('سجل الإجازات والحالات'!$R$6:$R$505,'سجل الإجازات والحالات'!$B$6:$B$505,$B92))/cfg_DAYS_Y)</f>
        <v/>
      </c>
      <c r="AJ92" s="57" t="str">
        <f aca="false">IF($B92="","",MAX(0,AK92-(SUMIFS('سجل الإجازات والحالات'!$AH$6:$AH$505,'سجل الإجازات والحالات'!$B$6:$B$505,$B92)-SUMIFS('سجل الإجازات والحالات'!$R$6:$R$505,'سجل الإجازات والحالات'!$B$6:$B$505,$B92))))</f>
        <v/>
      </c>
      <c r="AK92" s="57" t="str">
        <f aca="false">IF($B92="","",MAX(0,IF(OR(الموظفون!$AE92="",الموظفون!$AE92&gt;$F$3),$F$3,الموظفون!$AE92)-MAX($E$3,الموظفون!$H92)+1))</f>
        <v/>
      </c>
      <c r="AL92" s="126" t="str">
        <f aca="false">IF($B92="","",SUMIFS('سجل الإجازات والحالات'!$AT$6:$AT$505,'سجل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والحالات'!$V$6:$V$505,'سجل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والحالات'!$AH$6:$AH$505,'سجل الإجازات والحالات'!$B$6:$B$505,$B93))/cfg_DAYS_Y)</f>
        <v/>
      </c>
      <c r="AI93" s="135" t="str">
        <f aca="false">IF($B93="","",MAX(0,IF(OR(الموظفون!$AE93="",الموظفون!$AE93&gt;($E$3-1)),($E$3-1),الموظفون!$AE93)-الموظفون!$H93+1-SUMIFS('سجل الإجازات والحالات'!$R$6:$R$505,'سجل الإجازات والحالات'!$B$6:$B$505,$B93))/cfg_DAYS_Y)</f>
        <v/>
      </c>
      <c r="AJ93" s="110" t="str">
        <f aca="false">IF($B93="","",MAX(0,AK93-(SUMIFS('سجل الإجازات والحالات'!$AH$6:$AH$505,'سجل الإجازات والحالات'!$B$6:$B$505,$B93)-SUMIFS('سجل الإجازات والحالات'!$R$6:$R$505,'سجل الإجازات والحالات'!$B$6:$B$505,$B93))))</f>
        <v/>
      </c>
      <c r="AK93" s="110" t="str">
        <f aca="false">IF($B93="","",MAX(0,IF(OR(الموظفون!$AE93="",الموظفون!$AE93&gt;$F$3),$F$3,الموظفون!$AE93)-MAX($E$3,الموظفون!$H93)+1))</f>
        <v/>
      </c>
      <c r="AL93" s="131" t="str">
        <f aca="false">IF($B93="","",SUMIFS('سجل الإجازات والحالات'!$AT$6:$AT$505,'سجل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والحالات'!$V$6:$V$505,'سجل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والحالات'!$AH$6:$AH$505,'سجل الإجازات والحالات'!$B$6:$B$505,$B94))/cfg_DAYS_Y)</f>
        <v/>
      </c>
      <c r="AI94" s="130" t="str">
        <f aca="false">IF($B94="","",MAX(0,IF(OR(الموظفون!$AE94="",الموظفون!$AE94&gt;($E$3-1)),($E$3-1),الموظفون!$AE94)-الموظفون!$H94+1-SUMIFS('سجل الإجازات والحالات'!$R$6:$R$505,'سجل الإجازات والحالات'!$B$6:$B$505,$B94))/cfg_DAYS_Y)</f>
        <v/>
      </c>
      <c r="AJ94" s="57" t="str">
        <f aca="false">IF($B94="","",MAX(0,AK94-(SUMIFS('سجل الإجازات والحالات'!$AH$6:$AH$505,'سجل الإجازات والحالات'!$B$6:$B$505,$B94)-SUMIFS('سجل الإجازات والحالات'!$R$6:$R$505,'سجل الإجازات والحالات'!$B$6:$B$505,$B94))))</f>
        <v/>
      </c>
      <c r="AK94" s="57" t="str">
        <f aca="false">IF($B94="","",MAX(0,IF(OR(الموظفون!$AE94="",الموظفون!$AE94&gt;$F$3),$F$3,الموظفون!$AE94)-MAX($E$3,الموظفون!$H94)+1))</f>
        <v/>
      </c>
      <c r="AL94" s="126" t="str">
        <f aca="false">IF($B94="","",SUMIFS('سجل الإجازات والحالات'!$AT$6:$AT$505,'سجل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والحالات'!$V$6:$V$505,'سجل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والحالات'!$AH$6:$AH$505,'سجل الإجازات والحالات'!$B$6:$B$505,$B95))/cfg_DAYS_Y)</f>
        <v/>
      </c>
      <c r="AI95" s="135" t="str">
        <f aca="false">IF($B95="","",MAX(0,IF(OR(الموظفون!$AE95="",الموظفون!$AE95&gt;($E$3-1)),($E$3-1),الموظفون!$AE95)-الموظفون!$H95+1-SUMIFS('سجل الإجازات والحالات'!$R$6:$R$505,'سجل الإجازات والحالات'!$B$6:$B$505,$B95))/cfg_DAYS_Y)</f>
        <v/>
      </c>
      <c r="AJ95" s="110" t="str">
        <f aca="false">IF($B95="","",MAX(0,AK95-(SUMIFS('سجل الإجازات والحالات'!$AH$6:$AH$505,'سجل الإجازات والحالات'!$B$6:$B$505,$B95)-SUMIFS('سجل الإجازات والحالات'!$R$6:$R$505,'سجل الإجازات والحالات'!$B$6:$B$505,$B95))))</f>
        <v/>
      </c>
      <c r="AK95" s="110" t="str">
        <f aca="false">IF($B95="","",MAX(0,IF(OR(الموظفون!$AE95="",الموظفون!$AE95&gt;$F$3),$F$3,الموظفون!$AE95)-MAX($E$3,الموظفون!$H95)+1))</f>
        <v/>
      </c>
      <c r="AL95" s="131" t="str">
        <f aca="false">IF($B95="","",SUMIFS('سجل الإجازات والحالات'!$AT$6:$AT$505,'سجل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والحالات'!$V$6:$V$505,'سجل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والحالات'!$AH$6:$AH$505,'سجل الإجازات والحالات'!$B$6:$B$505,$B96))/cfg_DAYS_Y)</f>
        <v/>
      </c>
      <c r="AI96" s="130" t="str">
        <f aca="false">IF($B96="","",MAX(0,IF(OR(الموظفون!$AE96="",الموظفون!$AE96&gt;($E$3-1)),($E$3-1),الموظفون!$AE96)-الموظفون!$H96+1-SUMIFS('سجل الإجازات والحالات'!$R$6:$R$505,'سجل الإجازات والحالات'!$B$6:$B$505,$B96))/cfg_DAYS_Y)</f>
        <v/>
      </c>
      <c r="AJ96" s="57" t="str">
        <f aca="false">IF($B96="","",MAX(0,AK96-(SUMIFS('سجل الإجازات والحالات'!$AH$6:$AH$505,'سجل الإجازات والحالات'!$B$6:$B$505,$B96)-SUMIFS('سجل الإجازات والحالات'!$R$6:$R$505,'سجل الإجازات والحالات'!$B$6:$B$505,$B96))))</f>
        <v/>
      </c>
      <c r="AK96" s="57" t="str">
        <f aca="false">IF($B96="","",MAX(0,IF(OR(الموظفون!$AE96="",الموظفون!$AE96&gt;$F$3),$F$3,الموظفون!$AE96)-MAX($E$3,الموظفون!$H96)+1))</f>
        <v/>
      </c>
      <c r="AL96" s="126" t="str">
        <f aca="false">IF($B96="","",SUMIFS('سجل الإجازات والحالات'!$AT$6:$AT$505,'سجل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والحالات'!$V$6:$V$505,'سجل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والحالات'!$AH$6:$AH$505,'سجل الإجازات والحالات'!$B$6:$B$505,$B97))/cfg_DAYS_Y)</f>
        <v/>
      </c>
      <c r="AI97" s="135" t="str">
        <f aca="false">IF($B97="","",MAX(0,IF(OR(الموظفون!$AE97="",الموظفون!$AE97&gt;($E$3-1)),($E$3-1),الموظفون!$AE97)-الموظفون!$H97+1-SUMIFS('سجل الإجازات والحالات'!$R$6:$R$505,'سجل الإجازات والحالات'!$B$6:$B$505,$B97))/cfg_DAYS_Y)</f>
        <v/>
      </c>
      <c r="AJ97" s="110" t="str">
        <f aca="false">IF($B97="","",MAX(0,AK97-(SUMIFS('سجل الإجازات والحالات'!$AH$6:$AH$505,'سجل الإجازات والحالات'!$B$6:$B$505,$B97)-SUMIFS('سجل الإجازات والحالات'!$R$6:$R$505,'سجل الإجازات والحالات'!$B$6:$B$505,$B97))))</f>
        <v/>
      </c>
      <c r="AK97" s="110" t="str">
        <f aca="false">IF($B97="","",MAX(0,IF(OR(الموظفون!$AE97="",الموظفون!$AE97&gt;$F$3),$F$3,الموظفون!$AE97)-MAX($E$3,الموظفون!$H97)+1))</f>
        <v/>
      </c>
      <c r="AL97" s="131" t="str">
        <f aca="false">IF($B97="","",SUMIFS('سجل الإجازات والحالات'!$AT$6:$AT$505,'سجل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والحالات'!$V$6:$V$505,'سجل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والحالات'!$AH$6:$AH$505,'سجل الإجازات والحالات'!$B$6:$B$505,$B98))/cfg_DAYS_Y)</f>
        <v/>
      </c>
      <c r="AI98" s="130" t="str">
        <f aca="false">IF($B98="","",MAX(0,IF(OR(الموظفون!$AE98="",الموظفون!$AE98&gt;($E$3-1)),($E$3-1),الموظفون!$AE98)-الموظفون!$H98+1-SUMIFS('سجل الإجازات والحالات'!$R$6:$R$505,'سجل الإجازات والحالات'!$B$6:$B$505,$B98))/cfg_DAYS_Y)</f>
        <v/>
      </c>
      <c r="AJ98" s="57" t="str">
        <f aca="false">IF($B98="","",MAX(0,AK98-(SUMIFS('سجل الإجازات والحالات'!$AH$6:$AH$505,'سجل الإجازات والحالات'!$B$6:$B$505,$B98)-SUMIFS('سجل الإجازات والحالات'!$R$6:$R$505,'سجل الإجازات والحالات'!$B$6:$B$505,$B98))))</f>
        <v/>
      </c>
      <c r="AK98" s="57" t="str">
        <f aca="false">IF($B98="","",MAX(0,IF(OR(الموظفون!$AE98="",الموظفون!$AE98&gt;$F$3),$F$3,الموظفون!$AE98)-MAX($E$3,الموظفون!$H98)+1))</f>
        <v/>
      </c>
      <c r="AL98" s="126" t="str">
        <f aca="false">IF($B98="","",SUMIFS('سجل الإجازات والحالات'!$AT$6:$AT$505,'سجل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والحالات'!$V$6:$V$505,'سجل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والحالات'!$AH$6:$AH$505,'سجل الإجازات والحالات'!$B$6:$B$505,$B99))/cfg_DAYS_Y)</f>
        <v/>
      </c>
      <c r="AI99" s="135" t="str">
        <f aca="false">IF($B99="","",MAX(0,IF(OR(الموظفون!$AE99="",الموظفون!$AE99&gt;($E$3-1)),($E$3-1),الموظفون!$AE99)-الموظفون!$H99+1-SUMIFS('سجل الإجازات والحالات'!$R$6:$R$505,'سجل الإجازات والحالات'!$B$6:$B$505,$B99))/cfg_DAYS_Y)</f>
        <v/>
      </c>
      <c r="AJ99" s="110" t="str">
        <f aca="false">IF($B99="","",MAX(0,AK99-(SUMIFS('سجل الإجازات والحالات'!$AH$6:$AH$505,'سجل الإجازات والحالات'!$B$6:$B$505,$B99)-SUMIFS('سجل الإجازات والحالات'!$R$6:$R$505,'سجل الإجازات والحالات'!$B$6:$B$505,$B99))))</f>
        <v/>
      </c>
      <c r="AK99" s="110" t="str">
        <f aca="false">IF($B99="","",MAX(0,IF(OR(الموظفون!$AE99="",الموظفون!$AE99&gt;$F$3),$F$3,الموظفون!$AE99)-MAX($E$3,الموظفون!$H99)+1))</f>
        <v/>
      </c>
      <c r="AL99" s="131" t="str">
        <f aca="false">IF($B99="","",SUMIFS('سجل الإجازات والحالات'!$AT$6:$AT$505,'سجل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والحالات'!$V$6:$V$505,'سجل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والحالات'!$AH$6:$AH$505,'سجل الإجازات والحالات'!$B$6:$B$505,$B100))/cfg_DAYS_Y)</f>
        <v/>
      </c>
      <c r="AI100" s="130" t="str">
        <f aca="false">IF($B100="","",MAX(0,IF(OR(الموظفون!$AE100="",الموظفون!$AE100&gt;($E$3-1)),($E$3-1),الموظفون!$AE100)-الموظفون!$H100+1-SUMIFS('سجل الإجازات والحالات'!$R$6:$R$505,'سجل الإجازات والحالات'!$B$6:$B$505,$B100))/cfg_DAYS_Y)</f>
        <v/>
      </c>
      <c r="AJ100" s="57" t="str">
        <f aca="false">IF($B100="","",MAX(0,AK100-(SUMIFS('سجل الإجازات والحالات'!$AH$6:$AH$505,'سجل الإجازات والحالات'!$B$6:$B$505,$B100)-SUMIFS('سجل الإجازات والحالات'!$R$6:$R$505,'سجل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والحالات'!$AT$6:$AT$505,'سجل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والحالات'!$V$6:$V$505,'سجل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والحالات'!$AH$6:$AH$505,'سجل الإجازات والحالات'!$B$6:$B$505,$B101))/cfg_DAYS_Y)</f>
        <v/>
      </c>
      <c r="AI101" s="135" t="str">
        <f aca="false">IF($B101="","",MAX(0,IF(OR(الموظفون!$AE101="",الموظفون!$AE101&gt;($E$3-1)),($E$3-1),الموظفون!$AE101)-الموظفون!$H101+1-SUMIFS('سجل الإجازات والحالات'!$R$6:$R$505,'سجل الإجازات والحالات'!$B$6:$B$505,$B101))/cfg_DAYS_Y)</f>
        <v/>
      </c>
      <c r="AJ101" s="110" t="str">
        <f aca="false">IF($B101="","",MAX(0,AK101-(SUMIFS('سجل الإجازات والحالات'!$AH$6:$AH$505,'سجل الإجازات والحالات'!$B$6:$B$505,$B101)-SUMIFS('سجل الإجازات والحالات'!$R$6:$R$505,'سجل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والحالات'!$AT$6:$AT$505,'سجل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والحالات'!$V$6:$V$505,'سجل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والحالات'!$AH$6:$AH$505,'سجل الإجازات والحالات'!$B$6:$B$505,$B102))/cfg_DAYS_Y)</f>
        <v/>
      </c>
      <c r="AI102" s="130" t="str">
        <f aca="false">IF($B102="","",MAX(0,IF(OR(الموظفون!$AE102="",الموظفون!$AE102&gt;($E$3-1)),($E$3-1),الموظفون!$AE102)-الموظفون!$H102+1-SUMIFS('سجل الإجازات والحالات'!$R$6:$R$505,'سجل الإجازات والحالات'!$B$6:$B$505,$B102))/cfg_DAYS_Y)</f>
        <v/>
      </c>
      <c r="AJ102" s="57" t="str">
        <f aca="false">IF($B102="","",MAX(0,AK102-(SUMIFS('سجل الإجازات والحالات'!$AH$6:$AH$505,'سجل الإجازات والحالات'!$B$6:$B$505,$B102)-SUMIFS('سجل الإجازات والحالات'!$R$6:$R$505,'سجل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والحالات'!$AT$6:$AT$505,'سجل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والحالات'!$V$6:$V$505,'سجل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والحالات'!$AH$6:$AH$505,'سجل الإجازات والحالات'!$B$6:$B$505,$B103))/cfg_DAYS_Y)</f>
        <v/>
      </c>
      <c r="AI103" s="135" t="str">
        <f aca="false">IF($B103="","",MAX(0,IF(OR(الموظفون!$AE103="",الموظفون!$AE103&gt;($E$3-1)),($E$3-1),الموظفون!$AE103)-الموظفون!$H103+1-SUMIFS('سجل الإجازات والحالات'!$R$6:$R$505,'سجل الإجازات والحالات'!$B$6:$B$505,$B103))/cfg_DAYS_Y)</f>
        <v/>
      </c>
      <c r="AJ103" s="110" t="str">
        <f aca="false">IF($B103="","",MAX(0,AK103-(SUMIFS('سجل الإجازات والحالات'!$AH$6:$AH$505,'سجل الإجازات والحالات'!$B$6:$B$505,$B103)-SUMIFS('سجل الإجازات والحالات'!$R$6:$R$505,'سجل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والحالات'!$AT$6:$AT$505,'سجل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والحالات'!$V$6:$V$505,'سجل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والحالات'!$AH$6:$AH$505,'سجل الإجازات والحالات'!$B$6:$B$505,$B104))/cfg_DAYS_Y)</f>
        <v/>
      </c>
      <c r="AI104" s="130" t="str">
        <f aca="false">IF($B104="","",MAX(0,IF(OR(الموظفون!$AE104="",الموظفون!$AE104&gt;($E$3-1)),($E$3-1),الموظفون!$AE104)-الموظفون!$H104+1-SUMIFS('سجل الإجازات والحالات'!$R$6:$R$505,'سجل الإجازات والحالات'!$B$6:$B$505,$B104))/cfg_DAYS_Y)</f>
        <v/>
      </c>
      <c r="AJ104" s="57" t="str">
        <f aca="false">IF($B104="","",MAX(0,AK104-(SUMIFS('سجل الإجازات والحالات'!$AH$6:$AH$505,'سجل الإجازات والحالات'!$B$6:$B$505,$B104)-SUMIFS('سجل الإجازات والحالات'!$R$6:$R$505,'سجل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والحالات'!$AT$6:$AT$505,'سجل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والحالات'!$V$6:$V$505,'سجل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والحالات'!$AH$6:$AH$505,'سجل الإجازات والحالات'!$B$6:$B$505,$B105))/cfg_DAYS_Y)</f>
        <v/>
      </c>
      <c r="AI105" s="135" t="str">
        <f aca="false">IF($B105="","",MAX(0,IF(OR(الموظفون!$AE105="",الموظفون!$AE105&gt;($E$3-1)),($E$3-1),الموظفون!$AE105)-الموظفون!$H105+1-SUMIFS('سجل الإجازات والحالات'!$R$6:$R$505,'سجل الإجازات والحالات'!$B$6:$B$505,$B105))/cfg_DAYS_Y)</f>
        <v/>
      </c>
      <c r="AJ105" s="110" t="str">
        <f aca="false">IF($B105="","",MAX(0,AK105-(SUMIFS('سجل الإجازات والحالات'!$AH$6:$AH$505,'سجل الإجازات والحالات'!$B$6:$B$505,$B105)-SUMIFS('سجل الإجازات والحالات'!$R$6:$R$505,'سجل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والحالات'!$AT$6:$AT$505,'سجل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والحالات'!$V$6:$V$505,'سجل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1</v>
      </c>
      <c r="I106" s="136" t="n">
        <f aca="false">SUM(I6:I105)</f>
        <v>0</v>
      </c>
      <c r="J106" s="136" t="n">
        <f aca="false">SUM(J6:J105)</f>
        <v>329</v>
      </c>
      <c r="K106" s="103" t="n">
        <f aca="false">SUM(K6:K105)</f>
        <v>132283.333333333</v>
      </c>
      <c r="L106" s="103" t="n">
        <f aca="false">SUM(L6:L105)</f>
        <v>33070.8333333333</v>
      </c>
      <c r="M106" s="103" t="n">
        <f aca="false">SUM(M6:M105)</f>
        <v>13228.3333333333</v>
      </c>
      <c r="N106" s="103" t="n">
        <f aca="false">SUM(N6:N105)</f>
        <v>10290</v>
      </c>
      <c r="O106" s="136" t="n">
        <f aca="false">SUM(O6:O105)</f>
        <v>32</v>
      </c>
      <c r="P106" s="103" t="n">
        <f aca="false">SUM(P6:P105)</f>
        <v>1838.33333333333</v>
      </c>
      <c r="Q106" s="103" t="n">
        <f aca="false">SUM(Q6:Q105)</f>
        <v>0</v>
      </c>
      <c r="R106" s="103" t="n">
        <f aca="false">SUM(R6:R105)</f>
        <v>0</v>
      </c>
      <c r="S106" s="103" t="n">
        <f aca="false">SUM(S6:S105)</f>
        <v>0</v>
      </c>
      <c r="T106" s="103" t="n">
        <f aca="false">SUM(T6:T105)</f>
        <v>190710.833333333</v>
      </c>
      <c r="U106" s="103" t="n">
        <f aca="false">SUM(U6:U105)</f>
        <v>11273.4375</v>
      </c>
      <c r="V106" s="103" t="n">
        <f aca="false">SUM(V6:V105)</f>
        <v>1000</v>
      </c>
      <c r="W106" s="103" t="n">
        <f aca="false">SUM(W6:W105)</f>
        <v>100</v>
      </c>
      <c r="X106" s="103" t="n">
        <f aca="false">SUM(X6:X105)</f>
        <v>12373.4375</v>
      </c>
      <c r="Y106" s="103" t="n">
        <f aca="false">SUM(Y6:Y105)</f>
        <v>178337.395833333</v>
      </c>
      <c r="Z106" s="103" t="n">
        <f aca="false">SUM(Z6:Z105)</f>
        <v>14585.9375</v>
      </c>
      <c r="AA106" s="103" t="n">
        <f aca="false">SUM(AA6:AA105)</f>
        <v>13708.0479452055</v>
      </c>
      <c r="AB106" s="103" t="n">
        <f aca="false">SUM(AB6:AB105)</f>
        <v>14521.3767123288</v>
      </c>
      <c r="AC106" s="103" t="n">
        <f aca="false">SUM(AC6:AC105)</f>
        <v>959.72602739726</v>
      </c>
      <c r="AD106" s="103" t="n">
        <f aca="false">SUM(AD6:AD105)</f>
        <v>4270.83333333333</v>
      </c>
      <c r="AE106" s="103" t="n">
        <f aca="false">SUM(AE6:AE105)</f>
        <v>2600</v>
      </c>
      <c r="AF106" s="103" t="n">
        <f aca="false">SUM(AF6:AF105)</f>
        <v>400</v>
      </c>
      <c r="AG106" s="103" t="n">
        <f aca="false">SUM(AG6:AG105)</f>
        <v>241756.754851598</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5">
    <mergeCell ref="A1:AG1"/>
    <mergeCell ref="A2:AG2"/>
    <mergeCell ref="G3:H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L3" location="'مسير فبراي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فبراير "&amp;cfg_FY</f>
        <v>💵 مسير رواتب شهر فبراير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2</v>
      </c>
      <c r="D3" s="112" t="s">
        <v>434</v>
      </c>
      <c r="E3" s="114" t="n">
        <f aca="false">DATE(cfg_FY,C3,1)</f>
        <v>46054</v>
      </c>
      <c r="F3" s="114" t="n">
        <f aca="false">EOMONTH(E3,0)</f>
        <v>46081</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2899.7260273973</v>
      </c>
      <c r="AB6" s="97" t="n">
        <f aca="false">IF($B6="","",IF(الموظفون!$T6&lt;&gt;"",الموظفون!$T6,IF(AH6&gt;=cfg_LV_TH,cfg_LV_D2,cfg_LV_D1))/cfg_DAYS_Y*AJ6*الموظفون!$R6/cfg_DAYS_M)</f>
        <v>2899.72602739726</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51111.9520547946</v>
      </c>
      <c r="AH6" s="130" t="n">
        <f aca="false">IF($B6="","",MAX(0,IF(OR(الموظفون!$AE6="",الموظفون!$AE6&gt;$F$3),$F$3,الموظفون!$AE6)-الموظفون!$H6+1-SUMIFS('سجل الإجازات والحالات'!$AI$6:$AI$505,'سجل الإجازات والحالات'!$B$6:$B$505,$B6))/cfg_DAYS_Y)</f>
        <v>14.1342465753425</v>
      </c>
      <c r="AI6" s="130" t="n">
        <f aca="false">IF($B6="","",MAX(0,IF(OR(الموظفون!$AE6="",الموظفون!$AE6&gt;($E$3-1)),($E$3-1),الموظفون!$AE6)-الموظفون!$H6+1-SUMIFS('سجل الإجازات والحالات'!$AH$6:$AH$505,'سجل الإجازات والحالات'!$B$6:$B$505,$B6))/cfg_DAYS_Y)</f>
        <v>14.0575342465753</v>
      </c>
      <c r="AJ6" s="57" t="n">
        <f aca="false">IF($B6="","",MAX(0,AK6-(SUMIFS('سجل الإجازات والحالات'!$AI$6:$AI$505,'سجل الإجازات والحالات'!$B$6:$B$505,$B6)-SUMIFS('سجل الإجازات والحالات'!$AH$6:$AH$505,'سجل الإجازات والحالات'!$B$6:$B$505,$B6))))</f>
        <v>28</v>
      </c>
      <c r="AK6" s="57" t="n">
        <f aca="false">IF($B6="","",MAX(0,IF(OR(الموظفون!$AE6="",الموظفون!$AE6&gt;$F$3),$F$3,الموظفون!$AE6)-MAX($E$3,الموظفون!$H6)+1))</f>
        <v>28</v>
      </c>
      <c r="AL6" s="126" t="n">
        <f aca="false">IF($B6="","",SUMIFS('سجل الإجازات والحالات'!$AU$6:$AU$505,'سجل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والحالات'!$W$6:$W$505,'سجل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1864.10958904108</v>
      </c>
      <c r="AB7" s="101" t="n">
        <f aca="false">IF($B7="","",IF(الموظفون!$T7&lt;&gt;"",الموظفون!$T7,IF(AH7&gt;=cfg_LV_TH,cfg_LV_D2,cfg_LV_D1))/cfg_DAYS_Y*AJ7*الموظفون!$R7/cfg_DAYS_M)</f>
        <v>1864.1095890411</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31971.9691780822</v>
      </c>
      <c r="AH7" s="135" t="n">
        <f aca="false">IF($B7="","",MAX(0,IF(OR(الموظفون!$AE7="",الموظفون!$AE7&gt;$F$3),$F$3,الموظفون!$AE7)-الموظفون!$H7+1-SUMIFS('سجل الإجازات والحالات'!$AI$6:$AI$505,'سجل الإجازات والحالات'!$B$6:$B$505,$B7))/cfg_DAYS_Y)</f>
        <v>9.75342465753425</v>
      </c>
      <c r="AI7" s="135" t="n">
        <f aca="false">IF($B7="","",MAX(0,IF(OR(الموظفون!$AE7="",الموظفون!$AE7&gt;($E$3-1)),($E$3-1),الموظفون!$AE7)-الموظفون!$H7+1-SUMIFS('سجل الإجازات والحالات'!$AH$6:$AH$505,'سجل الإجازات والحالات'!$B$6:$B$505,$B7))/cfg_DAYS_Y)</f>
        <v>9.67671232876712</v>
      </c>
      <c r="AJ7" s="110" t="n">
        <f aca="false">IF($B7="","",MAX(0,AK7-(SUMIFS('سجل الإجازات والحالات'!$AI$6:$AI$505,'سجل الإجازات والحالات'!$B$6:$B$505,$B7)-SUMIFS('سجل الإجازات والحالات'!$AH$6:$AH$505,'سجل الإجازات والحالات'!$B$6:$B$505,$B7))))</f>
        <v>28</v>
      </c>
      <c r="AK7" s="110" t="n">
        <f aca="false">IF($B7="","",MAX(0,IF(OR(الموظفون!$AE7="",الموظفون!$AE7&gt;$F$3),$F$3,الموظفون!$AE7)-MAX($E$3,الموظفون!$H7)+1))</f>
        <v>28</v>
      </c>
      <c r="AL7" s="131" t="n">
        <f aca="false">IF($B7="","",SUMIFS('سجل الإجازات والحالات'!$AU$6:$AU$505,'سجل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والحالات'!$W$6:$W$505,'سجل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8</v>
      </c>
      <c r="P8" s="97" t="n">
        <f aca="false">IF($B8="","",O8*(الموظفون!$P8+الموظفون!$L8*cfg_OT_P)/cfg_DAYS_M/cfg_HRS)</f>
        <v>540.833333333333</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12515.8333333333</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11515.8333333333</v>
      </c>
      <c r="Z8" s="97" t="n">
        <f aca="false">IF($B8="","",الموظفون!$S8*IF(E8="سعودي",cfg_G_SR,cfg_G_NR)*G8/cfg_DAYS_M)</f>
        <v>212.5</v>
      </c>
      <c r="AA8" s="97" t="n">
        <f aca="false">IF($B8="","",الموظفون!$Q8*(cfg_EOS_R1*(MIN(AH8,cfg_EOS_TH)-MIN(AI8,cfg_EOS_TH))+cfg_EOS_R2*(MAX(AH8-cfg_EOS_TH,0)-MAX(AI8-cfg_EOS_TH,0))))</f>
        <v>880.273972602731</v>
      </c>
      <c r="AB8" s="97" t="n">
        <f aca="false">IF($B8="","",IF(الموظفون!$T8&lt;&gt;"",الموظفون!$T8,IF(AH8&gt;=cfg_LV_TH,cfg_LV_D2,cfg_LV_D1))/cfg_DAYS_Y*AJ8*الموظفون!$R8/cfg_DAYS_M)</f>
        <v>880.27397260274</v>
      </c>
      <c r="AC8" s="97" t="n">
        <f aca="false">IF($B8="","",IF(AND(الموظفون!$U8="نعم",N(الموظفون!$W8)&gt;0),الموظفون!$V8/الموظفون!$W8*12/cfg_DAYS_Y*AJ8,0))</f>
        <v>122.739726027397</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15665.7876712329</v>
      </c>
      <c r="AH8" s="130" t="n">
        <f aca="false">IF($B8="","",MAX(0,IF(OR(الموظفون!$AE8="",الموظفون!$AE8&gt;$F$3),$F$3,الموظفون!$AE8)-الموظفون!$H8+1-SUMIFS('سجل الإجازات والحالات'!$AI$6:$AI$505,'سجل الإجازات والحالات'!$B$6:$B$505,$B8))/cfg_DAYS_Y)</f>
        <v>7.47671232876712</v>
      </c>
      <c r="AI8" s="130" t="n">
        <f aca="false">IF($B8="","",MAX(0,IF(OR(الموظفون!$AE8="",الموظفون!$AE8&gt;($E$3-1)),($E$3-1),الموظفون!$AE8)-الموظفون!$H8+1-SUMIFS('سجل الإجازات والحالات'!$AH$6:$AH$505,'سجل الإجازات والحالات'!$B$6:$B$505,$B8))/cfg_DAYS_Y)</f>
        <v>7.4</v>
      </c>
      <c r="AJ8" s="57" t="n">
        <f aca="false">IF($B8="","",MAX(0,AK8-(SUMIFS('سجل الإجازات والحالات'!$AI$6:$AI$505,'سجل الإجازات والحالات'!$B$6:$B$505,$B8)-SUMIFS('سجل الإجازات والحالات'!$AH$6:$AH$505,'سجل الإجازات والحالات'!$B$6:$B$505,$B8))))</f>
        <v>28</v>
      </c>
      <c r="AK8" s="57" t="n">
        <f aca="false">IF($B8="","",MAX(0,IF(OR(الموظفون!$AE8="",الموظفون!$AE8&gt;$F$3),$F$3,الموظفون!$AE8)-MAX($E$3,الموظفون!$H8)+1))</f>
        <v>28</v>
      </c>
      <c r="AL8" s="126" t="n">
        <f aca="false">IF($B8="","",SUMIFS('سجل الإجازات والحالات'!$AU$6:$AU$505,'سجل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والحالات'!$W$6:$W$505,'سجل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1449.86301369863</v>
      </c>
      <c r="AB9" s="101" t="n">
        <f aca="false">IF($B9="","",IF(الموظفون!$T9&lt;&gt;"",الموظفون!$T9,IF(AH9&gt;=cfg_LV_TH,cfg_LV_D2,cfg_LV_D1))/cfg_DAYS_Y*AJ9*الموظفون!$R9/cfg_DAYS_M)</f>
        <v>1449.86301369863</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24155.9760273973</v>
      </c>
      <c r="AH9" s="135" t="n">
        <f aca="false">IF($B9="","",MAX(0,IF(OR(الموظفون!$AE9="",الموظفون!$AE9&gt;$F$3),$F$3,الموظفون!$AE9)-الموظفون!$H9+1-SUMIFS('سجل الإجازات والحالات'!$AI$6:$AI$505,'سجل الإجازات والحالات'!$B$6:$B$505,$B9))/cfg_DAYS_Y)</f>
        <v>7.08219178082192</v>
      </c>
      <c r="AI9" s="135" t="n">
        <f aca="false">IF($B9="","",MAX(0,IF(OR(الموظفون!$AE9="",الموظفون!$AE9&gt;($E$3-1)),($E$3-1),الموظفون!$AE9)-الموظفون!$H9+1-SUMIFS('سجل الإجازات والحالات'!$AH$6:$AH$505,'سجل الإجازات والحالات'!$B$6:$B$505,$B9))/cfg_DAYS_Y)</f>
        <v>7.0054794520548</v>
      </c>
      <c r="AJ9" s="110" t="n">
        <f aca="false">IF($B9="","",MAX(0,AK9-(SUMIFS('سجل الإجازات والحالات'!$AI$6:$AI$505,'سجل الإجازات والحالات'!$B$6:$B$505,$B9)-SUMIFS('سجل الإجازات والحالات'!$AH$6:$AH$505,'سجل الإجازات والحالات'!$B$6:$B$505,$B9))))</f>
        <v>28</v>
      </c>
      <c r="AK9" s="110" t="n">
        <f aca="false">IF($B9="","",MAX(0,IF(OR(الموظفون!$AE9="",الموظفون!$AE9&gt;$F$3),$F$3,الموظفون!$AE9)-MAX($E$3,الموظفون!$H9)+1))</f>
        <v>28</v>
      </c>
      <c r="AL9" s="131" t="n">
        <f aca="false">IF($B9="","",SUMIFS('سجل الإجازات والحالات'!$AU$6:$AU$505,'سجل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والحالات'!$W$6:$W$505,'سجل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932.05479452055</v>
      </c>
      <c r="AB10" s="97" t="n">
        <f aca="false">IF($B10="","",IF(الموظفون!$T10&lt;&gt;"",الموظفون!$T10,IF(AH10&gt;=cfg_LV_TH,cfg_LV_D2,cfg_LV_D1))/cfg_DAYS_Y*AJ10*الموظفون!$R10/cfg_DAYS_M)</f>
        <v>932.054794520548</v>
      </c>
      <c r="AC10" s="97" t="n">
        <f aca="false">IF($B10="","",IF(AND(الموظفون!$U10="نعم",N(الموظفون!$W10)&gt;0),الموظفون!$V10/الموظفون!$W10*12/cfg_DAYS_Y*AJ10,0))</f>
        <v>214.794520547945</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16208.0707762557</v>
      </c>
      <c r="AH10" s="130" t="n">
        <f aca="false">IF($B10="","",MAX(0,IF(OR(الموظفون!$AE10="",الموظفون!$AE10&gt;$F$3),$F$3,الموظفون!$AE10)-الموظفون!$H10+1-SUMIFS('سجل الإجازات والحالات'!$AI$6:$AI$505,'سجل الإجازات والحالات'!$B$6:$B$505,$B10))/cfg_DAYS_Y)</f>
        <v>5.88767123287671</v>
      </c>
      <c r="AI10" s="130" t="n">
        <f aca="false">IF($B10="","",MAX(0,IF(OR(الموظفون!$AE10="",الموظفون!$AE10&gt;($E$3-1)),($E$3-1),الموظفون!$AE10)-الموظفون!$H10+1-SUMIFS('سجل الإجازات والحالات'!$AH$6:$AH$505,'سجل الإجازات والحالات'!$B$6:$B$505,$B10))/cfg_DAYS_Y)</f>
        <v>5.81095890410959</v>
      </c>
      <c r="AJ10" s="57" t="n">
        <f aca="false">IF($B10="","",MAX(0,AK10-(SUMIFS('سجل الإجازات والحالات'!$AI$6:$AI$505,'سجل الإجازات والحالات'!$B$6:$B$505,$B10)-SUMIFS('سجل الإجازات والحالات'!$AH$6:$AH$505,'سجل الإجازات والحالات'!$B$6:$B$505,$B10))))</f>
        <v>28</v>
      </c>
      <c r="AK10" s="57" t="n">
        <f aca="false">IF($B10="","",MAX(0,IF(OR(الموظفون!$AE10="",الموظفون!$AE10&gt;$F$3),$F$3,الموظفون!$AE10)-MAX($E$3,الموظفون!$H10)+1))</f>
        <v>28</v>
      </c>
      <c r="AL10" s="126" t="n">
        <f aca="false">IF($B10="","",SUMIFS('سجل الإجازات والحالات'!$AU$6:$AU$505,'سجل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والحالات'!$W$6:$W$505,'سجل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5000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25050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23465.625</v>
      </c>
      <c r="Z11" s="101" t="n">
        <f aca="false">IF($B11="","",الموظفون!$S11*IF(E11="سعودي",cfg_G_SR,cfg_G_NR)*G11/cfg_DAYS_M)</f>
        <v>1909.375</v>
      </c>
      <c r="AA11" s="101" t="n">
        <f aca="false">IF($B11="","",الموظفون!$Q11*(cfg_EOS_R1*(MIN(AH11,cfg_EOS_TH)-MIN(AI11,cfg_EOS_TH))+cfg_EOS_R2*(MAX(AH11-cfg_EOS_TH,0)-MAX(AI11-cfg_EOS_TH,0))))</f>
        <v>1346.301369863</v>
      </c>
      <c r="AB11" s="101" t="n">
        <f aca="false">IF($B11="","",IF(الموظفون!$T11&lt;&gt;"",الموظفون!$T11,IF(AH11&gt;=cfg_LV_TH,cfg_LV_D2,cfg_LV_D1))/cfg_DAYS_Y*AJ11*الموظفون!$R11/cfg_DAYS_M)</f>
        <v>1346.30136986301</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29951.977739726</v>
      </c>
      <c r="AH11" s="135" t="n">
        <f aca="false">IF($B11="","",MAX(0,IF(OR(الموظفون!$AE11="",الموظفون!$AE11&gt;$F$3),$F$3,الموظفون!$AE11)-الموظفون!$H11+1-SUMIFS('سجل الإجازات والحالات'!$AI$6:$AI$505,'سجل الإجازات والحالات'!$B$6:$B$505,$B11))/cfg_DAYS_Y)</f>
        <v>8.32328767123288</v>
      </c>
      <c r="AI11" s="135" t="n">
        <f aca="false">IF($B11="","",MAX(0,IF(OR(الموظفون!$AE11="",الموظفون!$AE11&gt;($E$3-1)),($E$3-1),الموظفون!$AE11)-الموظفون!$H11+1-SUMIFS('سجل الإجازات والحالات'!$AH$6:$AH$505,'سجل الإجازات والحالات'!$B$6:$B$505,$B11))/cfg_DAYS_Y)</f>
        <v>8.24657534246575</v>
      </c>
      <c r="AJ11" s="110" t="n">
        <f aca="false">IF($B11="","",MAX(0,AK11-(SUMIFS('سجل الإجازات والحالات'!$AI$6:$AI$505,'سجل الإجازات والحالات'!$B$6:$B$505,$B11)-SUMIFS('سجل الإجازات والحالات'!$AH$6:$AH$505,'سجل الإجازات والحالات'!$B$6:$B$505,$B11))))</f>
        <v>28</v>
      </c>
      <c r="AK11" s="110" t="n">
        <f aca="false">IF($B11="","",MAX(0,IF(OR(الموظفون!$AE11="",الموظفون!$AE11&gt;$F$3),$F$3,الموظفون!$AE11)-MAX($E$3,الموظفون!$H11)+1))</f>
        <v>28</v>
      </c>
      <c r="AL11" s="131" t="n">
        <f aca="false">IF($B11="","",SUMIFS('سجل الإجازات والحالات'!$AU$6:$AU$505,'سجل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والحالات'!$W$6:$W$505,'سجل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1139.17808219177</v>
      </c>
      <c r="AB12" s="97" t="n">
        <f aca="false">IF($B12="","",IF(الموظفون!$T12&lt;&gt;"",الموظفون!$T12,IF(AH12&gt;=cfg_LV_TH,cfg_LV_D2,cfg_LV_D1))/cfg_DAYS_Y*AJ12*الموظفون!$R12/cfg_DAYS_M)</f>
        <v>1139.17808219178</v>
      </c>
      <c r="AC12" s="97" t="n">
        <f aca="false">IF($B12="","",IF(AND(الموظفون!$U12="نعم",N(الموظفون!$W12)&gt;0),الموظفون!$V12/الموظفون!$W12*12/cfg_DAYS_Y*AJ12,0))</f>
        <v>345.205479452055</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20002.7283105023</v>
      </c>
      <c r="AH12" s="130" t="n">
        <f aca="false">IF($B12="","",MAX(0,IF(OR(الموظفون!$AE12="",الموظفون!$AE12&gt;$F$3),$F$3,الموظفون!$AE12)-الموظفون!$H12+1-SUMIFS('سجل الإجازات والحالات'!$AI$6:$AI$505,'سجل الإجازات والحالات'!$B$6:$B$505,$B12))/cfg_DAYS_Y)</f>
        <v>5.11232876712329</v>
      </c>
      <c r="AI12" s="130" t="n">
        <f aca="false">IF($B12="","",MAX(0,IF(OR(الموظفون!$AE12="",الموظفون!$AE12&gt;($E$3-1)),($E$3-1),الموظفون!$AE12)-الموظفون!$H12+1-SUMIFS('سجل الإجازات والحالات'!$AH$6:$AH$505,'سجل الإجازات والحالات'!$B$6:$B$505,$B12))/cfg_DAYS_Y)</f>
        <v>5.03561643835617</v>
      </c>
      <c r="AJ12" s="57" t="n">
        <f aca="false">IF($B12="","",MAX(0,AK12-(SUMIFS('سجل الإجازات والحالات'!$AI$6:$AI$505,'سجل الإجازات والحالات'!$B$6:$B$505,$B12)-SUMIFS('سجل الإجازات والحالات'!$AH$6:$AH$505,'سجل الإجازات والحالات'!$B$6:$B$505,$B12))))</f>
        <v>28</v>
      </c>
      <c r="AK12" s="57" t="n">
        <f aca="false">IF($B12="","",MAX(0,IF(OR(الموظفون!$AE12="",الموظفون!$AE12&gt;$F$3),$F$3,الموظفون!$AE12)-MAX($E$3,الموظفون!$H12)+1))</f>
        <v>28</v>
      </c>
      <c r="AL12" s="126" t="n">
        <f aca="false">IF($B12="","",SUMIFS('سجل الإجازات والحالات'!$AU$6:$AU$505,'سجل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والحالات'!$W$6:$W$505,'سجل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388.356164383562</v>
      </c>
      <c r="AB13" s="101" t="n">
        <f aca="false">IF($B13="","",IF(الموظفون!$T13&lt;&gt;"",الموظفون!$T13,IF(AH13&gt;=cfg_LV_TH,cfg_LV_D2,cfg_LV_D1))/cfg_DAYS_Y*AJ13*الموظفون!$R13/cfg_DAYS_M)</f>
        <v>543.698630136986</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12358.6172945205</v>
      </c>
      <c r="AH13" s="135" t="n">
        <f aca="false">IF($B13="","",MAX(0,IF(OR(الموظفون!$AE13="",الموظفون!$AE13&gt;$F$3),$F$3,الموظفون!$AE13)-الموظفون!$H13+1-SUMIFS('سجل الإجازات والحالات'!$AI$6:$AI$505,'سجل الإجازات والحالات'!$B$6:$B$505,$B13))/cfg_DAYS_Y)</f>
        <v>3.0027397260274</v>
      </c>
      <c r="AI13" s="135" t="n">
        <f aca="false">IF($B13="","",MAX(0,IF(OR(الموظفون!$AE13="",الموظفون!$AE13&gt;($E$3-1)),($E$3-1),الموظفون!$AE13)-الموظفون!$H13+1-SUMIFS('سجل الإجازات والحالات'!$AH$6:$AH$505,'سجل الإجازات والحالات'!$B$6:$B$505,$B13))/cfg_DAYS_Y)</f>
        <v>2.92602739726027</v>
      </c>
      <c r="AJ13" s="110" t="n">
        <f aca="false">IF($B13="","",MAX(0,AK13-(SUMIFS('سجل الإجازات والحالات'!$AI$6:$AI$505,'سجل الإجازات والحالات'!$B$6:$B$505,$B13)-SUMIFS('سجل الإجازات والحالات'!$AH$6:$AH$505,'سجل الإجازات والحالات'!$B$6:$B$505,$B13))))</f>
        <v>28</v>
      </c>
      <c r="AK13" s="110" t="n">
        <f aca="false">IF($B13="","",MAX(0,IF(OR(الموظفون!$AE13="",الموظفون!$AE13&gt;$F$3),$F$3,الموظفون!$AE13)-MAX($E$3,الموظفون!$H13)+1))</f>
        <v>28</v>
      </c>
      <c r="AL13" s="131" t="n">
        <f aca="false">IF($B13="","",SUMIFS('سجل الإجازات والحالات'!$AU$6:$AU$505,'سجل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والحالات'!$W$6:$W$505,'سجل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673.150684931516</v>
      </c>
      <c r="AB14" s="97" t="n">
        <f aca="false">IF($B14="","",IF(الموظفون!$T14&lt;&gt;"",الموظفون!$T14,IF(AH14&gt;=cfg_LV_TH,cfg_LV_D2,cfg_LV_D1))/cfg_DAYS_Y*AJ14*الموظفون!$R14/cfg_DAYS_M)</f>
        <v>673.150684931507</v>
      </c>
      <c r="AC14" s="97" t="n">
        <f aca="false">IF($B14="","",IF(AND(الموظفون!$U14="نعم",N(الموظفون!$W14)&gt;0),الموظفون!$V14/الموظفون!$W14*12/cfg_DAYS_Y*AJ14,0))</f>
        <v>84.3835616438356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11672.3515981735</v>
      </c>
      <c r="AH14" s="130" t="n">
        <f aca="false">IF($B14="","",MAX(0,IF(OR(الموظفون!$AE14="",الموظفون!$AE14&gt;$F$3),$F$3,الموظفون!$AE14)-الموظفون!$H14+1-SUMIFS('سجل الإجازات والحالات'!$AI$6:$AI$505,'سجل الإجازات والحالات'!$B$6:$B$505,$B14))/cfg_DAYS_Y)</f>
        <v>11.5424657534247</v>
      </c>
      <c r="AI14" s="130" t="n">
        <f aca="false">IF($B14="","",MAX(0,IF(OR(الموظفون!$AE14="",الموظفون!$AE14&gt;($E$3-1)),($E$3-1),الموظفون!$AE14)-الموظفون!$H14+1-SUMIFS('سجل الإجازات والحالات'!$AH$6:$AH$505,'سجل الإجازات والحالات'!$B$6:$B$505,$B14))/cfg_DAYS_Y)</f>
        <v>11.4657534246575</v>
      </c>
      <c r="AJ14" s="57" t="n">
        <f aca="false">IF($B14="","",MAX(0,AK14-(SUMIFS('سجل الإجازات والحالات'!$AI$6:$AI$505,'سجل الإجازات والحالات'!$B$6:$B$505,$B14)-SUMIFS('سجل الإجازات والحالات'!$AH$6:$AH$505,'سجل الإجازات والحالات'!$B$6:$B$505,$B14))))</f>
        <v>28</v>
      </c>
      <c r="AK14" s="57" t="n">
        <f aca="false">IF($B14="","",MAX(0,IF(OR(الموظفون!$AE14="",الموظفون!$AE14&gt;$F$3),$F$3,الموظفون!$AE14)-MAX($E$3,الموظفون!$H14)+1))</f>
        <v>28</v>
      </c>
      <c r="AL14" s="126" t="n">
        <f aca="false">IF($B14="","",SUMIFS('سجل الإجازات والحالات'!$AU$6:$AU$505,'سجل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والحالات'!$W$6:$W$505,'سجل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لم يباشر</v>
      </c>
      <c r="G15" s="131" t="n">
        <f aca="false">IF($B15="","",IF(AK15&gt;=DAY($F$3),cfg_DAYS_M,MIN(AK15,cfg_DAYS_M)))</f>
        <v>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0</v>
      </c>
      <c r="K15" s="101" t="n">
        <f aca="false">IF($B15="","",الموظفون!$L15*$J15/cfg_DAYS_M)</f>
        <v>0</v>
      </c>
      <c r="L15" s="101" t="n">
        <f aca="false">IF($B15="","",الموظفون!$M15*$J15/cfg_DAYS_M)</f>
        <v>0</v>
      </c>
      <c r="M15" s="101" t="n">
        <f aca="false">IF($B15="","",الموظفون!$N15*$J15/cfg_DAYS_M)</f>
        <v>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0</v>
      </c>
      <c r="U15" s="101" t="n">
        <f aca="false">IF($B15="","",الموظفون!$S15*IF(E15="سعودي",cfg_G_SE,cfg_G_NE)*G15/cfg_DAYS_M)</f>
        <v>0</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0</v>
      </c>
      <c r="Y15" s="133" t="n">
        <f aca="false">IF($B15="","",T15-X15)</f>
        <v>0</v>
      </c>
      <c r="Z15" s="101" t="n">
        <f aca="false">IF($B15="","",الموظفون!$S15*IF(E15="سعودي",cfg_G_SR,cfg_G_NR)*G15/cfg_DAYS_M)</f>
        <v>0</v>
      </c>
      <c r="AA15" s="101" t="n">
        <f aca="false">IF($B15="","",الموظفون!$Q15*(cfg_EOS_R1*(MIN(AH15,cfg_EOS_TH)-MIN(AI15,cfg_EOS_TH))+cfg_EOS_R2*(MAX(AH15-cfg_EOS_TH,0)-MAX(AI15-cfg_EOS_TH,0))))</f>
        <v>0</v>
      </c>
      <c r="AB15" s="101" t="n">
        <f aca="false">IF($B15="","",IF(الموظفون!$T15&lt;&gt;"",الموظفون!$T15,IF(AH15&gt;=cfg_LV_TH,cfg_LV_D2,cfg_LV_D1))/cfg_DAYS_Y*AJ15*الموظفون!$R15/cfg_DAYS_M)</f>
        <v>0</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0</v>
      </c>
      <c r="AF15" s="101" t="n">
        <f aca="false">IF($B15="","",N(الموظفون!$AA15)/12*G15/cfg_DAYS_M)</f>
        <v>0</v>
      </c>
      <c r="AG15" s="134" t="n">
        <f aca="false">IF($B15="","",T15+SUM(Z15:AF15))</f>
        <v>0</v>
      </c>
      <c r="AH15" s="135" t="n">
        <f aca="false">IF($B15="","",MAX(0,IF(OR(الموظفون!$AE15="",الموظفون!$AE15&gt;$F$3),$F$3,الموظفون!$AE15)-الموظفون!$H15+1-SUMIFS('سجل الإجازات والحالات'!$AI$6:$AI$505,'سجل الإجازات والحالات'!$B$6:$B$505,$B15))/cfg_DAYS_Y)</f>
        <v>0</v>
      </c>
      <c r="AI15" s="135" t="n">
        <f aca="false">IF($B15="","",MAX(0,IF(OR(الموظفون!$AE15="",الموظفون!$AE15&gt;($E$3-1)),($E$3-1),الموظفون!$AE15)-الموظفون!$H15+1-SUMIFS('سجل الإجازات والحالات'!$AH$6:$AH$505,'سجل الإجازات والحالات'!$B$6:$B$505,$B15))/cfg_DAYS_Y)</f>
        <v>0</v>
      </c>
      <c r="AJ15" s="110" t="n">
        <f aca="false">IF($B15="","",MAX(0,AK15-(SUMIFS('سجل الإجازات والحالات'!$AI$6:$AI$505,'سجل الإجازات والحالات'!$B$6:$B$505,$B15)-SUMIFS('سجل الإجازات والحالات'!$AH$6:$AH$505,'سجل الإجازات والحالات'!$B$6:$B$505,$B15))))</f>
        <v>0</v>
      </c>
      <c r="AK15" s="110" t="n">
        <f aca="false">IF($B15="","",MAX(0,IF(OR(الموظفون!$AE15="",الموظفون!$AE15&gt;$F$3),$F$3,الموظفون!$AE15)-MAX($E$3,الموظفون!$H15)+1))</f>
        <v>0</v>
      </c>
      <c r="AL15" s="131" t="n">
        <f aca="false">IF($B15="","",SUMIFS('سجل الإجازات والحالات'!$AU$6:$AU$505,'سجل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والحالات'!$W$6:$W$505,'سجل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517.808219178083</v>
      </c>
      <c r="AB16" s="97" t="n">
        <f aca="false">IF($B16="","",IF(الموظفون!$T16&lt;&gt;"",الموظفون!$T16,IF(AH16&gt;=cfg_LV_TH,cfg_LV_D2,cfg_LV_D1))/cfg_DAYS_Y*AJ16*الموظفون!$R16/cfg_DAYS_M)</f>
        <v>517.808219178082</v>
      </c>
      <c r="AC16" s="97" t="n">
        <f aca="false">IF($B16="","",IF(AND(الموظفون!$U16="نعم",N(الموظفون!$W16)&gt;0),الموظفون!$V16/الموظفون!$W16*12/cfg_DAYS_Y*AJ16,0))</f>
        <v>99.7260273972603</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9014.50913242009</v>
      </c>
      <c r="AH16" s="130" t="n">
        <f aca="false">IF($B16="","",MAX(0,IF(OR(الموظفون!$AE16="",الموظفون!$AE16&gt;$F$3),$F$3,الموظفون!$AE16)-الموظفون!$H16+1-SUMIFS('سجل الإجازات والحالات'!$AI$6:$AI$505,'سجل الإجازات والحالات'!$B$6:$B$505,$B16))/cfg_DAYS_Y)</f>
        <v>7.0054794520548</v>
      </c>
      <c r="AI16" s="130" t="n">
        <f aca="false">IF($B16="","",MAX(0,IF(OR(الموظفون!$AE16="",الموظفون!$AE16&gt;($E$3-1)),($E$3-1),الموظفون!$AE16)-الموظفون!$H16+1-SUMIFS('سجل الإجازات والحالات'!$AH$6:$AH$505,'سجل الإجازات والحالات'!$B$6:$B$505,$B16))/cfg_DAYS_Y)</f>
        <v>6.92876712328767</v>
      </c>
      <c r="AJ16" s="57" t="n">
        <f aca="false">IF($B16="","",MAX(0,AK16-(SUMIFS('سجل الإجازات والحالات'!$AI$6:$AI$505,'سجل الإجازات والحالات'!$B$6:$B$505,$B16)-SUMIFS('سجل الإجازات والحالات'!$AH$6:$AH$505,'سجل الإجازات والحالات'!$B$6:$B$505,$B16))))</f>
        <v>28</v>
      </c>
      <c r="AK16" s="57" t="n">
        <f aca="false">IF($B16="","",MAX(0,IF(OR(الموظفون!$AE16="",الموظفون!$AE16&gt;$F$3),$F$3,الموظفون!$AE16)-MAX($E$3,الموظفون!$H16)+1))</f>
        <v>28</v>
      </c>
      <c r="AL16" s="126" t="n">
        <f aca="false">IF($B16="","",SUMIFS('سجل الإجازات والحالات'!$AU$6:$AU$505,'سجل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والحالات'!$W$6:$W$505,'سجل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621.3698630137</v>
      </c>
      <c r="AB17" s="101" t="n">
        <f aca="false">IF($B17="","",IF(الموظفون!$T17&lt;&gt;"",الموظفون!$T17,IF(AH17&gt;=cfg_LV_TH,cfg_LV_D2,cfg_LV_D1))/cfg_DAYS_Y*AJ17*الموظفون!$R17/cfg_DAYS_M)</f>
        <v>869.917808219178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21153.7876712329</v>
      </c>
      <c r="AH17" s="135" t="n">
        <f aca="false">IF($B17="","",MAX(0,IF(OR(الموظفون!$AE17="",الموظفون!$AE17&gt;$F$3),$F$3,الموظفون!$AE17)-الموظفون!$H17+1-SUMIFS('سجل الإجازات والحالات'!$AI$6:$AI$505,'سجل الإجازات والحالات'!$B$6:$B$505,$B17))/cfg_DAYS_Y)</f>
        <v>3.64383561643836</v>
      </c>
      <c r="AI17" s="135" t="n">
        <f aca="false">IF($B17="","",MAX(0,IF(OR(الموظفون!$AE17="",الموظفون!$AE17&gt;($E$3-1)),($E$3-1),الموظفون!$AE17)-الموظفون!$H17+1-SUMIFS('سجل الإجازات والحالات'!$AH$6:$AH$505,'سجل الإجازات والحالات'!$B$6:$B$505,$B17))/cfg_DAYS_Y)</f>
        <v>3.56712328767123</v>
      </c>
      <c r="AJ17" s="110" t="n">
        <f aca="false">IF($B17="","",MAX(0,AK17-(SUMIFS('سجل الإجازات والحالات'!$AI$6:$AI$505,'سجل الإجازات والحالات'!$B$6:$B$505,$B17)-SUMIFS('سجل الإجازات والحالات'!$AH$6:$AH$505,'سجل الإجازات والحالات'!$B$6:$B$505,$B17))))</f>
        <v>28</v>
      </c>
      <c r="AK17" s="110" t="n">
        <f aca="false">IF($B17="","",MAX(0,IF(OR(الموظفون!$AE17="",الموظفون!$AE17&gt;$F$3),$F$3,الموظفون!$AE17)-MAX($E$3,الموظفون!$H17)+1))</f>
        <v>28</v>
      </c>
      <c r="AL17" s="131" t="n">
        <f aca="false">IF($B17="","",SUMIFS('سجل الإجازات والحالات'!$AU$6:$AU$505,'سجل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والحالات'!$W$6:$W$505,'سجل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والحالات'!$AI$6:$AI$505,'سجل الإجازات والحالات'!$B$6:$B$505,$B18))/cfg_DAYS_Y)</f>
        <v/>
      </c>
      <c r="AI18" s="130" t="str">
        <f aca="false">IF($B18="","",MAX(0,IF(OR(الموظفون!$AE18="",الموظفون!$AE18&gt;($E$3-1)),($E$3-1),الموظفون!$AE18)-الموظفون!$H18+1-SUMIFS('سجل الإجازات والحالات'!$AH$6:$AH$505,'سجل الإجازات والحالات'!$B$6:$B$505,$B18))/cfg_DAYS_Y)</f>
        <v/>
      </c>
      <c r="AJ18" s="57" t="str">
        <f aca="false">IF($B18="","",MAX(0,AK18-(SUMIFS('سجل الإجازات والحالات'!$AI$6:$AI$505,'سجل الإجازات والحالات'!$B$6:$B$505,$B18)-SUMIFS('سجل الإجازات والحالات'!$AH$6:$AH$505,'سجل الإجازات والحالات'!$B$6:$B$505,$B18))))</f>
        <v/>
      </c>
      <c r="AK18" s="57" t="str">
        <f aca="false">IF($B18="","",MAX(0,IF(OR(الموظفون!$AE18="",الموظفون!$AE18&gt;$F$3),$F$3,الموظفون!$AE18)-MAX($E$3,الموظفون!$H18)+1))</f>
        <v/>
      </c>
      <c r="AL18" s="126" t="str">
        <f aca="false">IF($B18="","",SUMIFS('سجل الإجازات والحالات'!$AU$6:$AU$505,'سجل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والحالات'!$W$6:$W$505,'سجل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والحالات'!$AI$6:$AI$505,'سجل الإجازات والحالات'!$B$6:$B$505,$B19))/cfg_DAYS_Y)</f>
        <v/>
      </c>
      <c r="AI19" s="135" t="str">
        <f aca="false">IF($B19="","",MAX(0,IF(OR(الموظفون!$AE19="",الموظفون!$AE19&gt;($E$3-1)),($E$3-1),الموظفون!$AE19)-الموظفون!$H19+1-SUMIFS('سجل الإجازات والحالات'!$AH$6:$AH$505,'سجل الإجازات والحالات'!$B$6:$B$505,$B19))/cfg_DAYS_Y)</f>
        <v/>
      </c>
      <c r="AJ19" s="110" t="str">
        <f aca="false">IF($B19="","",MAX(0,AK19-(SUMIFS('سجل الإجازات والحالات'!$AI$6:$AI$505,'سجل الإجازات والحالات'!$B$6:$B$505,$B19)-SUMIFS('سجل الإجازات والحالات'!$AH$6:$AH$505,'سجل الإجازات والحالات'!$B$6:$B$505,$B19))))</f>
        <v/>
      </c>
      <c r="AK19" s="110" t="str">
        <f aca="false">IF($B19="","",MAX(0,IF(OR(الموظفون!$AE19="",الموظفون!$AE19&gt;$F$3),$F$3,الموظفون!$AE19)-MAX($E$3,الموظفون!$H19)+1))</f>
        <v/>
      </c>
      <c r="AL19" s="131" t="str">
        <f aca="false">IF($B19="","",SUMIFS('سجل الإجازات والحالات'!$AU$6:$AU$505,'سجل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والحالات'!$W$6:$W$505,'سجل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والحالات'!$AI$6:$AI$505,'سجل الإجازات والحالات'!$B$6:$B$505,$B20))/cfg_DAYS_Y)</f>
        <v/>
      </c>
      <c r="AI20" s="130" t="str">
        <f aca="false">IF($B20="","",MAX(0,IF(OR(الموظفون!$AE20="",الموظفون!$AE20&gt;($E$3-1)),($E$3-1),الموظفون!$AE20)-الموظفون!$H20+1-SUMIFS('سجل الإجازات والحالات'!$AH$6:$AH$505,'سجل الإجازات والحالات'!$B$6:$B$505,$B20))/cfg_DAYS_Y)</f>
        <v/>
      </c>
      <c r="AJ20" s="57" t="str">
        <f aca="false">IF($B20="","",MAX(0,AK20-(SUMIFS('سجل الإجازات والحالات'!$AI$6:$AI$505,'سجل الإجازات والحالات'!$B$6:$B$505,$B20)-SUMIFS('سجل الإجازات والحالات'!$AH$6:$AH$505,'سجل الإجازات والحالات'!$B$6:$B$505,$B20))))</f>
        <v/>
      </c>
      <c r="AK20" s="57" t="str">
        <f aca="false">IF($B20="","",MAX(0,IF(OR(الموظفون!$AE20="",الموظفون!$AE20&gt;$F$3),$F$3,الموظفون!$AE20)-MAX($E$3,الموظفون!$H20)+1))</f>
        <v/>
      </c>
      <c r="AL20" s="126" t="str">
        <f aca="false">IF($B20="","",SUMIFS('سجل الإجازات والحالات'!$AU$6:$AU$505,'سجل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والحالات'!$W$6:$W$505,'سجل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والحالات'!$AI$6:$AI$505,'سجل الإجازات والحالات'!$B$6:$B$505,$B21))/cfg_DAYS_Y)</f>
        <v/>
      </c>
      <c r="AI21" s="135" t="str">
        <f aca="false">IF($B21="","",MAX(0,IF(OR(الموظفون!$AE21="",الموظفون!$AE21&gt;($E$3-1)),($E$3-1),الموظفون!$AE21)-الموظفون!$H21+1-SUMIFS('سجل الإجازات والحالات'!$AH$6:$AH$505,'سجل الإجازات والحالات'!$B$6:$B$505,$B21))/cfg_DAYS_Y)</f>
        <v/>
      </c>
      <c r="AJ21" s="110" t="str">
        <f aca="false">IF($B21="","",MAX(0,AK21-(SUMIFS('سجل الإجازات والحالات'!$AI$6:$AI$505,'سجل الإجازات والحالات'!$B$6:$B$505,$B21)-SUMIFS('سجل الإجازات والحالات'!$AH$6:$AH$505,'سجل الإجازات والحالات'!$B$6:$B$505,$B21))))</f>
        <v/>
      </c>
      <c r="AK21" s="110" t="str">
        <f aca="false">IF($B21="","",MAX(0,IF(OR(الموظفون!$AE21="",الموظفون!$AE21&gt;$F$3),$F$3,الموظفون!$AE21)-MAX($E$3,الموظفون!$H21)+1))</f>
        <v/>
      </c>
      <c r="AL21" s="131" t="str">
        <f aca="false">IF($B21="","",SUMIFS('سجل الإجازات والحالات'!$AU$6:$AU$505,'سجل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والحالات'!$W$6:$W$505,'سجل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والحالات'!$AI$6:$AI$505,'سجل الإجازات والحالات'!$B$6:$B$505,$B22))/cfg_DAYS_Y)</f>
        <v/>
      </c>
      <c r="AI22" s="130" t="str">
        <f aca="false">IF($B22="","",MAX(0,IF(OR(الموظفون!$AE22="",الموظفون!$AE22&gt;($E$3-1)),($E$3-1),الموظفون!$AE22)-الموظفون!$H22+1-SUMIFS('سجل الإجازات والحالات'!$AH$6:$AH$505,'سجل الإجازات والحالات'!$B$6:$B$505,$B22))/cfg_DAYS_Y)</f>
        <v/>
      </c>
      <c r="AJ22" s="57" t="str">
        <f aca="false">IF($B22="","",MAX(0,AK22-(SUMIFS('سجل الإجازات والحالات'!$AI$6:$AI$505,'سجل الإجازات والحالات'!$B$6:$B$505,$B22)-SUMIFS('سجل الإجازات والحالات'!$AH$6:$AH$505,'سجل الإجازات والحالات'!$B$6:$B$505,$B22))))</f>
        <v/>
      </c>
      <c r="AK22" s="57" t="str">
        <f aca="false">IF($B22="","",MAX(0,IF(OR(الموظفون!$AE22="",الموظفون!$AE22&gt;$F$3),$F$3,الموظفون!$AE22)-MAX($E$3,الموظفون!$H22)+1))</f>
        <v/>
      </c>
      <c r="AL22" s="126" t="str">
        <f aca="false">IF($B22="","",SUMIFS('سجل الإجازات والحالات'!$AU$6:$AU$505,'سجل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والحالات'!$W$6:$W$505,'سجل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والحالات'!$AI$6:$AI$505,'سجل الإجازات والحالات'!$B$6:$B$505,$B23))/cfg_DAYS_Y)</f>
        <v/>
      </c>
      <c r="AI23" s="135" t="str">
        <f aca="false">IF($B23="","",MAX(0,IF(OR(الموظفون!$AE23="",الموظفون!$AE23&gt;($E$3-1)),($E$3-1),الموظفون!$AE23)-الموظفون!$H23+1-SUMIFS('سجل الإجازات والحالات'!$AH$6:$AH$505,'سجل الإجازات والحالات'!$B$6:$B$505,$B23))/cfg_DAYS_Y)</f>
        <v/>
      </c>
      <c r="AJ23" s="110" t="str">
        <f aca="false">IF($B23="","",MAX(0,AK23-(SUMIFS('سجل الإجازات والحالات'!$AI$6:$AI$505,'سجل الإجازات والحالات'!$B$6:$B$505,$B23)-SUMIFS('سجل الإجازات والحالات'!$AH$6:$AH$505,'سجل الإجازات والحالات'!$B$6:$B$505,$B23))))</f>
        <v/>
      </c>
      <c r="AK23" s="110" t="str">
        <f aca="false">IF($B23="","",MAX(0,IF(OR(الموظفون!$AE23="",الموظفون!$AE23&gt;$F$3),$F$3,الموظفون!$AE23)-MAX($E$3,الموظفون!$H23)+1))</f>
        <v/>
      </c>
      <c r="AL23" s="131" t="str">
        <f aca="false">IF($B23="","",SUMIFS('سجل الإجازات والحالات'!$AU$6:$AU$505,'سجل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والحالات'!$W$6:$W$505,'سجل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والحالات'!$AI$6:$AI$505,'سجل الإجازات والحالات'!$B$6:$B$505,$B24))/cfg_DAYS_Y)</f>
        <v/>
      </c>
      <c r="AI24" s="130" t="str">
        <f aca="false">IF($B24="","",MAX(0,IF(OR(الموظفون!$AE24="",الموظفون!$AE24&gt;($E$3-1)),($E$3-1),الموظفون!$AE24)-الموظفون!$H24+1-SUMIFS('سجل الإجازات والحالات'!$AH$6:$AH$505,'سجل الإجازات والحالات'!$B$6:$B$505,$B24))/cfg_DAYS_Y)</f>
        <v/>
      </c>
      <c r="AJ24" s="57" t="str">
        <f aca="false">IF($B24="","",MAX(0,AK24-(SUMIFS('سجل الإجازات والحالات'!$AI$6:$AI$505,'سجل الإجازات والحالات'!$B$6:$B$505,$B24)-SUMIFS('سجل الإجازات والحالات'!$AH$6:$AH$505,'سجل الإجازات والحالات'!$B$6:$B$505,$B24))))</f>
        <v/>
      </c>
      <c r="AK24" s="57" t="str">
        <f aca="false">IF($B24="","",MAX(0,IF(OR(الموظفون!$AE24="",الموظفون!$AE24&gt;$F$3),$F$3,الموظفون!$AE24)-MAX($E$3,الموظفون!$H24)+1))</f>
        <v/>
      </c>
      <c r="AL24" s="126" t="str">
        <f aca="false">IF($B24="","",SUMIFS('سجل الإجازات والحالات'!$AU$6:$AU$505,'سجل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والحالات'!$W$6:$W$505,'سجل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والحالات'!$AI$6:$AI$505,'سجل الإجازات والحالات'!$B$6:$B$505,$B25))/cfg_DAYS_Y)</f>
        <v/>
      </c>
      <c r="AI25" s="135" t="str">
        <f aca="false">IF($B25="","",MAX(0,IF(OR(الموظفون!$AE25="",الموظفون!$AE25&gt;($E$3-1)),($E$3-1),الموظفون!$AE25)-الموظفون!$H25+1-SUMIFS('سجل الإجازات والحالات'!$AH$6:$AH$505,'سجل الإجازات والحالات'!$B$6:$B$505,$B25))/cfg_DAYS_Y)</f>
        <v/>
      </c>
      <c r="AJ25" s="110" t="str">
        <f aca="false">IF($B25="","",MAX(0,AK25-(SUMIFS('سجل الإجازات والحالات'!$AI$6:$AI$505,'سجل الإجازات والحالات'!$B$6:$B$505,$B25)-SUMIFS('سجل الإجازات والحالات'!$AH$6:$AH$505,'سجل الإجازات والحالات'!$B$6:$B$505,$B25))))</f>
        <v/>
      </c>
      <c r="AK25" s="110" t="str">
        <f aca="false">IF($B25="","",MAX(0,IF(OR(الموظفون!$AE25="",الموظفون!$AE25&gt;$F$3),$F$3,الموظفون!$AE25)-MAX($E$3,الموظفون!$H25)+1))</f>
        <v/>
      </c>
      <c r="AL25" s="131" t="str">
        <f aca="false">IF($B25="","",SUMIFS('سجل الإجازات والحالات'!$AU$6:$AU$505,'سجل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والحالات'!$W$6:$W$505,'سجل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والحالات'!$AI$6:$AI$505,'سجل الإجازات والحالات'!$B$6:$B$505,$B26))/cfg_DAYS_Y)</f>
        <v/>
      </c>
      <c r="AI26" s="130" t="str">
        <f aca="false">IF($B26="","",MAX(0,IF(OR(الموظفون!$AE26="",الموظفون!$AE26&gt;($E$3-1)),($E$3-1),الموظفون!$AE26)-الموظفون!$H26+1-SUMIFS('سجل الإجازات والحالات'!$AH$6:$AH$505,'سجل الإجازات والحالات'!$B$6:$B$505,$B26))/cfg_DAYS_Y)</f>
        <v/>
      </c>
      <c r="AJ26" s="57" t="str">
        <f aca="false">IF($B26="","",MAX(0,AK26-(SUMIFS('سجل الإجازات والحالات'!$AI$6:$AI$505,'سجل الإجازات والحالات'!$B$6:$B$505,$B26)-SUMIFS('سجل الإجازات والحالات'!$AH$6:$AH$505,'سجل الإجازات والحالات'!$B$6:$B$505,$B26))))</f>
        <v/>
      </c>
      <c r="AK26" s="57" t="str">
        <f aca="false">IF($B26="","",MAX(0,IF(OR(الموظفون!$AE26="",الموظفون!$AE26&gt;$F$3),$F$3,الموظفون!$AE26)-MAX($E$3,الموظفون!$H26)+1))</f>
        <v/>
      </c>
      <c r="AL26" s="126" t="str">
        <f aca="false">IF($B26="","",SUMIFS('سجل الإجازات والحالات'!$AU$6:$AU$505,'سجل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والحالات'!$W$6:$W$505,'سجل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والحالات'!$AI$6:$AI$505,'سجل الإجازات والحالات'!$B$6:$B$505,$B27))/cfg_DAYS_Y)</f>
        <v/>
      </c>
      <c r="AI27" s="135" t="str">
        <f aca="false">IF($B27="","",MAX(0,IF(OR(الموظفون!$AE27="",الموظفون!$AE27&gt;($E$3-1)),($E$3-1),الموظفون!$AE27)-الموظفون!$H27+1-SUMIFS('سجل الإجازات والحالات'!$AH$6:$AH$505,'سجل الإجازات والحالات'!$B$6:$B$505,$B27))/cfg_DAYS_Y)</f>
        <v/>
      </c>
      <c r="AJ27" s="110" t="str">
        <f aca="false">IF($B27="","",MAX(0,AK27-(SUMIFS('سجل الإجازات والحالات'!$AI$6:$AI$505,'سجل الإجازات والحالات'!$B$6:$B$505,$B27)-SUMIFS('سجل الإجازات والحالات'!$AH$6:$AH$505,'سجل الإجازات والحالات'!$B$6:$B$505,$B27))))</f>
        <v/>
      </c>
      <c r="AK27" s="110" t="str">
        <f aca="false">IF($B27="","",MAX(0,IF(OR(الموظفون!$AE27="",الموظفون!$AE27&gt;$F$3),$F$3,الموظفون!$AE27)-MAX($E$3,الموظفون!$H27)+1))</f>
        <v/>
      </c>
      <c r="AL27" s="131" t="str">
        <f aca="false">IF($B27="","",SUMIFS('سجل الإجازات والحالات'!$AU$6:$AU$505,'سجل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والحالات'!$W$6:$W$505,'سجل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والحالات'!$AI$6:$AI$505,'سجل الإجازات والحالات'!$B$6:$B$505,$B28))/cfg_DAYS_Y)</f>
        <v/>
      </c>
      <c r="AI28" s="130" t="str">
        <f aca="false">IF($B28="","",MAX(0,IF(OR(الموظفون!$AE28="",الموظفون!$AE28&gt;($E$3-1)),($E$3-1),الموظفون!$AE28)-الموظفون!$H28+1-SUMIFS('سجل الإجازات والحالات'!$AH$6:$AH$505,'سجل الإجازات والحالات'!$B$6:$B$505,$B28))/cfg_DAYS_Y)</f>
        <v/>
      </c>
      <c r="AJ28" s="57" t="str">
        <f aca="false">IF($B28="","",MAX(0,AK28-(SUMIFS('سجل الإجازات والحالات'!$AI$6:$AI$505,'سجل الإجازات والحالات'!$B$6:$B$505,$B28)-SUMIFS('سجل الإجازات والحالات'!$AH$6:$AH$505,'سجل الإجازات والحالات'!$B$6:$B$505,$B28))))</f>
        <v/>
      </c>
      <c r="AK28" s="57" t="str">
        <f aca="false">IF($B28="","",MAX(0,IF(OR(الموظفون!$AE28="",الموظفون!$AE28&gt;$F$3),$F$3,الموظفون!$AE28)-MAX($E$3,الموظفون!$H28)+1))</f>
        <v/>
      </c>
      <c r="AL28" s="126" t="str">
        <f aca="false">IF($B28="","",SUMIFS('سجل الإجازات والحالات'!$AU$6:$AU$505,'سجل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والحالات'!$W$6:$W$505,'سجل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والحالات'!$AI$6:$AI$505,'سجل الإجازات والحالات'!$B$6:$B$505,$B29))/cfg_DAYS_Y)</f>
        <v/>
      </c>
      <c r="AI29" s="135" t="str">
        <f aca="false">IF($B29="","",MAX(0,IF(OR(الموظفون!$AE29="",الموظفون!$AE29&gt;($E$3-1)),($E$3-1),الموظفون!$AE29)-الموظفون!$H29+1-SUMIFS('سجل الإجازات والحالات'!$AH$6:$AH$505,'سجل الإجازات والحالات'!$B$6:$B$505,$B29))/cfg_DAYS_Y)</f>
        <v/>
      </c>
      <c r="AJ29" s="110" t="str">
        <f aca="false">IF($B29="","",MAX(0,AK29-(SUMIFS('سجل الإجازات والحالات'!$AI$6:$AI$505,'سجل الإجازات والحالات'!$B$6:$B$505,$B29)-SUMIFS('سجل الإجازات والحالات'!$AH$6:$AH$505,'سجل الإجازات والحالات'!$B$6:$B$505,$B29))))</f>
        <v/>
      </c>
      <c r="AK29" s="110" t="str">
        <f aca="false">IF($B29="","",MAX(0,IF(OR(الموظفون!$AE29="",الموظفون!$AE29&gt;$F$3),$F$3,الموظفون!$AE29)-MAX($E$3,الموظفون!$H29)+1))</f>
        <v/>
      </c>
      <c r="AL29" s="131" t="str">
        <f aca="false">IF($B29="","",SUMIFS('سجل الإجازات والحالات'!$AU$6:$AU$505,'سجل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والحالات'!$W$6:$W$505,'سجل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والحالات'!$AI$6:$AI$505,'سجل الإجازات والحالات'!$B$6:$B$505,$B30))/cfg_DAYS_Y)</f>
        <v/>
      </c>
      <c r="AI30" s="130" t="str">
        <f aca="false">IF($B30="","",MAX(0,IF(OR(الموظفون!$AE30="",الموظفون!$AE30&gt;($E$3-1)),($E$3-1),الموظفون!$AE30)-الموظفون!$H30+1-SUMIFS('سجل الإجازات والحالات'!$AH$6:$AH$505,'سجل الإجازات والحالات'!$B$6:$B$505,$B30))/cfg_DAYS_Y)</f>
        <v/>
      </c>
      <c r="AJ30" s="57" t="str">
        <f aca="false">IF($B30="","",MAX(0,AK30-(SUMIFS('سجل الإجازات والحالات'!$AI$6:$AI$505,'سجل الإجازات والحالات'!$B$6:$B$505,$B30)-SUMIFS('سجل الإجازات والحالات'!$AH$6:$AH$505,'سجل الإجازات والحالات'!$B$6:$B$505,$B30))))</f>
        <v/>
      </c>
      <c r="AK30" s="57" t="str">
        <f aca="false">IF($B30="","",MAX(0,IF(OR(الموظفون!$AE30="",الموظفون!$AE30&gt;$F$3),$F$3,الموظفون!$AE30)-MAX($E$3,الموظفون!$H30)+1))</f>
        <v/>
      </c>
      <c r="AL30" s="126" t="str">
        <f aca="false">IF($B30="","",SUMIFS('سجل الإجازات والحالات'!$AU$6:$AU$505,'سجل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والحالات'!$W$6:$W$505,'سجل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والحالات'!$AI$6:$AI$505,'سجل الإجازات والحالات'!$B$6:$B$505,$B31))/cfg_DAYS_Y)</f>
        <v/>
      </c>
      <c r="AI31" s="135" t="str">
        <f aca="false">IF($B31="","",MAX(0,IF(OR(الموظفون!$AE31="",الموظفون!$AE31&gt;($E$3-1)),($E$3-1),الموظفون!$AE31)-الموظفون!$H31+1-SUMIFS('سجل الإجازات والحالات'!$AH$6:$AH$505,'سجل الإجازات والحالات'!$B$6:$B$505,$B31))/cfg_DAYS_Y)</f>
        <v/>
      </c>
      <c r="AJ31" s="110" t="str">
        <f aca="false">IF($B31="","",MAX(0,AK31-(SUMIFS('سجل الإجازات والحالات'!$AI$6:$AI$505,'سجل الإجازات والحالات'!$B$6:$B$505,$B31)-SUMIFS('سجل الإجازات والحالات'!$AH$6:$AH$505,'سجل الإجازات والحالات'!$B$6:$B$505,$B31))))</f>
        <v/>
      </c>
      <c r="AK31" s="110" t="str">
        <f aca="false">IF($B31="","",MAX(0,IF(OR(الموظفون!$AE31="",الموظفون!$AE31&gt;$F$3),$F$3,الموظفون!$AE31)-MAX($E$3,الموظفون!$H31)+1))</f>
        <v/>
      </c>
      <c r="AL31" s="131" t="str">
        <f aca="false">IF($B31="","",SUMIFS('سجل الإجازات والحالات'!$AU$6:$AU$505,'سجل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والحالات'!$W$6:$W$505,'سجل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والحالات'!$AI$6:$AI$505,'سجل الإجازات والحالات'!$B$6:$B$505,$B32))/cfg_DAYS_Y)</f>
        <v/>
      </c>
      <c r="AI32" s="130" t="str">
        <f aca="false">IF($B32="","",MAX(0,IF(OR(الموظفون!$AE32="",الموظفون!$AE32&gt;($E$3-1)),($E$3-1),الموظفون!$AE32)-الموظفون!$H32+1-SUMIFS('سجل الإجازات والحالات'!$AH$6:$AH$505,'سجل الإجازات والحالات'!$B$6:$B$505,$B32))/cfg_DAYS_Y)</f>
        <v/>
      </c>
      <c r="AJ32" s="57" t="str">
        <f aca="false">IF($B32="","",MAX(0,AK32-(SUMIFS('سجل الإجازات والحالات'!$AI$6:$AI$505,'سجل الإجازات والحالات'!$B$6:$B$505,$B32)-SUMIFS('سجل الإجازات والحالات'!$AH$6:$AH$505,'سجل الإجازات والحالات'!$B$6:$B$505,$B32))))</f>
        <v/>
      </c>
      <c r="AK32" s="57" t="str">
        <f aca="false">IF($B32="","",MAX(0,IF(OR(الموظفون!$AE32="",الموظفون!$AE32&gt;$F$3),$F$3,الموظفون!$AE32)-MAX($E$3,الموظفون!$H32)+1))</f>
        <v/>
      </c>
      <c r="AL32" s="126" t="str">
        <f aca="false">IF($B32="","",SUMIFS('سجل الإجازات والحالات'!$AU$6:$AU$505,'سجل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والحالات'!$W$6:$W$505,'سجل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والحالات'!$AI$6:$AI$505,'سجل الإجازات والحالات'!$B$6:$B$505,$B33))/cfg_DAYS_Y)</f>
        <v/>
      </c>
      <c r="AI33" s="135" t="str">
        <f aca="false">IF($B33="","",MAX(0,IF(OR(الموظفون!$AE33="",الموظفون!$AE33&gt;($E$3-1)),($E$3-1),الموظفون!$AE33)-الموظفون!$H33+1-SUMIFS('سجل الإجازات والحالات'!$AH$6:$AH$505,'سجل الإجازات والحالات'!$B$6:$B$505,$B33))/cfg_DAYS_Y)</f>
        <v/>
      </c>
      <c r="AJ33" s="110" t="str">
        <f aca="false">IF($B33="","",MAX(0,AK33-(SUMIFS('سجل الإجازات والحالات'!$AI$6:$AI$505,'سجل الإجازات والحالات'!$B$6:$B$505,$B33)-SUMIFS('سجل الإجازات والحالات'!$AH$6:$AH$505,'سجل الإجازات والحالات'!$B$6:$B$505,$B33))))</f>
        <v/>
      </c>
      <c r="AK33" s="110" t="str">
        <f aca="false">IF($B33="","",MAX(0,IF(OR(الموظفون!$AE33="",الموظفون!$AE33&gt;$F$3),$F$3,الموظفون!$AE33)-MAX($E$3,الموظفون!$H33)+1))</f>
        <v/>
      </c>
      <c r="AL33" s="131" t="str">
        <f aca="false">IF($B33="","",SUMIFS('سجل الإجازات والحالات'!$AU$6:$AU$505,'سجل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والحالات'!$W$6:$W$505,'سجل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والحالات'!$AI$6:$AI$505,'سجل الإجازات والحالات'!$B$6:$B$505,$B34))/cfg_DAYS_Y)</f>
        <v/>
      </c>
      <c r="AI34" s="130" t="str">
        <f aca="false">IF($B34="","",MAX(0,IF(OR(الموظفون!$AE34="",الموظفون!$AE34&gt;($E$3-1)),($E$3-1),الموظفون!$AE34)-الموظفون!$H34+1-SUMIFS('سجل الإجازات والحالات'!$AH$6:$AH$505,'سجل الإجازات والحالات'!$B$6:$B$505,$B34))/cfg_DAYS_Y)</f>
        <v/>
      </c>
      <c r="AJ34" s="57" t="str">
        <f aca="false">IF($B34="","",MAX(0,AK34-(SUMIFS('سجل الإجازات والحالات'!$AI$6:$AI$505,'سجل الإجازات والحالات'!$B$6:$B$505,$B34)-SUMIFS('سجل الإجازات والحالات'!$AH$6:$AH$505,'سجل الإجازات والحالات'!$B$6:$B$505,$B34))))</f>
        <v/>
      </c>
      <c r="AK34" s="57" t="str">
        <f aca="false">IF($B34="","",MAX(0,IF(OR(الموظفون!$AE34="",الموظفون!$AE34&gt;$F$3),$F$3,الموظفون!$AE34)-MAX($E$3,الموظفون!$H34)+1))</f>
        <v/>
      </c>
      <c r="AL34" s="126" t="str">
        <f aca="false">IF($B34="","",SUMIFS('سجل الإجازات والحالات'!$AU$6:$AU$505,'سجل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والحالات'!$W$6:$W$505,'سجل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والحالات'!$AI$6:$AI$505,'سجل الإجازات والحالات'!$B$6:$B$505,$B35))/cfg_DAYS_Y)</f>
        <v/>
      </c>
      <c r="AI35" s="135" t="str">
        <f aca="false">IF($B35="","",MAX(0,IF(OR(الموظفون!$AE35="",الموظفون!$AE35&gt;($E$3-1)),($E$3-1),الموظفون!$AE35)-الموظفون!$H35+1-SUMIFS('سجل الإجازات والحالات'!$AH$6:$AH$505,'سجل الإجازات والحالات'!$B$6:$B$505,$B35))/cfg_DAYS_Y)</f>
        <v/>
      </c>
      <c r="AJ35" s="110" t="str">
        <f aca="false">IF($B35="","",MAX(0,AK35-(SUMIFS('سجل الإجازات والحالات'!$AI$6:$AI$505,'سجل الإجازات والحالات'!$B$6:$B$505,$B35)-SUMIFS('سجل الإجازات والحالات'!$AH$6:$AH$505,'سجل الإجازات والحالات'!$B$6:$B$505,$B35))))</f>
        <v/>
      </c>
      <c r="AK35" s="110" t="str">
        <f aca="false">IF($B35="","",MAX(0,IF(OR(الموظفون!$AE35="",الموظفون!$AE35&gt;$F$3),$F$3,الموظفون!$AE35)-MAX($E$3,الموظفون!$H35)+1))</f>
        <v/>
      </c>
      <c r="AL35" s="131" t="str">
        <f aca="false">IF($B35="","",SUMIFS('سجل الإجازات والحالات'!$AU$6:$AU$505,'سجل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والحالات'!$W$6:$W$505,'سجل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والحالات'!$AI$6:$AI$505,'سجل الإجازات والحالات'!$B$6:$B$505,$B36))/cfg_DAYS_Y)</f>
        <v/>
      </c>
      <c r="AI36" s="130" t="str">
        <f aca="false">IF($B36="","",MAX(0,IF(OR(الموظفون!$AE36="",الموظفون!$AE36&gt;($E$3-1)),($E$3-1),الموظفون!$AE36)-الموظفون!$H36+1-SUMIFS('سجل الإجازات والحالات'!$AH$6:$AH$505,'سجل الإجازات والحالات'!$B$6:$B$505,$B36))/cfg_DAYS_Y)</f>
        <v/>
      </c>
      <c r="AJ36" s="57" t="str">
        <f aca="false">IF($B36="","",MAX(0,AK36-(SUMIFS('سجل الإجازات والحالات'!$AI$6:$AI$505,'سجل الإجازات والحالات'!$B$6:$B$505,$B36)-SUMIFS('سجل الإجازات والحالات'!$AH$6:$AH$505,'سجل الإجازات والحالات'!$B$6:$B$505,$B36))))</f>
        <v/>
      </c>
      <c r="AK36" s="57" t="str">
        <f aca="false">IF($B36="","",MAX(0,IF(OR(الموظفون!$AE36="",الموظفون!$AE36&gt;$F$3),$F$3,الموظفون!$AE36)-MAX($E$3,الموظفون!$H36)+1))</f>
        <v/>
      </c>
      <c r="AL36" s="126" t="str">
        <f aca="false">IF($B36="","",SUMIFS('سجل الإجازات والحالات'!$AU$6:$AU$505,'سجل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والحالات'!$W$6:$W$505,'سجل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والحالات'!$AI$6:$AI$505,'سجل الإجازات والحالات'!$B$6:$B$505,$B37))/cfg_DAYS_Y)</f>
        <v/>
      </c>
      <c r="AI37" s="135" t="str">
        <f aca="false">IF($B37="","",MAX(0,IF(OR(الموظفون!$AE37="",الموظفون!$AE37&gt;($E$3-1)),($E$3-1),الموظفون!$AE37)-الموظفون!$H37+1-SUMIFS('سجل الإجازات والحالات'!$AH$6:$AH$505,'سجل الإجازات والحالات'!$B$6:$B$505,$B37))/cfg_DAYS_Y)</f>
        <v/>
      </c>
      <c r="AJ37" s="110" t="str">
        <f aca="false">IF($B37="","",MAX(0,AK37-(SUMIFS('سجل الإجازات والحالات'!$AI$6:$AI$505,'سجل الإجازات والحالات'!$B$6:$B$505,$B37)-SUMIFS('سجل الإجازات والحالات'!$AH$6:$AH$505,'سجل الإجازات والحالات'!$B$6:$B$505,$B37))))</f>
        <v/>
      </c>
      <c r="AK37" s="110" t="str">
        <f aca="false">IF($B37="","",MAX(0,IF(OR(الموظفون!$AE37="",الموظفون!$AE37&gt;$F$3),$F$3,الموظفون!$AE37)-MAX($E$3,الموظفون!$H37)+1))</f>
        <v/>
      </c>
      <c r="AL37" s="131" t="str">
        <f aca="false">IF($B37="","",SUMIFS('سجل الإجازات والحالات'!$AU$6:$AU$505,'سجل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والحالات'!$W$6:$W$505,'سجل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والحالات'!$AI$6:$AI$505,'سجل الإجازات والحالات'!$B$6:$B$505,$B38))/cfg_DAYS_Y)</f>
        <v/>
      </c>
      <c r="AI38" s="130" t="str">
        <f aca="false">IF($B38="","",MAX(0,IF(OR(الموظفون!$AE38="",الموظفون!$AE38&gt;($E$3-1)),($E$3-1),الموظفون!$AE38)-الموظفون!$H38+1-SUMIFS('سجل الإجازات والحالات'!$AH$6:$AH$505,'سجل الإجازات والحالات'!$B$6:$B$505,$B38))/cfg_DAYS_Y)</f>
        <v/>
      </c>
      <c r="AJ38" s="57" t="str">
        <f aca="false">IF($B38="","",MAX(0,AK38-(SUMIFS('سجل الإجازات والحالات'!$AI$6:$AI$505,'سجل الإجازات والحالات'!$B$6:$B$505,$B38)-SUMIFS('سجل الإجازات والحالات'!$AH$6:$AH$505,'سجل الإجازات والحالات'!$B$6:$B$505,$B38))))</f>
        <v/>
      </c>
      <c r="AK38" s="57" t="str">
        <f aca="false">IF($B38="","",MAX(0,IF(OR(الموظفون!$AE38="",الموظفون!$AE38&gt;$F$3),$F$3,الموظفون!$AE38)-MAX($E$3,الموظفون!$H38)+1))</f>
        <v/>
      </c>
      <c r="AL38" s="126" t="str">
        <f aca="false">IF($B38="","",SUMIFS('سجل الإجازات والحالات'!$AU$6:$AU$505,'سجل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والحالات'!$W$6:$W$505,'سجل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والحالات'!$AI$6:$AI$505,'سجل الإجازات والحالات'!$B$6:$B$505,$B39))/cfg_DAYS_Y)</f>
        <v/>
      </c>
      <c r="AI39" s="135" t="str">
        <f aca="false">IF($B39="","",MAX(0,IF(OR(الموظفون!$AE39="",الموظفون!$AE39&gt;($E$3-1)),($E$3-1),الموظفون!$AE39)-الموظفون!$H39+1-SUMIFS('سجل الإجازات والحالات'!$AH$6:$AH$505,'سجل الإجازات والحالات'!$B$6:$B$505,$B39))/cfg_DAYS_Y)</f>
        <v/>
      </c>
      <c r="AJ39" s="110" t="str">
        <f aca="false">IF($B39="","",MAX(0,AK39-(SUMIFS('سجل الإجازات والحالات'!$AI$6:$AI$505,'سجل الإجازات والحالات'!$B$6:$B$505,$B39)-SUMIFS('سجل الإجازات والحالات'!$AH$6:$AH$505,'سجل الإجازات والحالات'!$B$6:$B$505,$B39))))</f>
        <v/>
      </c>
      <c r="AK39" s="110" t="str">
        <f aca="false">IF($B39="","",MAX(0,IF(OR(الموظفون!$AE39="",الموظفون!$AE39&gt;$F$3),$F$3,الموظفون!$AE39)-MAX($E$3,الموظفون!$H39)+1))</f>
        <v/>
      </c>
      <c r="AL39" s="131" t="str">
        <f aca="false">IF($B39="","",SUMIFS('سجل الإجازات والحالات'!$AU$6:$AU$505,'سجل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والحالات'!$W$6:$W$505,'سجل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والحالات'!$AI$6:$AI$505,'سجل الإجازات والحالات'!$B$6:$B$505,$B40))/cfg_DAYS_Y)</f>
        <v/>
      </c>
      <c r="AI40" s="130" t="str">
        <f aca="false">IF($B40="","",MAX(0,IF(OR(الموظفون!$AE40="",الموظفون!$AE40&gt;($E$3-1)),($E$3-1),الموظفون!$AE40)-الموظفون!$H40+1-SUMIFS('سجل الإجازات والحالات'!$AH$6:$AH$505,'سجل الإجازات والحالات'!$B$6:$B$505,$B40))/cfg_DAYS_Y)</f>
        <v/>
      </c>
      <c r="AJ40" s="57" t="str">
        <f aca="false">IF($B40="","",MAX(0,AK40-(SUMIFS('سجل الإجازات والحالات'!$AI$6:$AI$505,'سجل الإجازات والحالات'!$B$6:$B$505,$B40)-SUMIFS('سجل الإجازات والحالات'!$AH$6:$AH$505,'سجل الإجازات والحالات'!$B$6:$B$505,$B40))))</f>
        <v/>
      </c>
      <c r="AK40" s="57" t="str">
        <f aca="false">IF($B40="","",MAX(0,IF(OR(الموظفون!$AE40="",الموظفون!$AE40&gt;$F$3),$F$3,الموظفون!$AE40)-MAX($E$3,الموظفون!$H40)+1))</f>
        <v/>
      </c>
      <c r="AL40" s="126" t="str">
        <f aca="false">IF($B40="","",SUMIFS('سجل الإجازات والحالات'!$AU$6:$AU$505,'سجل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والحالات'!$W$6:$W$505,'سجل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والحالات'!$AI$6:$AI$505,'سجل الإجازات والحالات'!$B$6:$B$505,$B41))/cfg_DAYS_Y)</f>
        <v/>
      </c>
      <c r="AI41" s="135" t="str">
        <f aca="false">IF($B41="","",MAX(0,IF(OR(الموظفون!$AE41="",الموظفون!$AE41&gt;($E$3-1)),($E$3-1),الموظفون!$AE41)-الموظفون!$H41+1-SUMIFS('سجل الإجازات والحالات'!$AH$6:$AH$505,'سجل الإجازات والحالات'!$B$6:$B$505,$B41))/cfg_DAYS_Y)</f>
        <v/>
      </c>
      <c r="AJ41" s="110" t="str">
        <f aca="false">IF($B41="","",MAX(0,AK41-(SUMIFS('سجل الإجازات والحالات'!$AI$6:$AI$505,'سجل الإجازات والحالات'!$B$6:$B$505,$B41)-SUMIFS('سجل الإجازات والحالات'!$AH$6:$AH$505,'سجل الإجازات والحالات'!$B$6:$B$505,$B41))))</f>
        <v/>
      </c>
      <c r="AK41" s="110" t="str">
        <f aca="false">IF($B41="","",MAX(0,IF(OR(الموظفون!$AE41="",الموظفون!$AE41&gt;$F$3),$F$3,الموظفون!$AE41)-MAX($E$3,الموظفون!$H41)+1))</f>
        <v/>
      </c>
      <c r="AL41" s="131" t="str">
        <f aca="false">IF($B41="","",SUMIFS('سجل الإجازات والحالات'!$AU$6:$AU$505,'سجل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والحالات'!$W$6:$W$505,'سجل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والحالات'!$AI$6:$AI$505,'سجل الإجازات والحالات'!$B$6:$B$505,$B42))/cfg_DAYS_Y)</f>
        <v/>
      </c>
      <c r="AI42" s="130" t="str">
        <f aca="false">IF($B42="","",MAX(0,IF(OR(الموظفون!$AE42="",الموظفون!$AE42&gt;($E$3-1)),($E$3-1),الموظفون!$AE42)-الموظفون!$H42+1-SUMIFS('سجل الإجازات والحالات'!$AH$6:$AH$505,'سجل الإجازات والحالات'!$B$6:$B$505,$B42))/cfg_DAYS_Y)</f>
        <v/>
      </c>
      <c r="AJ42" s="57" t="str">
        <f aca="false">IF($B42="","",MAX(0,AK42-(SUMIFS('سجل الإجازات والحالات'!$AI$6:$AI$505,'سجل الإجازات والحالات'!$B$6:$B$505,$B42)-SUMIFS('سجل الإجازات والحالات'!$AH$6:$AH$505,'سجل الإجازات والحالات'!$B$6:$B$505,$B42))))</f>
        <v/>
      </c>
      <c r="AK42" s="57" t="str">
        <f aca="false">IF($B42="","",MAX(0,IF(OR(الموظفون!$AE42="",الموظفون!$AE42&gt;$F$3),$F$3,الموظفون!$AE42)-MAX($E$3,الموظفون!$H42)+1))</f>
        <v/>
      </c>
      <c r="AL42" s="126" t="str">
        <f aca="false">IF($B42="","",SUMIFS('سجل الإجازات والحالات'!$AU$6:$AU$505,'سجل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والحالات'!$W$6:$W$505,'سجل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والحالات'!$AI$6:$AI$505,'سجل الإجازات والحالات'!$B$6:$B$505,$B43))/cfg_DAYS_Y)</f>
        <v/>
      </c>
      <c r="AI43" s="135" t="str">
        <f aca="false">IF($B43="","",MAX(0,IF(OR(الموظفون!$AE43="",الموظفون!$AE43&gt;($E$3-1)),($E$3-1),الموظفون!$AE43)-الموظفون!$H43+1-SUMIFS('سجل الإجازات والحالات'!$AH$6:$AH$505,'سجل الإجازات والحالات'!$B$6:$B$505,$B43))/cfg_DAYS_Y)</f>
        <v/>
      </c>
      <c r="AJ43" s="110" t="str">
        <f aca="false">IF($B43="","",MAX(0,AK43-(SUMIFS('سجل الإجازات والحالات'!$AI$6:$AI$505,'سجل الإجازات والحالات'!$B$6:$B$505,$B43)-SUMIFS('سجل الإجازات والحالات'!$AH$6:$AH$505,'سجل الإجازات والحالات'!$B$6:$B$505,$B43))))</f>
        <v/>
      </c>
      <c r="AK43" s="110" t="str">
        <f aca="false">IF($B43="","",MAX(0,IF(OR(الموظفون!$AE43="",الموظفون!$AE43&gt;$F$3),$F$3,الموظفون!$AE43)-MAX($E$3,الموظفون!$H43)+1))</f>
        <v/>
      </c>
      <c r="AL43" s="131" t="str">
        <f aca="false">IF($B43="","",SUMIFS('سجل الإجازات والحالات'!$AU$6:$AU$505,'سجل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والحالات'!$W$6:$W$505,'سجل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والحالات'!$AI$6:$AI$505,'سجل الإجازات والحالات'!$B$6:$B$505,$B44))/cfg_DAYS_Y)</f>
        <v/>
      </c>
      <c r="AI44" s="130" t="str">
        <f aca="false">IF($B44="","",MAX(0,IF(OR(الموظفون!$AE44="",الموظفون!$AE44&gt;($E$3-1)),($E$3-1),الموظفون!$AE44)-الموظفون!$H44+1-SUMIFS('سجل الإجازات والحالات'!$AH$6:$AH$505,'سجل الإجازات والحالات'!$B$6:$B$505,$B44))/cfg_DAYS_Y)</f>
        <v/>
      </c>
      <c r="AJ44" s="57" t="str">
        <f aca="false">IF($B44="","",MAX(0,AK44-(SUMIFS('سجل الإجازات والحالات'!$AI$6:$AI$505,'سجل الإجازات والحالات'!$B$6:$B$505,$B44)-SUMIFS('سجل الإجازات والحالات'!$AH$6:$AH$505,'سجل الإجازات والحالات'!$B$6:$B$505,$B44))))</f>
        <v/>
      </c>
      <c r="AK44" s="57" t="str">
        <f aca="false">IF($B44="","",MAX(0,IF(OR(الموظفون!$AE44="",الموظفون!$AE44&gt;$F$3),$F$3,الموظفون!$AE44)-MAX($E$3,الموظفون!$H44)+1))</f>
        <v/>
      </c>
      <c r="AL44" s="126" t="str">
        <f aca="false">IF($B44="","",SUMIFS('سجل الإجازات والحالات'!$AU$6:$AU$505,'سجل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والحالات'!$W$6:$W$505,'سجل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والحالات'!$AI$6:$AI$505,'سجل الإجازات والحالات'!$B$6:$B$505,$B45))/cfg_DAYS_Y)</f>
        <v/>
      </c>
      <c r="AI45" s="135" t="str">
        <f aca="false">IF($B45="","",MAX(0,IF(OR(الموظفون!$AE45="",الموظفون!$AE45&gt;($E$3-1)),($E$3-1),الموظفون!$AE45)-الموظفون!$H45+1-SUMIFS('سجل الإجازات والحالات'!$AH$6:$AH$505,'سجل الإجازات والحالات'!$B$6:$B$505,$B45))/cfg_DAYS_Y)</f>
        <v/>
      </c>
      <c r="AJ45" s="110" t="str">
        <f aca="false">IF($B45="","",MAX(0,AK45-(SUMIFS('سجل الإجازات والحالات'!$AI$6:$AI$505,'سجل الإجازات والحالات'!$B$6:$B$505,$B45)-SUMIFS('سجل الإجازات والحالات'!$AH$6:$AH$505,'سجل الإجازات والحالات'!$B$6:$B$505,$B45))))</f>
        <v/>
      </c>
      <c r="AK45" s="110" t="str">
        <f aca="false">IF($B45="","",MAX(0,IF(OR(الموظفون!$AE45="",الموظفون!$AE45&gt;$F$3),$F$3,الموظفون!$AE45)-MAX($E$3,الموظفون!$H45)+1))</f>
        <v/>
      </c>
      <c r="AL45" s="131" t="str">
        <f aca="false">IF($B45="","",SUMIFS('سجل الإجازات والحالات'!$AU$6:$AU$505,'سجل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والحالات'!$W$6:$W$505,'سجل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والحالات'!$AI$6:$AI$505,'سجل الإجازات والحالات'!$B$6:$B$505,$B46))/cfg_DAYS_Y)</f>
        <v/>
      </c>
      <c r="AI46" s="130" t="str">
        <f aca="false">IF($B46="","",MAX(0,IF(OR(الموظفون!$AE46="",الموظفون!$AE46&gt;($E$3-1)),($E$3-1),الموظفون!$AE46)-الموظفون!$H46+1-SUMIFS('سجل الإجازات والحالات'!$AH$6:$AH$505,'سجل الإجازات والحالات'!$B$6:$B$505,$B46))/cfg_DAYS_Y)</f>
        <v/>
      </c>
      <c r="AJ46" s="57" t="str">
        <f aca="false">IF($B46="","",MAX(0,AK46-(SUMIFS('سجل الإجازات والحالات'!$AI$6:$AI$505,'سجل الإجازات والحالات'!$B$6:$B$505,$B46)-SUMIFS('سجل الإجازات والحالات'!$AH$6:$AH$505,'سجل الإجازات والحالات'!$B$6:$B$505,$B46))))</f>
        <v/>
      </c>
      <c r="AK46" s="57" t="str">
        <f aca="false">IF($B46="","",MAX(0,IF(OR(الموظفون!$AE46="",الموظفون!$AE46&gt;$F$3),$F$3,الموظفون!$AE46)-MAX($E$3,الموظفون!$H46)+1))</f>
        <v/>
      </c>
      <c r="AL46" s="126" t="str">
        <f aca="false">IF($B46="","",SUMIFS('سجل الإجازات والحالات'!$AU$6:$AU$505,'سجل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والحالات'!$W$6:$W$505,'سجل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والحالات'!$AI$6:$AI$505,'سجل الإجازات والحالات'!$B$6:$B$505,$B47))/cfg_DAYS_Y)</f>
        <v/>
      </c>
      <c r="AI47" s="135" t="str">
        <f aca="false">IF($B47="","",MAX(0,IF(OR(الموظفون!$AE47="",الموظفون!$AE47&gt;($E$3-1)),($E$3-1),الموظفون!$AE47)-الموظفون!$H47+1-SUMIFS('سجل الإجازات والحالات'!$AH$6:$AH$505,'سجل الإجازات والحالات'!$B$6:$B$505,$B47))/cfg_DAYS_Y)</f>
        <v/>
      </c>
      <c r="AJ47" s="110" t="str">
        <f aca="false">IF($B47="","",MAX(0,AK47-(SUMIFS('سجل الإجازات والحالات'!$AI$6:$AI$505,'سجل الإجازات والحالات'!$B$6:$B$505,$B47)-SUMIFS('سجل الإجازات والحالات'!$AH$6:$AH$505,'سجل الإجازات والحالات'!$B$6:$B$505,$B47))))</f>
        <v/>
      </c>
      <c r="AK47" s="110" t="str">
        <f aca="false">IF($B47="","",MAX(0,IF(OR(الموظفون!$AE47="",الموظفون!$AE47&gt;$F$3),$F$3,الموظفون!$AE47)-MAX($E$3,الموظفون!$H47)+1))</f>
        <v/>
      </c>
      <c r="AL47" s="131" t="str">
        <f aca="false">IF($B47="","",SUMIFS('سجل الإجازات والحالات'!$AU$6:$AU$505,'سجل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والحالات'!$W$6:$W$505,'سجل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والحالات'!$AI$6:$AI$505,'سجل الإجازات والحالات'!$B$6:$B$505,$B48))/cfg_DAYS_Y)</f>
        <v/>
      </c>
      <c r="AI48" s="130" t="str">
        <f aca="false">IF($B48="","",MAX(0,IF(OR(الموظفون!$AE48="",الموظفون!$AE48&gt;($E$3-1)),($E$3-1),الموظفون!$AE48)-الموظفون!$H48+1-SUMIFS('سجل الإجازات والحالات'!$AH$6:$AH$505,'سجل الإجازات والحالات'!$B$6:$B$505,$B48))/cfg_DAYS_Y)</f>
        <v/>
      </c>
      <c r="AJ48" s="57" t="str">
        <f aca="false">IF($B48="","",MAX(0,AK48-(SUMIFS('سجل الإجازات والحالات'!$AI$6:$AI$505,'سجل الإجازات والحالات'!$B$6:$B$505,$B48)-SUMIFS('سجل الإجازات والحالات'!$AH$6:$AH$505,'سجل الإجازات والحالات'!$B$6:$B$505,$B48))))</f>
        <v/>
      </c>
      <c r="AK48" s="57" t="str">
        <f aca="false">IF($B48="","",MAX(0,IF(OR(الموظفون!$AE48="",الموظفون!$AE48&gt;$F$3),$F$3,الموظفون!$AE48)-MAX($E$3,الموظفون!$H48)+1))</f>
        <v/>
      </c>
      <c r="AL48" s="126" t="str">
        <f aca="false">IF($B48="","",SUMIFS('سجل الإجازات والحالات'!$AU$6:$AU$505,'سجل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والحالات'!$W$6:$W$505,'سجل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والحالات'!$AI$6:$AI$505,'سجل الإجازات والحالات'!$B$6:$B$505,$B49))/cfg_DAYS_Y)</f>
        <v/>
      </c>
      <c r="AI49" s="135" t="str">
        <f aca="false">IF($B49="","",MAX(0,IF(OR(الموظفون!$AE49="",الموظفون!$AE49&gt;($E$3-1)),($E$3-1),الموظفون!$AE49)-الموظفون!$H49+1-SUMIFS('سجل الإجازات والحالات'!$AH$6:$AH$505,'سجل الإجازات والحالات'!$B$6:$B$505,$B49))/cfg_DAYS_Y)</f>
        <v/>
      </c>
      <c r="AJ49" s="110" t="str">
        <f aca="false">IF($B49="","",MAX(0,AK49-(SUMIFS('سجل الإجازات والحالات'!$AI$6:$AI$505,'سجل الإجازات والحالات'!$B$6:$B$505,$B49)-SUMIFS('سجل الإجازات والحالات'!$AH$6:$AH$505,'سجل الإجازات والحالات'!$B$6:$B$505,$B49))))</f>
        <v/>
      </c>
      <c r="AK49" s="110" t="str">
        <f aca="false">IF($B49="","",MAX(0,IF(OR(الموظفون!$AE49="",الموظفون!$AE49&gt;$F$3),$F$3,الموظفون!$AE49)-MAX($E$3,الموظفون!$H49)+1))</f>
        <v/>
      </c>
      <c r="AL49" s="131" t="str">
        <f aca="false">IF($B49="","",SUMIFS('سجل الإجازات والحالات'!$AU$6:$AU$505,'سجل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والحالات'!$W$6:$W$505,'سجل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والحالات'!$AI$6:$AI$505,'سجل الإجازات والحالات'!$B$6:$B$505,$B50))/cfg_DAYS_Y)</f>
        <v/>
      </c>
      <c r="AI50" s="130" t="str">
        <f aca="false">IF($B50="","",MAX(0,IF(OR(الموظفون!$AE50="",الموظفون!$AE50&gt;($E$3-1)),($E$3-1),الموظفون!$AE50)-الموظفون!$H50+1-SUMIFS('سجل الإجازات والحالات'!$AH$6:$AH$505,'سجل الإجازات والحالات'!$B$6:$B$505,$B50))/cfg_DAYS_Y)</f>
        <v/>
      </c>
      <c r="AJ50" s="57" t="str">
        <f aca="false">IF($B50="","",MAX(0,AK50-(SUMIFS('سجل الإجازات والحالات'!$AI$6:$AI$505,'سجل الإجازات والحالات'!$B$6:$B$505,$B50)-SUMIFS('سجل الإجازات والحالات'!$AH$6:$AH$505,'سجل الإجازات والحالات'!$B$6:$B$505,$B50))))</f>
        <v/>
      </c>
      <c r="AK50" s="57" t="str">
        <f aca="false">IF($B50="","",MAX(0,IF(OR(الموظفون!$AE50="",الموظفون!$AE50&gt;$F$3),$F$3,الموظفون!$AE50)-MAX($E$3,الموظفون!$H50)+1))</f>
        <v/>
      </c>
      <c r="AL50" s="126" t="str">
        <f aca="false">IF($B50="","",SUMIFS('سجل الإجازات والحالات'!$AU$6:$AU$505,'سجل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والحالات'!$W$6:$W$505,'سجل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والحالات'!$AI$6:$AI$505,'سجل الإجازات والحالات'!$B$6:$B$505,$B51))/cfg_DAYS_Y)</f>
        <v/>
      </c>
      <c r="AI51" s="135" t="str">
        <f aca="false">IF($B51="","",MAX(0,IF(OR(الموظفون!$AE51="",الموظفون!$AE51&gt;($E$3-1)),($E$3-1),الموظفون!$AE51)-الموظفون!$H51+1-SUMIFS('سجل الإجازات والحالات'!$AH$6:$AH$505,'سجل الإجازات والحالات'!$B$6:$B$505,$B51))/cfg_DAYS_Y)</f>
        <v/>
      </c>
      <c r="AJ51" s="110" t="str">
        <f aca="false">IF($B51="","",MAX(0,AK51-(SUMIFS('سجل الإجازات والحالات'!$AI$6:$AI$505,'سجل الإجازات والحالات'!$B$6:$B$505,$B51)-SUMIFS('سجل الإجازات والحالات'!$AH$6:$AH$505,'سجل الإجازات والحالات'!$B$6:$B$505,$B51))))</f>
        <v/>
      </c>
      <c r="AK51" s="110" t="str">
        <f aca="false">IF($B51="","",MAX(0,IF(OR(الموظفون!$AE51="",الموظفون!$AE51&gt;$F$3),$F$3,الموظفون!$AE51)-MAX($E$3,الموظفون!$H51)+1))</f>
        <v/>
      </c>
      <c r="AL51" s="131" t="str">
        <f aca="false">IF($B51="","",SUMIFS('سجل الإجازات والحالات'!$AU$6:$AU$505,'سجل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والحالات'!$W$6:$W$505,'سجل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والحالات'!$AI$6:$AI$505,'سجل الإجازات والحالات'!$B$6:$B$505,$B52))/cfg_DAYS_Y)</f>
        <v/>
      </c>
      <c r="AI52" s="130" t="str">
        <f aca="false">IF($B52="","",MAX(0,IF(OR(الموظفون!$AE52="",الموظفون!$AE52&gt;($E$3-1)),($E$3-1),الموظفون!$AE52)-الموظفون!$H52+1-SUMIFS('سجل الإجازات والحالات'!$AH$6:$AH$505,'سجل الإجازات والحالات'!$B$6:$B$505,$B52))/cfg_DAYS_Y)</f>
        <v/>
      </c>
      <c r="AJ52" s="57" t="str">
        <f aca="false">IF($B52="","",MAX(0,AK52-(SUMIFS('سجل الإجازات والحالات'!$AI$6:$AI$505,'سجل الإجازات والحالات'!$B$6:$B$505,$B52)-SUMIFS('سجل الإجازات والحالات'!$AH$6:$AH$505,'سجل الإجازات والحالات'!$B$6:$B$505,$B52))))</f>
        <v/>
      </c>
      <c r="AK52" s="57" t="str">
        <f aca="false">IF($B52="","",MAX(0,IF(OR(الموظفون!$AE52="",الموظفون!$AE52&gt;$F$3),$F$3,الموظفون!$AE52)-MAX($E$3,الموظفون!$H52)+1))</f>
        <v/>
      </c>
      <c r="AL52" s="126" t="str">
        <f aca="false">IF($B52="","",SUMIFS('سجل الإجازات والحالات'!$AU$6:$AU$505,'سجل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والحالات'!$W$6:$W$505,'سجل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والحالات'!$AI$6:$AI$505,'سجل الإجازات والحالات'!$B$6:$B$505,$B53))/cfg_DAYS_Y)</f>
        <v/>
      </c>
      <c r="AI53" s="135" t="str">
        <f aca="false">IF($B53="","",MAX(0,IF(OR(الموظفون!$AE53="",الموظفون!$AE53&gt;($E$3-1)),($E$3-1),الموظفون!$AE53)-الموظفون!$H53+1-SUMIFS('سجل الإجازات والحالات'!$AH$6:$AH$505,'سجل الإجازات والحالات'!$B$6:$B$505,$B53))/cfg_DAYS_Y)</f>
        <v/>
      </c>
      <c r="AJ53" s="110" t="str">
        <f aca="false">IF($B53="","",MAX(0,AK53-(SUMIFS('سجل الإجازات والحالات'!$AI$6:$AI$505,'سجل الإجازات والحالات'!$B$6:$B$505,$B53)-SUMIFS('سجل الإجازات والحالات'!$AH$6:$AH$505,'سجل الإجازات والحالات'!$B$6:$B$505,$B53))))</f>
        <v/>
      </c>
      <c r="AK53" s="110" t="str">
        <f aca="false">IF($B53="","",MAX(0,IF(OR(الموظفون!$AE53="",الموظفون!$AE53&gt;$F$3),$F$3,الموظفون!$AE53)-MAX($E$3,الموظفون!$H53)+1))</f>
        <v/>
      </c>
      <c r="AL53" s="131" t="str">
        <f aca="false">IF($B53="","",SUMIFS('سجل الإجازات والحالات'!$AU$6:$AU$505,'سجل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والحالات'!$W$6:$W$505,'سجل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والحالات'!$AI$6:$AI$505,'سجل الإجازات والحالات'!$B$6:$B$505,$B54))/cfg_DAYS_Y)</f>
        <v/>
      </c>
      <c r="AI54" s="130" t="str">
        <f aca="false">IF($B54="","",MAX(0,IF(OR(الموظفون!$AE54="",الموظفون!$AE54&gt;($E$3-1)),($E$3-1),الموظفون!$AE54)-الموظفون!$H54+1-SUMIFS('سجل الإجازات والحالات'!$AH$6:$AH$505,'سجل الإجازات والحالات'!$B$6:$B$505,$B54))/cfg_DAYS_Y)</f>
        <v/>
      </c>
      <c r="AJ54" s="57" t="str">
        <f aca="false">IF($B54="","",MAX(0,AK54-(SUMIFS('سجل الإجازات والحالات'!$AI$6:$AI$505,'سجل الإجازات والحالات'!$B$6:$B$505,$B54)-SUMIFS('سجل الإجازات والحالات'!$AH$6:$AH$505,'سجل الإجازات والحالات'!$B$6:$B$505,$B54))))</f>
        <v/>
      </c>
      <c r="AK54" s="57" t="str">
        <f aca="false">IF($B54="","",MAX(0,IF(OR(الموظفون!$AE54="",الموظفون!$AE54&gt;$F$3),$F$3,الموظفون!$AE54)-MAX($E$3,الموظفون!$H54)+1))</f>
        <v/>
      </c>
      <c r="AL54" s="126" t="str">
        <f aca="false">IF($B54="","",SUMIFS('سجل الإجازات والحالات'!$AU$6:$AU$505,'سجل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والحالات'!$W$6:$W$505,'سجل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والحالات'!$AI$6:$AI$505,'سجل الإجازات والحالات'!$B$6:$B$505,$B55))/cfg_DAYS_Y)</f>
        <v/>
      </c>
      <c r="AI55" s="135" t="str">
        <f aca="false">IF($B55="","",MAX(0,IF(OR(الموظفون!$AE55="",الموظفون!$AE55&gt;($E$3-1)),($E$3-1),الموظفون!$AE55)-الموظفون!$H55+1-SUMIFS('سجل الإجازات والحالات'!$AH$6:$AH$505,'سجل الإجازات والحالات'!$B$6:$B$505,$B55))/cfg_DAYS_Y)</f>
        <v/>
      </c>
      <c r="AJ55" s="110" t="str">
        <f aca="false">IF($B55="","",MAX(0,AK55-(SUMIFS('سجل الإجازات والحالات'!$AI$6:$AI$505,'سجل الإجازات والحالات'!$B$6:$B$505,$B55)-SUMIFS('سجل الإجازات والحالات'!$AH$6:$AH$505,'سجل الإجازات والحالات'!$B$6:$B$505,$B55))))</f>
        <v/>
      </c>
      <c r="AK55" s="110" t="str">
        <f aca="false">IF($B55="","",MAX(0,IF(OR(الموظفون!$AE55="",الموظفون!$AE55&gt;$F$3),$F$3,الموظفون!$AE55)-MAX($E$3,الموظفون!$H55)+1))</f>
        <v/>
      </c>
      <c r="AL55" s="131" t="str">
        <f aca="false">IF($B55="","",SUMIFS('سجل الإجازات والحالات'!$AU$6:$AU$505,'سجل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والحالات'!$W$6:$W$505,'سجل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والحالات'!$AI$6:$AI$505,'سجل الإجازات والحالات'!$B$6:$B$505,$B56))/cfg_DAYS_Y)</f>
        <v/>
      </c>
      <c r="AI56" s="130" t="str">
        <f aca="false">IF($B56="","",MAX(0,IF(OR(الموظفون!$AE56="",الموظفون!$AE56&gt;($E$3-1)),($E$3-1),الموظفون!$AE56)-الموظفون!$H56+1-SUMIFS('سجل الإجازات والحالات'!$AH$6:$AH$505,'سجل الإجازات والحالات'!$B$6:$B$505,$B56))/cfg_DAYS_Y)</f>
        <v/>
      </c>
      <c r="AJ56" s="57" t="str">
        <f aca="false">IF($B56="","",MAX(0,AK56-(SUMIFS('سجل الإجازات والحالات'!$AI$6:$AI$505,'سجل الإجازات والحالات'!$B$6:$B$505,$B56)-SUMIFS('سجل الإجازات والحالات'!$AH$6:$AH$505,'سجل الإجازات والحالات'!$B$6:$B$505,$B56))))</f>
        <v/>
      </c>
      <c r="AK56" s="57" t="str">
        <f aca="false">IF($B56="","",MAX(0,IF(OR(الموظفون!$AE56="",الموظفون!$AE56&gt;$F$3),$F$3,الموظفون!$AE56)-MAX($E$3,الموظفون!$H56)+1))</f>
        <v/>
      </c>
      <c r="AL56" s="126" t="str">
        <f aca="false">IF($B56="","",SUMIFS('سجل الإجازات والحالات'!$AU$6:$AU$505,'سجل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والحالات'!$W$6:$W$505,'سجل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والحالات'!$AI$6:$AI$505,'سجل الإجازات والحالات'!$B$6:$B$505,$B57))/cfg_DAYS_Y)</f>
        <v/>
      </c>
      <c r="AI57" s="135" t="str">
        <f aca="false">IF($B57="","",MAX(0,IF(OR(الموظفون!$AE57="",الموظفون!$AE57&gt;($E$3-1)),($E$3-1),الموظفون!$AE57)-الموظفون!$H57+1-SUMIFS('سجل الإجازات والحالات'!$AH$6:$AH$505,'سجل الإجازات والحالات'!$B$6:$B$505,$B57))/cfg_DAYS_Y)</f>
        <v/>
      </c>
      <c r="AJ57" s="110" t="str">
        <f aca="false">IF($B57="","",MAX(0,AK57-(SUMIFS('سجل الإجازات والحالات'!$AI$6:$AI$505,'سجل الإجازات والحالات'!$B$6:$B$505,$B57)-SUMIFS('سجل الإجازات والحالات'!$AH$6:$AH$505,'سجل الإجازات والحالات'!$B$6:$B$505,$B57))))</f>
        <v/>
      </c>
      <c r="AK57" s="110" t="str">
        <f aca="false">IF($B57="","",MAX(0,IF(OR(الموظفون!$AE57="",الموظفون!$AE57&gt;$F$3),$F$3,الموظفون!$AE57)-MAX($E$3,الموظفون!$H57)+1))</f>
        <v/>
      </c>
      <c r="AL57" s="131" t="str">
        <f aca="false">IF($B57="","",SUMIFS('سجل الإجازات والحالات'!$AU$6:$AU$505,'سجل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والحالات'!$W$6:$W$505,'سجل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والحالات'!$AI$6:$AI$505,'سجل الإجازات والحالات'!$B$6:$B$505,$B58))/cfg_DAYS_Y)</f>
        <v/>
      </c>
      <c r="AI58" s="130" t="str">
        <f aca="false">IF($B58="","",MAX(0,IF(OR(الموظفون!$AE58="",الموظفون!$AE58&gt;($E$3-1)),($E$3-1),الموظفون!$AE58)-الموظفون!$H58+1-SUMIFS('سجل الإجازات والحالات'!$AH$6:$AH$505,'سجل الإجازات والحالات'!$B$6:$B$505,$B58))/cfg_DAYS_Y)</f>
        <v/>
      </c>
      <c r="AJ58" s="57" t="str">
        <f aca="false">IF($B58="","",MAX(0,AK58-(SUMIFS('سجل الإجازات والحالات'!$AI$6:$AI$505,'سجل الإجازات والحالات'!$B$6:$B$505,$B58)-SUMIFS('سجل الإجازات والحالات'!$AH$6:$AH$505,'سجل الإجازات والحالات'!$B$6:$B$505,$B58))))</f>
        <v/>
      </c>
      <c r="AK58" s="57" t="str">
        <f aca="false">IF($B58="","",MAX(0,IF(OR(الموظفون!$AE58="",الموظفون!$AE58&gt;$F$3),$F$3,الموظفون!$AE58)-MAX($E$3,الموظفون!$H58)+1))</f>
        <v/>
      </c>
      <c r="AL58" s="126" t="str">
        <f aca="false">IF($B58="","",SUMIFS('سجل الإجازات والحالات'!$AU$6:$AU$505,'سجل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والحالات'!$W$6:$W$505,'سجل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والحالات'!$AI$6:$AI$505,'سجل الإجازات والحالات'!$B$6:$B$505,$B59))/cfg_DAYS_Y)</f>
        <v/>
      </c>
      <c r="AI59" s="135" t="str">
        <f aca="false">IF($B59="","",MAX(0,IF(OR(الموظفون!$AE59="",الموظفون!$AE59&gt;($E$3-1)),($E$3-1),الموظفون!$AE59)-الموظفون!$H59+1-SUMIFS('سجل الإجازات والحالات'!$AH$6:$AH$505,'سجل الإجازات والحالات'!$B$6:$B$505,$B59))/cfg_DAYS_Y)</f>
        <v/>
      </c>
      <c r="AJ59" s="110" t="str">
        <f aca="false">IF($B59="","",MAX(0,AK59-(SUMIFS('سجل الإجازات والحالات'!$AI$6:$AI$505,'سجل الإجازات والحالات'!$B$6:$B$505,$B59)-SUMIFS('سجل الإجازات والحالات'!$AH$6:$AH$505,'سجل الإجازات والحالات'!$B$6:$B$505,$B59))))</f>
        <v/>
      </c>
      <c r="AK59" s="110" t="str">
        <f aca="false">IF($B59="","",MAX(0,IF(OR(الموظفون!$AE59="",الموظفون!$AE59&gt;$F$3),$F$3,الموظفون!$AE59)-MAX($E$3,الموظفون!$H59)+1))</f>
        <v/>
      </c>
      <c r="AL59" s="131" t="str">
        <f aca="false">IF($B59="","",SUMIFS('سجل الإجازات والحالات'!$AU$6:$AU$505,'سجل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والحالات'!$W$6:$W$505,'سجل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والحالات'!$AI$6:$AI$505,'سجل الإجازات والحالات'!$B$6:$B$505,$B60))/cfg_DAYS_Y)</f>
        <v/>
      </c>
      <c r="AI60" s="130" t="str">
        <f aca="false">IF($B60="","",MAX(0,IF(OR(الموظفون!$AE60="",الموظفون!$AE60&gt;($E$3-1)),($E$3-1),الموظفون!$AE60)-الموظفون!$H60+1-SUMIFS('سجل الإجازات والحالات'!$AH$6:$AH$505,'سجل الإجازات والحالات'!$B$6:$B$505,$B60))/cfg_DAYS_Y)</f>
        <v/>
      </c>
      <c r="AJ60" s="57" t="str">
        <f aca="false">IF($B60="","",MAX(0,AK60-(SUMIFS('سجل الإجازات والحالات'!$AI$6:$AI$505,'سجل الإجازات والحالات'!$B$6:$B$505,$B60)-SUMIFS('سجل الإجازات والحالات'!$AH$6:$AH$505,'سجل الإجازات والحالات'!$B$6:$B$505,$B60))))</f>
        <v/>
      </c>
      <c r="AK60" s="57" t="str">
        <f aca="false">IF($B60="","",MAX(0,IF(OR(الموظفون!$AE60="",الموظفون!$AE60&gt;$F$3),$F$3,الموظفون!$AE60)-MAX($E$3,الموظفون!$H60)+1))</f>
        <v/>
      </c>
      <c r="AL60" s="126" t="str">
        <f aca="false">IF($B60="","",SUMIFS('سجل الإجازات والحالات'!$AU$6:$AU$505,'سجل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والحالات'!$W$6:$W$505,'سجل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والحالات'!$AI$6:$AI$505,'سجل الإجازات والحالات'!$B$6:$B$505,$B61))/cfg_DAYS_Y)</f>
        <v/>
      </c>
      <c r="AI61" s="135" t="str">
        <f aca="false">IF($B61="","",MAX(0,IF(OR(الموظفون!$AE61="",الموظفون!$AE61&gt;($E$3-1)),($E$3-1),الموظفون!$AE61)-الموظفون!$H61+1-SUMIFS('سجل الإجازات والحالات'!$AH$6:$AH$505,'سجل الإجازات والحالات'!$B$6:$B$505,$B61))/cfg_DAYS_Y)</f>
        <v/>
      </c>
      <c r="AJ61" s="110" t="str">
        <f aca="false">IF($B61="","",MAX(0,AK61-(SUMIFS('سجل الإجازات والحالات'!$AI$6:$AI$505,'سجل الإجازات والحالات'!$B$6:$B$505,$B61)-SUMIFS('سجل الإجازات والحالات'!$AH$6:$AH$505,'سجل الإجازات والحالات'!$B$6:$B$505,$B61))))</f>
        <v/>
      </c>
      <c r="AK61" s="110" t="str">
        <f aca="false">IF($B61="","",MAX(0,IF(OR(الموظفون!$AE61="",الموظفون!$AE61&gt;$F$3),$F$3,الموظفون!$AE61)-MAX($E$3,الموظفون!$H61)+1))</f>
        <v/>
      </c>
      <c r="AL61" s="131" t="str">
        <f aca="false">IF($B61="","",SUMIFS('سجل الإجازات والحالات'!$AU$6:$AU$505,'سجل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والحالات'!$W$6:$W$505,'سجل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والحالات'!$AI$6:$AI$505,'سجل الإجازات والحالات'!$B$6:$B$505,$B62))/cfg_DAYS_Y)</f>
        <v/>
      </c>
      <c r="AI62" s="130" t="str">
        <f aca="false">IF($B62="","",MAX(0,IF(OR(الموظفون!$AE62="",الموظفون!$AE62&gt;($E$3-1)),($E$3-1),الموظفون!$AE62)-الموظفون!$H62+1-SUMIFS('سجل الإجازات والحالات'!$AH$6:$AH$505,'سجل الإجازات والحالات'!$B$6:$B$505,$B62))/cfg_DAYS_Y)</f>
        <v/>
      </c>
      <c r="AJ62" s="57" t="str">
        <f aca="false">IF($B62="","",MAX(0,AK62-(SUMIFS('سجل الإجازات والحالات'!$AI$6:$AI$505,'سجل الإجازات والحالات'!$B$6:$B$505,$B62)-SUMIFS('سجل الإجازات والحالات'!$AH$6:$AH$505,'سجل الإجازات والحالات'!$B$6:$B$505,$B62))))</f>
        <v/>
      </c>
      <c r="AK62" s="57" t="str">
        <f aca="false">IF($B62="","",MAX(0,IF(OR(الموظفون!$AE62="",الموظفون!$AE62&gt;$F$3),$F$3,الموظفون!$AE62)-MAX($E$3,الموظفون!$H62)+1))</f>
        <v/>
      </c>
      <c r="AL62" s="126" t="str">
        <f aca="false">IF($B62="","",SUMIFS('سجل الإجازات والحالات'!$AU$6:$AU$505,'سجل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والحالات'!$W$6:$W$505,'سجل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والحالات'!$AI$6:$AI$505,'سجل الإجازات والحالات'!$B$6:$B$505,$B63))/cfg_DAYS_Y)</f>
        <v/>
      </c>
      <c r="AI63" s="135" t="str">
        <f aca="false">IF($B63="","",MAX(0,IF(OR(الموظفون!$AE63="",الموظفون!$AE63&gt;($E$3-1)),($E$3-1),الموظفون!$AE63)-الموظفون!$H63+1-SUMIFS('سجل الإجازات والحالات'!$AH$6:$AH$505,'سجل الإجازات والحالات'!$B$6:$B$505,$B63))/cfg_DAYS_Y)</f>
        <v/>
      </c>
      <c r="AJ63" s="110" t="str">
        <f aca="false">IF($B63="","",MAX(0,AK63-(SUMIFS('سجل الإجازات والحالات'!$AI$6:$AI$505,'سجل الإجازات والحالات'!$B$6:$B$505,$B63)-SUMIFS('سجل الإجازات والحالات'!$AH$6:$AH$505,'سجل الإجازات والحالات'!$B$6:$B$505,$B63))))</f>
        <v/>
      </c>
      <c r="AK63" s="110" t="str">
        <f aca="false">IF($B63="","",MAX(0,IF(OR(الموظفون!$AE63="",الموظفون!$AE63&gt;$F$3),$F$3,الموظفون!$AE63)-MAX($E$3,الموظفون!$H63)+1))</f>
        <v/>
      </c>
      <c r="AL63" s="131" t="str">
        <f aca="false">IF($B63="","",SUMIFS('سجل الإجازات والحالات'!$AU$6:$AU$505,'سجل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والحالات'!$W$6:$W$505,'سجل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والحالات'!$AI$6:$AI$505,'سجل الإجازات والحالات'!$B$6:$B$505,$B64))/cfg_DAYS_Y)</f>
        <v/>
      </c>
      <c r="AI64" s="130" t="str">
        <f aca="false">IF($B64="","",MAX(0,IF(OR(الموظفون!$AE64="",الموظفون!$AE64&gt;($E$3-1)),($E$3-1),الموظفون!$AE64)-الموظفون!$H64+1-SUMIFS('سجل الإجازات والحالات'!$AH$6:$AH$505,'سجل الإجازات والحالات'!$B$6:$B$505,$B64))/cfg_DAYS_Y)</f>
        <v/>
      </c>
      <c r="AJ64" s="57" t="str">
        <f aca="false">IF($B64="","",MAX(0,AK64-(SUMIFS('سجل الإجازات والحالات'!$AI$6:$AI$505,'سجل الإجازات والحالات'!$B$6:$B$505,$B64)-SUMIFS('سجل الإجازات والحالات'!$AH$6:$AH$505,'سجل الإجازات والحالات'!$B$6:$B$505,$B64))))</f>
        <v/>
      </c>
      <c r="AK64" s="57" t="str">
        <f aca="false">IF($B64="","",MAX(0,IF(OR(الموظفون!$AE64="",الموظفون!$AE64&gt;$F$3),$F$3,الموظفون!$AE64)-MAX($E$3,الموظفون!$H64)+1))</f>
        <v/>
      </c>
      <c r="AL64" s="126" t="str">
        <f aca="false">IF($B64="","",SUMIFS('سجل الإجازات والحالات'!$AU$6:$AU$505,'سجل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والحالات'!$W$6:$W$505,'سجل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والحالات'!$AI$6:$AI$505,'سجل الإجازات والحالات'!$B$6:$B$505,$B65))/cfg_DAYS_Y)</f>
        <v/>
      </c>
      <c r="AI65" s="135" t="str">
        <f aca="false">IF($B65="","",MAX(0,IF(OR(الموظفون!$AE65="",الموظفون!$AE65&gt;($E$3-1)),($E$3-1),الموظفون!$AE65)-الموظفون!$H65+1-SUMIFS('سجل الإجازات والحالات'!$AH$6:$AH$505,'سجل الإجازات والحالات'!$B$6:$B$505,$B65))/cfg_DAYS_Y)</f>
        <v/>
      </c>
      <c r="AJ65" s="110" t="str">
        <f aca="false">IF($B65="","",MAX(0,AK65-(SUMIFS('سجل الإجازات والحالات'!$AI$6:$AI$505,'سجل الإجازات والحالات'!$B$6:$B$505,$B65)-SUMIFS('سجل الإجازات والحالات'!$AH$6:$AH$505,'سجل الإجازات والحالات'!$B$6:$B$505,$B65))))</f>
        <v/>
      </c>
      <c r="AK65" s="110" t="str">
        <f aca="false">IF($B65="","",MAX(0,IF(OR(الموظفون!$AE65="",الموظفون!$AE65&gt;$F$3),$F$3,الموظفون!$AE65)-MAX($E$3,الموظفون!$H65)+1))</f>
        <v/>
      </c>
      <c r="AL65" s="131" t="str">
        <f aca="false">IF($B65="","",SUMIFS('سجل الإجازات والحالات'!$AU$6:$AU$505,'سجل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والحالات'!$W$6:$W$505,'سجل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والحالات'!$AI$6:$AI$505,'سجل الإجازات والحالات'!$B$6:$B$505,$B66))/cfg_DAYS_Y)</f>
        <v/>
      </c>
      <c r="AI66" s="130" t="str">
        <f aca="false">IF($B66="","",MAX(0,IF(OR(الموظفون!$AE66="",الموظفون!$AE66&gt;($E$3-1)),($E$3-1),الموظفون!$AE66)-الموظفون!$H66+1-SUMIFS('سجل الإجازات والحالات'!$AH$6:$AH$505,'سجل الإجازات والحالات'!$B$6:$B$505,$B66))/cfg_DAYS_Y)</f>
        <v/>
      </c>
      <c r="AJ66" s="57" t="str">
        <f aca="false">IF($B66="","",MAX(0,AK66-(SUMIFS('سجل الإجازات والحالات'!$AI$6:$AI$505,'سجل الإجازات والحالات'!$B$6:$B$505,$B66)-SUMIFS('سجل الإجازات والحالات'!$AH$6:$AH$505,'سجل الإجازات والحالات'!$B$6:$B$505,$B66))))</f>
        <v/>
      </c>
      <c r="AK66" s="57" t="str">
        <f aca="false">IF($B66="","",MAX(0,IF(OR(الموظفون!$AE66="",الموظفون!$AE66&gt;$F$3),$F$3,الموظفون!$AE66)-MAX($E$3,الموظفون!$H66)+1))</f>
        <v/>
      </c>
      <c r="AL66" s="126" t="str">
        <f aca="false">IF($B66="","",SUMIFS('سجل الإجازات والحالات'!$AU$6:$AU$505,'سجل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والحالات'!$W$6:$W$505,'سجل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والحالات'!$AI$6:$AI$505,'سجل الإجازات والحالات'!$B$6:$B$505,$B67))/cfg_DAYS_Y)</f>
        <v/>
      </c>
      <c r="AI67" s="135" t="str">
        <f aca="false">IF($B67="","",MAX(0,IF(OR(الموظفون!$AE67="",الموظفون!$AE67&gt;($E$3-1)),($E$3-1),الموظفون!$AE67)-الموظفون!$H67+1-SUMIFS('سجل الإجازات والحالات'!$AH$6:$AH$505,'سجل الإجازات والحالات'!$B$6:$B$505,$B67))/cfg_DAYS_Y)</f>
        <v/>
      </c>
      <c r="AJ67" s="110" t="str">
        <f aca="false">IF($B67="","",MAX(0,AK67-(SUMIFS('سجل الإجازات والحالات'!$AI$6:$AI$505,'سجل الإجازات والحالات'!$B$6:$B$505,$B67)-SUMIFS('سجل الإجازات والحالات'!$AH$6:$AH$505,'سجل الإجازات والحالات'!$B$6:$B$505,$B67))))</f>
        <v/>
      </c>
      <c r="AK67" s="110" t="str">
        <f aca="false">IF($B67="","",MAX(0,IF(OR(الموظفون!$AE67="",الموظفون!$AE67&gt;$F$3),$F$3,الموظفون!$AE67)-MAX($E$3,الموظفون!$H67)+1))</f>
        <v/>
      </c>
      <c r="AL67" s="131" t="str">
        <f aca="false">IF($B67="","",SUMIFS('سجل الإجازات والحالات'!$AU$6:$AU$505,'سجل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والحالات'!$W$6:$W$505,'سجل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والحالات'!$AI$6:$AI$505,'سجل الإجازات والحالات'!$B$6:$B$505,$B68))/cfg_DAYS_Y)</f>
        <v/>
      </c>
      <c r="AI68" s="130" t="str">
        <f aca="false">IF($B68="","",MAX(0,IF(OR(الموظفون!$AE68="",الموظفون!$AE68&gt;($E$3-1)),($E$3-1),الموظفون!$AE68)-الموظفون!$H68+1-SUMIFS('سجل الإجازات والحالات'!$AH$6:$AH$505,'سجل الإجازات والحالات'!$B$6:$B$505,$B68))/cfg_DAYS_Y)</f>
        <v/>
      </c>
      <c r="AJ68" s="57" t="str">
        <f aca="false">IF($B68="","",MAX(0,AK68-(SUMIFS('سجل الإجازات والحالات'!$AI$6:$AI$505,'سجل الإجازات والحالات'!$B$6:$B$505,$B68)-SUMIFS('سجل الإجازات والحالات'!$AH$6:$AH$505,'سجل الإجازات والحالات'!$B$6:$B$505,$B68))))</f>
        <v/>
      </c>
      <c r="AK68" s="57" t="str">
        <f aca="false">IF($B68="","",MAX(0,IF(OR(الموظفون!$AE68="",الموظفون!$AE68&gt;$F$3),$F$3,الموظفون!$AE68)-MAX($E$3,الموظفون!$H68)+1))</f>
        <v/>
      </c>
      <c r="AL68" s="126" t="str">
        <f aca="false">IF($B68="","",SUMIFS('سجل الإجازات والحالات'!$AU$6:$AU$505,'سجل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والحالات'!$W$6:$W$505,'سجل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والحالات'!$AI$6:$AI$505,'سجل الإجازات والحالات'!$B$6:$B$505,$B69))/cfg_DAYS_Y)</f>
        <v/>
      </c>
      <c r="AI69" s="135" t="str">
        <f aca="false">IF($B69="","",MAX(0,IF(OR(الموظفون!$AE69="",الموظفون!$AE69&gt;($E$3-1)),($E$3-1),الموظفون!$AE69)-الموظفون!$H69+1-SUMIFS('سجل الإجازات والحالات'!$AH$6:$AH$505,'سجل الإجازات والحالات'!$B$6:$B$505,$B69))/cfg_DAYS_Y)</f>
        <v/>
      </c>
      <c r="AJ69" s="110" t="str">
        <f aca="false">IF($B69="","",MAX(0,AK69-(SUMIFS('سجل الإجازات والحالات'!$AI$6:$AI$505,'سجل الإجازات والحالات'!$B$6:$B$505,$B69)-SUMIFS('سجل الإجازات والحالات'!$AH$6:$AH$505,'سجل الإجازات والحالات'!$B$6:$B$505,$B69))))</f>
        <v/>
      </c>
      <c r="AK69" s="110" t="str">
        <f aca="false">IF($B69="","",MAX(0,IF(OR(الموظفون!$AE69="",الموظفون!$AE69&gt;$F$3),$F$3,الموظفون!$AE69)-MAX($E$3,الموظفون!$H69)+1))</f>
        <v/>
      </c>
      <c r="AL69" s="131" t="str">
        <f aca="false">IF($B69="","",SUMIFS('سجل الإجازات والحالات'!$AU$6:$AU$505,'سجل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والحالات'!$W$6:$W$505,'سجل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والحالات'!$AI$6:$AI$505,'سجل الإجازات والحالات'!$B$6:$B$505,$B70))/cfg_DAYS_Y)</f>
        <v/>
      </c>
      <c r="AI70" s="130" t="str">
        <f aca="false">IF($B70="","",MAX(0,IF(OR(الموظفون!$AE70="",الموظفون!$AE70&gt;($E$3-1)),($E$3-1),الموظفون!$AE70)-الموظفون!$H70+1-SUMIFS('سجل الإجازات والحالات'!$AH$6:$AH$505,'سجل الإجازات والحالات'!$B$6:$B$505,$B70))/cfg_DAYS_Y)</f>
        <v/>
      </c>
      <c r="AJ70" s="57" t="str">
        <f aca="false">IF($B70="","",MAX(0,AK70-(SUMIFS('سجل الإجازات والحالات'!$AI$6:$AI$505,'سجل الإجازات والحالات'!$B$6:$B$505,$B70)-SUMIFS('سجل الإجازات والحالات'!$AH$6:$AH$505,'سجل الإجازات والحالات'!$B$6:$B$505,$B70))))</f>
        <v/>
      </c>
      <c r="AK70" s="57" t="str">
        <f aca="false">IF($B70="","",MAX(0,IF(OR(الموظفون!$AE70="",الموظفون!$AE70&gt;$F$3),$F$3,الموظفون!$AE70)-MAX($E$3,الموظفون!$H70)+1))</f>
        <v/>
      </c>
      <c r="AL70" s="126" t="str">
        <f aca="false">IF($B70="","",SUMIFS('سجل الإجازات والحالات'!$AU$6:$AU$505,'سجل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والحالات'!$W$6:$W$505,'سجل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والحالات'!$AI$6:$AI$505,'سجل الإجازات والحالات'!$B$6:$B$505,$B71))/cfg_DAYS_Y)</f>
        <v/>
      </c>
      <c r="AI71" s="135" t="str">
        <f aca="false">IF($B71="","",MAX(0,IF(OR(الموظفون!$AE71="",الموظفون!$AE71&gt;($E$3-1)),($E$3-1),الموظفون!$AE71)-الموظفون!$H71+1-SUMIFS('سجل الإجازات والحالات'!$AH$6:$AH$505,'سجل الإجازات والحالات'!$B$6:$B$505,$B71))/cfg_DAYS_Y)</f>
        <v/>
      </c>
      <c r="AJ71" s="110" t="str">
        <f aca="false">IF($B71="","",MAX(0,AK71-(SUMIFS('سجل الإجازات والحالات'!$AI$6:$AI$505,'سجل الإجازات والحالات'!$B$6:$B$505,$B71)-SUMIFS('سجل الإجازات والحالات'!$AH$6:$AH$505,'سجل الإجازات والحالات'!$B$6:$B$505,$B71))))</f>
        <v/>
      </c>
      <c r="AK71" s="110" t="str">
        <f aca="false">IF($B71="","",MAX(0,IF(OR(الموظفون!$AE71="",الموظفون!$AE71&gt;$F$3),$F$3,الموظفون!$AE71)-MAX($E$3,الموظفون!$H71)+1))</f>
        <v/>
      </c>
      <c r="AL71" s="131" t="str">
        <f aca="false">IF($B71="","",SUMIFS('سجل الإجازات والحالات'!$AU$6:$AU$505,'سجل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والحالات'!$W$6:$W$505,'سجل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والحالات'!$AI$6:$AI$505,'سجل الإجازات والحالات'!$B$6:$B$505,$B72))/cfg_DAYS_Y)</f>
        <v/>
      </c>
      <c r="AI72" s="130" t="str">
        <f aca="false">IF($B72="","",MAX(0,IF(OR(الموظفون!$AE72="",الموظفون!$AE72&gt;($E$3-1)),($E$3-1),الموظفون!$AE72)-الموظفون!$H72+1-SUMIFS('سجل الإجازات والحالات'!$AH$6:$AH$505,'سجل الإجازات والحالات'!$B$6:$B$505,$B72))/cfg_DAYS_Y)</f>
        <v/>
      </c>
      <c r="AJ72" s="57" t="str">
        <f aca="false">IF($B72="","",MAX(0,AK72-(SUMIFS('سجل الإجازات والحالات'!$AI$6:$AI$505,'سجل الإجازات والحالات'!$B$6:$B$505,$B72)-SUMIFS('سجل الإجازات والحالات'!$AH$6:$AH$505,'سجل الإجازات والحالات'!$B$6:$B$505,$B72))))</f>
        <v/>
      </c>
      <c r="AK72" s="57" t="str">
        <f aca="false">IF($B72="","",MAX(0,IF(OR(الموظفون!$AE72="",الموظفون!$AE72&gt;$F$3),$F$3,الموظفون!$AE72)-MAX($E$3,الموظفون!$H72)+1))</f>
        <v/>
      </c>
      <c r="AL72" s="126" t="str">
        <f aca="false">IF($B72="","",SUMIFS('سجل الإجازات والحالات'!$AU$6:$AU$505,'سجل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والحالات'!$W$6:$W$505,'سجل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والحالات'!$AI$6:$AI$505,'سجل الإجازات والحالات'!$B$6:$B$505,$B73))/cfg_DAYS_Y)</f>
        <v/>
      </c>
      <c r="AI73" s="135" t="str">
        <f aca="false">IF($B73="","",MAX(0,IF(OR(الموظفون!$AE73="",الموظفون!$AE73&gt;($E$3-1)),($E$3-1),الموظفون!$AE73)-الموظفون!$H73+1-SUMIFS('سجل الإجازات والحالات'!$AH$6:$AH$505,'سجل الإجازات والحالات'!$B$6:$B$505,$B73))/cfg_DAYS_Y)</f>
        <v/>
      </c>
      <c r="AJ73" s="110" t="str">
        <f aca="false">IF($B73="","",MAX(0,AK73-(SUMIFS('سجل الإجازات والحالات'!$AI$6:$AI$505,'سجل الإجازات والحالات'!$B$6:$B$505,$B73)-SUMIFS('سجل الإجازات والحالات'!$AH$6:$AH$505,'سجل الإجازات والحالات'!$B$6:$B$505,$B73))))</f>
        <v/>
      </c>
      <c r="AK73" s="110" t="str">
        <f aca="false">IF($B73="","",MAX(0,IF(OR(الموظفون!$AE73="",الموظفون!$AE73&gt;$F$3),$F$3,الموظفون!$AE73)-MAX($E$3,الموظفون!$H73)+1))</f>
        <v/>
      </c>
      <c r="AL73" s="131" t="str">
        <f aca="false">IF($B73="","",SUMIFS('سجل الإجازات والحالات'!$AU$6:$AU$505,'سجل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والحالات'!$W$6:$W$505,'سجل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والحالات'!$AI$6:$AI$505,'سجل الإجازات والحالات'!$B$6:$B$505,$B74))/cfg_DAYS_Y)</f>
        <v/>
      </c>
      <c r="AI74" s="130" t="str">
        <f aca="false">IF($B74="","",MAX(0,IF(OR(الموظفون!$AE74="",الموظفون!$AE74&gt;($E$3-1)),($E$3-1),الموظفون!$AE74)-الموظفون!$H74+1-SUMIFS('سجل الإجازات والحالات'!$AH$6:$AH$505,'سجل الإجازات والحالات'!$B$6:$B$505,$B74))/cfg_DAYS_Y)</f>
        <v/>
      </c>
      <c r="AJ74" s="57" t="str">
        <f aca="false">IF($B74="","",MAX(0,AK74-(SUMIFS('سجل الإجازات والحالات'!$AI$6:$AI$505,'سجل الإجازات والحالات'!$B$6:$B$505,$B74)-SUMIFS('سجل الإجازات والحالات'!$AH$6:$AH$505,'سجل الإجازات والحالات'!$B$6:$B$505,$B74))))</f>
        <v/>
      </c>
      <c r="AK74" s="57" t="str">
        <f aca="false">IF($B74="","",MAX(0,IF(OR(الموظفون!$AE74="",الموظفون!$AE74&gt;$F$3),$F$3,الموظفون!$AE74)-MAX($E$3,الموظفون!$H74)+1))</f>
        <v/>
      </c>
      <c r="AL74" s="126" t="str">
        <f aca="false">IF($B74="","",SUMIFS('سجل الإجازات والحالات'!$AU$6:$AU$505,'سجل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والحالات'!$W$6:$W$505,'سجل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والحالات'!$AI$6:$AI$505,'سجل الإجازات والحالات'!$B$6:$B$505,$B75))/cfg_DAYS_Y)</f>
        <v/>
      </c>
      <c r="AI75" s="135" t="str">
        <f aca="false">IF($B75="","",MAX(0,IF(OR(الموظفون!$AE75="",الموظفون!$AE75&gt;($E$3-1)),($E$3-1),الموظفون!$AE75)-الموظفون!$H75+1-SUMIFS('سجل الإجازات والحالات'!$AH$6:$AH$505,'سجل الإجازات والحالات'!$B$6:$B$505,$B75))/cfg_DAYS_Y)</f>
        <v/>
      </c>
      <c r="AJ75" s="110" t="str">
        <f aca="false">IF($B75="","",MAX(0,AK75-(SUMIFS('سجل الإجازات والحالات'!$AI$6:$AI$505,'سجل الإجازات والحالات'!$B$6:$B$505,$B75)-SUMIFS('سجل الإجازات والحالات'!$AH$6:$AH$505,'سجل الإجازات والحالات'!$B$6:$B$505,$B75))))</f>
        <v/>
      </c>
      <c r="AK75" s="110" t="str">
        <f aca="false">IF($B75="","",MAX(0,IF(OR(الموظفون!$AE75="",الموظفون!$AE75&gt;$F$3),$F$3,الموظفون!$AE75)-MAX($E$3,الموظفون!$H75)+1))</f>
        <v/>
      </c>
      <c r="AL75" s="131" t="str">
        <f aca="false">IF($B75="","",SUMIFS('سجل الإجازات والحالات'!$AU$6:$AU$505,'سجل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والحالات'!$W$6:$W$505,'سجل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والحالات'!$AI$6:$AI$505,'سجل الإجازات والحالات'!$B$6:$B$505,$B76))/cfg_DAYS_Y)</f>
        <v/>
      </c>
      <c r="AI76" s="130" t="str">
        <f aca="false">IF($B76="","",MAX(0,IF(OR(الموظفون!$AE76="",الموظفون!$AE76&gt;($E$3-1)),($E$3-1),الموظفون!$AE76)-الموظفون!$H76+1-SUMIFS('سجل الإجازات والحالات'!$AH$6:$AH$505,'سجل الإجازات والحالات'!$B$6:$B$505,$B76))/cfg_DAYS_Y)</f>
        <v/>
      </c>
      <c r="AJ76" s="57" t="str">
        <f aca="false">IF($B76="","",MAX(0,AK76-(SUMIFS('سجل الإجازات والحالات'!$AI$6:$AI$505,'سجل الإجازات والحالات'!$B$6:$B$505,$B76)-SUMIFS('سجل الإجازات والحالات'!$AH$6:$AH$505,'سجل الإجازات والحالات'!$B$6:$B$505,$B76))))</f>
        <v/>
      </c>
      <c r="AK76" s="57" t="str">
        <f aca="false">IF($B76="","",MAX(0,IF(OR(الموظفون!$AE76="",الموظفون!$AE76&gt;$F$3),$F$3,الموظفون!$AE76)-MAX($E$3,الموظفون!$H76)+1))</f>
        <v/>
      </c>
      <c r="AL76" s="126" t="str">
        <f aca="false">IF($B76="","",SUMIFS('سجل الإجازات والحالات'!$AU$6:$AU$505,'سجل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والحالات'!$W$6:$W$505,'سجل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والحالات'!$AI$6:$AI$505,'سجل الإجازات والحالات'!$B$6:$B$505,$B77))/cfg_DAYS_Y)</f>
        <v/>
      </c>
      <c r="AI77" s="135" t="str">
        <f aca="false">IF($B77="","",MAX(0,IF(OR(الموظفون!$AE77="",الموظفون!$AE77&gt;($E$3-1)),($E$3-1),الموظفون!$AE77)-الموظفون!$H77+1-SUMIFS('سجل الإجازات والحالات'!$AH$6:$AH$505,'سجل الإجازات والحالات'!$B$6:$B$505,$B77))/cfg_DAYS_Y)</f>
        <v/>
      </c>
      <c r="AJ77" s="110" t="str">
        <f aca="false">IF($B77="","",MAX(0,AK77-(SUMIFS('سجل الإجازات والحالات'!$AI$6:$AI$505,'سجل الإجازات والحالات'!$B$6:$B$505,$B77)-SUMIFS('سجل الإجازات والحالات'!$AH$6:$AH$505,'سجل الإجازات والحالات'!$B$6:$B$505,$B77))))</f>
        <v/>
      </c>
      <c r="AK77" s="110" t="str">
        <f aca="false">IF($B77="","",MAX(0,IF(OR(الموظفون!$AE77="",الموظفون!$AE77&gt;$F$3),$F$3,الموظفون!$AE77)-MAX($E$3,الموظفون!$H77)+1))</f>
        <v/>
      </c>
      <c r="AL77" s="131" t="str">
        <f aca="false">IF($B77="","",SUMIFS('سجل الإجازات والحالات'!$AU$6:$AU$505,'سجل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والحالات'!$W$6:$W$505,'سجل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والحالات'!$AI$6:$AI$505,'سجل الإجازات والحالات'!$B$6:$B$505,$B78))/cfg_DAYS_Y)</f>
        <v/>
      </c>
      <c r="AI78" s="130" t="str">
        <f aca="false">IF($B78="","",MAX(0,IF(OR(الموظفون!$AE78="",الموظفون!$AE78&gt;($E$3-1)),($E$3-1),الموظفون!$AE78)-الموظفون!$H78+1-SUMIFS('سجل الإجازات والحالات'!$AH$6:$AH$505,'سجل الإجازات والحالات'!$B$6:$B$505,$B78))/cfg_DAYS_Y)</f>
        <v/>
      </c>
      <c r="AJ78" s="57" t="str">
        <f aca="false">IF($B78="","",MAX(0,AK78-(SUMIFS('سجل الإجازات والحالات'!$AI$6:$AI$505,'سجل الإجازات والحالات'!$B$6:$B$505,$B78)-SUMIFS('سجل الإجازات والحالات'!$AH$6:$AH$505,'سجل الإجازات والحالات'!$B$6:$B$505,$B78))))</f>
        <v/>
      </c>
      <c r="AK78" s="57" t="str">
        <f aca="false">IF($B78="","",MAX(0,IF(OR(الموظفون!$AE78="",الموظفون!$AE78&gt;$F$3),$F$3,الموظفون!$AE78)-MAX($E$3,الموظفون!$H78)+1))</f>
        <v/>
      </c>
      <c r="AL78" s="126" t="str">
        <f aca="false">IF($B78="","",SUMIFS('سجل الإجازات والحالات'!$AU$6:$AU$505,'سجل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والحالات'!$W$6:$W$505,'سجل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والحالات'!$AI$6:$AI$505,'سجل الإجازات والحالات'!$B$6:$B$505,$B79))/cfg_DAYS_Y)</f>
        <v/>
      </c>
      <c r="AI79" s="135" t="str">
        <f aca="false">IF($B79="","",MAX(0,IF(OR(الموظفون!$AE79="",الموظفون!$AE79&gt;($E$3-1)),($E$3-1),الموظفون!$AE79)-الموظفون!$H79+1-SUMIFS('سجل الإجازات والحالات'!$AH$6:$AH$505,'سجل الإجازات والحالات'!$B$6:$B$505,$B79))/cfg_DAYS_Y)</f>
        <v/>
      </c>
      <c r="AJ79" s="110" t="str">
        <f aca="false">IF($B79="","",MAX(0,AK79-(SUMIFS('سجل الإجازات والحالات'!$AI$6:$AI$505,'سجل الإجازات والحالات'!$B$6:$B$505,$B79)-SUMIFS('سجل الإجازات والحالات'!$AH$6:$AH$505,'سجل الإجازات والحالات'!$B$6:$B$505,$B79))))</f>
        <v/>
      </c>
      <c r="AK79" s="110" t="str">
        <f aca="false">IF($B79="","",MAX(0,IF(OR(الموظفون!$AE79="",الموظفون!$AE79&gt;$F$3),$F$3,الموظفون!$AE79)-MAX($E$3,الموظفون!$H79)+1))</f>
        <v/>
      </c>
      <c r="AL79" s="131" t="str">
        <f aca="false">IF($B79="","",SUMIFS('سجل الإجازات والحالات'!$AU$6:$AU$505,'سجل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والحالات'!$W$6:$W$505,'سجل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والحالات'!$AI$6:$AI$505,'سجل الإجازات والحالات'!$B$6:$B$505,$B80))/cfg_DAYS_Y)</f>
        <v/>
      </c>
      <c r="AI80" s="130" t="str">
        <f aca="false">IF($B80="","",MAX(0,IF(OR(الموظفون!$AE80="",الموظفون!$AE80&gt;($E$3-1)),($E$3-1),الموظفون!$AE80)-الموظفون!$H80+1-SUMIFS('سجل الإجازات والحالات'!$AH$6:$AH$505,'سجل الإجازات والحالات'!$B$6:$B$505,$B80))/cfg_DAYS_Y)</f>
        <v/>
      </c>
      <c r="AJ80" s="57" t="str">
        <f aca="false">IF($B80="","",MAX(0,AK80-(SUMIFS('سجل الإجازات والحالات'!$AI$6:$AI$505,'سجل الإجازات والحالات'!$B$6:$B$505,$B80)-SUMIFS('سجل الإجازات والحالات'!$AH$6:$AH$505,'سجل الإجازات والحالات'!$B$6:$B$505,$B80))))</f>
        <v/>
      </c>
      <c r="AK80" s="57" t="str">
        <f aca="false">IF($B80="","",MAX(0,IF(OR(الموظفون!$AE80="",الموظفون!$AE80&gt;$F$3),$F$3,الموظفون!$AE80)-MAX($E$3,الموظفون!$H80)+1))</f>
        <v/>
      </c>
      <c r="AL80" s="126" t="str">
        <f aca="false">IF($B80="","",SUMIFS('سجل الإجازات والحالات'!$AU$6:$AU$505,'سجل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والحالات'!$W$6:$W$505,'سجل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والحالات'!$AI$6:$AI$505,'سجل الإجازات والحالات'!$B$6:$B$505,$B81))/cfg_DAYS_Y)</f>
        <v/>
      </c>
      <c r="AI81" s="135" t="str">
        <f aca="false">IF($B81="","",MAX(0,IF(OR(الموظفون!$AE81="",الموظفون!$AE81&gt;($E$3-1)),($E$3-1),الموظفون!$AE81)-الموظفون!$H81+1-SUMIFS('سجل الإجازات والحالات'!$AH$6:$AH$505,'سجل الإجازات والحالات'!$B$6:$B$505,$B81))/cfg_DAYS_Y)</f>
        <v/>
      </c>
      <c r="AJ81" s="110" t="str">
        <f aca="false">IF($B81="","",MAX(0,AK81-(SUMIFS('سجل الإجازات والحالات'!$AI$6:$AI$505,'سجل الإجازات والحالات'!$B$6:$B$505,$B81)-SUMIFS('سجل الإجازات والحالات'!$AH$6:$AH$505,'سجل الإجازات والحالات'!$B$6:$B$505,$B81))))</f>
        <v/>
      </c>
      <c r="AK81" s="110" t="str">
        <f aca="false">IF($B81="","",MAX(0,IF(OR(الموظفون!$AE81="",الموظفون!$AE81&gt;$F$3),$F$3,الموظفون!$AE81)-MAX($E$3,الموظفون!$H81)+1))</f>
        <v/>
      </c>
      <c r="AL81" s="131" t="str">
        <f aca="false">IF($B81="","",SUMIFS('سجل الإجازات والحالات'!$AU$6:$AU$505,'سجل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والحالات'!$W$6:$W$505,'سجل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والحالات'!$AI$6:$AI$505,'سجل الإجازات والحالات'!$B$6:$B$505,$B82))/cfg_DAYS_Y)</f>
        <v/>
      </c>
      <c r="AI82" s="130" t="str">
        <f aca="false">IF($B82="","",MAX(0,IF(OR(الموظفون!$AE82="",الموظفون!$AE82&gt;($E$3-1)),($E$3-1),الموظفون!$AE82)-الموظفون!$H82+1-SUMIFS('سجل الإجازات والحالات'!$AH$6:$AH$505,'سجل الإجازات والحالات'!$B$6:$B$505,$B82))/cfg_DAYS_Y)</f>
        <v/>
      </c>
      <c r="AJ82" s="57" t="str">
        <f aca="false">IF($B82="","",MAX(0,AK82-(SUMIFS('سجل الإجازات والحالات'!$AI$6:$AI$505,'سجل الإجازات والحالات'!$B$6:$B$505,$B82)-SUMIFS('سجل الإجازات والحالات'!$AH$6:$AH$505,'سجل الإجازات والحالات'!$B$6:$B$505,$B82))))</f>
        <v/>
      </c>
      <c r="AK82" s="57" t="str">
        <f aca="false">IF($B82="","",MAX(0,IF(OR(الموظفون!$AE82="",الموظفون!$AE82&gt;$F$3),$F$3,الموظفون!$AE82)-MAX($E$3,الموظفون!$H82)+1))</f>
        <v/>
      </c>
      <c r="AL82" s="126" t="str">
        <f aca="false">IF($B82="","",SUMIFS('سجل الإجازات والحالات'!$AU$6:$AU$505,'سجل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والحالات'!$W$6:$W$505,'سجل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والحالات'!$AI$6:$AI$505,'سجل الإجازات والحالات'!$B$6:$B$505,$B83))/cfg_DAYS_Y)</f>
        <v/>
      </c>
      <c r="AI83" s="135" t="str">
        <f aca="false">IF($B83="","",MAX(0,IF(OR(الموظفون!$AE83="",الموظفون!$AE83&gt;($E$3-1)),($E$3-1),الموظفون!$AE83)-الموظفون!$H83+1-SUMIFS('سجل الإجازات والحالات'!$AH$6:$AH$505,'سجل الإجازات والحالات'!$B$6:$B$505,$B83))/cfg_DAYS_Y)</f>
        <v/>
      </c>
      <c r="AJ83" s="110" t="str">
        <f aca="false">IF($B83="","",MAX(0,AK83-(SUMIFS('سجل الإجازات والحالات'!$AI$6:$AI$505,'سجل الإجازات والحالات'!$B$6:$B$505,$B83)-SUMIFS('سجل الإجازات والحالات'!$AH$6:$AH$505,'سجل الإجازات والحالات'!$B$6:$B$505,$B83))))</f>
        <v/>
      </c>
      <c r="AK83" s="110" t="str">
        <f aca="false">IF($B83="","",MAX(0,IF(OR(الموظفون!$AE83="",الموظفون!$AE83&gt;$F$3),$F$3,الموظفون!$AE83)-MAX($E$3,الموظفون!$H83)+1))</f>
        <v/>
      </c>
      <c r="AL83" s="131" t="str">
        <f aca="false">IF($B83="","",SUMIFS('سجل الإجازات والحالات'!$AU$6:$AU$505,'سجل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والحالات'!$W$6:$W$505,'سجل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والحالات'!$AI$6:$AI$505,'سجل الإجازات والحالات'!$B$6:$B$505,$B84))/cfg_DAYS_Y)</f>
        <v/>
      </c>
      <c r="AI84" s="130" t="str">
        <f aca="false">IF($B84="","",MAX(0,IF(OR(الموظفون!$AE84="",الموظفون!$AE84&gt;($E$3-1)),($E$3-1),الموظفون!$AE84)-الموظفون!$H84+1-SUMIFS('سجل الإجازات والحالات'!$AH$6:$AH$505,'سجل الإجازات والحالات'!$B$6:$B$505,$B84))/cfg_DAYS_Y)</f>
        <v/>
      </c>
      <c r="AJ84" s="57" t="str">
        <f aca="false">IF($B84="","",MAX(0,AK84-(SUMIFS('سجل الإجازات والحالات'!$AI$6:$AI$505,'سجل الإجازات والحالات'!$B$6:$B$505,$B84)-SUMIFS('سجل الإجازات والحالات'!$AH$6:$AH$505,'سجل الإجازات والحالات'!$B$6:$B$505,$B84))))</f>
        <v/>
      </c>
      <c r="AK84" s="57" t="str">
        <f aca="false">IF($B84="","",MAX(0,IF(OR(الموظفون!$AE84="",الموظفون!$AE84&gt;$F$3),$F$3,الموظفون!$AE84)-MAX($E$3,الموظفون!$H84)+1))</f>
        <v/>
      </c>
      <c r="AL84" s="126" t="str">
        <f aca="false">IF($B84="","",SUMIFS('سجل الإجازات والحالات'!$AU$6:$AU$505,'سجل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والحالات'!$W$6:$W$505,'سجل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والحالات'!$AI$6:$AI$505,'سجل الإجازات والحالات'!$B$6:$B$505,$B85))/cfg_DAYS_Y)</f>
        <v/>
      </c>
      <c r="AI85" s="135" t="str">
        <f aca="false">IF($B85="","",MAX(0,IF(OR(الموظفون!$AE85="",الموظفون!$AE85&gt;($E$3-1)),($E$3-1),الموظفون!$AE85)-الموظفون!$H85+1-SUMIFS('سجل الإجازات والحالات'!$AH$6:$AH$505,'سجل الإجازات والحالات'!$B$6:$B$505,$B85))/cfg_DAYS_Y)</f>
        <v/>
      </c>
      <c r="AJ85" s="110" t="str">
        <f aca="false">IF($B85="","",MAX(0,AK85-(SUMIFS('سجل الإجازات والحالات'!$AI$6:$AI$505,'سجل الإجازات والحالات'!$B$6:$B$505,$B85)-SUMIFS('سجل الإجازات والحالات'!$AH$6:$AH$505,'سجل الإجازات والحالات'!$B$6:$B$505,$B85))))</f>
        <v/>
      </c>
      <c r="AK85" s="110" t="str">
        <f aca="false">IF($B85="","",MAX(0,IF(OR(الموظفون!$AE85="",الموظفون!$AE85&gt;$F$3),$F$3,الموظفون!$AE85)-MAX($E$3,الموظفون!$H85)+1))</f>
        <v/>
      </c>
      <c r="AL85" s="131" t="str">
        <f aca="false">IF($B85="","",SUMIFS('سجل الإجازات والحالات'!$AU$6:$AU$505,'سجل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والحالات'!$W$6:$W$505,'سجل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والحالات'!$AI$6:$AI$505,'سجل الإجازات والحالات'!$B$6:$B$505,$B86))/cfg_DAYS_Y)</f>
        <v/>
      </c>
      <c r="AI86" s="130" t="str">
        <f aca="false">IF($B86="","",MAX(0,IF(OR(الموظفون!$AE86="",الموظفون!$AE86&gt;($E$3-1)),($E$3-1),الموظفون!$AE86)-الموظفون!$H86+1-SUMIFS('سجل الإجازات والحالات'!$AH$6:$AH$505,'سجل الإجازات والحالات'!$B$6:$B$505,$B86))/cfg_DAYS_Y)</f>
        <v/>
      </c>
      <c r="AJ86" s="57" t="str">
        <f aca="false">IF($B86="","",MAX(0,AK86-(SUMIFS('سجل الإجازات والحالات'!$AI$6:$AI$505,'سجل الإجازات والحالات'!$B$6:$B$505,$B86)-SUMIFS('سجل الإجازات والحالات'!$AH$6:$AH$505,'سجل الإجازات والحالات'!$B$6:$B$505,$B86))))</f>
        <v/>
      </c>
      <c r="AK86" s="57" t="str">
        <f aca="false">IF($B86="","",MAX(0,IF(OR(الموظفون!$AE86="",الموظفون!$AE86&gt;$F$3),$F$3,الموظفون!$AE86)-MAX($E$3,الموظفون!$H86)+1))</f>
        <v/>
      </c>
      <c r="AL86" s="126" t="str">
        <f aca="false">IF($B86="","",SUMIFS('سجل الإجازات والحالات'!$AU$6:$AU$505,'سجل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والحالات'!$W$6:$W$505,'سجل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والحالات'!$AI$6:$AI$505,'سجل الإجازات والحالات'!$B$6:$B$505,$B87))/cfg_DAYS_Y)</f>
        <v/>
      </c>
      <c r="AI87" s="135" t="str">
        <f aca="false">IF($B87="","",MAX(0,IF(OR(الموظفون!$AE87="",الموظفون!$AE87&gt;($E$3-1)),($E$3-1),الموظفون!$AE87)-الموظفون!$H87+1-SUMIFS('سجل الإجازات والحالات'!$AH$6:$AH$505,'سجل الإجازات والحالات'!$B$6:$B$505,$B87))/cfg_DAYS_Y)</f>
        <v/>
      </c>
      <c r="AJ87" s="110" t="str">
        <f aca="false">IF($B87="","",MAX(0,AK87-(SUMIFS('سجل الإجازات والحالات'!$AI$6:$AI$505,'سجل الإجازات والحالات'!$B$6:$B$505,$B87)-SUMIFS('سجل الإجازات والحالات'!$AH$6:$AH$505,'سجل الإجازات والحالات'!$B$6:$B$505,$B87))))</f>
        <v/>
      </c>
      <c r="AK87" s="110" t="str">
        <f aca="false">IF($B87="","",MAX(0,IF(OR(الموظفون!$AE87="",الموظفون!$AE87&gt;$F$3),$F$3,الموظفون!$AE87)-MAX($E$3,الموظفون!$H87)+1))</f>
        <v/>
      </c>
      <c r="AL87" s="131" t="str">
        <f aca="false">IF($B87="","",SUMIFS('سجل الإجازات والحالات'!$AU$6:$AU$505,'سجل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والحالات'!$W$6:$W$505,'سجل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والحالات'!$AI$6:$AI$505,'سجل الإجازات والحالات'!$B$6:$B$505,$B88))/cfg_DAYS_Y)</f>
        <v/>
      </c>
      <c r="AI88" s="130" t="str">
        <f aca="false">IF($B88="","",MAX(0,IF(OR(الموظفون!$AE88="",الموظفون!$AE88&gt;($E$3-1)),($E$3-1),الموظفون!$AE88)-الموظفون!$H88+1-SUMIFS('سجل الإجازات والحالات'!$AH$6:$AH$505,'سجل الإجازات والحالات'!$B$6:$B$505,$B88))/cfg_DAYS_Y)</f>
        <v/>
      </c>
      <c r="AJ88" s="57" t="str">
        <f aca="false">IF($B88="","",MAX(0,AK88-(SUMIFS('سجل الإجازات والحالات'!$AI$6:$AI$505,'سجل الإجازات والحالات'!$B$6:$B$505,$B88)-SUMIFS('سجل الإجازات والحالات'!$AH$6:$AH$505,'سجل الإجازات والحالات'!$B$6:$B$505,$B88))))</f>
        <v/>
      </c>
      <c r="AK88" s="57" t="str">
        <f aca="false">IF($B88="","",MAX(0,IF(OR(الموظفون!$AE88="",الموظفون!$AE88&gt;$F$3),$F$3,الموظفون!$AE88)-MAX($E$3,الموظفون!$H88)+1))</f>
        <v/>
      </c>
      <c r="AL88" s="126" t="str">
        <f aca="false">IF($B88="","",SUMIFS('سجل الإجازات والحالات'!$AU$6:$AU$505,'سجل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والحالات'!$W$6:$W$505,'سجل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والحالات'!$AI$6:$AI$505,'سجل الإجازات والحالات'!$B$6:$B$505,$B89))/cfg_DAYS_Y)</f>
        <v/>
      </c>
      <c r="AI89" s="135" t="str">
        <f aca="false">IF($B89="","",MAX(0,IF(OR(الموظفون!$AE89="",الموظفون!$AE89&gt;($E$3-1)),($E$3-1),الموظفون!$AE89)-الموظفون!$H89+1-SUMIFS('سجل الإجازات والحالات'!$AH$6:$AH$505,'سجل الإجازات والحالات'!$B$6:$B$505,$B89))/cfg_DAYS_Y)</f>
        <v/>
      </c>
      <c r="AJ89" s="110" t="str">
        <f aca="false">IF($B89="","",MAX(0,AK89-(SUMIFS('سجل الإجازات والحالات'!$AI$6:$AI$505,'سجل الإجازات والحالات'!$B$6:$B$505,$B89)-SUMIFS('سجل الإجازات والحالات'!$AH$6:$AH$505,'سجل الإجازات والحالات'!$B$6:$B$505,$B89))))</f>
        <v/>
      </c>
      <c r="AK89" s="110" t="str">
        <f aca="false">IF($B89="","",MAX(0,IF(OR(الموظفون!$AE89="",الموظفون!$AE89&gt;$F$3),$F$3,الموظفون!$AE89)-MAX($E$3,الموظفون!$H89)+1))</f>
        <v/>
      </c>
      <c r="AL89" s="131" t="str">
        <f aca="false">IF($B89="","",SUMIFS('سجل الإجازات والحالات'!$AU$6:$AU$505,'سجل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والحالات'!$W$6:$W$505,'سجل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والحالات'!$AI$6:$AI$505,'سجل الإجازات والحالات'!$B$6:$B$505,$B90))/cfg_DAYS_Y)</f>
        <v/>
      </c>
      <c r="AI90" s="130" t="str">
        <f aca="false">IF($B90="","",MAX(0,IF(OR(الموظفون!$AE90="",الموظفون!$AE90&gt;($E$3-1)),($E$3-1),الموظفون!$AE90)-الموظفون!$H90+1-SUMIFS('سجل الإجازات والحالات'!$AH$6:$AH$505,'سجل الإجازات والحالات'!$B$6:$B$505,$B90))/cfg_DAYS_Y)</f>
        <v/>
      </c>
      <c r="AJ90" s="57" t="str">
        <f aca="false">IF($B90="","",MAX(0,AK90-(SUMIFS('سجل الإجازات والحالات'!$AI$6:$AI$505,'سجل الإجازات والحالات'!$B$6:$B$505,$B90)-SUMIFS('سجل الإجازات والحالات'!$AH$6:$AH$505,'سجل الإجازات والحالات'!$B$6:$B$505,$B90))))</f>
        <v/>
      </c>
      <c r="AK90" s="57" t="str">
        <f aca="false">IF($B90="","",MAX(0,IF(OR(الموظفون!$AE90="",الموظفون!$AE90&gt;$F$3),$F$3,الموظفون!$AE90)-MAX($E$3,الموظفون!$H90)+1))</f>
        <v/>
      </c>
      <c r="AL90" s="126" t="str">
        <f aca="false">IF($B90="","",SUMIFS('سجل الإجازات والحالات'!$AU$6:$AU$505,'سجل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والحالات'!$W$6:$W$505,'سجل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والحالات'!$AI$6:$AI$505,'سجل الإجازات والحالات'!$B$6:$B$505,$B91))/cfg_DAYS_Y)</f>
        <v/>
      </c>
      <c r="AI91" s="135" t="str">
        <f aca="false">IF($B91="","",MAX(0,IF(OR(الموظفون!$AE91="",الموظفون!$AE91&gt;($E$3-1)),($E$3-1),الموظفون!$AE91)-الموظفون!$H91+1-SUMIFS('سجل الإجازات والحالات'!$AH$6:$AH$505,'سجل الإجازات والحالات'!$B$6:$B$505,$B91))/cfg_DAYS_Y)</f>
        <v/>
      </c>
      <c r="AJ91" s="110" t="str">
        <f aca="false">IF($B91="","",MAX(0,AK91-(SUMIFS('سجل الإجازات والحالات'!$AI$6:$AI$505,'سجل الإجازات والحالات'!$B$6:$B$505,$B91)-SUMIFS('سجل الإجازات والحالات'!$AH$6:$AH$505,'سجل الإجازات والحالات'!$B$6:$B$505,$B91))))</f>
        <v/>
      </c>
      <c r="AK91" s="110" t="str">
        <f aca="false">IF($B91="","",MAX(0,IF(OR(الموظفون!$AE91="",الموظفون!$AE91&gt;$F$3),$F$3,الموظفون!$AE91)-MAX($E$3,الموظفون!$H91)+1))</f>
        <v/>
      </c>
      <c r="AL91" s="131" t="str">
        <f aca="false">IF($B91="","",SUMIFS('سجل الإجازات والحالات'!$AU$6:$AU$505,'سجل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والحالات'!$W$6:$W$505,'سجل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والحالات'!$AI$6:$AI$505,'سجل الإجازات والحالات'!$B$6:$B$505,$B92))/cfg_DAYS_Y)</f>
        <v/>
      </c>
      <c r="AI92" s="130" t="str">
        <f aca="false">IF($B92="","",MAX(0,IF(OR(الموظفون!$AE92="",الموظفون!$AE92&gt;($E$3-1)),($E$3-1),الموظفون!$AE92)-الموظفون!$H92+1-SUMIFS('سجل الإجازات والحالات'!$AH$6:$AH$505,'سجل الإجازات والحالات'!$B$6:$B$505,$B92))/cfg_DAYS_Y)</f>
        <v/>
      </c>
      <c r="AJ92" s="57" t="str">
        <f aca="false">IF($B92="","",MAX(0,AK92-(SUMIFS('سجل الإجازات والحالات'!$AI$6:$AI$505,'سجل الإجازات والحالات'!$B$6:$B$505,$B92)-SUMIFS('سجل الإجازات والحالات'!$AH$6:$AH$505,'سجل الإجازات والحالات'!$B$6:$B$505,$B92))))</f>
        <v/>
      </c>
      <c r="AK92" s="57" t="str">
        <f aca="false">IF($B92="","",MAX(0,IF(OR(الموظفون!$AE92="",الموظفون!$AE92&gt;$F$3),$F$3,الموظفون!$AE92)-MAX($E$3,الموظفون!$H92)+1))</f>
        <v/>
      </c>
      <c r="AL92" s="126" t="str">
        <f aca="false">IF($B92="","",SUMIFS('سجل الإجازات والحالات'!$AU$6:$AU$505,'سجل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والحالات'!$W$6:$W$505,'سجل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والحالات'!$AI$6:$AI$505,'سجل الإجازات والحالات'!$B$6:$B$505,$B93))/cfg_DAYS_Y)</f>
        <v/>
      </c>
      <c r="AI93" s="135" t="str">
        <f aca="false">IF($B93="","",MAX(0,IF(OR(الموظفون!$AE93="",الموظفون!$AE93&gt;($E$3-1)),($E$3-1),الموظفون!$AE93)-الموظفون!$H93+1-SUMIFS('سجل الإجازات والحالات'!$AH$6:$AH$505,'سجل الإجازات والحالات'!$B$6:$B$505,$B93))/cfg_DAYS_Y)</f>
        <v/>
      </c>
      <c r="AJ93" s="110" t="str">
        <f aca="false">IF($B93="","",MAX(0,AK93-(SUMIFS('سجل الإجازات والحالات'!$AI$6:$AI$505,'سجل الإجازات والحالات'!$B$6:$B$505,$B93)-SUMIFS('سجل الإجازات والحالات'!$AH$6:$AH$505,'سجل الإجازات والحالات'!$B$6:$B$505,$B93))))</f>
        <v/>
      </c>
      <c r="AK93" s="110" t="str">
        <f aca="false">IF($B93="","",MAX(0,IF(OR(الموظفون!$AE93="",الموظفون!$AE93&gt;$F$3),$F$3,الموظفون!$AE93)-MAX($E$3,الموظفون!$H93)+1))</f>
        <v/>
      </c>
      <c r="AL93" s="131" t="str">
        <f aca="false">IF($B93="","",SUMIFS('سجل الإجازات والحالات'!$AU$6:$AU$505,'سجل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والحالات'!$W$6:$W$505,'سجل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والحالات'!$AI$6:$AI$505,'سجل الإجازات والحالات'!$B$6:$B$505,$B94))/cfg_DAYS_Y)</f>
        <v/>
      </c>
      <c r="AI94" s="130" t="str">
        <f aca="false">IF($B94="","",MAX(0,IF(OR(الموظفون!$AE94="",الموظفون!$AE94&gt;($E$3-1)),($E$3-1),الموظفون!$AE94)-الموظفون!$H94+1-SUMIFS('سجل الإجازات والحالات'!$AH$6:$AH$505,'سجل الإجازات والحالات'!$B$6:$B$505,$B94))/cfg_DAYS_Y)</f>
        <v/>
      </c>
      <c r="AJ94" s="57" t="str">
        <f aca="false">IF($B94="","",MAX(0,AK94-(SUMIFS('سجل الإجازات والحالات'!$AI$6:$AI$505,'سجل الإجازات والحالات'!$B$6:$B$505,$B94)-SUMIFS('سجل الإجازات والحالات'!$AH$6:$AH$505,'سجل الإجازات والحالات'!$B$6:$B$505,$B94))))</f>
        <v/>
      </c>
      <c r="AK94" s="57" t="str">
        <f aca="false">IF($B94="","",MAX(0,IF(OR(الموظفون!$AE94="",الموظفون!$AE94&gt;$F$3),$F$3,الموظفون!$AE94)-MAX($E$3,الموظفون!$H94)+1))</f>
        <v/>
      </c>
      <c r="AL94" s="126" t="str">
        <f aca="false">IF($B94="","",SUMIFS('سجل الإجازات والحالات'!$AU$6:$AU$505,'سجل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والحالات'!$W$6:$W$505,'سجل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والحالات'!$AI$6:$AI$505,'سجل الإجازات والحالات'!$B$6:$B$505,$B95))/cfg_DAYS_Y)</f>
        <v/>
      </c>
      <c r="AI95" s="135" t="str">
        <f aca="false">IF($B95="","",MAX(0,IF(OR(الموظفون!$AE95="",الموظفون!$AE95&gt;($E$3-1)),($E$3-1),الموظفون!$AE95)-الموظفون!$H95+1-SUMIFS('سجل الإجازات والحالات'!$AH$6:$AH$505,'سجل الإجازات والحالات'!$B$6:$B$505,$B95))/cfg_DAYS_Y)</f>
        <v/>
      </c>
      <c r="AJ95" s="110" t="str">
        <f aca="false">IF($B95="","",MAX(0,AK95-(SUMIFS('سجل الإجازات والحالات'!$AI$6:$AI$505,'سجل الإجازات والحالات'!$B$6:$B$505,$B95)-SUMIFS('سجل الإجازات والحالات'!$AH$6:$AH$505,'سجل الإجازات والحالات'!$B$6:$B$505,$B95))))</f>
        <v/>
      </c>
      <c r="AK95" s="110" t="str">
        <f aca="false">IF($B95="","",MAX(0,IF(OR(الموظفون!$AE95="",الموظفون!$AE95&gt;$F$3),$F$3,الموظفون!$AE95)-MAX($E$3,الموظفون!$H95)+1))</f>
        <v/>
      </c>
      <c r="AL95" s="131" t="str">
        <f aca="false">IF($B95="","",SUMIFS('سجل الإجازات والحالات'!$AU$6:$AU$505,'سجل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والحالات'!$W$6:$W$505,'سجل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والحالات'!$AI$6:$AI$505,'سجل الإجازات والحالات'!$B$6:$B$505,$B96))/cfg_DAYS_Y)</f>
        <v/>
      </c>
      <c r="AI96" s="130" t="str">
        <f aca="false">IF($B96="","",MAX(0,IF(OR(الموظفون!$AE96="",الموظفون!$AE96&gt;($E$3-1)),($E$3-1),الموظفون!$AE96)-الموظفون!$H96+1-SUMIFS('سجل الإجازات والحالات'!$AH$6:$AH$505,'سجل الإجازات والحالات'!$B$6:$B$505,$B96))/cfg_DAYS_Y)</f>
        <v/>
      </c>
      <c r="AJ96" s="57" t="str">
        <f aca="false">IF($B96="","",MAX(0,AK96-(SUMIFS('سجل الإجازات والحالات'!$AI$6:$AI$505,'سجل الإجازات والحالات'!$B$6:$B$505,$B96)-SUMIFS('سجل الإجازات والحالات'!$AH$6:$AH$505,'سجل الإجازات والحالات'!$B$6:$B$505,$B96))))</f>
        <v/>
      </c>
      <c r="AK96" s="57" t="str">
        <f aca="false">IF($B96="","",MAX(0,IF(OR(الموظفون!$AE96="",الموظفون!$AE96&gt;$F$3),$F$3,الموظفون!$AE96)-MAX($E$3,الموظفون!$H96)+1))</f>
        <v/>
      </c>
      <c r="AL96" s="126" t="str">
        <f aca="false">IF($B96="","",SUMIFS('سجل الإجازات والحالات'!$AU$6:$AU$505,'سجل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والحالات'!$W$6:$W$505,'سجل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والحالات'!$AI$6:$AI$505,'سجل الإجازات والحالات'!$B$6:$B$505,$B97))/cfg_DAYS_Y)</f>
        <v/>
      </c>
      <c r="AI97" s="135" t="str">
        <f aca="false">IF($B97="","",MAX(0,IF(OR(الموظفون!$AE97="",الموظفون!$AE97&gt;($E$3-1)),($E$3-1),الموظفون!$AE97)-الموظفون!$H97+1-SUMIFS('سجل الإجازات والحالات'!$AH$6:$AH$505,'سجل الإجازات والحالات'!$B$6:$B$505,$B97))/cfg_DAYS_Y)</f>
        <v/>
      </c>
      <c r="AJ97" s="110" t="str">
        <f aca="false">IF($B97="","",MAX(0,AK97-(SUMIFS('سجل الإجازات والحالات'!$AI$6:$AI$505,'سجل الإجازات والحالات'!$B$6:$B$505,$B97)-SUMIFS('سجل الإجازات والحالات'!$AH$6:$AH$505,'سجل الإجازات والحالات'!$B$6:$B$505,$B97))))</f>
        <v/>
      </c>
      <c r="AK97" s="110" t="str">
        <f aca="false">IF($B97="","",MAX(0,IF(OR(الموظفون!$AE97="",الموظفون!$AE97&gt;$F$3),$F$3,الموظفون!$AE97)-MAX($E$3,الموظفون!$H97)+1))</f>
        <v/>
      </c>
      <c r="AL97" s="131" t="str">
        <f aca="false">IF($B97="","",SUMIFS('سجل الإجازات والحالات'!$AU$6:$AU$505,'سجل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والحالات'!$W$6:$W$505,'سجل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والحالات'!$AI$6:$AI$505,'سجل الإجازات والحالات'!$B$6:$B$505,$B98))/cfg_DAYS_Y)</f>
        <v/>
      </c>
      <c r="AI98" s="130" t="str">
        <f aca="false">IF($B98="","",MAX(0,IF(OR(الموظفون!$AE98="",الموظفون!$AE98&gt;($E$3-1)),($E$3-1),الموظفون!$AE98)-الموظفون!$H98+1-SUMIFS('سجل الإجازات والحالات'!$AH$6:$AH$505,'سجل الإجازات والحالات'!$B$6:$B$505,$B98))/cfg_DAYS_Y)</f>
        <v/>
      </c>
      <c r="AJ98" s="57" t="str">
        <f aca="false">IF($B98="","",MAX(0,AK98-(SUMIFS('سجل الإجازات والحالات'!$AI$6:$AI$505,'سجل الإجازات والحالات'!$B$6:$B$505,$B98)-SUMIFS('سجل الإجازات والحالات'!$AH$6:$AH$505,'سجل الإجازات والحالات'!$B$6:$B$505,$B98))))</f>
        <v/>
      </c>
      <c r="AK98" s="57" t="str">
        <f aca="false">IF($B98="","",MAX(0,IF(OR(الموظفون!$AE98="",الموظفون!$AE98&gt;$F$3),$F$3,الموظفون!$AE98)-MAX($E$3,الموظفون!$H98)+1))</f>
        <v/>
      </c>
      <c r="AL98" s="126" t="str">
        <f aca="false">IF($B98="","",SUMIFS('سجل الإجازات والحالات'!$AU$6:$AU$505,'سجل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والحالات'!$W$6:$W$505,'سجل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والحالات'!$AI$6:$AI$505,'سجل الإجازات والحالات'!$B$6:$B$505,$B99))/cfg_DAYS_Y)</f>
        <v/>
      </c>
      <c r="AI99" s="135" t="str">
        <f aca="false">IF($B99="","",MAX(0,IF(OR(الموظفون!$AE99="",الموظفون!$AE99&gt;($E$3-1)),($E$3-1),الموظفون!$AE99)-الموظفون!$H99+1-SUMIFS('سجل الإجازات والحالات'!$AH$6:$AH$505,'سجل الإجازات والحالات'!$B$6:$B$505,$B99))/cfg_DAYS_Y)</f>
        <v/>
      </c>
      <c r="AJ99" s="110" t="str">
        <f aca="false">IF($B99="","",MAX(0,AK99-(SUMIFS('سجل الإجازات والحالات'!$AI$6:$AI$505,'سجل الإجازات والحالات'!$B$6:$B$505,$B99)-SUMIFS('سجل الإجازات والحالات'!$AH$6:$AH$505,'سجل الإجازات والحالات'!$B$6:$B$505,$B99))))</f>
        <v/>
      </c>
      <c r="AK99" s="110" t="str">
        <f aca="false">IF($B99="","",MAX(0,IF(OR(الموظفون!$AE99="",الموظفون!$AE99&gt;$F$3),$F$3,الموظفون!$AE99)-MAX($E$3,الموظفون!$H99)+1))</f>
        <v/>
      </c>
      <c r="AL99" s="131" t="str">
        <f aca="false">IF($B99="","",SUMIFS('سجل الإجازات والحالات'!$AU$6:$AU$505,'سجل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والحالات'!$W$6:$W$505,'سجل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والحالات'!$AI$6:$AI$505,'سجل الإجازات والحالات'!$B$6:$B$505,$B100))/cfg_DAYS_Y)</f>
        <v/>
      </c>
      <c r="AI100" s="130" t="str">
        <f aca="false">IF($B100="","",MAX(0,IF(OR(الموظفون!$AE100="",الموظفون!$AE100&gt;($E$3-1)),($E$3-1),الموظفون!$AE100)-الموظفون!$H100+1-SUMIFS('سجل الإجازات والحالات'!$AH$6:$AH$505,'سجل الإجازات والحالات'!$B$6:$B$505,$B100))/cfg_DAYS_Y)</f>
        <v/>
      </c>
      <c r="AJ100" s="57" t="str">
        <f aca="false">IF($B100="","",MAX(0,AK100-(SUMIFS('سجل الإجازات والحالات'!$AI$6:$AI$505,'سجل الإجازات والحالات'!$B$6:$B$505,$B100)-SUMIFS('سجل الإجازات والحالات'!$AH$6:$AH$505,'سجل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والحالات'!$AU$6:$AU$505,'سجل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والحالات'!$W$6:$W$505,'سجل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والحالات'!$AI$6:$AI$505,'سجل الإجازات والحالات'!$B$6:$B$505,$B101))/cfg_DAYS_Y)</f>
        <v/>
      </c>
      <c r="AI101" s="135" t="str">
        <f aca="false">IF($B101="","",MAX(0,IF(OR(الموظفون!$AE101="",الموظفون!$AE101&gt;($E$3-1)),($E$3-1),الموظفون!$AE101)-الموظفون!$H101+1-SUMIFS('سجل الإجازات والحالات'!$AH$6:$AH$505,'سجل الإجازات والحالات'!$B$6:$B$505,$B101))/cfg_DAYS_Y)</f>
        <v/>
      </c>
      <c r="AJ101" s="110" t="str">
        <f aca="false">IF($B101="","",MAX(0,AK101-(SUMIFS('سجل الإجازات والحالات'!$AI$6:$AI$505,'سجل الإجازات والحالات'!$B$6:$B$505,$B101)-SUMIFS('سجل الإجازات والحالات'!$AH$6:$AH$505,'سجل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والحالات'!$AU$6:$AU$505,'سجل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والحالات'!$W$6:$W$505,'سجل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والحالات'!$AI$6:$AI$505,'سجل الإجازات والحالات'!$B$6:$B$505,$B102))/cfg_DAYS_Y)</f>
        <v/>
      </c>
      <c r="AI102" s="130" t="str">
        <f aca="false">IF($B102="","",MAX(0,IF(OR(الموظفون!$AE102="",الموظفون!$AE102&gt;($E$3-1)),($E$3-1),الموظفون!$AE102)-الموظفون!$H102+1-SUMIFS('سجل الإجازات والحالات'!$AH$6:$AH$505,'سجل الإجازات والحالات'!$B$6:$B$505,$B102))/cfg_DAYS_Y)</f>
        <v/>
      </c>
      <c r="AJ102" s="57" t="str">
        <f aca="false">IF($B102="","",MAX(0,AK102-(SUMIFS('سجل الإجازات والحالات'!$AI$6:$AI$505,'سجل الإجازات والحالات'!$B$6:$B$505,$B102)-SUMIFS('سجل الإجازات والحالات'!$AH$6:$AH$505,'سجل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والحالات'!$AU$6:$AU$505,'سجل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والحالات'!$W$6:$W$505,'سجل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والحالات'!$AI$6:$AI$505,'سجل الإجازات والحالات'!$B$6:$B$505,$B103))/cfg_DAYS_Y)</f>
        <v/>
      </c>
      <c r="AI103" s="135" t="str">
        <f aca="false">IF($B103="","",MAX(0,IF(OR(الموظفون!$AE103="",الموظفون!$AE103&gt;($E$3-1)),($E$3-1),الموظفون!$AE103)-الموظفون!$H103+1-SUMIFS('سجل الإجازات والحالات'!$AH$6:$AH$505,'سجل الإجازات والحالات'!$B$6:$B$505,$B103))/cfg_DAYS_Y)</f>
        <v/>
      </c>
      <c r="AJ103" s="110" t="str">
        <f aca="false">IF($B103="","",MAX(0,AK103-(SUMIFS('سجل الإجازات والحالات'!$AI$6:$AI$505,'سجل الإجازات والحالات'!$B$6:$B$505,$B103)-SUMIFS('سجل الإجازات والحالات'!$AH$6:$AH$505,'سجل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والحالات'!$AU$6:$AU$505,'سجل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والحالات'!$W$6:$W$505,'سجل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والحالات'!$AI$6:$AI$505,'سجل الإجازات والحالات'!$B$6:$B$505,$B104))/cfg_DAYS_Y)</f>
        <v/>
      </c>
      <c r="AI104" s="130" t="str">
        <f aca="false">IF($B104="","",MAX(0,IF(OR(الموظفون!$AE104="",الموظفون!$AE104&gt;($E$3-1)),($E$3-1),الموظفون!$AE104)-الموظفون!$H104+1-SUMIFS('سجل الإجازات والحالات'!$AH$6:$AH$505,'سجل الإجازات والحالات'!$B$6:$B$505,$B104))/cfg_DAYS_Y)</f>
        <v/>
      </c>
      <c r="AJ104" s="57" t="str">
        <f aca="false">IF($B104="","",MAX(0,AK104-(SUMIFS('سجل الإجازات والحالات'!$AI$6:$AI$505,'سجل الإجازات والحالات'!$B$6:$B$505,$B104)-SUMIFS('سجل الإجازات والحالات'!$AH$6:$AH$505,'سجل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والحالات'!$AU$6:$AU$505,'سجل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والحالات'!$W$6:$W$505,'سجل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والحالات'!$AI$6:$AI$505,'سجل الإجازات والحالات'!$B$6:$B$505,$B105))/cfg_DAYS_Y)</f>
        <v/>
      </c>
      <c r="AI105" s="135" t="str">
        <f aca="false">IF($B105="","",MAX(0,IF(OR(الموظفون!$AE105="",الموظفون!$AE105&gt;($E$3-1)),($E$3-1),الموظفون!$AE105)-الموظفون!$H105+1-SUMIFS('سجل الإجازات والحالات'!$AH$6:$AH$505,'سجل الإجازات والحالات'!$B$6:$B$505,$B105))/cfg_DAYS_Y)</f>
        <v/>
      </c>
      <c r="AJ105" s="110" t="str">
        <f aca="false">IF($B105="","",MAX(0,AK105-(SUMIFS('سجل الإجازات والحالات'!$AI$6:$AI$505,'سجل الإجازات والحالات'!$B$6:$B$505,$B105)-SUMIFS('سجل الإجازات والحالات'!$AH$6:$AH$505,'سجل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والحالات'!$AU$6:$AU$505,'سجل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والحالات'!$W$6:$W$505,'سجل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330</v>
      </c>
      <c r="K106" s="103" t="n">
        <f aca="false">SUM(K6:K105)</f>
        <v>132500</v>
      </c>
      <c r="L106" s="103" t="n">
        <f aca="false">SUM(L6:L105)</f>
        <v>33125</v>
      </c>
      <c r="M106" s="103" t="n">
        <f aca="false">SUM(M6:M105)</f>
        <v>13250</v>
      </c>
      <c r="N106" s="103" t="n">
        <f aca="false">SUM(N6:N105)</f>
        <v>10300</v>
      </c>
      <c r="O106" s="136" t="n">
        <f aca="false">SUM(O6:O105)</f>
        <v>8</v>
      </c>
      <c r="P106" s="103" t="n">
        <f aca="false">SUM(P6:P105)</f>
        <v>540.833333333333</v>
      </c>
      <c r="Q106" s="103" t="n">
        <f aca="false">SUM(Q6:Q105)</f>
        <v>5000</v>
      </c>
      <c r="R106" s="103" t="n">
        <f aca="false">SUM(R6:R105)</f>
        <v>0</v>
      </c>
      <c r="S106" s="103" t="n">
        <f aca="false">SUM(S6:S105)</f>
        <v>0</v>
      </c>
      <c r="T106" s="103" t="n">
        <f aca="false">SUM(T6:T105)</f>
        <v>194715.833333333</v>
      </c>
      <c r="U106" s="103" t="n">
        <f aca="false">SUM(U6:U105)</f>
        <v>11273.4375</v>
      </c>
      <c r="V106" s="103" t="n">
        <f aca="false">SUM(V6:V105)</f>
        <v>1000</v>
      </c>
      <c r="W106" s="103" t="n">
        <f aca="false">SUM(W6:W105)</f>
        <v>0</v>
      </c>
      <c r="X106" s="103" t="n">
        <f aca="false">SUM(X6:X105)</f>
        <v>12273.4375</v>
      </c>
      <c r="Y106" s="103" t="n">
        <f aca="false">SUM(Y6:Y105)</f>
        <v>182442.395833333</v>
      </c>
      <c r="Z106" s="103" t="n">
        <f aca="false">SUM(Z6:Z105)</f>
        <v>14585.9375</v>
      </c>
      <c r="AA106" s="103" t="n">
        <f aca="false">SUM(AA6:AA105)</f>
        <v>12712.1917808219</v>
      </c>
      <c r="AB106" s="103" t="n">
        <f aca="false">SUM(AB6:AB105)</f>
        <v>13116.0821917808</v>
      </c>
      <c r="AC106" s="103" t="n">
        <f aca="false">SUM(AC6:AC105)</f>
        <v>866.849315068493</v>
      </c>
      <c r="AD106" s="103" t="n">
        <f aca="false">SUM(AD6:AD105)</f>
        <v>4270.83333333333</v>
      </c>
      <c r="AE106" s="103" t="n">
        <f aca="false">SUM(AE6:AE105)</f>
        <v>2600</v>
      </c>
      <c r="AF106" s="103" t="n">
        <f aca="false">SUM(AF6:AF105)</f>
        <v>400</v>
      </c>
      <c r="AG106" s="103" t="n">
        <f aca="false">SUM(AG6:AG105)</f>
        <v>243267.727454338</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يناير'!A1" display="◀ الشهر السابق"/>
    <hyperlink ref="L3" location="'مسير مارس'!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مارس "&amp;cfg_FY</f>
        <v>💵 مسير رواتب شهر مارس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3</v>
      </c>
      <c r="D3" s="112" t="s">
        <v>434</v>
      </c>
      <c r="E3" s="114" t="n">
        <f aca="false">DATE(cfg_FY,C3,1)</f>
        <v>46082</v>
      </c>
      <c r="F3" s="114" t="n">
        <f aca="false">EOMONTH(E3,0)</f>
        <v>46112</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إجازة سنوية 10 يوم</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3210.41095890413</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والحالات'!$AJ$6:$AJ$505,'سجل الإجازات والحالات'!$B$6:$B$505,$B6))/cfg_DAYS_Y)</f>
        <v>14.2191780821918</v>
      </c>
      <c r="AI6" s="130" t="n">
        <f aca="false">IF($B6="","",MAX(0,IF(OR(الموظفون!$AE6="",الموظفون!$AE6&gt;($E$3-1)),($E$3-1),الموظفون!$AE6)-الموظفون!$H6+1-SUMIFS('سجل الإجازات والحالات'!$AI$6:$AI$505,'سجل الإجازات والحالات'!$B$6:$B$505,$B6))/cfg_DAYS_Y)</f>
        <v>14.1342465753425</v>
      </c>
      <c r="AJ6" s="57" t="n">
        <f aca="false">IF($B6="","",MAX(0,AK6-(SUMIFS('سجل الإجازات والحالات'!$AJ$6:$AJ$505,'سجل الإجازات والحالات'!$B$6:$B$505,$B6)-SUMIFS('سجل الإجازات والحالات'!$AI$6:$AI$505,'سجل الإجازات والحالات'!$B$6:$B$505,$B6))))</f>
        <v>31</v>
      </c>
      <c r="AK6" s="57" t="n">
        <f aca="false">IF($B6="","",MAX(0,IF(OR(الموظفون!$AE6="",الموظفون!$AE6&gt;$F$3),$F$3,الموظفون!$AE6)-MAX($E$3,الموظفون!$H6)+1))</f>
        <v>31</v>
      </c>
      <c r="AL6" s="126" t="n">
        <f aca="false">IF($B6="","",SUMIFS('سجل الإجازات والحالات'!$AV$6:$AV$505,'سجل الإجازات والحالات'!$B$6:$B$505,$B6)+SUMIFS('الحركات الشهرية'!$K$6:$K$1005,'الحركات الشهرية'!$B$6:$B$1005,$B6,'الحركات الشهرية'!$A$6:$A$1005,$C$3))</f>
        <v>10</v>
      </c>
      <c r="AM6" s="97" t="n">
        <f aca="false">IF($B6="","",AL6*الموظفون!$R6/cfg_DAYS_M+S6)</f>
        <v>12600</v>
      </c>
      <c r="AN6" s="126" t="n">
        <f aca="false">IF($B6="","",SUMIFS('سجل الإجازات والحالات'!$X$6:$X$505,'سجل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والحالات'!$AJ$6:$AJ$505,'سجل الإجازات والحالات'!$B$6:$B$505,$B7))/cfg_DAYS_Y)</f>
        <v>9.83835616438356</v>
      </c>
      <c r="AI7" s="135" t="n">
        <f aca="false">IF($B7="","",MAX(0,IF(OR(الموظفون!$AE7="",الموظفون!$AE7&gt;($E$3-1)),($E$3-1),الموظفون!$AE7)-الموظفون!$H7+1-SUMIFS('سجل الإجازات والحالات'!$AI$6:$AI$505,'سجل الإجازات والحالات'!$B$6:$B$505,$B7))/cfg_DAYS_Y)</f>
        <v>9.75342465753425</v>
      </c>
      <c r="AJ7" s="110" t="n">
        <f aca="false">IF($B7="","",MAX(0,AK7-(SUMIFS('سجل الإجازات والحالات'!$AJ$6:$AJ$505,'سجل الإجازات والحالات'!$B$6:$B$505,$B7)-SUMIFS('سجل الإجازات والحالات'!$AI$6:$AI$505,'سجل الإجازات والحالات'!$B$6:$B$505,$B7))))</f>
        <v>31</v>
      </c>
      <c r="AK7" s="110" t="n">
        <f aca="false">IF($B7="","",MAX(0,IF(OR(الموظفون!$AE7="",الموظفون!$AE7&gt;$F$3),$F$3,الموظفون!$AE7)-MAX($E$3,الموظفون!$H7)+1))</f>
        <v>31</v>
      </c>
      <c r="AL7" s="131" t="n">
        <f aca="false">IF($B7="","",SUMIFS('سجل الإجازات والحالات'!$AV$6:$AV$505,'سجل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والحالات'!$X$6:$X$505,'سجل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10975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15326.7351598174</v>
      </c>
      <c r="AH8" s="130" t="n">
        <f aca="false">IF($B8="","",MAX(0,IF(OR(الموظفون!$AE8="",الموظفون!$AE8&gt;$F$3),$F$3,الموظفون!$AE8)-الموظفون!$H8+1-SUMIFS('سجل الإجازات والحالات'!$AJ$6:$AJ$505,'سجل الإجازات والحالات'!$B$6:$B$505,$B8))/cfg_DAYS_Y)</f>
        <v>7.56164383561644</v>
      </c>
      <c r="AI8" s="130" t="n">
        <f aca="false">IF($B8="","",MAX(0,IF(OR(الموظفون!$AE8="",الموظفون!$AE8&gt;($E$3-1)),($E$3-1),الموظفون!$AE8)-الموظفون!$H8+1-SUMIFS('سجل الإجازات والحالات'!$AI$6:$AI$505,'سجل الإجازات والحالات'!$B$6:$B$505,$B8))/cfg_DAYS_Y)</f>
        <v>7.47671232876712</v>
      </c>
      <c r="AJ8" s="57" t="n">
        <f aca="false">IF($B8="","",MAX(0,AK8-(SUMIFS('سجل الإجازات والحالات'!$AJ$6:$AJ$505,'سجل الإجازات والحالات'!$B$6:$B$505,$B8)-SUMIFS('سجل الإجازات والحالات'!$AI$6:$AI$505,'سجل الإجازات والحالات'!$B$6:$B$505,$B8))))</f>
        <v>31</v>
      </c>
      <c r="AK8" s="57" t="n">
        <f aca="false">IF($B8="","",MAX(0,IF(OR(الموظفون!$AE8="",الموظفون!$AE8&gt;$F$3),$F$3,الموظفون!$AE8)-MAX($E$3,الموظفون!$H8)+1))</f>
        <v>31</v>
      </c>
      <c r="AL8" s="126" t="n">
        <f aca="false">IF($B8="","",SUMIFS('سجل الإجازات والحالات'!$AV$6:$AV$505,'سجل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والحالات'!$X$6:$X$505,'سجل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والحالات'!$AJ$6:$AJ$505,'سجل الإجازات والحالات'!$B$6:$B$505,$B9))/cfg_DAYS_Y)</f>
        <v>7.16712328767123</v>
      </c>
      <c r="AI9" s="135" t="n">
        <f aca="false">IF($B9="","",MAX(0,IF(OR(الموظفون!$AE9="",الموظفون!$AE9&gt;($E$3-1)),($E$3-1),الموظفون!$AE9)-الموظفون!$H9+1-SUMIFS('سجل الإجازات والحالات'!$AI$6:$AI$505,'سجل الإجازات والحالات'!$B$6:$B$505,$B9))/cfg_DAYS_Y)</f>
        <v>7.08219178082192</v>
      </c>
      <c r="AJ9" s="110" t="n">
        <f aca="false">IF($B9="","",MAX(0,AK9-(SUMIFS('سجل الإجازات والحالات'!$AJ$6:$AJ$505,'سجل الإجازات والحالات'!$B$6:$B$505,$B9)-SUMIFS('سجل الإجازات والحالات'!$AI$6:$AI$505,'سجل الإجازات والحالات'!$B$6:$B$505,$B9))))</f>
        <v>31</v>
      </c>
      <c r="AK9" s="110" t="n">
        <f aca="false">IF($B9="","",MAX(0,IF(OR(الموظفون!$AE9="",الموظفون!$AE9&gt;$F$3),$F$3,الموظفون!$AE9)-MAX($E$3,الموظفون!$H9)+1))</f>
        <v>31</v>
      </c>
      <c r="AL9" s="131" t="n">
        <f aca="false">IF($B9="","",SUMIFS('سجل الإجازات والحالات'!$AV$6:$AV$505,'سجل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والحالات'!$X$6:$X$505,'سجل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والحالات'!$AJ$6:$AJ$505,'سجل الإجازات والحالات'!$B$6:$B$505,$B10))/cfg_DAYS_Y)</f>
        <v>5.97260273972603</v>
      </c>
      <c r="AI10" s="130" t="n">
        <f aca="false">IF($B10="","",MAX(0,IF(OR(الموظفون!$AE10="",الموظفون!$AE10&gt;($E$3-1)),($E$3-1),الموظفون!$AE10)-الموظفون!$H10+1-SUMIFS('سجل الإجازات والحالات'!$AI$6:$AI$505,'سجل الإجازات والحالات'!$B$6:$B$505,$B10))/cfg_DAYS_Y)</f>
        <v>5.88767123287671</v>
      </c>
      <c r="AJ10" s="57" t="n">
        <f aca="false">IF($B10="","",MAX(0,AK10-(SUMIFS('سجل الإجازات والحالات'!$AJ$6:$AJ$505,'سجل الإجازات والحالات'!$B$6:$B$505,$B10)-SUMIFS('سجل الإجازات والحالات'!$AI$6:$AI$505,'سجل الإجازات والحالات'!$B$6:$B$505,$B10))))</f>
        <v>31</v>
      </c>
      <c r="AK10" s="57" t="n">
        <f aca="false">IF($B10="","",MAX(0,IF(OR(الموظفون!$AE10="",الموظفون!$AE10&gt;$F$3),$F$3,الموظفون!$AE10)-MAX($E$3,الموظفون!$H10)+1))</f>
        <v>31</v>
      </c>
      <c r="AL10" s="126" t="n">
        <f aca="false">IF($B10="","",SUMIFS('سجل الإجازات والحالات'!$AV$6:$AV$505,'سجل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والحالات'!$X$6:$X$505,'سجل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والحالات'!$AJ$6:$AJ$505,'سجل الإجازات والحالات'!$B$6:$B$505,$B11))/cfg_DAYS_Y)</f>
        <v>8.40821917808219</v>
      </c>
      <c r="AI11" s="135" t="n">
        <f aca="false">IF($B11="","",MAX(0,IF(OR(الموظفون!$AE11="",الموظفون!$AE11&gt;($E$3-1)),($E$3-1),الموظفون!$AE11)-الموظفون!$H11+1-SUMIFS('سجل الإجازات والحالات'!$AI$6:$AI$505,'سجل الإجازات والحالات'!$B$6:$B$505,$B11))/cfg_DAYS_Y)</f>
        <v>8.32328767123288</v>
      </c>
      <c r="AJ11" s="110" t="n">
        <f aca="false">IF($B11="","",MAX(0,AK11-(SUMIFS('سجل الإجازات والحالات'!$AJ$6:$AJ$505,'سجل الإجازات والحالات'!$B$6:$B$505,$B11)-SUMIFS('سجل الإجازات والحالات'!$AI$6:$AI$505,'سجل الإجازات والحالات'!$B$6:$B$505,$B11))))</f>
        <v>31</v>
      </c>
      <c r="AK11" s="110" t="n">
        <f aca="false">IF($B11="","",MAX(0,IF(OR(الموظفون!$AE11="",الموظفون!$AE11&gt;$F$3),$F$3,الموظفون!$AE11)-MAX($E$3,الموظفون!$H11)+1))</f>
        <v>31</v>
      </c>
      <c r="AL11" s="131" t="n">
        <f aca="false">IF($B11="","",SUMIFS('سجل الإجازات والحالات'!$AV$6:$AV$505,'سجل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والحالات'!$X$6:$X$505,'سجل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إجازة سنوية 21 يوم</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10</v>
      </c>
      <c r="P12" s="97" t="n">
        <f aca="false">IF($B12="","",O12*(الموظفون!$P12+الموظفون!$L12*cfg_OT_P)/cfg_DAYS_M/cfg_HRS)</f>
        <v>881.25</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16531.25</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16531.25</v>
      </c>
      <c r="Z12" s="97" t="n">
        <f aca="false">IF($B12="","",الموظفون!$S12*IF(E12="سعودي",cfg_G_SR,cfg_G_NR)*G12/cfg_DAYS_M)</f>
        <v>275</v>
      </c>
      <c r="AA12" s="97" t="n">
        <f aca="false">IF($B12="","",الموظفون!$Q12*(cfg_EOS_R1*(MIN(AH12,cfg_EOS_TH)-MIN(AI12,cfg_EOS_TH))+cfg_EOS_R2*(MAX(AH12-cfg_EOS_TH,0)-MAX(AI12-cfg_EOS_TH,0))))</f>
        <v>1261.23287671234</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21165.0742009133</v>
      </c>
      <c r="AH12" s="130" t="n">
        <f aca="false">IF($B12="","",MAX(0,IF(OR(الموظفون!$AE12="",الموظفون!$AE12&gt;$F$3),$F$3,الموظفون!$AE12)-الموظفون!$H12+1-SUMIFS('سجل الإجازات والحالات'!$AJ$6:$AJ$505,'سجل الإجازات والحالات'!$B$6:$B$505,$B12))/cfg_DAYS_Y)</f>
        <v>5.1972602739726</v>
      </c>
      <c r="AI12" s="130" t="n">
        <f aca="false">IF($B12="","",MAX(0,IF(OR(الموظفون!$AE12="",الموظفون!$AE12&gt;($E$3-1)),($E$3-1),الموظفون!$AE12)-الموظفون!$H12+1-SUMIFS('سجل الإجازات والحالات'!$AI$6:$AI$505,'سجل الإجازات والحالات'!$B$6:$B$505,$B12))/cfg_DAYS_Y)</f>
        <v>5.11232876712329</v>
      </c>
      <c r="AJ12" s="57" t="n">
        <f aca="false">IF($B12="","",MAX(0,AK12-(SUMIFS('سجل الإجازات والحالات'!$AJ$6:$AJ$505,'سجل الإجازات والحالات'!$B$6:$B$505,$B12)-SUMIFS('سجل الإجازات والحالات'!$AI$6:$AI$505,'سجل الإجازات والحالات'!$B$6:$B$505,$B12))))</f>
        <v>31</v>
      </c>
      <c r="AK12" s="57" t="n">
        <f aca="false">IF($B12="","",MAX(0,IF(OR(الموظفون!$AE12="",الموظفون!$AE12&gt;$F$3),$F$3,الموظفون!$AE12)-MAX($E$3,الموظفون!$H12)+1))</f>
        <v>31</v>
      </c>
      <c r="AL12" s="126" t="n">
        <f aca="false">IF($B12="","",SUMIFS('سجل الإجازات والحالات'!$AV$6:$AV$505,'سجل الإجازات والحالات'!$B$6:$B$505,$B12)+SUMIFS('الحركات الشهرية'!$K$6:$K$1005,'الحركات الشهرية'!$B$6:$B$1005,$B12,'الحركات الشهرية'!$A$6:$A$1005,$C$3))</f>
        <v>21</v>
      </c>
      <c r="AM12" s="97" t="n">
        <f aca="false">IF($B12="","",AL12*الموظفون!$R12/cfg_DAYS_M+S12)</f>
        <v>10395</v>
      </c>
      <c r="AN12" s="126" t="n">
        <f aca="false">IF($B12="","",SUMIFS('سجل الإجازات والحالات'!$X$6:$X$505,'سجل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والحالات'!$AJ$6:$AJ$505,'سجل الإجازات والحالات'!$B$6:$B$505,$B13))/cfg_DAYS_Y)</f>
        <v>3.08767123287671</v>
      </c>
      <c r="AI13" s="135" t="n">
        <f aca="false">IF($B13="","",MAX(0,IF(OR(الموظفون!$AE13="",الموظفون!$AE13&gt;($E$3-1)),($E$3-1),الموظفون!$AE13)-الموظفون!$H13+1-SUMIFS('سجل الإجازات والحالات'!$AI$6:$AI$505,'سجل الإجازات والحالات'!$B$6:$B$505,$B13))/cfg_DAYS_Y)</f>
        <v>3.0027397260274</v>
      </c>
      <c r="AJ13" s="110" t="n">
        <f aca="false">IF($B13="","",MAX(0,AK13-(SUMIFS('سجل الإجازات والحالات'!$AJ$6:$AJ$505,'سجل الإجازات والحالات'!$B$6:$B$505,$B13)-SUMIFS('سجل الإجازات والحالات'!$AI$6:$AI$505,'سجل الإجازات والحالات'!$B$6:$B$505,$B13))))</f>
        <v>31</v>
      </c>
      <c r="AK13" s="110" t="n">
        <f aca="false">IF($B13="","",MAX(0,IF(OR(الموظفون!$AE13="",الموظفون!$AE13&gt;$F$3),$F$3,الموظفون!$AE13)-MAX($E$3,الموظفون!$H13)+1))</f>
        <v>31</v>
      </c>
      <c r="AL13" s="131" t="n">
        <f aca="false">IF($B13="","",SUMIFS('سجل الإجازات والحالات'!$AV$6:$AV$505,'سجل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والحالات'!$X$6:$X$505,'سجل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والحالات'!$AJ$6:$AJ$505,'سجل الإجازات والحالات'!$B$6:$B$505,$B14))/cfg_DAYS_Y)</f>
        <v>11.627397260274</v>
      </c>
      <c r="AI14" s="130" t="n">
        <f aca="false">IF($B14="","",MAX(0,IF(OR(الموظفون!$AE14="",الموظفون!$AE14&gt;($E$3-1)),($E$3-1),الموظفون!$AE14)-الموظفون!$H14+1-SUMIFS('سجل الإجازات والحالات'!$AI$6:$AI$505,'سجل الإجازات والحالات'!$B$6:$B$505,$B14))/cfg_DAYS_Y)</f>
        <v>11.5424657534247</v>
      </c>
      <c r="AJ14" s="57" t="n">
        <f aca="false">IF($B14="","",MAX(0,AK14-(SUMIFS('سجل الإجازات والحالات'!$AJ$6:$AJ$505,'سجل الإجازات والحالات'!$B$6:$B$505,$B14)-SUMIFS('سجل الإجازات والحالات'!$AI$6:$AI$505,'سجل الإجازات والحالات'!$B$6:$B$505,$B14))))</f>
        <v>31</v>
      </c>
      <c r="AK14" s="57" t="n">
        <f aca="false">IF($B14="","",MAX(0,IF(OR(الموظفون!$AE14="",الموظفون!$AE14&gt;$F$3),$F$3,الموظفون!$AE14)-MAX($E$3,الموظفون!$H14)+1))</f>
        <v>31</v>
      </c>
      <c r="AL14" s="126" t="n">
        <f aca="false">IF($B14="","",SUMIFS('سجل الإجازات والحالات'!$AV$6:$AV$505,'سجل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والحالات'!$X$6:$X$505,'سجل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لم يباشر</v>
      </c>
      <c r="G15" s="131" t="n">
        <f aca="false">IF($B15="","",IF(AK15&gt;=DAY($F$3),cfg_DAYS_M,MIN(AK15,cfg_DAYS_M)))</f>
        <v>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0</v>
      </c>
      <c r="K15" s="101" t="n">
        <f aca="false">IF($B15="","",الموظفون!$L15*$J15/cfg_DAYS_M)</f>
        <v>0</v>
      </c>
      <c r="L15" s="101" t="n">
        <f aca="false">IF($B15="","",الموظفون!$M15*$J15/cfg_DAYS_M)</f>
        <v>0</v>
      </c>
      <c r="M15" s="101" t="n">
        <f aca="false">IF($B15="","",الموظفون!$N15*$J15/cfg_DAYS_M)</f>
        <v>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0</v>
      </c>
      <c r="U15" s="101" t="n">
        <f aca="false">IF($B15="","",الموظفون!$S15*IF(E15="سعودي",cfg_G_SE,cfg_G_NE)*G15/cfg_DAYS_M)</f>
        <v>0</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0</v>
      </c>
      <c r="Y15" s="133" t="n">
        <f aca="false">IF($B15="","",T15-X15)</f>
        <v>0</v>
      </c>
      <c r="Z15" s="101" t="n">
        <f aca="false">IF($B15="","",الموظفون!$S15*IF(E15="سعودي",cfg_G_SR,cfg_G_NR)*G15/cfg_DAYS_M)</f>
        <v>0</v>
      </c>
      <c r="AA15" s="101" t="n">
        <f aca="false">IF($B15="","",الموظفون!$Q15*(cfg_EOS_R1*(MIN(AH15,cfg_EOS_TH)-MIN(AI15,cfg_EOS_TH))+cfg_EOS_R2*(MAX(AH15-cfg_EOS_TH,0)-MAX(AI15-cfg_EOS_TH,0))))</f>
        <v>0</v>
      </c>
      <c r="AB15" s="101" t="n">
        <f aca="false">IF($B15="","",IF(الموظفون!$T15&lt;&gt;"",الموظفون!$T15,IF(AH15&gt;=cfg_LV_TH,cfg_LV_D2,cfg_LV_D1))/cfg_DAYS_Y*AJ15*الموظفون!$R15/cfg_DAYS_M)</f>
        <v>0</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0</v>
      </c>
      <c r="AF15" s="101" t="n">
        <f aca="false">IF($B15="","",N(الموظفون!$AA15)/12*G15/cfg_DAYS_M)</f>
        <v>0</v>
      </c>
      <c r="AG15" s="134" t="n">
        <f aca="false">IF($B15="","",T15+SUM(Z15:AF15))</f>
        <v>0</v>
      </c>
      <c r="AH15" s="135" t="n">
        <f aca="false">IF($B15="","",MAX(0,IF(OR(الموظفون!$AE15="",الموظفون!$AE15&gt;$F$3),$F$3,الموظفون!$AE15)-الموظفون!$H15+1-SUMIFS('سجل الإجازات والحالات'!$AJ$6:$AJ$505,'سجل الإجازات والحالات'!$B$6:$B$505,$B15))/cfg_DAYS_Y)</f>
        <v>0</v>
      </c>
      <c r="AI15" s="135" t="n">
        <f aca="false">IF($B15="","",MAX(0,IF(OR(الموظفون!$AE15="",الموظفون!$AE15&gt;($E$3-1)),($E$3-1),الموظفون!$AE15)-الموظفون!$H15+1-SUMIFS('سجل الإجازات والحالات'!$AI$6:$AI$505,'سجل الإجازات والحالات'!$B$6:$B$505,$B15))/cfg_DAYS_Y)</f>
        <v>0</v>
      </c>
      <c r="AJ15" s="110" t="n">
        <f aca="false">IF($B15="","",MAX(0,AK15-(SUMIFS('سجل الإجازات والحالات'!$AJ$6:$AJ$505,'سجل الإجازات والحالات'!$B$6:$B$505,$B15)-SUMIFS('سجل الإجازات والحالات'!$AI$6:$AI$505,'سجل الإجازات والحالات'!$B$6:$B$505,$B15))))</f>
        <v>0</v>
      </c>
      <c r="AK15" s="110" t="n">
        <f aca="false">IF($B15="","",MAX(0,IF(OR(الموظفون!$AE15="",الموظفون!$AE15&gt;$F$3),$F$3,الموظفون!$AE15)-MAX($E$3,الموظفون!$H15)+1))</f>
        <v>0</v>
      </c>
      <c r="AL15" s="131" t="n">
        <f aca="false">IF($B15="","",SUMIFS('سجل الإجازات والحالات'!$AV$6:$AV$505,'سجل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والحالات'!$X$6:$X$505,'سجل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573.287671232874</v>
      </c>
      <c r="AB16" s="97" t="n">
        <f aca="false">IF($B16="","",IF(الموظفون!$T16&lt;&gt;"",الموظفون!$T16,IF(AH16&gt;=cfg_LV_TH,cfg_LV_D2,cfg_LV_D1))/cfg_DAYS_Y*AJ16*الموظفون!$R16/cfg_DAYS_M)</f>
        <v>573.287671232877</v>
      </c>
      <c r="AC16" s="97" t="n">
        <f aca="false">IF($B16="","",IF(AND(الموظفون!$U16="نعم",N(الموظفون!$W16)&gt;0),الموظفون!$V16/الموظفون!$W16*12/cfg_DAYS_Y*AJ16,0))</f>
        <v>110.41095890411</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9136.15296803653</v>
      </c>
      <c r="AH16" s="130" t="n">
        <f aca="false">IF($B16="","",MAX(0,IF(OR(الموظفون!$AE16="",الموظفون!$AE16&gt;$F$3),$F$3,الموظفون!$AE16)-الموظفون!$H16+1-SUMIFS('سجل الإجازات والحالات'!$AJ$6:$AJ$505,'سجل الإجازات والحالات'!$B$6:$B$505,$B16))/cfg_DAYS_Y)</f>
        <v>7.09041095890411</v>
      </c>
      <c r="AI16" s="130" t="n">
        <f aca="false">IF($B16="","",MAX(0,IF(OR(الموظفون!$AE16="",الموظفون!$AE16&gt;($E$3-1)),($E$3-1),الموظفون!$AE16)-الموظفون!$H16+1-SUMIFS('سجل الإجازات والحالات'!$AI$6:$AI$505,'سجل الإجازات والحالات'!$B$6:$B$505,$B16))/cfg_DAYS_Y)</f>
        <v>7.0054794520548</v>
      </c>
      <c r="AJ16" s="57" t="n">
        <f aca="false">IF($B16="","",MAX(0,AK16-(SUMIFS('سجل الإجازات والحالات'!$AJ$6:$AJ$505,'سجل الإجازات والحالات'!$B$6:$B$505,$B16)-SUMIFS('سجل الإجازات والحالات'!$AI$6:$AI$505,'سجل الإجازات والحالات'!$B$6:$B$505,$B16))))</f>
        <v>31</v>
      </c>
      <c r="AK16" s="57" t="n">
        <f aca="false">IF($B16="","",MAX(0,IF(OR(الموظفون!$AE16="",الموظفون!$AE16&gt;$F$3),$F$3,الموظفون!$AE16)-MAX($E$3,الموظفون!$H16)+1))</f>
        <v>31</v>
      </c>
      <c r="AL16" s="126" t="n">
        <f aca="false">IF($B16="","",SUMIFS('سجل الإجازات والحالات'!$AV$6:$AV$505,'سجل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والحالات'!$X$6:$X$505,'سجل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687.945205479452</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والحالات'!$AJ$6:$AJ$505,'سجل الإجازات والحالات'!$B$6:$B$505,$B17))/cfg_DAYS_Y)</f>
        <v>3.72876712328767</v>
      </c>
      <c r="AI17" s="135" t="n">
        <f aca="false">IF($B17="","",MAX(0,IF(OR(الموظفون!$AE17="",الموظفون!$AE17&gt;($E$3-1)),($E$3-1),الموظفون!$AE17)-الموظفون!$H17+1-SUMIFS('سجل الإجازات والحالات'!$AI$6:$AI$505,'سجل الإجازات والحالات'!$B$6:$B$505,$B17))/cfg_DAYS_Y)</f>
        <v>3.64383561643836</v>
      </c>
      <c r="AJ17" s="110" t="n">
        <f aca="false">IF($B17="","",MAX(0,AK17-(SUMIFS('سجل الإجازات والحالات'!$AJ$6:$AJ$505,'سجل الإجازات والحالات'!$B$6:$B$505,$B17)-SUMIFS('سجل الإجازات والحالات'!$AI$6:$AI$505,'سجل الإجازات والحالات'!$B$6:$B$505,$B17))))</f>
        <v>31</v>
      </c>
      <c r="AK17" s="110" t="n">
        <f aca="false">IF($B17="","",MAX(0,IF(OR(الموظفون!$AE17="",الموظفون!$AE17&gt;$F$3),$F$3,الموظفون!$AE17)-MAX($E$3,الموظفون!$H17)+1))</f>
        <v>31</v>
      </c>
      <c r="AL17" s="131" t="n">
        <f aca="false">IF($B17="","",SUMIFS('سجل الإجازات والحالات'!$AV$6:$AV$505,'سجل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والحالات'!$X$6:$X$505,'سجل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والحالات'!$AJ$6:$AJ$505,'سجل الإجازات والحالات'!$B$6:$B$505,$B18))/cfg_DAYS_Y)</f>
        <v/>
      </c>
      <c r="AI18" s="130" t="str">
        <f aca="false">IF($B18="","",MAX(0,IF(OR(الموظفون!$AE18="",الموظفون!$AE18&gt;($E$3-1)),($E$3-1),الموظفون!$AE18)-الموظفون!$H18+1-SUMIFS('سجل الإجازات والحالات'!$AI$6:$AI$505,'سجل الإجازات والحالات'!$B$6:$B$505,$B18))/cfg_DAYS_Y)</f>
        <v/>
      </c>
      <c r="AJ18" s="57" t="str">
        <f aca="false">IF($B18="","",MAX(0,AK18-(SUMIFS('سجل الإجازات والحالات'!$AJ$6:$AJ$505,'سجل الإجازات والحالات'!$B$6:$B$505,$B18)-SUMIFS('سجل الإجازات والحالات'!$AI$6:$AI$505,'سجل الإجازات والحالات'!$B$6:$B$505,$B18))))</f>
        <v/>
      </c>
      <c r="AK18" s="57" t="str">
        <f aca="false">IF($B18="","",MAX(0,IF(OR(الموظفون!$AE18="",الموظفون!$AE18&gt;$F$3),$F$3,الموظفون!$AE18)-MAX($E$3,الموظفون!$H18)+1))</f>
        <v/>
      </c>
      <c r="AL18" s="126" t="str">
        <f aca="false">IF($B18="","",SUMIFS('سجل الإجازات والحالات'!$AV$6:$AV$505,'سجل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والحالات'!$X$6:$X$505,'سجل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والحالات'!$AJ$6:$AJ$505,'سجل الإجازات والحالات'!$B$6:$B$505,$B19))/cfg_DAYS_Y)</f>
        <v/>
      </c>
      <c r="AI19" s="135" t="str">
        <f aca="false">IF($B19="","",MAX(0,IF(OR(الموظفون!$AE19="",الموظفون!$AE19&gt;($E$3-1)),($E$3-1),الموظفون!$AE19)-الموظفون!$H19+1-SUMIFS('سجل الإجازات والحالات'!$AI$6:$AI$505,'سجل الإجازات والحالات'!$B$6:$B$505,$B19))/cfg_DAYS_Y)</f>
        <v/>
      </c>
      <c r="AJ19" s="110" t="str">
        <f aca="false">IF($B19="","",MAX(0,AK19-(SUMIFS('سجل الإجازات والحالات'!$AJ$6:$AJ$505,'سجل الإجازات والحالات'!$B$6:$B$505,$B19)-SUMIFS('سجل الإجازات والحالات'!$AI$6:$AI$505,'سجل الإجازات والحالات'!$B$6:$B$505,$B19))))</f>
        <v/>
      </c>
      <c r="AK19" s="110" t="str">
        <f aca="false">IF($B19="","",MAX(0,IF(OR(الموظفون!$AE19="",الموظفون!$AE19&gt;$F$3),$F$3,الموظفون!$AE19)-MAX($E$3,الموظفون!$H19)+1))</f>
        <v/>
      </c>
      <c r="AL19" s="131" t="str">
        <f aca="false">IF($B19="","",SUMIFS('سجل الإجازات والحالات'!$AV$6:$AV$505,'سجل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والحالات'!$X$6:$X$505,'سجل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والحالات'!$AJ$6:$AJ$505,'سجل الإجازات والحالات'!$B$6:$B$505,$B20))/cfg_DAYS_Y)</f>
        <v/>
      </c>
      <c r="AI20" s="130" t="str">
        <f aca="false">IF($B20="","",MAX(0,IF(OR(الموظفون!$AE20="",الموظفون!$AE20&gt;($E$3-1)),($E$3-1),الموظفون!$AE20)-الموظفون!$H20+1-SUMIFS('سجل الإجازات والحالات'!$AI$6:$AI$505,'سجل الإجازات والحالات'!$B$6:$B$505,$B20))/cfg_DAYS_Y)</f>
        <v/>
      </c>
      <c r="AJ20" s="57" t="str">
        <f aca="false">IF($B20="","",MAX(0,AK20-(SUMIFS('سجل الإجازات والحالات'!$AJ$6:$AJ$505,'سجل الإجازات والحالات'!$B$6:$B$505,$B20)-SUMIFS('سجل الإجازات والحالات'!$AI$6:$AI$505,'سجل الإجازات والحالات'!$B$6:$B$505,$B20))))</f>
        <v/>
      </c>
      <c r="AK20" s="57" t="str">
        <f aca="false">IF($B20="","",MAX(0,IF(OR(الموظفون!$AE20="",الموظفون!$AE20&gt;$F$3),$F$3,الموظفون!$AE20)-MAX($E$3,الموظفون!$H20)+1))</f>
        <v/>
      </c>
      <c r="AL20" s="126" t="str">
        <f aca="false">IF($B20="","",SUMIFS('سجل الإجازات والحالات'!$AV$6:$AV$505,'سجل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والحالات'!$X$6:$X$505,'سجل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والحالات'!$AJ$6:$AJ$505,'سجل الإجازات والحالات'!$B$6:$B$505,$B21))/cfg_DAYS_Y)</f>
        <v/>
      </c>
      <c r="AI21" s="135" t="str">
        <f aca="false">IF($B21="","",MAX(0,IF(OR(الموظفون!$AE21="",الموظفون!$AE21&gt;($E$3-1)),($E$3-1),الموظفون!$AE21)-الموظفون!$H21+1-SUMIFS('سجل الإجازات والحالات'!$AI$6:$AI$505,'سجل الإجازات والحالات'!$B$6:$B$505,$B21))/cfg_DAYS_Y)</f>
        <v/>
      </c>
      <c r="AJ21" s="110" t="str">
        <f aca="false">IF($B21="","",MAX(0,AK21-(SUMIFS('سجل الإجازات والحالات'!$AJ$6:$AJ$505,'سجل الإجازات والحالات'!$B$6:$B$505,$B21)-SUMIFS('سجل الإجازات والحالات'!$AI$6:$AI$505,'سجل الإجازات والحالات'!$B$6:$B$505,$B21))))</f>
        <v/>
      </c>
      <c r="AK21" s="110" t="str">
        <f aca="false">IF($B21="","",MAX(0,IF(OR(الموظفون!$AE21="",الموظفون!$AE21&gt;$F$3),$F$3,الموظفون!$AE21)-MAX($E$3,الموظفون!$H21)+1))</f>
        <v/>
      </c>
      <c r="AL21" s="131" t="str">
        <f aca="false">IF($B21="","",SUMIFS('سجل الإجازات والحالات'!$AV$6:$AV$505,'سجل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والحالات'!$X$6:$X$505,'سجل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والحالات'!$AJ$6:$AJ$505,'سجل الإجازات والحالات'!$B$6:$B$505,$B22))/cfg_DAYS_Y)</f>
        <v/>
      </c>
      <c r="AI22" s="130" t="str">
        <f aca="false">IF($B22="","",MAX(0,IF(OR(الموظفون!$AE22="",الموظفون!$AE22&gt;($E$3-1)),($E$3-1),الموظفون!$AE22)-الموظفون!$H22+1-SUMIFS('سجل الإجازات والحالات'!$AI$6:$AI$505,'سجل الإجازات والحالات'!$B$6:$B$505,$B22))/cfg_DAYS_Y)</f>
        <v/>
      </c>
      <c r="AJ22" s="57" t="str">
        <f aca="false">IF($B22="","",MAX(0,AK22-(SUMIFS('سجل الإجازات والحالات'!$AJ$6:$AJ$505,'سجل الإجازات والحالات'!$B$6:$B$505,$B22)-SUMIFS('سجل الإجازات والحالات'!$AI$6:$AI$505,'سجل الإجازات والحالات'!$B$6:$B$505,$B22))))</f>
        <v/>
      </c>
      <c r="AK22" s="57" t="str">
        <f aca="false">IF($B22="","",MAX(0,IF(OR(الموظفون!$AE22="",الموظفون!$AE22&gt;$F$3),$F$3,الموظفون!$AE22)-MAX($E$3,الموظفون!$H22)+1))</f>
        <v/>
      </c>
      <c r="AL22" s="126" t="str">
        <f aca="false">IF($B22="","",SUMIFS('سجل الإجازات والحالات'!$AV$6:$AV$505,'سجل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والحالات'!$X$6:$X$505,'سجل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والحالات'!$AJ$6:$AJ$505,'سجل الإجازات والحالات'!$B$6:$B$505,$B23))/cfg_DAYS_Y)</f>
        <v/>
      </c>
      <c r="AI23" s="135" t="str">
        <f aca="false">IF($B23="","",MAX(0,IF(OR(الموظفون!$AE23="",الموظفون!$AE23&gt;($E$3-1)),($E$3-1),الموظفون!$AE23)-الموظفون!$H23+1-SUMIFS('سجل الإجازات والحالات'!$AI$6:$AI$505,'سجل الإجازات والحالات'!$B$6:$B$505,$B23))/cfg_DAYS_Y)</f>
        <v/>
      </c>
      <c r="AJ23" s="110" t="str">
        <f aca="false">IF($B23="","",MAX(0,AK23-(SUMIFS('سجل الإجازات والحالات'!$AJ$6:$AJ$505,'سجل الإجازات والحالات'!$B$6:$B$505,$B23)-SUMIFS('سجل الإجازات والحالات'!$AI$6:$AI$505,'سجل الإجازات والحالات'!$B$6:$B$505,$B23))))</f>
        <v/>
      </c>
      <c r="AK23" s="110" t="str">
        <f aca="false">IF($B23="","",MAX(0,IF(OR(الموظفون!$AE23="",الموظفون!$AE23&gt;$F$3),$F$3,الموظفون!$AE23)-MAX($E$3,الموظفون!$H23)+1))</f>
        <v/>
      </c>
      <c r="AL23" s="131" t="str">
        <f aca="false">IF($B23="","",SUMIFS('سجل الإجازات والحالات'!$AV$6:$AV$505,'سجل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والحالات'!$X$6:$X$505,'سجل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والحالات'!$AJ$6:$AJ$505,'سجل الإجازات والحالات'!$B$6:$B$505,$B24))/cfg_DAYS_Y)</f>
        <v/>
      </c>
      <c r="AI24" s="130" t="str">
        <f aca="false">IF($B24="","",MAX(0,IF(OR(الموظفون!$AE24="",الموظفون!$AE24&gt;($E$3-1)),($E$3-1),الموظفون!$AE24)-الموظفون!$H24+1-SUMIFS('سجل الإجازات والحالات'!$AI$6:$AI$505,'سجل الإجازات والحالات'!$B$6:$B$505,$B24))/cfg_DAYS_Y)</f>
        <v/>
      </c>
      <c r="AJ24" s="57" t="str">
        <f aca="false">IF($B24="","",MAX(0,AK24-(SUMIFS('سجل الإجازات والحالات'!$AJ$6:$AJ$505,'سجل الإجازات والحالات'!$B$6:$B$505,$B24)-SUMIFS('سجل الإجازات والحالات'!$AI$6:$AI$505,'سجل الإجازات والحالات'!$B$6:$B$505,$B24))))</f>
        <v/>
      </c>
      <c r="AK24" s="57" t="str">
        <f aca="false">IF($B24="","",MAX(0,IF(OR(الموظفون!$AE24="",الموظفون!$AE24&gt;$F$3),$F$3,الموظفون!$AE24)-MAX($E$3,الموظفون!$H24)+1))</f>
        <v/>
      </c>
      <c r="AL24" s="126" t="str">
        <f aca="false">IF($B24="","",SUMIFS('سجل الإجازات والحالات'!$AV$6:$AV$505,'سجل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والحالات'!$X$6:$X$505,'سجل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والحالات'!$AJ$6:$AJ$505,'سجل الإجازات والحالات'!$B$6:$B$505,$B25))/cfg_DAYS_Y)</f>
        <v/>
      </c>
      <c r="AI25" s="135" t="str">
        <f aca="false">IF($B25="","",MAX(0,IF(OR(الموظفون!$AE25="",الموظفون!$AE25&gt;($E$3-1)),($E$3-1),الموظفون!$AE25)-الموظفون!$H25+1-SUMIFS('سجل الإجازات والحالات'!$AI$6:$AI$505,'سجل الإجازات والحالات'!$B$6:$B$505,$B25))/cfg_DAYS_Y)</f>
        <v/>
      </c>
      <c r="AJ25" s="110" t="str">
        <f aca="false">IF($B25="","",MAX(0,AK25-(SUMIFS('سجل الإجازات والحالات'!$AJ$6:$AJ$505,'سجل الإجازات والحالات'!$B$6:$B$505,$B25)-SUMIFS('سجل الإجازات والحالات'!$AI$6:$AI$505,'سجل الإجازات والحالات'!$B$6:$B$505,$B25))))</f>
        <v/>
      </c>
      <c r="AK25" s="110" t="str">
        <f aca="false">IF($B25="","",MAX(0,IF(OR(الموظفون!$AE25="",الموظفون!$AE25&gt;$F$3),$F$3,الموظفون!$AE25)-MAX($E$3,الموظفون!$H25)+1))</f>
        <v/>
      </c>
      <c r="AL25" s="131" t="str">
        <f aca="false">IF($B25="","",SUMIFS('سجل الإجازات والحالات'!$AV$6:$AV$505,'سجل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والحالات'!$X$6:$X$505,'سجل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والحالات'!$AJ$6:$AJ$505,'سجل الإجازات والحالات'!$B$6:$B$505,$B26))/cfg_DAYS_Y)</f>
        <v/>
      </c>
      <c r="AI26" s="130" t="str">
        <f aca="false">IF($B26="","",MAX(0,IF(OR(الموظفون!$AE26="",الموظفون!$AE26&gt;($E$3-1)),($E$3-1),الموظفون!$AE26)-الموظفون!$H26+1-SUMIFS('سجل الإجازات والحالات'!$AI$6:$AI$505,'سجل الإجازات والحالات'!$B$6:$B$505,$B26))/cfg_DAYS_Y)</f>
        <v/>
      </c>
      <c r="AJ26" s="57" t="str">
        <f aca="false">IF($B26="","",MAX(0,AK26-(SUMIFS('سجل الإجازات والحالات'!$AJ$6:$AJ$505,'سجل الإجازات والحالات'!$B$6:$B$505,$B26)-SUMIFS('سجل الإجازات والحالات'!$AI$6:$AI$505,'سجل الإجازات والحالات'!$B$6:$B$505,$B26))))</f>
        <v/>
      </c>
      <c r="AK26" s="57" t="str">
        <f aca="false">IF($B26="","",MAX(0,IF(OR(الموظفون!$AE26="",الموظفون!$AE26&gt;$F$3),$F$3,الموظفون!$AE26)-MAX($E$3,الموظفون!$H26)+1))</f>
        <v/>
      </c>
      <c r="AL26" s="126" t="str">
        <f aca="false">IF($B26="","",SUMIFS('سجل الإجازات والحالات'!$AV$6:$AV$505,'سجل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والحالات'!$X$6:$X$505,'سجل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والحالات'!$AJ$6:$AJ$505,'سجل الإجازات والحالات'!$B$6:$B$505,$B27))/cfg_DAYS_Y)</f>
        <v/>
      </c>
      <c r="AI27" s="135" t="str">
        <f aca="false">IF($B27="","",MAX(0,IF(OR(الموظفون!$AE27="",الموظفون!$AE27&gt;($E$3-1)),($E$3-1),الموظفون!$AE27)-الموظفون!$H27+1-SUMIFS('سجل الإجازات والحالات'!$AI$6:$AI$505,'سجل الإجازات والحالات'!$B$6:$B$505,$B27))/cfg_DAYS_Y)</f>
        <v/>
      </c>
      <c r="AJ27" s="110" t="str">
        <f aca="false">IF($B27="","",MAX(0,AK27-(SUMIFS('سجل الإجازات والحالات'!$AJ$6:$AJ$505,'سجل الإجازات والحالات'!$B$6:$B$505,$B27)-SUMIFS('سجل الإجازات والحالات'!$AI$6:$AI$505,'سجل الإجازات والحالات'!$B$6:$B$505,$B27))))</f>
        <v/>
      </c>
      <c r="AK27" s="110" t="str">
        <f aca="false">IF($B27="","",MAX(0,IF(OR(الموظفون!$AE27="",الموظفون!$AE27&gt;$F$3),$F$3,الموظفون!$AE27)-MAX($E$3,الموظفون!$H27)+1))</f>
        <v/>
      </c>
      <c r="AL27" s="131" t="str">
        <f aca="false">IF($B27="","",SUMIFS('سجل الإجازات والحالات'!$AV$6:$AV$505,'سجل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والحالات'!$X$6:$X$505,'سجل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والحالات'!$AJ$6:$AJ$505,'سجل الإجازات والحالات'!$B$6:$B$505,$B28))/cfg_DAYS_Y)</f>
        <v/>
      </c>
      <c r="AI28" s="130" t="str">
        <f aca="false">IF($B28="","",MAX(0,IF(OR(الموظفون!$AE28="",الموظفون!$AE28&gt;($E$3-1)),($E$3-1),الموظفون!$AE28)-الموظفون!$H28+1-SUMIFS('سجل الإجازات والحالات'!$AI$6:$AI$505,'سجل الإجازات والحالات'!$B$6:$B$505,$B28))/cfg_DAYS_Y)</f>
        <v/>
      </c>
      <c r="AJ28" s="57" t="str">
        <f aca="false">IF($B28="","",MAX(0,AK28-(SUMIFS('سجل الإجازات والحالات'!$AJ$6:$AJ$505,'سجل الإجازات والحالات'!$B$6:$B$505,$B28)-SUMIFS('سجل الإجازات والحالات'!$AI$6:$AI$505,'سجل الإجازات والحالات'!$B$6:$B$505,$B28))))</f>
        <v/>
      </c>
      <c r="AK28" s="57" t="str">
        <f aca="false">IF($B28="","",MAX(0,IF(OR(الموظفون!$AE28="",الموظفون!$AE28&gt;$F$3),$F$3,الموظفون!$AE28)-MAX($E$3,الموظفون!$H28)+1))</f>
        <v/>
      </c>
      <c r="AL28" s="126" t="str">
        <f aca="false">IF($B28="","",SUMIFS('سجل الإجازات والحالات'!$AV$6:$AV$505,'سجل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والحالات'!$X$6:$X$505,'سجل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والحالات'!$AJ$6:$AJ$505,'سجل الإجازات والحالات'!$B$6:$B$505,$B29))/cfg_DAYS_Y)</f>
        <v/>
      </c>
      <c r="AI29" s="135" t="str">
        <f aca="false">IF($B29="","",MAX(0,IF(OR(الموظفون!$AE29="",الموظفون!$AE29&gt;($E$3-1)),($E$3-1),الموظفون!$AE29)-الموظفون!$H29+1-SUMIFS('سجل الإجازات والحالات'!$AI$6:$AI$505,'سجل الإجازات والحالات'!$B$6:$B$505,$B29))/cfg_DAYS_Y)</f>
        <v/>
      </c>
      <c r="AJ29" s="110" t="str">
        <f aca="false">IF($B29="","",MAX(0,AK29-(SUMIFS('سجل الإجازات والحالات'!$AJ$6:$AJ$505,'سجل الإجازات والحالات'!$B$6:$B$505,$B29)-SUMIFS('سجل الإجازات والحالات'!$AI$6:$AI$505,'سجل الإجازات والحالات'!$B$6:$B$505,$B29))))</f>
        <v/>
      </c>
      <c r="AK29" s="110" t="str">
        <f aca="false">IF($B29="","",MAX(0,IF(OR(الموظفون!$AE29="",الموظفون!$AE29&gt;$F$3),$F$3,الموظفون!$AE29)-MAX($E$3,الموظفون!$H29)+1))</f>
        <v/>
      </c>
      <c r="AL29" s="131" t="str">
        <f aca="false">IF($B29="","",SUMIFS('سجل الإجازات والحالات'!$AV$6:$AV$505,'سجل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والحالات'!$X$6:$X$505,'سجل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والحالات'!$AJ$6:$AJ$505,'سجل الإجازات والحالات'!$B$6:$B$505,$B30))/cfg_DAYS_Y)</f>
        <v/>
      </c>
      <c r="AI30" s="130" t="str">
        <f aca="false">IF($B30="","",MAX(0,IF(OR(الموظفون!$AE30="",الموظفون!$AE30&gt;($E$3-1)),($E$3-1),الموظفون!$AE30)-الموظفون!$H30+1-SUMIFS('سجل الإجازات والحالات'!$AI$6:$AI$505,'سجل الإجازات والحالات'!$B$6:$B$505,$B30))/cfg_DAYS_Y)</f>
        <v/>
      </c>
      <c r="AJ30" s="57" t="str">
        <f aca="false">IF($B30="","",MAX(0,AK30-(SUMIFS('سجل الإجازات والحالات'!$AJ$6:$AJ$505,'سجل الإجازات والحالات'!$B$6:$B$505,$B30)-SUMIFS('سجل الإجازات والحالات'!$AI$6:$AI$505,'سجل الإجازات والحالات'!$B$6:$B$505,$B30))))</f>
        <v/>
      </c>
      <c r="AK30" s="57" t="str">
        <f aca="false">IF($B30="","",MAX(0,IF(OR(الموظفون!$AE30="",الموظفون!$AE30&gt;$F$3),$F$3,الموظفون!$AE30)-MAX($E$3,الموظفون!$H30)+1))</f>
        <v/>
      </c>
      <c r="AL30" s="126" t="str">
        <f aca="false">IF($B30="","",SUMIFS('سجل الإجازات والحالات'!$AV$6:$AV$505,'سجل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والحالات'!$X$6:$X$505,'سجل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والحالات'!$AJ$6:$AJ$505,'سجل الإجازات والحالات'!$B$6:$B$505,$B31))/cfg_DAYS_Y)</f>
        <v/>
      </c>
      <c r="AI31" s="135" t="str">
        <f aca="false">IF($B31="","",MAX(0,IF(OR(الموظفون!$AE31="",الموظفون!$AE31&gt;($E$3-1)),($E$3-1),الموظفون!$AE31)-الموظفون!$H31+1-SUMIFS('سجل الإجازات والحالات'!$AI$6:$AI$505,'سجل الإجازات والحالات'!$B$6:$B$505,$B31))/cfg_DAYS_Y)</f>
        <v/>
      </c>
      <c r="AJ31" s="110" t="str">
        <f aca="false">IF($B31="","",MAX(0,AK31-(SUMIFS('سجل الإجازات والحالات'!$AJ$6:$AJ$505,'سجل الإجازات والحالات'!$B$6:$B$505,$B31)-SUMIFS('سجل الإجازات والحالات'!$AI$6:$AI$505,'سجل الإجازات والحالات'!$B$6:$B$505,$B31))))</f>
        <v/>
      </c>
      <c r="AK31" s="110" t="str">
        <f aca="false">IF($B31="","",MAX(0,IF(OR(الموظفون!$AE31="",الموظفون!$AE31&gt;$F$3),$F$3,الموظفون!$AE31)-MAX($E$3,الموظفون!$H31)+1))</f>
        <v/>
      </c>
      <c r="AL31" s="131" t="str">
        <f aca="false">IF($B31="","",SUMIFS('سجل الإجازات والحالات'!$AV$6:$AV$505,'سجل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والحالات'!$X$6:$X$505,'سجل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والحالات'!$AJ$6:$AJ$505,'سجل الإجازات والحالات'!$B$6:$B$505,$B32))/cfg_DAYS_Y)</f>
        <v/>
      </c>
      <c r="AI32" s="130" t="str">
        <f aca="false">IF($B32="","",MAX(0,IF(OR(الموظفون!$AE32="",الموظفون!$AE32&gt;($E$3-1)),($E$3-1),الموظفون!$AE32)-الموظفون!$H32+1-SUMIFS('سجل الإجازات والحالات'!$AI$6:$AI$505,'سجل الإجازات والحالات'!$B$6:$B$505,$B32))/cfg_DAYS_Y)</f>
        <v/>
      </c>
      <c r="AJ32" s="57" t="str">
        <f aca="false">IF($B32="","",MAX(0,AK32-(SUMIFS('سجل الإجازات والحالات'!$AJ$6:$AJ$505,'سجل الإجازات والحالات'!$B$6:$B$505,$B32)-SUMIFS('سجل الإجازات والحالات'!$AI$6:$AI$505,'سجل الإجازات والحالات'!$B$6:$B$505,$B32))))</f>
        <v/>
      </c>
      <c r="AK32" s="57" t="str">
        <f aca="false">IF($B32="","",MAX(0,IF(OR(الموظفون!$AE32="",الموظفون!$AE32&gt;$F$3),$F$3,الموظفون!$AE32)-MAX($E$3,الموظفون!$H32)+1))</f>
        <v/>
      </c>
      <c r="AL32" s="126" t="str">
        <f aca="false">IF($B32="","",SUMIFS('سجل الإجازات والحالات'!$AV$6:$AV$505,'سجل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والحالات'!$X$6:$X$505,'سجل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والحالات'!$AJ$6:$AJ$505,'سجل الإجازات والحالات'!$B$6:$B$505,$B33))/cfg_DAYS_Y)</f>
        <v/>
      </c>
      <c r="AI33" s="135" t="str">
        <f aca="false">IF($B33="","",MAX(0,IF(OR(الموظفون!$AE33="",الموظفون!$AE33&gt;($E$3-1)),($E$3-1),الموظفون!$AE33)-الموظفون!$H33+1-SUMIFS('سجل الإجازات والحالات'!$AI$6:$AI$505,'سجل الإجازات والحالات'!$B$6:$B$505,$B33))/cfg_DAYS_Y)</f>
        <v/>
      </c>
      <c r="AJ33" s="110" t="str">
        <f aca="false">IF($B33="","",MAX(0,AK33-(SUMIFS('سجل الإجازات والحالات'!$AJ$6:$AJ$505,'سجل الإجازات والحالات'!$B$6:$B$505,$B33)-SUMIFS('سجل الإجازات والحالات'!$AI$6:$AI$505,'سجل الإجازات والحالات'!$B$6:$B$505,$B33))))</f>
        <v/>
      </c>
      <c r="AK33" s="110" t="str">
        <f aca="false">IF($B33="","",MAX(0,IF(OR(الموظفون!$AE33="",الموظفون!$AE33&gt;$F$3),$F$3,الموظفون!$AE33)-MAX($E$3,الموظفون!$H33)+1))</f>
        <v/>
      </c>
      <c r="AL33" s="131" t="str">
        <f aca="false">IF($B33="","",SUMIFS('سجل الإجازات والحالات'!$AV$6:$AV$505,'سجل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والحالات'!$X$6:$X$505,'سجل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والحالات'!$AJ$6:$AJ$505,'سجل الإجازات والحالات'!$B$6:$B$505,$B34))/cfg_DAYS_Y)</f>
        <v/>
      </c>
      <c r="AI34" s="130" t="str">
        <f aca="false">IF($B34="","",MAX(0,IF(OR(الموظفون!$AE34="",الموظفون!$AE34&gt;($E$3-1)),($E$3-1),الموظفون!$AE34)-الموظفون!$H34+1-SUMIFS('سجل الإجازات والحالات'!$AI$6:$AI$505,'سجل الإجازات والحالات'!$B$6:$B$505,$B34))/cfg_DAYS_Y)</f>
        <v/>
      </c>
      <c r="AJ34" s="57" t="str">
        <f aca="false">IF($B34="","",MAX(0,AK34-(SUMIFS('سجل الإجازات والحالات'!$AJ$6:$AJ$505,'سجل الإجازات والحالات'!$B$6:$B$505,$B34)-SUMIFS('سجل الإجازات والحالات'!$AI$6:$AI$505,'سجل الإجازات والحالات'!$B$6:$B$505,$B34))))</f>
        <v/>
      </c>
      <c r="AK34" s="57" t="str">
        <f aca="false">IF($B34="","",MAX(0,IF(OR(الموظفون!$AE34="",الموظفون!$AE34&gt;$F$3),$F$3,الموظفون!$AE34)-MAX($E$3,الموظفون!$H34)+1))</f>
        <v/>
      </c>
      <c r="AL34" s="126" t="str">
        <f aca="false">IF($B34="","",SUMIFS('سجل الإجازات والحالات'!$AV$6:$AV$505,'سجل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والحالات'!$X$6:$X$505,'سجل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والحالات'!$AJ$6:$AJ$505,'سجل الإجازات والحالات'!$B$6:$B$505,$B35))/cfg_DAYS_Y)</f>
        <v/>
      </c>
      <c r="AI35" s="135" t="str">
        <f aca="false">IF($B35="","",MAX(0,IF(OR(الموظفون!$AE35="",الموظفون!$AE35&gt;($E$3-1)),($E$3-1),الموظفون!$AE35)-الموظفون!$H35+1-SUMIFS('سجل الإجازات والحالات'!$AI$6:$AI$505,'سجل الإجازات والحالات'!$B$6:$B$505,$B35))/cfg_DAYS_Y)</f>
        <v/>
      </c>
      <c r="AJ35" s="110" t="str">
        <f aca="false">IF($B35="","",MAX(0,AK35-(SUMIFS('سجل الإجازات والحالات'!$AJ$6:$AJ$505,'سجل الإجازات والحالات'!$B$6:$B$505,$B35)-SUMIFS('سجل الإجازات والحالات'!$AI$6:$AI$505,'سجل الإجازات والحالات'!$B$6:$B$505,$B35))))</f>
        <v/>
      </c>
      <c r="AK35" s="110" t="str">
        <f aca="false">IF($B35="","",MAX(0,IF(OR(الموظفون!$AE35="",الموظفون!$AE35&gt;$F$3),$F$3,الموظفون!$AE35)-MAX($E$3,الموظفون!$H35)+1))</f>
        <v/>
      </c>
      <c r="AL35" s="131" t="str">
        <f aca="false">IF($B35="","",SUMIFS('سجل الإجازات والحالات'!$AV$6:$AV$505,'سجل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والحالات'!$X$6:$X$505,'سجل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والحالات'!$AJ$6:$AJ$505,'سجل الإجازات والحالات'!$B$6:$B$505,$B36))/cfg_DAYS_Y)</f>
        <v/>
      </c>
      <c r="AI36" s="130" t="str">
        <f aca="false">IF($B36="","",MAX(0,IF(OR(الموظفون!$AE36="",الموظفون!$AE36&gt;($E$3-1)),($E$3-1),الموظفون!$AE36)-الموظفون!$H36+1-SUMIFS('سجل الإجازات والحالات'!$AI$6:$AI$505,'سجل الإجازات والحالات'!$B$6:$B$505,$B36))/cfg_DAYS_Y)</f>
        <v/>
      </c>
      <c r="AJ36" s="57" t="str">
        <f aca="false">IF($B36="","",MAX(0,AK36-(SUMIFS('سجل الإجازات والحالات'!$AJ$6:$AJ$505,'سجل الإجازات والحالات'!$B$6:$B$505,$B36)-SUMIFS('سجل الإجازات والحالات'!$AI$6:$AI$505,'سجل الإجازات والحالات'!$B$6:$B$505,$B36))))</f>
        <v/>
      </c>
      <c r="AK36" s="57" t="str">
        <f aca="false">IF($B36="","",MAX(0,IF(OR(الموظفون!$AE36="",الموظفون!$AE36&gt;$F$3),$F$3,الموظفون!$AE36)-MAX($E$3,الموظفون!$H36)+1))</f>
        <v/>
      </c>
      <c r="AL36" s="126" t="str">
        <f aca="false">IF($B36="","",SUMIFS('سجل الإجازات والحالات'!$AV$6:$AV$505,'سجل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والحالات'!$X$6:$X$505,'سجل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والحالات'!$AJ$6:$AJ$505,'سجل الإجازات والحالات'!$B$6:$B$505,$B37))/cfg_DAYS_Y)</f>
        <v/>
      </c>
      <c r="AI37" s="135" t="str">
        <f aca="false">IF($B37="","",MAX(0,IF(OR(الموظفون!$AE37="",الموظفون!$AE37&gt;($E$3-1)),($E$3-1),الموظفون!$AE37)-الموظفون!$H37+1-SUMIFS('سجل الإجازات والحالات'!$AI$6:$AI$505,'سجل الإجازات والحالات'!$B$6:$B$505,$B37))/cfg_DAYS_Y)</f>
        <v/>
      </c>
      <c r="AJ37" s="110" t="str">
        <f aca="false">IF($B37="","",MAX(0,AK37-(SUMIFS('سجل الإجازات والحالات'!$AJ$6:$AJ$505,'سجل الإجازات والحالات'!$B$6:$B$505,$B37)-SUMIFS('سجل الإجازات والحالات'!$AI$6:$AI$505,'سجل الإجازات والحالات'!$B$6:$B$505,$B37))))</f>
        <v/>
      </c>
      <c r="AK37" s="110" t="str">
        <f aca="false">IF($B37="","",MAX(0,IF(OR(الموظفون!$AE37="",الموظفون!$AE37&gt;$F$3),$F$3,الموظفون!$AE37)-MAX($E$3,الموظفون!$H37)+1))</f>
        <v/>
      </c>
      <c r="AL37" s="131" t="str">
        <f aca="false">IF($B37="","",SUMIFS('سجل الإجازات والحالات'!$AV$6:$AV$505,'سجل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والحالات'!$X$6:$X$505,'سجل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والحالات'!$AJ$6:$AJ$505,'سجل الإجازات والحالات'!$B$6:$B$505,$B38))/cfg_DAYS_Y)</f>
        <v/>
      </c>
      <c r="AI38" s="130" t="str">
        <f aca="false">IF($B38="","",MAX(0,IF(OR(الموظفون!$AE38="",الموظفون!$AE38&gt;($E$3-1)),($E$3-1),الموظفون!$AE38)-الموظفون!$H38+1-SUMIFS('سجل الإجازات والحالات'!$AI$6:$AI$505,'سجل الإجازات والحالات'!$B$6:$B$505,$B38))/cfg_DAYS_Y)</f>
        <v/>
      </c>
      <c r="AJ38" s="57" t="str">
        <f aca="false">IF($B38="","",MAX(0,AK38-(SUMIFS('سجل الإجازات والحالات'!$AJ$6:$AJ$505,'سجل الإجازات والحالات'!$B$6:$B$505,$B38)-SUMIFS('سجل الإجازات والحالات'!$AI$6:$AI$505,'سجل الإجازات والحالات'!$B$6:$B$505,$B38))))</f>
        <v/>
      </c>
      <c r="AK38" s="57" t="str">
        <f aca="false">IF($B38="","",MAX(0,IF(OR(الموظفون!$AE38="",الموظفون!$AE38&gt;$F$3),$F$3,الموظفون!$AE38)-MAX($E$3,الموظفون!$H38)+1))</f>
        <v/>
      </c>
      <c r="AL38" s="126" t="str">
        <f aca="false">IF($B38="","",SUMIFS('سجل الإجازات والحالات'!$AV$6:$AV$505,'سجل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والحالات'!$X$6:$X$505,'سجل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والحالات'!$AJ$6:$AJ$505,'سجل الإجازات والحالات'!$B$6:$B$505,$B39))/cfg_DAYS_Y)</f>
        <v/>
      </c>
      <c r="AI39" s="135" t="str">
        <f aca="false">IF($B39="","",MAX(0,IF(OR(الموظفون!$AE39="",الموظفون!$AE39&gt;($E$3-1)),($E$3-1),الموظفون!$AE39)-الموظفون!$H39+1-SUMIFS('سجل الإجازات والحالات'!$AI$6:$AI$505,'سجل الإجازات والحالات'!$B$6:$B$505,$B39))/cfg_DAYS_Y)</f>
        <v/>
      </c>
      <c r="AJ39" s="110" t="str">
        <f aca="false">IF($B39="","",MAX(0,AK39-(SUMIFS('سجل الإجازات والحالات'!$AJ$6:$AJ$505,'سجل الإجازات والحالات'!$B$6:$B$505,$B39)-SUMIFS('سجل الإجازات والحالات'!$AI$6:$AI$505,'سجل الإجازات والحالات'!$B$6:$B$505,$B39))))</f>
        <v/>
      </c>
      <c r="AK39" s="110" t="str">
        <f aca="false">IF($B39="","",MAX(0,IF(OR(الموظفون!$AE39="",الموظفون!$AE39&gt;$F$3),$F$3,الموظفون!$AE39)-MAX($E$3,الموظفون!$H39)+1))</f>
        <v/>
      </c>
      <c r="AL39" s="131" t="str">
        <f aca="false">IF($B39="","",SUMIFS('سجل الإجازات والحالات'!$AV$6:$AV$505,'سجل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والحالات'!$X$6:$X$505,'سجل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والحالات'!$AJ$6:$AJ$505,'سجل الإجازات والحالات'!$B$6:$B$505,$B40))/cfg_DAYS_Y)</f>
        <v/>
      </c>
      <c r="AI40" s="130" t="str">
        <f aca="false">IF($B40="","",MAX(0,IF(OR(الموظفون!$AE40="",الموظفون!$AE40&gt;($E$3-1)),($E$3-1),الموظفون!$AE40)-الموظفون!$H40+1-SUMIFS('سجل الإجازات والحالات'!$AI$6:$AI$505,'سجل الإجازات والحالات'!$B$6:$B$505,$B40))/cfg_DAYS_Y)</f>
        <v/>
      </c>
      <c r="AJ40" s="57" t="str">
        <f aca="false">IF($B40="","",MAX(0,AK40-(SUMIFS('سجل الإجازات والحالات'!$AJ$6:$AJ$505,'سجل الإجازات والحالات'!$B$6:$B$505,$B40)-SUMIFS('سجل الإجازات والحالات'!$AI$6:$AI$505,'سجل الإجازات والحالات'!$B$6:$B$505,$B40))))</f>
        <v/>
      </c>
      <c r="AK40" s="57" t="str">
        <f aca="false">IF($B40="","",MAX(0,IF(OR(الموظفون!$AE40="",الموظفون!$AE40&gt;$F$3),$F$3,الموظفون!$AE40)-MAX($E$3,الموظفون!$H40)+1))</f>
        <v/>
      </c>
      <c r="AL40" s="126" t="str">
        <f aca="false">IF($B40="","",SUMIFS('سجل الإجازات والحالات'!$AV$6:$AV$505,'سجل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والحالات'!$X$6:$X$505,'سجل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والحالات'!$AJ$6:$AJ$505,'سجل الإجازات والحالات'!$B$6:$B$505,$B41))/cfg_DAYS_Y)</f>
        <v/>
      </c>
      <c r="AI41" s="135" t="str">
        <f aca="false">IF($B41="","",MAX(0,IF(OR(الموظفون!$AE41="",الموظفون!$AE41&gt;($E$3-1)),($E$3-1),الموظفون!$AE41)-الموظفون!$H41+1-SUMIFS('سجل الإجازات والحالات'!$AI$6:$AI$505,'سجل الإجازات والحالات'!$B$6:$B$505,$B41))/cfg_DAYS_Y)</f>
        <v/>
      </c>
      <c r="AJ41" s="110" t="str">
        <f aca="false">IF($B41="","",MAX(0,AK41-(SUMIFS('سجل الإجازات والحالات'!$AJ$6:$AJ$505,'سجل الإجازات والحالات'!$B$6:$B$505,$B41)-SUMIFS('سجل الإجازات والحالات'!$AI$6:$AI$505,'سجل الإجازات والحالات'!$B$6:$B$505,$B41))))</f>
        <v/>
      </c>
      <c r="AK41" s="110" t="str">
        <f aca="false">IF($B41="","",MAX(0,IF(OR(الموظفون!$AE41="",الموظفون!$AE41&gt;$F$3),$F$3,الموظفون!$AE41)-MAX($E$3,الموظفون!$H41)+1))</f>
        <v/>
      </c>
      <c r="AL41" s="131" t="str">
        <f aca="false">IF($B41="","",SUMIFS('سجل الإجازات والحالات'!$AV$6:$AV$505,'سجل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والحالات'!$X$6:$X$505,'سجل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والحالات'!$AJ$6:$AJ$505,'سجل الإجازات والحالات'!$B$6:$B$505,$B42))/cfg_DAYS_Y)</f>
        <v/>
      </c>
      <c r="AI42" s="130" t="str">
        <f aca="false">IF($B42="","",MAX(0,IF(OR(الموظفون!$AE42="",الموظفون!$AE42&gt;($E$3-1)),($E$3-1),الموظفون!$AE42)-الموظفون!$H42+1-SUMIFS('سجل الإجازات والحالات'!$AI$6:$AI$505,'سجل الإجازات والحالات'!$B$6:$B$505,$B42))/cfg_DAYS_Y)</f>
        <v/>
      </c>
      <c r="AJ42" s="57" t="str">
        <f aca="false">IF($B42="","",MAX(0,AK42-(SUMIFS('سجل الإجازات والحالات'!$AJ$6:$AJ$505,'سجل الإجازات والحالات'!$B$6:$B$505,$B42)-SUMIFS('سجل الإجازات والحالات'!$AI$6:$AI$505,'سجل الإجازات والحالات'!$B$6:$B$505,$B42))))</f>
        <v/>
      </c>
      <c r="AK42" s="57" t="str">
        <f aca="false">IF($B42="","",MAX(0,IF(OR(الموظفون!$AE42="",الموظفون!$AE42&gt;$F$3),$F$3,الموظفون!$AE42)-MAX($E$3,الموظفون!$H42)+1))</f>
        <v/>
      </c>
      <c r="AL42" s="126" t="str">
        <f aca="false">IF($B42="","",SUMIFS('سجل الإجازات والحالات'!$AV$6:$AV$505,'سجل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والحالات'!$X$6:$X$505,'سجل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والحالات'!$AJ$6:$AJ$505,'سجل الإجازات والحالات'!$B$6:$B$505,$B43))/cfg_DAYS_Y)</f>
        <v/>
      </c>
      <c r="AI43" s="135" t="str">
        <f aca="false">IF($B43="","",MAX(0,IF(OR(الموظفون!$AE43="",الموظفون!$AE43&gt;($E$3-1)),($E$3-1),الموظفون!$AE43)-الموظفون!$H43+1-SUMIFS('سجل الإجازات والحالات'!$AI$6:$AI$505,'سجل الإجازات والحالات'!$B$6:$B$505,$B43))/cfg_DAYS_Y)</f>
        <v/>
      </c>
      <c r="AJ43" s="110" t="str">
        <f aca="false">IF($B43="","",MAX(0,AK43-(SUMIFS('سجل الإجازات والحالات'!$AJ$6:$AJ$505,'سجل الإجازات والحالات'!$B$6:$B$505,$B43)-SUMIFS('سجل الإجازات والحالات'!$AI$6:$AI$505,'سجل الإجازات والحالات'!$B$6:$B$505,$B43))))</f>
        <v/>
      </c>
      <c r="AK43" s="110" t="str">
        <f aca="false">IF($B43="","",MAX(0,IF(OR(الموظفون!$AE43="",الموظفون!$AE43&gt;$F$3),$F$3,الموظفون!$AE43)-MAX($E$3,الموظفون!$H43)+1))</f>
        <v/>
      </c>
      <c r="AL43" s="131" t="str">
        <f aca="false">IF($B43="","",SUMIFS('سجل الإجازات والحالات'!$AV$6:$AV$505,'سجل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والحالات'!$X$6:$X$505,'سجل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والحالات'!$AJ$6:$AJ$505,'سجل الإجازات والحالات'!$B$6:$B$505,$B44))/cfg_DAYS_Y)</f>
        <v/>
      </c>
      <c r="AI44" s="130" t="str">
        <f aca="false">IF($B44="","",MAX(0,IF(OR(الموظفون!$AE44="",الموظفون!$AE44&gt;($E$3-1)),($E$3-1),الموظفون!$AE44)-الموظفون!$H44+1-SUMIFS('سجل الإجازات والحالات'!$AI$6:$AI$505,'سجل الإجازات والحالات'!$B$6:$B$505,$B44))/cfg_DAYS_Y)</f>
        <v/>
      </c>
      <c r="AJ44" s="57" t="str">
        <f aca="false">IF($B44="","",MAX(0,AK44-(SUMIFS('سجل الإجازات والحالات'!$AJ$6:$AJ$505,'سجل الإجازات والحالات'!$B$6:$B$505,$B44)-SUMIFS('سجل الإجازات والحالات'!$AI$6:$AI$505,'سجل الإجازات والحالات'!$B$6:$B$505,$B44))))</f>
        <v/>
      </c>
      <c r="AK44" s="57" t="str">
        <f aca="false">IF($B44="","",MAX(0,IF(OR(الموظفون!$AE44="",الموظفون!$AE44&gt;$F$3),$F$3,الموظفون!$AE44)-MAX($E$3,الموظفون!$H44)+1))</f>
        <v/>
      </c>
      <c r="AL44" s="126" t="str">
        <f aca="false">IF($B44="","",SUMIFS('سجل الإجازات والحالات'!$AV$6:$AV$505,'سجل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والحالات'!$X$6:$X$505,'سجل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والحالات'!$AJ$6:$AJ$505,'سجل الإجازات والحالات'!$B$6:$B$505,$B45))/cfg_DAYS_Y)</f>
        <v/>
      </c>
      <c r="AI45" s="135" t="str">
        <f aca="false">IF($B45="","",MAX(0,IF(OR(الموظفون!$AE45="",الموظفون!$AE45&gt;($E$3-1)),($E$3-1),الموظفون!$AE45)-الموظفون!$H45+1-SUMIFS('سجل الإجازات والحالات'!$AI$6:$AI$505,'سجل الإجازات والحالات'!$B$6:$B$505,$B45))/cfg_DAYS_Y)</f>
        <v/>
      </c>
      <c r="AJ45" s="110" t="str">
        <f aca="false">IF($B45="","",MAX(0,AK45-(SUMIFS('سجل الإجازات والحالات'!$AJ$6:$AJ$505,'سجل الإجازات والحالات'!$B$6:$B$505,$B45)-SUMIFS('سجل الإجازات والحالات'!$AI$6:$AI$505,'سجل الإجازات والحالات'!$B$6:$B$505,$B45))))</f>
        <v/>
      </c>
      <c r="AK45" s="110" t="str">
        <f aca="false">IF($B45="","",MAX(0,IF(OR(الموظفون!$AE45="",الموظفون!$AE45&gt;$F$3),$F$3,الموظفون!$AE45)-MAX($E$3,الموظفون!$H45)+1))</f>
        <v/>
      </c>
      <c r="AL45" s="131" t="str">
        <f aca="false">IF($B45="","",SUMIFS('سجل الإجازات والحالات'!$AV$6:$AV$505,'سجل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والحالات'!$X$6:$X$505,'سجل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والحالات'!$AJ$6:$AJ$505,'سجل الإجازات والحالات'!$B$6:$B$505,$B46))/cfg_DAYS_Y)</f>
        <v/>
      </c>
      <c r="AI46" s="130" t="str">
        <f aca="false">IF($B46="","",MAX(0,IF(OR(الموظفون!$AE46="",الموظفون!$AE46&gt;($E$3-1)),($E$3-1),الموظفون!$AE46)-الموظفون!$H46+1-SUMIFS('سجل الإجازات والحالات'!$AI$6:$AI$505,'سجل الإجازات والحالات'!$B$6:$B$505,$B46))/cfg_DAYS_Y)</f>
        <v/>
      </c>
      <c r="AJ46" s="57" t="str">
        <f aca="false">IF($B46="","",MAX(0,AK46-(SUMIFS('سجل الإجازات والحالات'!$AJ$6:$AJ$505,'سجل الإجازات والحالات'!$B$6:$B$505,$B46)-SUMIFS('سجل الإجازات والحالات'!$AI$6:$AI$505,'سجل الإجازات والحالات'!$B$6:$B$505,$B46))))</f>
        <v/>
      </c>
      <c r="AK46" s="57" t="str">
        <f aca="false">IF($B46="","",MAX(0,IF(OR(الموظفون!$AE46="",الموظفون!$AE46&gt;$F$3),$F$3,الموظفون!$AE46)-MAX($E$3,الموظفون!$H46)+1))</f>
        <v/>
      </c>
      <c r="AL46" s="126" t="str">
        <f aca="false">IF($B46="","",SUMIFS('سجل الإجازات والحالات'!$AV$6:$AV$505,'سجل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والحالات'!$X$6:$X$505,'سجل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والحالات'!$AJ$6:$AJ$505,'سجل الإجازات والحالات'!$B$6:$B$505,$B47))/cfg_DAYS_Y)</f>
        <v/>
      </c>
      <c r="AI47" s="135" t="str">
        <f aca="false">IF($B47="","",MAX(0,IF(OR(الموظفون!$AE47="",الموظفون!$AE47&gt;($E$3-1)),($E$3-1),الموظفون!$AE47)-الموظفون!$H47+1-SUMIFS('سجل الإجازات والحالات'!$AI$6:$AI$505,'سجل الإجازات والحالات'!$B$6:$B$505,$B47))/cfg_DAYS_Y)</f>
        <v/>
      </c>
      <c r="AJ47" s="110" t="str">
        <f aca="false">IF($B47="","",MAX(0,AK47-(SUMIFS('سجل الإجازات والحالات'!$AJ$6:$AJ$505,'سجل الإجازات والحالات'!$B$6:$B$505,$B47)-SUMIFS('سجل الإجازات والحالات'!$AI$6:$AI$505,'سجل الإجازات والحالات'!$B$6:$B$505,$B47))))</f>
        <v/>
      </c>
      <c r="AK47" s="110" t="str">
        <f aca="false">IF($B47="","",MAX(0,IF(OR(الموظفون!$AE47="",الموظفون!$AE47&gt;$F$3),$F$3,الموظفون!$AE47)-MAX($E$3,الموظفون!$H47)+1))</f>
        <v/>
      </c>
      <c r="AL47" s="131" t="str">
        <f aca="false">IF($B47="","",SUMIFS('سجل الإجازات والحالات'!$AV$6:$AV$505,'سجل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والحالات'!$X$6:$X$505,'سجل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والحالات'!$AJ$6:$AJ$505,'سجل الإجازات والحالات'!$B$6:$B$505,$B48))/cfg_DAYS_Y)</f>
        <v/>
      </c>
      <c r="AI48" s="130" t="str">
        <f aca="false">IF($B48="","",MAX(0,IF(OR(الموظفون!$AE48="",الموظفون!$AE48&gt;($E$3-1)),($E$3-1),الموظفون!$AE48)-الموظفون!$H48+1-SUMIFS('سجل الإجازات والحالات'!$AI$6:$AI$505,'سجل الإجازات والحالات'!$B$6:$B$505,$B48))/cfg_DAYS_Y)</f>
        <v/>
      </c>
      <c r="AJ48" s="57" t="str">
        <f aca="false">IF($B48="","",MAX(0,AK48-(SUMIFS('سجل الإجازات والحالات'!$AJ$6:$AJ$505,'سجل الإجازات والحالات'!$B$6:$B$505,$B48)-SUMIFS('سجل الإجازات والحالات'!$AI$6:$AI$505,'سجل الإجازات والحالات'!$B$6:$B$505,$B48))))</f>
        <v/>
      </c>
      <c r="AK48" s="57" t="str">
        <f aca="false">IF($B48="","",MAX(0,IF(OR(الموظفون!$AE48="",الموظفون!$AE48&gt;$F$3),$F$3,الموظفون!$AE48)-MAX($E$3,الموظفون!$H48)+1))</f>
        <v/>
      </c>
      <c r="AL48" s="126" t="str">
        <f aca="false">IF($B48="","",SUMIFS('سجل الإجازات والحالات'!$AV$6:$AV$505,'سجل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والحالات'!$X$6:$X$505,'سجل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والحالات'!$AJ$6:$AJ$505,'سجل الإجازات والحالات'!$B$6:$B$505,$B49))/cfg_DAYS_Y)</f>
        <v/>
      </c>
      <c r="AI49" s="135" t="str">
        <f aca="false">IF($B49="","",MAX(0,IF(OR(الموظفون!$AE49="",الموظفون!$AE49&gt;($E$3-1)),($E$3-1),الموظفون!$AE49)-الموظفون!$H49+1-SUMIFS('سجل الإجازات والحالات'!$AI$6:$AI$505,'سجل الإجازات والحالات'!$B$6:$B$505,$B49))/cfg_DAYS_Y)</f>
        <v/>
      </c>
      <c r="AJ49" s="110" t="str">
        <f aca="false">IF($B49="","",MAX(0,AK49-(SUMIFS('سجل الإجازات والحالات'!$AJ$6:$AJ$505,'سجل الإجازات والحالات'!$B$6:$B$505,$B49)-SUMIFS('سجل الإجازات والحالات'!$AI$6:$AI$505,'سجل الإجازات والحالات'!$B$6:$B$505,$B49))))</f>
        <v/>
      </c>
      <c r="AK49" s="110" t="str">
        <f aca="false">IF($B49="","",MAX(0,IF(OR(الموظفون!$AE49="",الموظفون!$AE49&gt;$F$3),$F$3,الموظفون!$AE49)-MAX($E$3,الموظفون!$H49)+1))</f>
        <v/>
      </c>
      <c r="AL49" s="131" t="str">
        <f aca="false">IF($B49="","",SUMIFS('سجل الإجازات والحالات'!$AV$6:$AV$505,'سجل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والحالات'!$X$6:$X$505,'سجل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والحالات'!$AJ$6:$AJ$505,'سجل الإجازات والحالات'!$B$6:$B$505,$B50))/cfg_DAYS_Y)</f>
        <v/>
      </c>
      <c r="AI50" s="130" t="str">
        <f aca="false">IF($B50="","",MAX(0,IF(OR(الموظفون!$AE50="",الموظفون!$AE50&gt;($E$3-1)),($E$3-1),الموظفون!$AE50)-الموظفون!$H50+1-SUMIFS('سجل الإجازات والحالات'!$AI$6:$AI$505,'سجل الإجازات والحالات'!$B$6:$B$505,$B50))/cfg_DAYS_Y)</f>
        <v/>
      </c>
      <c r="AJ50" s="57" t="str">
        <f aca="false">IF($B50="","",MAX(0,AK50-(SUMIFS('سجل الإجازات والحالات'!$AJ$6:$AJ$505,'سجل الإجازات والحالات'!$B$6:$B$505,$B50)-SUMIFS('سجل الإجازات والحالات'!$AI$6:$AI$505,'سجل الإجازات والحالات'!$B$6:$B$505,$B50))))</f>
        <v/>
      </c>
      <c r="AK50" s="57" t="str">
        <f aca="false">IF($B50="","",MAX(0,IF(OR(الموظفون!$AE50="",الموظفون!$AE50&gt;$F$3),$F$3,الموظفون!$AE50)-MAX($E$3,الموظفون!$H50)+1))</f>
        <v/>
      </c>
      <c r="AL50" s="126" t="str">
        <f aca="false">IF($B50="","",SUMIFS('سجل الإجازات والحالات'!$AV$6:$AV$505,'سجل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والحالات'!$X$6:$X$505,'سجل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والحالات'!$AJ$6:$AJ$505,'سجل الإجازات والحالات'!$B$6:$B$505,$B51))/cfg_DAYS_Y)</f>
        <v/>
      </c>
      <c r="AI51" s="135" t="str">
        <f aca="false">IF($B51="","",MAX(0,IF(OR(الموظفون!$AE51="",الموظفون!$AE51&gt;($E$3-1)),($E$3-1),الموظفون!$AE51)-الموظفون!$H51+1-SUMIFS('سجل الإجازات والحالات'!$AI$6:$AI$505,'سجل الإجازات والحالات'!$B$6:$B$505,$B51))/cfg_DAYS_Y)</f>
        <v/>
      </c>
      <c r="AJ51" s="110" t="str">
        <f aca="false">IF($B51="","",MAX(0,AK51-(SUMIFS('سجل الإجازات والحالات'!$AJ$6:$AJ$505,'سجل الإجازات والحالات'!$B$6:$B$505,$B51)-SUMIFS('سجل الإجازات والحالات'!$AI$6:$AI$505,'سجل الإجازات والحالات'!$B$6:$B$505,$B51))))</f>
        <v/>
      </c>
      <c r="AK51" s="110" t="str">
        <f aca="false">IF($B51="","",MAX(0,IF(OR(الموظفون!$AE51="",الموظفون!$AE51&gt;$F$3),$F$3,الموظفون!$AE51)-MAX($E$3,الموظفون!$H51)+1))</f>
        <v/>
      </c>
      <c r="AL51" s="131" t="str">
        <f aca="false">IF($B51="","",SUMIFS('سجل الإجازات والحالات'!$AV$6:$AV$505,'سجل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والحالات'!$X$6:$X$505,'سجل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والحالات'!$AJ$6:$AJ$505,'سجل الإجازات والحالات'!$B$6:$B$505,$B52))/cfg_DAYS_Y)</f>
        <v/>
      </c>
      <c r="AI52" s="130" t="str">
        <f aca="false">IF($B52="","",MAX(0,IF(OR(الموظفون!$AE52="",الموظفون!$AE52&gt;($E$3-1)),($E$3-1),الموظفون!$AE52)-الموظفون!$H52+1-SUMIFS('سجل الإجازات والحالات'!$AI$6:$AI$505,'سجل الإجازات والحالات'!$B$6:$B$505,$B52))/cfg_DAYS_Y)</f>
        <v/>
      </c>
      <c r="AJ52" s="57" t="str">
        <f aca="false">IF($B52="","",MAX(0,AK52-(SUMIFS('سجل الإجازات والحالات'!$AJ$6:$AJ$505,'سجل الإجازات والحالات'!$B$6:$B$505,$B52)-SUMIFS('سجل الإجازات والحالات'!$AI$6:$AI$505,'سجل الإجازات والحالات'!$B$6:$B$505,$B52))))</f>
        <v/>
      </c>
      <c r="AK52" s="57" t="str">
        <f aca="false">IF($B52="","",MAX(0,IF(OR(الموظفون!$AE52="",الموظفون!$AE52&gt;$F$3),$F$3,الموظفون!$AE52)-MAX($E$3,الموظفون!$H52)+1))</f>
        <v/>
      </c>
      <c r="AL52" s="126" t="str">
        <f aca="false">IF($B52="","",SUMIFS('سجل الإجازات والحالات'!$AV$6:$AV$505,'سجل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والحالات'!$X$6:$X$505,'سجل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والحالات'!$AJ$6:$AJ$505,'سجل الإجازات والحالات'!$B$6:$B$505,$B53))/cfg_DAYS_Y)</f>
        <v/>
      </c>
      <c r="AI53" s="135" t="str">
        <f aca="false">IF($B53="","",MAX(0,IF(OR(الموظفون!$AE53="",الموظفون!$AE53&gt;($E$3-1)),($E$3-1),الموظفون!$AE53)-الموظفون!$H53+1-SUMIFS('سجل الإجازات والحالات'!$AI$6:$AI$505,'سجل الإجازات والحالات'!$B$6:$B$505,$B53))/cfg_DAYS_Y)</f>
        <v/>
      </c>
      <c r="AJ53" s="110" t="str">
        <f aca="false">IF($B53="","",MAX(0,AK53-(SUMIFS('سجل الإجازات والحالات'!$AJ$6:$AJ$505,'سجل الإجازات والحالات'!$B$6:$B$505,$B53)-SUMIFS('سجل الإجازات والحالات'!$AI$6:$AI$505,'سجل الإجازات والحالات'!$B$6:$B$505,$B53))))</f>
        <v/>
      </c>
      <c r="AK53" s="110" t="str">
        <f aca="false">IF($B53="","",MAX(0,IF(OR(الموظفون!$AE53="",الموظفون!$AE53&gt;$F$3),$F$3,الموظفون!$AE53)-MAX($E$3,الموظفون!$H53)+1))</f>
        <v/>
      </c>
      <c r="AL53" s="131" t="str">
        <f aca="false">IF($B53="","",SUMIFS('سجل الإجازات والحالات'!$AV$6:$AV$505,'سجل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والحالات'!$X$6:$X$505,'سجل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والحالات'!$AJ$6:$AJ$505,'سجل الإجازات والحالات'!$B$6:$B$505,$B54))/cfg_DAYS_Y)</f>
        <v/>
      </c>
      <c r="AI54" s="130" t="str">
        <f aca="false">IF($B54="","",MAX(0,IF(OR(الموظفون!$AE54="",الموظفون!$AE54&gt;($E$3-1)),($E$3-1),الموظفون!$AE54)-الموظفون!$H54+1-SUMIFS('سجل الإجازات والحالات'!$AI$6:$AI$505,'سجل الإجازات والحالات'!$B$6:$B$505,$B54))/cfg_DAYS_Y)</f>
        <v/>
      </c>
      <c r="AJ54" s="57" t="str">
        <f aca="false">IF($B54="","",MAX(0,AK54-(SUMIFS('سجل الإجازات والحالات'!$AJ$6:$AJ$505,'سجل الإجازات والحالات'!$B$6:$B$505,$B54)-SUMIFS('سجل الإجازات والحالات'!$AI$6:$AI$505,'سجل الإجازات والحالات'!$B$6:$B$505,$B54))))</f>
        <v/>
      </c>
      <c r="AK54" s="57" t="str">
        <f aca="false">IF($B54="","",MAX(0,IF(OR(الموظفون!$AE54="",الموظفون!$AE54&gt;$F$3),$F$3,الموظفون!$AE54)-MAX($E$3,الموظفون!$H54)+1))</f>
        <v/>
      </c>
      <c r="AL54" s="126" t="str">
        <f aca="false">IF($B54="","",SUMIFS('سجل الإجازات والحالات'!$AV$6:$AV$505,'سجل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والحالات'!$X$6:$X$505,'سجل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والحالات'!$AJ$6:$AJ$505,'سجل الإجازات والحالات'!$B$6:$B$505,$B55))/cfg_DAYS_Y)</f>
        <v/>
      </c>
      <c r="AI55" s="135" t="str">
        <f aca="false">IF($B55="","",MAX(0,IF(OR(الموظفون!$AE55="",الموظفون!$AE55&gt;($E$3-1)),($E$3-1),الموظفون!$AE55)-الموظفون!$H55+1-SUMIFS('سجل الإجازات والحالات'!$AI$6:$AI$505,'سجل الإجازات والحالات'!$B$6:$B$505,$B55))/cfg_DAYS_Y)</f>
        <v/>
      </c>
      <c r="AJ55" s="110" t="str">
        <f aca="false">IF($B55="","",MAX(0,AK55-(SUMIFS('سجل الإجازات والحالات'!$AJ$6:$AJ$505,'سجل الإجازات والحالات'!$B$6:$B$505,$B55)-SUMIFS('سجل الإجازات والحالات'!$AI$6:$AI$505,'سجل الإجازات والحالات'!$B$6:$B$505,$B55))))</f>
        <v/>
      </c>
      <c r="AK55" s="110" t="str">
        <f aca="false">IF($B55="","",MAX(0,IF(OR(الموظفون!$AE55="",الموظفون!$AE55&gt;$F$3),$F$3,الموظفون!$AE55)-MAX($E$3,الموظفون!$H55)+1))</f>
        <v/>
      </c>
      <c r="AL55" s="131" t="str">
        <f aca="false">IF($B55="","",SUMIFS('سجل الإجازات والحالات'!$AV$6:$AV$505,'سجل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والحالات'!$X$6:$X$505,'سجل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والحالات'!$AJ$6:$AJ$505,'سجل الإجازات والحالات'!$B$6:$B$505,$B56))/cfg_DAYS_Y)</f>
        <v/>
      </c>
      <c r="AI56" s="130" t="str">
        <f aca="false">IF($B56="","",MAX(0,IF(OR(الموظفون!$AE56="",الموظفون!$AE56&gt;($E$3-1)),($E$3-1),الموظفون!$AE56)-الموظفون!$H56+1-SUMIFS('سجل الإجازات والحالات'!$AI$6:$AI$505,'سجل الإجازات والحالات'!$B$6:$B$505,$B56))/cfg_DAYS_Y)</f>
        <v/>
      </c>
      <c r="AJ56" s="57" t="str">
        <f aca="false">IF($B56="","",MAX(0,AK56-(SUMIFS('سجل الإجازات والحالات'!$AJ$6:$AJ$505,'سجل الإجازات والحالات'!$B$6:$B$505,$B56)-SUMIFS('سجل الإجازات والحالات'!$AI$6:$AI$505,'سجل الإجازات والحالات'!$B$6:$B$505,$B56))))</f>
        <v/>
      </c>
      <c r="AK56" s="57" t="str">
        <f aca="false">IF($B56="","",MAX(0,IF(OR(الموظفون!$AE56="",الموظفون!$AE56&gt;$F$3),$F$3,الموظفون!$AE56)-MAX($E$3,الموظفون!$H56)+1))</f>
        <v/>
      </c>
      <c r="AL56" s="126" t="str">
        <f aca="false">IF($B56="","",SUMIFS('سجل الإجازات والحالات'!$AV$6:$AV$505,'سجل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والحالات'!$X$6:$X$505,'سجل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والحالات'!$AJ$6:$AJ$505,'سجل الإجازات والحالات'!$B$6:$B$505,$B57))/cfg_DAYS_Y)</f>
        <v/>
      </c>
      <c r="AI57" s="135" t="str">
        <f aca="false">IF($B57="","",MAX(0,IF(OR(الموظفون!$AE57="",الموظفون!$AE57&gt;($E$3-1)),($E$3-1),الموظفون!$AE57)-الموظفون!$H57+1-SUMIFS('سجل الإجازات والحالات'!$AI$6:$AI$505,'سجل الإجازات والحالات'!$B$6:$B$505,$B57))/cfg_DAYS_Y)</f>
        <v/>
      </c>
      <c r="AJ57" s="110" t="str">
        <f aca="false">IF($B57="","",MAX(0,AK57-(SUMIFS('سجل الإجازات والحالات'!$AJ$6:$AJ$505,'سجل الإجازات والحالات'!$B$6:$B$505,$B57)-SUMIFS('سجل الإجازات والحالات'!$AI$6:$AI$505,'سجل الإجازات والحالات'!$B$6:$B$505,$B57))))</f>
        <v/>
      </c>
      <c r="AK57" s="110" t="str">
        <f aca="false">IF($B57="","",MAX(0,IF(OR(الموظفون!$AE57="",الموظفون!$AE57&gt;$F$3),$F$3,الموظفون!$AE57)-MAX($E$3,الموظفون!$H57)+1))</f>
        <v/>
      </c>
      <c r="AL57" s="131" t="str">
        <f aca="false">IF($B57="","",SUMIFS('سجل الإجازات والحالات'!$AV$6:$AV$505,'سجل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والحالات'!$X$6:$X$505,'سجل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والحالات'!$AJ$6:$AJ$505,'سجل الإجازات والحالات'!$B$6:$B$505,$B58))/cfg_DAYS_Y)</f>
        <v/>
      </c>
      <c r="AI58" s="130" t="str">
        <f aca="false">IF($B58="","",MAX(0,IF(OR(الموظفون!$AE58="",الموظفون!$AE58&gt;($E$3-1)),($E$3-1),الموظفون!$AE58)-الموظفون!$H58+1-SUMIFS('سجل الإجازات والحالات'!$AI$6:$AI$505,'سجل الإجازات والحالات'!$B$6:$B$505,$B58))/cfg_DAYS_Y)</f>
        <v/>
      </c>
      <c r="AJ58" s="57" t="str">
        <f aca="false">IF($B58="","",MAX(0,AK58-(SUMIFS('سجل الإجازات والحالات'!$AJ$6:$AJ$505,'سجل الإجازات والحالات'!$B$6:$B$505,$B58)-SUMIFS('سجل الإجازات والحالات'!$AI$6:$AI$505,'سجل الإجازات والحالات'!$B$6:$B$505,$B58))))</f>
        <v/>
      </c>
      <c r="AK58" s="57" t="str">
        <f aca="false">IF($B58="","",MAX(0,IF(OR(الموظفون!$AE58="",الموظفون!$AE58&gt;$F$3),$F$3,الموظفون!$AE58)-MAX($E$3,الموظفون!$H58)+1))</f>
        <v/>
      </c>
      <c r="AL58" s="126" t="str">
        <f aca="false">IF($B58="","",SUMIFS('سجل الإجازات والحالات'!$AV$6:$AV$505,'سجل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والحالات'!$X$6:$X$505,'سجل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والحالات'!$AJ$6:$AJ$505,'سجل الإجازات والحالات'!$B$6:$B$505,$B59))/cfg_DAYS_Y)</f>
        <v/>
      </c>
      <c r="AI59" s="135" t="str">
        <f aca="false">IF($B59="","",MAX(0,IF(OR(الموظفون!$AE59="",الموظفون!$AE59&gt;($E$3-1)),($E$3-1),الموظفون!$AE59)-الموظفون!$H59+1-SUMIFS('سجل الإجازات والحالات'!$AI$6:$AI$505,'سجل الإجازات والحالات'!$B$6:$B$505,$B59))/cfg_DAYS_Y)</f>
        <v/>
      </c>
      <c r="AJ59" s="110" t="str">
        <f aca="false">IF($B59="","",MAX(0,AK59-(SUMIFS('سجل الإجازات والحالات'!$AJ$6:$AJ$505,'سجل الإجازات والحالات'!$B$6:$B$505,$B59)-SUMIFS('سجل الإجازات والحالات'!$AI$6:$AI$505,'سجل الإجازات والحالات'!$B$6:$B$505,$B59))))</f>
        <v/>
      </c>
      <c r="AK59" s="110" t="str">
        <f aca="false">IF($B59="","",MAX(0,IF(OR(الموظفون!$AE59="",الموظفون!$AE59&gt;$F$3),$F$3,الموظفون!$AE59)-MAX($E$3,الموظفون!$H59)+1))</f>
        <v/>
      </c>
      <c r="AL59" s="131" t="str">
        <f aca="false">IF($B59="","",SUMIFS('سجل الإجازات والحالات'!$AV$6:$AV$505,'سجل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والحالات'!$X$6:$X$505,'سجل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والحالات'!$AJ$6:$AJ$505,'سجل الإجازات والحالات'!$B$6:$B$505,$B60))/cfg_DAYS_Y)</f>
        <v/>
      </c>
      <c r="AI60" s="130" t="str">
        <f aca="false">IF($B60="","",MAX(0,IF(OR(الموظفون!$AE60="",الموظفون!$AE60&gt;($E$3-1)),($E$3-1),الموظفون!$AE60)-الموظفون!$H60+1-SUMIFS('سجل الإجازات والحالات'!$AI$6:$AI$505,'سجل الإجازات والحالات'!$B$6:$B$505,$B60))/cfg_DAYS_Y)</f>
        <v/>
      </c>
      <c r="AJ60" s="57" t="str">
        <f aca="false">IF($B60="","",MAX(0,AK60-(SUMIFS('سجل الإجازات والحالات'!$AJ$6:$AJ$505,'سجل الإجازات والحالات'!$B$6:$B$505,$B60)-SUMIFS('سجل الإجازات والحالات'!$AI$6:$AI$505,'سجل الإجازات والحالات'!$B$6:$B$505,$B60))))</f>
        <v/>
      </c>
      <c r="AK60" s="57" t="str">
        <f aca="false">IF($B60="","",MAX(0,IF(OR(الموظفون!$AE60="",الموظفون!$AE60&gt;$F$3),$F$3,الموظفون!$AE60)-MAX($E$3,الموظفون!$H60)+1))</f>
        <v/>
      </c>
      <c r="AL60" s="126" t="str">
        <f aca="false">IF($B60="","",SUMIFS('سجل الإجازات والحالات'!$AV$6:$AV$505,'سجل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والحالات'!$X$6:$X$505,'سجل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والحالات'!$AJ$6:$AJ$505,'سجل الإجازات والحالات'!$B$6:$B$505,$B61))/cfg_DAYS_Y)</f>
        <v/>
      </c>
      <c r="AI61" s="135" t="str">
        <f aca="false">IF($B61="","",MAX(0,IF(OR(الموظفون!$AE61="",الموظفون!$AE61&gt;($E$3-1)),($E$3-1),الموظفون!$AE61)-الموظفون!$H61+1-SUMIFS('سجل الإجازات والحالات'!$AI$6:$AI$505,'سجل الإجازات والحالات'!$B$6:$B$505,$B61))/cfg_DAYS_Y)</f>
        <v/>
      </c>
      <c r="AJ61" s="110" t="str">
        <f aca="false">IF($B61="","",MAX(0,AK61-(SUMIFS('سجل الإجازات والحالات'!$AJ$6:$AJ$505,'سجل الإجازات والحالات'!$B$6:$B$505,$B61)-SUMIFS('سجل الإجازات والحالات'!$AI$6:$AI$505,'سجل الإجازات والحالات'!$B$6:$B$505,$B61))))</f>
        <v/>
      </c>
      <c r="AK61" s="110" t="str">
        <f aca="false">IF($B61="","",MAX(0,IF(OR(الموظفون!$AE61="",الموظفون!$AE61&gt;$F$3),$F$3,الموظفون!$AE61)-MAX($E$3,الموظفون!$H61)+1))</f>
        <v/>
      </c>
      <c r="AL61" s="131" t="str">
        <f aca="false">IF($B61="","",SUMIFS('سجل الإجازات والحالات'!$AV$6:$AV$505,'سجل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والحالات'!$X$6:$X$505,'سجل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والحالات'!$AJ$6:$AJ$505,'سجل الإجازات والحالات'!$B$6:$B$505,$B62))/cfg_DAYS_Y)</f>
        <v/>
      </c>
      <c r="AI62" s="130" t="str">
        <f aca="false">IF($B62="","",MAX(0,IF(OR(الموظفون!$AE62="",الموظفون!$AE62&gt;($E$3-1)),($E$3-1),الموظفون!$AE62)-الموظفون!$H62+1-SUMIFS('سجل الإجازات والحالات'!$AI$6:$AI$505,'سجل الإجازات والحالات'!$B$6:$B$505,$B62))/cfg_DAYS_Y)</f>
        <v/>
      </c>
      <c r="AJ62" s="57" t="str">
        <f aca="false">IF($B62="","",MAX(0,AK62-(SUMIFS('سجل الإجازات والحالات'!$AJ$6:$AJ$505,'سجل الإجازات والحالات'!$B$6:$B$505,$B62)-SUMIFS('سجل الإجازات والحالات'!$AI$6:$AI$505,'سجل الإجازات والحالات'!$B$6:$B$505,$B62))))</f>
        <v/>
      </c>
      <c r="AK62" s="57" t="str">
        <f aca="false">IF($B62="","",MAX(0,IF(OR(الموظفون!$AE62="",الموظفون!$AE62&gt;$F$3),$F$3,الموظفون!$AE62)-MAX($E$3,الموظفون!$H62)+1))</f>
        <v/>
      </c>
      <c r="AL62" s="126" t="str">
        <f aca="false">IF($B62="","",SUMIFS('سجل الإجازات والحالات'!$AV$6:$AV$505,'سجل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والحالات'!$X$6:$X$505,'سجل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والحالات'!$AJ$6:$AJ$505,'سجل الإجازات والحالات'!$B$6:$B$505,$B63))/cfg_DAYS_Y)</f>
        <v/>
      </c>
      <c r="AI63" s="135" t="str">
        <f aca="false">IF($B63="","",MAX(0,IF(OR(الموظفون!$AE63="",الموظفون!$AE63&gt;($E$3-1)),($E$3-1),الموظفون!$AE63)-الموظفون!$H63+1-SUMIFS('سجل الإجازات والحالات'!$AI$6:$AI$505,'سجل الإجازات والحالات'!$B$6:$B$505,$B63))/cfg_DAYS_Y)</f>
        <v/>
      </c>
      <c r="AJ63" s="110" t="str">
        <f aca="false">IF($B63="","",MAX(0,AK63-(SUMIFS('سجل الإجازات والحالات'!$AJ$6:$AJ$505,'سجل الإجازات والحالات'!$B$6:$B$505,$B63)-SUMIFS('سجل الإجازات والحالات'!$AI$6:$AI$505,'سجل الإجازات والحالات'!$B$6:$B$505,$B63))))</f>
        <v/>
      </c>
      <c r="AK63" s="110" t="str">
        <f aca="false">IF($B63="","",MAX(0,IF(OR(الموظفون!$AE63="",الموظفون!$AE63&gt;$F$3),$F$3,الموظفون!$AE63)-MAX($E$3,الموظفون!$H63)+1))</f>
        <v/>
      </c>
      <c r="AL63" s="131" t="str">
        <f aca="false">IF($B63="","",SUMIFS('سجل الإجازات والحالات'!$AV$6:$AV$505,'سجل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والحالات'!$X$6:$X$505,'سجل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والحالات'!$AJ$6:$AJ$505,'سجل الإجازات والحالات'!$B$6:$B$505,$B64))/cfg_DAYS_Y)</f>
        <v/>
      </c>
      <c r="AI64" s="130" t="str">
        <f aca="false">IF($B64="","",MAX(0,IF(OR(الموظفون!$AE64="",الموظفون!$AE64&gt;($E$3-1)),($E$3-1),الموظفون!$AE64)-الموظفون!$H64+1-SUMIFS('سجل الإجازات والحالات'!$AI$6:$AI$505,'سجل الإجازات والحالات'!$B$6:$B$505,$B64))/cfg_DAYS_Y)</f>
        <v/>
      </c>
      <c r="AJ64" s="57" t="str">
        <f aca="false">IF($B64="","",MAX(0,AK64-(SUMIFS('سجل الإجازات والحالات'!$AJ$6:$AJ$505,'سجل الإجازات والحالات'!$B$6:$B$505,$B64)-SUMIFS('سجل الإجازات والحالات'!$AI$6:$AI$505,'سجل الإجازات والحالات'!$B$6:$B$505,$B64))))</f>
        <v/>
      </c>
      <c r="AK64" s="57" t="str">
        <f aca="false">IF($B64="","",MAX(0,IF(OR(الموظفون!$AE64="",الموظفون!$AE64&gt;$F$3),$F$3,الموظفون!$AE64)-MAX($E$3,الموظفون!$H64)+1))</f>
        <v/>
      </c>
      <c r="AL64" s="126" t="str">
        <f aca="false">IF($B64="","",SUMIFS('سجل الإجازات والحالات'!$AV$6:$AV$505,'سجل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والحالات'!$X$6:$X$505,'سجل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والحالات'!$AJ$6:$AJ$505,'سجل الإجازات والحالات'!$B$6:$B$505,$B65))/cfg_DAYS_Y)</f>
        <v/>
      </c>
      <c r="AI65" s="135" t="str">
        <f aca="false">IF($B65="","",MAX(0,IF(OR(الموظفون!$AE65="",الموظفون!$AE65&gt;($E$3-1)),($E$3-1),الموظفون!$AE65)-الموظفون!$H65+1-SUMIFS('سجل الإجازات والحالات'!$AI$6:$AI$505,'سجل الإجازات والحالات'!$B$6:$B$505,$B65))/cfg_DAYS_Y)</f>
        <v/>
      </c>
      <c r="AJ65" s="110" t="str">
        <f aca="false">IF($B65="","",MAX(0,AK65-(SUMIFS('سجل الإجازات والحالات'!$AJ$6:$AJ$505,'سجل الإجازات والحالات'!$B$6:$B$505,$B65)-SUMIFS('سجل الإجازات والحالات'!$AI$6:$AI$505,'سجل الإجازات والحالات'!$B$6:$B$505,$B65))))</f>
        <v/>
      </c>
      <c r="AK65" s="110" t="str">
        <f aca="false">IF($B65="","",MAX(0,IF(OR(الموظفون!$AE65="",الموظفون!$AE65&gt;$F$3),$F$3,الموظفون!$AE65)-MAX($E$3,الموظفون!$H65)+1))</f>
        <v/>
      </c>
      <c r="AL65" s="131" t="str">
        <f aca="false">IF($B65="","",SUMIFS('سجل الإجازات والحالات'!$AV$6:$AV$505,'سجل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والحالات'!$X$6:$X$505,'سجل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والحالات'!$AJ$6:$AJ$505,'سجل الإجازات والحالات'!$B$6:$B$505,$B66))/cfg_DAYS_Y)</f>
        <v/>
      </c>
      <c r="AI66" s="130" t="str">
        <f aca="false">IF($B66="","",MAX(0,IF(OR(الموظفون!$AE66="",الموظفون!$AE66&gt;($E$3-1)),($E$3-1),الموظفون!$AE66)-الموظفون!$H66+1-SUMIFS('سجل الإجازات والحالات'!$AI$6:$AI$505,'سجل الإجازات والحالات'!$B$6:$B$505,$B66))/cfg_DAYS_Y)</f>
        <v/>
      </c>
      <c r="AJ66" s="57" t="str">
        <f aca="false">IF($B66="","",MAX(0,AK66-(SUMIFS('سجل الإجازات والحالات'!$AJ$6:$AJ$505,'سجل الإجازات والحالات'!$B$6:$B$505,$B66)-SUMIFS('سجل الإجازات والحالات'!$AI$6:$AI$505,'سجل الإجازات والحالات'!$B$6:$B$505,$B66))))</f>
        <v/>
      </c>
      <c r="AK66" s="57" t="str">
        <f aca="false">IF($B66="","",MAX(0,IF(OR(الموظفون!$AE66="",الموظفون!$AE66&gt;$F$3),$F$3,الموظفون!$AE66)-MAX($E$3,الموظفون!$H66)+1))</f>
        <v/>
      </c>
      <c r="AL66" s="126" t="str">
        <f aca="false">IF($B66="","",SUMIFS('سجل الإجازات والحالات'!$AV$6:$AV$505,'سجل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والحالات'!$X$6:$X$505,'سجل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والحالات'!$AJ$6:$AJ$505,'سجل الإجازات والحالات'!$B$6:$B$505,$B67))/cfg_DAYS_Y)</f>
        <v/>
      </c>
      <c r="AI67" s="135" t="str">
        <f aca="false">IF($B67="","",MAX(0,IF(OR(الموظفون!$AE67="",الموظفون!$AE67&gt;($E$3-1)),($E$3-1),الموظفون!$AE67)-الموظفون!$H67+1-SUMIFS('سجل الإجازات والحالات'!$AI$6:$AI$505,'سجل الإجازات والحالات'!$B$6:$B$505,$B67))/cfg_DAYS_Y)</f>
        <v/>
      </c>
      <c r="AJ67" s="110" t="str">
        <f aca="false">IF($B67="","",MAX(0,AK67-(SUMIFS('سجل الإجازات والحالات'!$AJ$6:$AJ$505,'سجل الإجازات والحالات'!$B$6:$B$505,$B67)-SUMIFS('سجل الإجازات والحالات'!$AI$6:$AI$505,'سجل الإجازات والحالات'!$B$6:$B$505,$B67))))</f>
        <v/>
      </c>
      <c r="AK67" s="110" t="str">
        <f aca="false">IF($B67="","",MAX(0,IF(OR(الموظفون!$AE67="",الموظفون!$AE67&gt;$F$3),$F$3,الموظفون!$AE67)-MAX($E$3,الموظفون!$H67)+1))</f>
        <v/>
      </c>
      <c r="AL67" s="131" t="str">
        <f aca="false">IF($B67="","",SUMIFS('سجل الإجازات والحالات'!$AV$6:$AV$505,'سجل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والحالات'!$X$6:$X$505,'سجل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والحالات'!$AJ$6:$AJ$505,'سجل الإجازات والحالات'!$B$6:$B$505,$B68))/cfg_DAYS_Y)</f>
        <v/>
      </c>
      <c r="AI68" s="130" t="str">
        <f aca="false">IF($B68="","",MAX(0,IF(OR(الموظفون!$AE68="",الموظفون!$AE68&gt;($E$3-1)),($E$3-1),الموظفون!$AE68)-الموظفون!$H68+1-SUMIFS('سجل الإجازات والحالات'!$AI$6:$AI$505,'سجل الإجازات والحالات'!$B$6:$B$505,$B68))/cfg_DAYS_Y)</f>
        <v/>
      </c>
      <c r="AJ68" s="57" t="str">
        <f aca="false">IF($B68="","",MAX(0,AK68-(SUMIFS('سجل الإجازات والحالات'!$AJ$6:$AJ$505,'سجل الإجازات والحالات'!$B$6:$B$505,$B68)-SUMIFS('سجل الإجازات والحالات'!$AI$6:$AI$505,'سجل الإجازات والحالات'!$B$6:$B$505,$B68))))</f>
        <v/>
      </c>
      <c r="AK68" s="57" t="str">
        <f aca="false">IF($B68="","",MAX(0,IF(OR(الموظفون!$AE68="",الموظفون!$AE68&gt;$F$3),$F$3,الموظفون!$AE68)-MAX($E$3,الموظفون!$H68)+1))</f>
        <v/>
      </c>
      <c r="AL68" s="126" t="str">
        <f aca="false">IF($B68="","",SUMIFS('سجل الإجازات والحالات'!$AV$6:$AV$505,'سجل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والحالات'!$X$6:$X$505,'سجل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والحالات'!$AJ$6:$AJ$505,'سجل الإجازات والحالات'!$B$6:$B$505,$B69))/cfg_DAYS_Y)</f>
        <v/>
      </c>
      <c r="AI69" s="135" t="str">
        <f aca="false">IF($B69="","",MAX(0,IF(OR(الموظفون!$AE69="",الموظفون!$AE69&gt;($E$3-1)),($E$3-1),الموظفون!$AE69)-الموظفون!$H69+1-SUMIFS('سجل الإجازات والحالات'!$AI$6:$AI$505,'سجل الإجازات والحالات'!$B$6:$B$505,$B69))/cfg_DAYS_Y)</f>
        <v/>
      </c>
      <c r="AJ69" s="110" t="str">
        <f aca="false">IF($B69="","",MAX(0,AK69-(SUMIFS('سجل الإجازات والحالات'!$AJ$6:$AJ$505,'سجل الإجازات والحالات'!$B$6:$B$505,$B69)-SUMIFS('سجل الإجازات والحالات'!$AI$6:$AI$505,'سجل الإجازات والحالات'!$B$6:$B$505,$B69))))</f>
        <v/>
      </c>
      <c r="AK69" s="110" t="str">
        <f aca="false">IF($B69="","",MAX(0,IF(OR(الموظفون!$AE69="",الموظفون!$AE69&gt;$F$3),$F$3,الموظفون!$AE69)-MAX($E$3,الموظفون!$H69)+1))</f>
        <v/>
      </c>
      <c r="AL69" s="131" t="str">
        <f aca="false">IF($B69="","",SUMIFS('سجل الإجازات والحالات'!$AV$6:$AV$505,'سجل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والحالات'!$X$6:$X$505,'سجل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والحالات'!$AJ$6:$AJ$505,'سجل الإجازات والحالات'!$B$6:$B$505,$B70))/cfg_DAYS_Y)</f>
        <v/>
      </c>
      <c r="AI70" s="130" t="str">
        <f aca="false">IF($B70="","",MAX(0,IF(OR(الموظفون!$AE70="",الموظفون!$AE70&gt;($E$3-1)),($E$3-1),الموظفون!$AE70)-الموظفون!$H70+1-SUMIFS('سجل الإجازات والحالات'!$AI$6:$AI$505,'سجل الإجازات والحالات'!$B$6:$B$505,$B70))/cfg_DAYS_Y)</f>
        <v/>
      </c>
      <c r="AJ70" s="57" t="str">
        <f aca="false">IF($B70="","",MAX(0,AK70-(SUMIFS('سجل الإجازات والحالات'!$AJ$6:$AJ$505,'سجل الإجازات والحالات'!$B$6:$B$505,$B70)-SUMIFS('سجل الإجازات والحالات'!$AI$6:$AI$505,'سجل الإجازات والحالات'!$B$6:$B$505,$B70))))</f>
        <v/>
      </c>
      <c r="AK70" s="57" t="str">
        <f aca="false">IF($B70="","",MAX(0,IF(OR(الموظفون!$AE70="",الموظفون!$AE70&gt;$F$3),$F$3,الموظفون!$AE70)-MAX($E$3,الموظفون!$H70)+1))</f>
        <v/>
      </c>
      <c r="AL70" s="126" t="str">
        <f aca="false">IF($B70="","",SUMIFS('سجل الإجازات والحالات'!$AV$6:$AV$505,'سجل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والحالات'!$X$6:$X$505,'سجل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والحالات'!$AJ$6:$AJ$505,'سجل الإجازات والحالات'!$B$6:$B$505,$B71))/cfg_DAYS_Y)</f>
        <v/>
      </c>
      <c r="AI71" s="135" t="str">
        <f aca="false">IF($B71="","",MAX(0,IF(OR(الموظفون!$AE71="",الموظفون!$AE71&gt;($E$3-1)),($E$3-1),الموظفون!$AE71)-الموظفون!$H71+1-SUMIFS('سجل الإجازات والحالات'!$AI$6:$AI$505,'سجل الإجازات والحالات'!$B$6:$B$505,$B71))/cfg_DAYS_Y)</f>
        <v/>
      </c>
      <c r="AJ71" s="110" t="str">
        <f aca="false">IF($B71="","",MAX(0,AK71-(SUMIFS('سجل الإجازات والحالات'!$AJ$6:$AJ$505,'سجل الإجازات والحالات'!$B$6:$B$505,$B71)-SUMIFS('سجل الإجازات والحالات'!$AI$6:$AI$505,'سجل الإجازات والحالات'!$B$6:$B$505,$B71))))</f>
        <v/>
      </c>
      <c r="AK71" s="110" t="str">
        <f aca="false">IF($B71="","",MAX(0,IF(OR(الموظفون!$AE71="",الموظفون!$AE71&gt;$F$3),$F$3,الموظفون!$AE71)-MAX($E$3,الموظفون!$H71)+1))</f>
        <v/>
      </c>
      <c r="AL71" s="131" t="str">
        <f aca="false">IF($B71="","",SUMIFS('سجل الإجازات والحالات'!$AV$6:$AV$505,'سجل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والحالات'!$X$6:$X$505,'سجل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والحالات'!$AJ$6:$AJ$505,'سجل الإجازات والحالات'!$B$6:$B$505,$B72))/cfg_DAYS_Y)</f>
        <v/>
      </c>
      <c r="AI72" s="130" t="str">
        <f aca="false">IF($B72="","",MAX(0,IF(OR(الموظفون!$AE72="",الموظفون!$AE72&gt;($E$3-1)),($E$3-1),الموظفون!$AE72)-الموظفون!$H72+1-SUMIFS('سجل الإجازات والحالات'!$AI$6:$AI$505,'سجل الإجازات والحالات'!$B$6:$B$505,$B72))/cfg_DAYS_Y)</f>
        <v/>
      </c>
      <c r="AJ72" s="57" t="str">
        <f aca="false">IF($B72="","",MAX(0,AK72-(SUMIFS('سجل الإجازات والحالات'!$AJ$6:$AJ$505,'سجل الإجازات والحالات'!$B$6:$B$505,$B72)-SUMIFS('سجل الإجازات والحالات'!$AI$6:$AI$505,'سجل الإجازات والحالات'!$B$6:$B$505,$B72))))</f>
        <v/>
      </c>
      <c r="AK72" s="57" t="str">
        <f aca="false">IF($B72="","",MAX(0,IF(OR(الموظفون!$AE72="",الموظفون!$AE72&gt;$F$3),$F$3,الموظفون!$AE72)-MAX($E$3,الموظفون!$H72)+1))</f>
        <v/>
      </c>
      <c r="AL72" s="126" t="str">
        <f aca="false">IF($B72="","",SUMIFS('سجل الإجازات والحالات'!$AV$6:$AV$505,'سجل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والحالات'!$X$6:$X$505,'سجل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والحالات'!$AJ$6:$AJ$505,'سجل الإجازات والحالات'!$B$6:$B$505,$B73))/cfg_DAYS_Y)</f>
        <v/>
      </c>
      <c r="AI73" s="135" t="str">
        <f aca="false">IF($B73="","",MAX(0,IF(OR(الموظفون!$AE73="",الموظفون!$AE73&gt;($E$3-1)),($E$3-1),الموظفون!$AE73)-الموظفون!$H73+1-SUMIFS('سجل الإجازات والحالات'!$AI$6:$AI$505,'سجل الإجازات والحالات'!$B$6:$B$505,$B73))/cfg_DAYS_Y)</f>
        <v/>
      </c>
      <c r="AJ73" s="110" t="str">
        <f aca="false">IF($B73="","",MAX(0,AK73-(SUMIFS('سجل الإجازات والحالات'!$AJ$6:$AJ$505,'سجل الإجازات والحالات'!$B$6:$B$505,$B73)-SUMIFS('سجل الإجازات والحالات'!$AI$6:$AI$505,'سجل الإجازات والحالات'!$B$6:$B$505,$B73))))</f>
        <v/>
      </c>
      <c r="AK73" s="110" t="str">
        <f aca="false">IF($B73="","",MAX(0,IF(OR(الموظفون!$AE73="",الموظفون!$AE73&gt;$F$3),$F$3,الموظفون!$AE73)-MAX($E$3,الموظفون!$H73)+1))</f>
        <v/>
      </c>
      <c r="AL73" s="131" t="str">
        <f aca="false">IF($B73="","",SUMIFS('سجل الإجازات والحالات'!$AV$6:$AV$505,'سجل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والحالات'!$X$6:$X$505,'سجل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والحالات'!$AJ$6:$AJ$505,'سجل الإجازات والحالات'!$B$6:$B$505,$B74))/cfg_DAYS_Y)</f>
        <v/>
      </c>
      <c r="AI74" s="130" t="str">
        <f aca="false">IF($B74="","",MAX(0,IF(OR(الموظفون!$AE74="",الموظفون!$AE74&gt;($E$3-1)),($E$3-1),الموظفون!$AE74)-الموظفون!$H74+1-SUMIFS('سجل الإجازات والحالات'!$AI$6:$AI$505,'سجل الإجازات والحالات'!$B$6:$B$505,$B74))/cfg_DAYS_Y)</f>
        <v/>
      </c>
      <c r="AJ74" s="57" t="str">
        <f aca="false">IF($B74="","",MAX(0,AK74-(SUMIFS('سجل الإجازات والحالات'!$AJ$6:$AJ$505,'سجل الإجازات والحالات'!$B$6:$B$505,$B74)-SUMIFS('سجل الإجازات والحالات'!$AI$6:$AI$505,'سجل الإجازات والحالات'!$B$6:$B$505,$B74))))</f>
        <v/>
      </c>
      <c r="AK74" s="57" t="str">
        <f aca="false">IF($B74="","",MAX(0,IF(OR(الموظفون!$AE74="",الموظفون!$AE74&gt;$F$3),$F$3,الموظفون!$AE74)-MAX($E$3,الموظفون!$H74)+1))</f>
        <v/>
      </c>
      <c r="AL74" s="126" t="str">
        <f aca="false">IF($B74="","",SUMIFS('سجل الإجازات والحالات'!$AV$6:$AV$505,'سجل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والحالات'!$X$6:$X$505,'سجل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والحالات'!$AJ$6:$AJ$505,'سجل الإجازات والحالات'!$B$6:$B$505,$B75))/cfg_DAYS_Y)</f>
        <v/>
      </c>
      <c r="AI75" s="135" t="str">
        <f aca="false">IF($B75="","",MAX(0,IF(OR(الموظفون!$AE75="",الموظفون!$AE75&gt;($E$3-1)),($E$3-1),الموظفون!$AE75)-الموظفون!$H75+1-SUMIFS('سجل الإجازات والحالات'!$AI$6:$AI$505,'سجل الإجازات والحالات'!$B$6:$B$505,$B75))/cfg_DAYS_Y)</f>
        <v/>
      </c>
      <c r="AJ75" s="110" t="str">
        <f aca="false">IF($B75="","",MAX(0,AK75-(SUMIFS('سجل الإجازات والحالات'!$AJ$6:$AJ$505,'سجل الإجازات والحالات'!$B$6:$B$505,$B75)-SUMIFS('سجل الإجازات والحالات'!$AI$6:$AI$505,'سجل الإجازات والحالات'!$B$6:$B$505,$B75))))</f>
        <v/>
      </c>
      <c r="AK75" s="110" t="str">
        <f aca="false">IF($B75="","",MAX(0,IF(OR(الموظفون!$AE75="",الموظفون!$AE75&gt;$F$3),$F$3,الموظفون!$AE75)-MAX($E$3,الموظفون!$H75)+1))</f>
        <v/>
      </c>
      <c r="AL75" s="131" t="str">
        <f aca="false">IF($B75="","",SUMIFS('سجل الإجازات والحالات'!$AV$6:$AV$505,'سجل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والحالات'!$X$6:$X$505,'سجل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والحالات'!$AJ$6:$AJ$505,'سجل الإجازات والحالات'!$B$6:$B$505,$B76))/cfg_DAYS_Y)</f>
        <v/>
      </c>
      <c r="AI76" s="130" t="str">
        <f aca="false">IF($B76="","",MAX(0,IF(OR(الموظفون!$AE76="",الموظفون!$AE76&gt;($E$3-1)),($E$3-1),الموظفون!$AE76)-الموظفون!$H76+1-SUMIFS('سجل الإجازات والحالات'!$AI$6:$AI$505,'سجل الإجازات والحالات'!$B$6:$B$505,$B76))/cfg_DAYS_Y)</f>
        <v/>
      </c>
      <c r="AJ76" s="57" t="str">
        <f aca="false">IF($B76="","",MAX(0,AK76-(SUMIFS('سجل الإجازات والحالات'!$AJ$6:$AJ$505,'سجل الإجازات والحالات'!$B$6:$B$505,$B76)-SUMIFS('سجل الإجازات والحالات'!$AI$6:$AI$505,'سجل الإجازات والحالات'!$B$6:$B$505,$B76))))</f>
        <v/>
      </c>
      <c r="AK76" s="57" t="str">
        <f aca="false">IF($B76="","",MAX(0,IF(OR(الموظفون!$AE76="",الموظفون!$AE76&gt;$F$3),$F$3,الموظفون!$AE76)-MAX($E$3,الموظفون!$H76)+1))</f>
        <v/>
      </c>
      <c r="AL76" s="126" t="str">
        <f aca="false">IF($B76="","",SUMIFS('سجل الإجازات والحالات'!$AV$6:$AV$505,'سجل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والحالات'!$X$6:$X$505,'سجل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والحالات'!$AJ$6:$AJ$505,'سجل الإجازات والحالات'!$B$6:$B$505,$B77))/cfg_DAYS_Y)</f>
        <v/>
      </c>
      <c r="AI77" s="135" t="str">
        <f aca="false">IF($B77="","",MAX(0,IF(OR(الموظفون!$AE77="",الموظفون!$AE77&gt;($E$3-1)),($E$3-1),الموظفون!$AE77)-الموظفون!$H77+1-SUMIFS('سجل الإجازات والحالات'!$AI$6:$AI$505,'سجل الإجازات والحالات'!$B$6:$B$505,$B77))/cfg_DAYS_Y)</f>
        <v/>
      </c>
      <c r="AJ77" s="110" t="str">
        <f aca="false">IF($B77="","",MAX(0,AK77-(SUMIFS('سجل الإجازات والحالات'!$AJ$6:$AJ$505,'سجل الإجازات والحالات'!$B$6:$B$505,$B77)-SUMIFS('سجل الإجازات والحالات'!$AI$6:$AI$505,'سجل الإجازات والحالات'!$B$6:$B$505,$B77))))</f>
        <v/>
      </c>
      <c r="AK77" s="110" t="str">
        <f aca="false">IF($B77="","",MAX(0,IF(OR(الموظفون!$AE77="",الموظفون!$AE77&gt;$F$3),$F$3,الموظفون!$AE77)-MAX($E$3,الموظفون!$H77)+1))</f>
        <v/>
      </c>
      <c r="AL77" s="131" t="str">
        <f aca="false">IF($B77="","",SUMIFS('سجل الإجازات والحالات'!$AV$6:$AV$505,'سجل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والحالات'!$X$6:$X$505,'سجل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والحالات'!$AJ$6:$AJ$505,'سجل الإجازات والحالات'!$B$6:$B$505,$B78))/cfg_DAYS_Y)</f>
        <v/>
      </c>
      <c r="AI78" s="130" t="str">
        <f aca="false">IF($B78="","",MAX(0,IF(OR(الموظفون!$AE78="",الموظفون!$AE78&gt;($E$3-1)),($E$3-1),الموظفون!$AE78)-الموظفون!$H78+1-SUMIFS('سجل الإجازات والحالات'!$AI$6:$AI$505,'سجل الإجازات والحالات'!$B$6:$B$505,$B78))/cfg_DAYS_Y)</f>
        <v/>
      </c>
      <c r="AJ78" s="57" t="str">
        <f aca="false">IF($B78="","",MAX(0,AK78-(SUMIFS('سجل الإجازات والحالات'!$AJ$6:$AJ$505,'سجل الإجازات والحالات'!$B$6:$B$505,$B78)-SUMIFS('سجل الإجازات والحالات'!$AI$6:$AI$505,'سجل الإجازات والحالات'!$B$6:$B$505,$B78))))</f>
        <v/>
      </c>
      <c r="AK78" s="57" t="str">
        <f aca="false">IF($B78="","",MAX(0,IF(OR(الموظفون!$AE78="",الموظفون!$AE78&gt;$F$3),$F$3,الموظفون!$AE78)-MAX($E$3,الموظفون!$H78)+1))</f>
        <v/>
      </c>
      <c r="AL78" s="126" t="str">
        <f aca="false">IF($B78="","",SUMIFS('سجل الإجازات والحالات'!$AV$6:$AV$505,'سجل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والحالات'!$X$6:$X$505,'سجل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والحالات'!$AJ$6:$AJ$505,'سجل الإجازات والحالات'!$B$6:$B$505,$B79))/cfg_DAYS_Y)</f>
        <v/>
      </c>
      <c r="AI79" s="135" t="str">
        <f aca="false">IF($B79="","",MAX(0,IF(OR(الموظفون!$AE79="",الموظفون!$AE79&gt;($E$3-1)),($E$3-1),الموظفون!$AE79)-الموظفون!$H79+1-SUMIFS('سجل الإجازات والحالات'!$AI$6:$AI$505,'سجل الإجازات والحالات'!$B$6:$B$505,$B79))/cfg_DAYS_Y)</f>
        <v/>
      </c>
      <c r="AJ79" s="110" t="str">
        <f aca="false">IF($B79="","",MAX(0,AK79-(SUMIFS('سجل الإجازات والحالات'!$AJ$6:$AJ$505,'سجل الإجازات والحالات'!$B$6:$B$505,$B79)-SUMIFS('سجل الإجازات والحالات'!$AI$6:$AI$505,'سجل الإجازات والحالات'!$B$6:$B$505,$B79))))</f>
        <v/>
      </c>
      <c r="AK79" s="110" t="str">
        <f aca="false">IF($B79="","",MAX(0,IF(OR(الموظفون!$AE79="",الموظفون!$AE79&gt;$F$3),$F$3,الموظفون!$AE79)-MAX($E$3,الموظفون!$H79)+1))</f>
        <v/>
      </c>
      <c r="AL79" s="131" t="str">
        <f aca="false">IF($B79="","",SUMIFS('سجل الإجازات والحالات'!$AV$6:$AV$505,'سجل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والحالات'!$X$6:$X$505,'سجل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والحالات'!$AJ$6:$AJ$505,'سجل الإجازات والحالات'!$B$6:$B$505,$B80))/cfg_DAYS_Y)</f>
        <v/>
      </c>
      <c r="AI80" s="130" t="str">
        <f aca="false">IF($B80="","",MAX(0,IF(OR(الموظفون!$AE80="",الموظفون!$AE80&gt;($E$3-1)),($E$3-1),الموظفون!$AE80)-الموظفون!$H80+1-SUMIFS('سجل الإجازات والحالات'!$AI$6:$AI$505,'سجل الإجازات والحالات'!$B$6:$B$505,$B80))/cfg_DAYS_Y)</f>
        <v/>
      </c>
      <c r="AJ80" s="57" t="str">
        <f aca="false">IF($B80="","",MAX(0,AK80-(SUMIFS('سجل الإجازات والحالات'!$AJ$6:$AJ$505,'سجل الإجازات والحالات'!$B$6:$B$505,$B80)-SUMIFS('سجل الإجازات والحالات'!$AI$6:$AI$505,'سجل الإجازات والحالات'!$B$6:$B$505,$B80))))</f>
        <v/>
      </c>
      <c r="AK80" s="57" t="str">
        <f aca="false">IF($B80="","",MAX(0,IF(OR(الموظفون!$AE80="",الموظفون!$AE80&gt;$F$3),$F$3,الموظفون!$AE80)-MAX($E$3,الموظفون!$H80)+1))</f>
        <v/>
      </c>
      <c r="AL80" s="126" t="str">
        <f aca="false">IF($B80="","",SUMIFS('سجل الإجازات والحالات'!$AV$6:$AV$505,'سجل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والحالات'!$X$6:$X$505,'سجل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والحالات'!$AJ$6:$AJ$505,'سجل الإجازات والحالات'!$B$6:$B$505,$B81))/cfg_DAYS_Y)</f>
        <v/>
      </c>
      <c r="AI81" s="135" t="str">
        <f aca="false">IF($B81="","",MAX(0,IF(OR(الموظفون!$AE81="",الموظفون!$AE81&gt;($E$3-1)),($E$3-1),الموظفون!$AE81)-الموظفون!$H81+1-SUMIFS('سجل الإجازات والحالات'!$AI$6:$AI$505,'سجل الإجازات والحالات'!$B$6:$B$505,$B81))/cfg_DAYS_Y)</f>
        <v/>
      </c>
      <c r="AJ81" s="110" t="str">
        <f aca="false">IF($B81="","",MAX(0,AK81-(SUMIFS('سجل الإجازات والحالات'!$AJ$6:$AJ$505,'سجل الإجازات والحالات'!$B$6:$B$505,$B81)-SUMIFS('سجل الإجازات والحالات'!$AI$6:$AI$505,'سجل الإجازات والحالات'!$B$6:$B$505,$B81))))</f>
        <v/>
      </c>
      <c r="AK81" s="110" t="str">
        <f aca="false">IF($B81="","",MAX(0,IF(OR(الموظفون!$AE81="",الموظفون!$AE81&gt;$F$3),$F$3,الموظفون!$AE81)-MAX($E$3,الموظفون!$H81)+1))</f>
        <v/>
      </c>
      <c r="AL81" s="131" t="str">
        <f aca="false">IF($B81="","",SUMIFS('سجل الإجازات والحالات'!$AV$6:$AV$505,'سجل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والحالات'!$X$6:$X$505,'سجل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والحالات'!$AJ$6:$AJ$505,'سجل الإجازات والحالات'!$B$6:$B$505,$B82))/cfg_DAYS_Y)</f>
        <v/>
      </c>
      <c r="AI82" s="130" t="str">
        <f aca="false">IF($B82="","",MAX(0,IF(OR(الموظفون!$AE82="",الموظفون!$AE82&gt;($E$3-1)),($E$3-1),الموظفون!$AE82)-الموظفون!$H82+1-SUMIFS('سجل الإجازات والحالات'!$AI$6:$AI$505,'سجل الإجازات والحالات'!$B$6:$B$505,$B82))/cfg_DAYS_Y)</f>
        <v/>
      </c>
      <c r="AJ82" s="57" t="str">
        <f aca="false">IF($B82="","",MAX(0,AK82-(SUMIFS('سجل الإجازات والحالات'!$AJ$6:$AJ$505,'سجل الإجازات والحالات'!$B$6:$B$505,$B82)-SUMIFS('سجل الإجازات والحالات'!$AI$6:$AI$505,'سجل الإجازات والحالات'!$B$6:$B$505,$B82))))</f>
        <v/>
      </c>
      <c r="AK82" s="57" t="str">
        <f aca="false">IF($B82="","",MAX(0,IF(OR(الموظفون!$AE82="",الموظفون!$AE82&gt;$F$3),$F$3,الموظفون!$AE82)-MAX($E$3,الموظفون!$H82)+1))</f>
        <v/>
      </c>
      <c r="AL82" s="126" t="str">
        <f aca="false">IF($B82="","",SUMIFS('سجل الإجازات والحالات'!$AV$6:$AV$505,'سجل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والحالات'!$X$6:$X$505,'سجل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والحالات'!$AJ$6:$AJ$505,'سجل الإجازات والحالات'!$B$6:$B$505,$B83))/cfg_DAYS_Y)</f>
        <v/>
      </c>
      <c r="AI83" s="135" t="str">
        <f aca="false">IF($B83="","",MAX(0,IF(OR(الموظفون!$AE83="",الموظفون!$AE83&gt;($E$3-1)),($E$3-1),الموظفون!$AE83)-الموظفون!$H83+1-SUMIFS('سجل الإجازات والحالات'!$AI$6:$AI$505,'سجل الإجازات والحالات'!$B$6:$B$505,$B83))/cfg_DAYS_Y)</f>
        <v/>
      </c>
      <c r="AJ83" s="110" t="str">
        <f aca="false">IF($B83="","",MAX(0,AK83-(SUMIFS('سجل الإجازات والحالات'!$AJ$6:$AJ$505,'سجل الإجازات والحالات'!$B$6:$B$505,$B83)-SUMIFS('سجل الإجازات والحالات'!$AI$6:$AI$505,'سجل الإجازات والحالات'!$B$6:$B$505,$B83))))</f>
        <v/>
      </c>
      <c r="AK83" s="110" t="str">
        <f aca="false">IF($B83="","",MAX(0,IF(OR(الموظفون!$AE83="",الموظفون!$AE83&gt;$F$3),$F$3,الموظفون!$AE83)-MAX($E$3,الموظفون!$H83)+1))</f>
        <v/>
      </c>
      <c r="AL83" s="131" t="str">
        <f aca="false">IF($B83="","",SUMIFS('سجل الإجازات والحالات'!$AV$6:$AV$505,'سجل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والحالات'!$X$6:$X$505,'سجل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والحالات'!$AJ$6:$AJ$505,'سجل الإجازات والحالات'!$B$6:$B$505,$B84))/cfg_DAYS_Y)</f>
        <v/>
      </c>
      <c r="AI84" s="130" t="str">
        <f aca="false">IF($B84="","",MAX(0,IF(OR(الموظفون!$AE84="",الموظفون!$AE84&gt;($E$3-1)),($E$3-1),الموظفون!$AE84)-الموظفون!$H84+1-SUMIFS('سجل الإجازات والحالات'!$AI$6:$AI$505,'سجل الإجازات والحالات'!$B$6:$B$505,$B84))/cfg_DAYS_Y)</f>
        <v/>
      </c>
      <c r="AJ84" s="57" t="str">
        <f aca="false">IF($B84="","",MAX(0,AK84-(SUMIFS('سجل الإجازات والحالات'!$AJ$6:$AJ$505,'سجل الإجازات والحالات'!$B$6:$B$505,$B84)-SUMIFS('سجل الإجازات والحالات'!$AI$6:$AI$505,'سجل الإجازات والحالات'!$B$6:$B$505,$B84))))</f>
        <v/>
      </c>
      <c r="AK84" s="57" t="str">
        <f aca="false">IF($B84="","",MAX(0,IF(OR(الموظفون!$AE84="",الموظفون!$AE84&gt;$F$3),$F$3,الموظفون!$AE84)-MAX($E$3,الموظفون!$H84)+1))</f>
        <v/>
      </c>
      <c r="AL84" s="126" t="str">
        <f aca="false">IF($B84="","",SUMIFS('سجل الإجازات والحالات'!$AV$6:$AV$505,'سجل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والحالات'!$X$6:$X$505,'سجل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والحالات'!$AJ$6:$AJ$505,'سجل الإجازات والحالات'!$B$6:$B$505,$B85))/cfg_DAYS_Y)</f>
        <v/>
      </c>
      <c r="AI85" s="135" t="str">
        <f aca="false">IF($B85="","",MAX(0,IF(OR(الموظفون!$AE85="",الموظفون!$AE85&gt;($E$3-1)),($E$3-1),الموظفون!$AE85)-الموظفون!$H85+1-SUMIFS('سجل الإجازات والحالات'!$AI$6:$AI$505,'سجل الإجازات والحالات'!$B$6:$B$505,$B85))/cfg_DAYS_Y)</f>
        <v/>
      </c>
      <c r="AJ85" s="110" t="str">
        <f aca="false">IF($B85="","",MAX(0,AK85-(SUMIFS('سجل الإجازات والحالات'!$AJ$6:$AJ$505,'سجل الإجازات والحالات'!$B$6:$B$505,$B85)-SUMIFS('سجل الإجازات والحالات'!$AI$6:$AI$505,'سجل الإجازات والحالات'!$B$6:$B$505,$B85))))</f>
        <v/>
      </c>
      <c r="AK85" s="110" t="str">
        <f aca="false">IF($B85="","",MAX(0,IF(OR(الموظفون!$AE85="",الموظفون!$AE85&gt;$F$3),$F$3,الموظفون!$AE85)-MAX($E$3,الموظفون!$H85)+1))</f>
        <v/>
      </c>
      <c r="AL85" s="131" t="str">
        <f aca="false">IF($B85="","",SUMIFS('سجل الإجازات والحالات'!$AV$6:$AV$505,'سجل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والحالات'!$X$6:$X$505,'سجل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والحالات'!$AJ$6:$AJ$505,'سجل الإجازات والحالات'!$B$6:$B$505,$B86))/cfg_DAYS_Y)</f>
        <v/>
      </c>
      <c r="AI86" s="130" t="str">
        <f aca="false">IF($B86="","",MAX(0,IF(OR(الموظفون!$AE86="",الموظفون!$AE86&gt;($E$3-1)),($E$3-1),الموظفون!$AE86)-الموظفون!$H86+1-SUMIFS('سجل الإجازات والحالات'!$AI$6:$AI$505,'سجل الإجازات والحالات'!$B$6:$B$505,$B86))/cfg_DAYS_Y)</f>
        <v/>
      </c>
      <c r="AJ86" s="57" t="str">
        <f aca="false">IF($B86="","",MAX(0,AK86-(SUMIFS('سجل الإجازات والحالات'!$AJ$6:$AJ$505,'سجل الإجازات والحالات'!$B$6:$B$505,$B86)-SUMIFS('سجل الإجازات والحالات'!$AI$6:$AI$505,'سجل الإجازات والحالات'!$B$6:$B$505,$B86))))</f>
        <v/>
      </c>
      <c r="AK86" s="57" t="str">
        <f aca="false">IF($B86="","",MAX(0,IF(OR(الموظفون!$AE86="",الموظفون!$AE86&gt;$F$3),$F$3,الموظفون!$AE86)-MAX($E$3,الموظفون!$H86)+1))</f>
        <v/>
      </c>
      <c r="AL86" s="126" t="str">
        <f aca="false">IF($B86="","",SUMIFS('سجل الإجازات والحالات'!$AV$6:$AV$505,'سجل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والحالات'!$X$6:$X$505,'سجل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والحالات'!$AJ$6:$AJ$505,'سجل الإجازات والحالات'!$B$6:$B$505,$B87))/cfg_DAYS_Y)</f>
        <v/>
      </c>
      <c r="AI87" s="135" t="str">
        <f aca="false">IF($B87="","",MAX(0,IF(OR(الموظفون!$AE87="",الموظفون!$AE87&gt;($E$3-1)),($E$3-1),الموظفون!$AE87)-الموظفون!$H87+1-SUMIFS('سجل الإجازات والحالات'!$AI$6:$AI$505,'سجل الإجازات والحالات'!$B$6:$B$505,$B87))/cfg_DAYS_Y)</f>
        <v/>
      </c>
      <c r="AJ87" s="110" t="str">
        <f aca="false">IF($B87="","",MAX(0,AK87-(SUMIFS('سجل الإجازات والحالات'!$AJ$6:$AJ$505,'سجل الإجازات والحالات'!$B$6:$B$505,$B87)-SUMIFS('سجل الإجازات والحالات'!$AI$6:$AI$505,'سجل الإجازات والحالات'!$B$6:$B$505,$B87))))</f>
        <v/>
      </c>
      <c r="AK87" s="110" t="str">
        <f aca="false">IF($B87="","",MAX(0,IF(OR(الموظفون!$AE87="",الموظفون!$AE87&gt;$F$3),$F$3,الموظفون!$AE87)-MAX($E$3,الموظفون!$H87)+1))</f>
        <v/>
      </c>
      <c r="AL87" s="131" t="str">
        <f aca="false">IF($B87="","",SUMIFS('سجل الإجازات والحالات'!$AV$6:$AV$505,'سجل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والحالات'!$X$6:$X$505,'سجل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والحالات'!$AJ$6:$AJ$505,'سجل الإجازات والحالات'!$B$6:$B$505,$B88))/cfg_DAYS_Y)</f>
        <v/>
      </c>
      <c r="AI88" s="130" t="str">
        <f aca="false">IF($B88="","",MAX(0,IF(OR(الموظفون!$AE88="",الموظفون!$AE88&gt;($E$3-1)),($E$3-1),الموظفون!$AE88)-الموظفون!$H88+1-SUMIFS('سجل الإجازات والحالات'!$AI$6:$AI$505,'سجل الإجازات والحالات'!$B$6:$B$505,$B88))/cfg_DAYS_Y)</f>
        <v/>
      </c>
      <c r="AJ88" s="57" t="str">
        <f aca="false">IF($B88="","",MAX(0,AK88-(SUMIFS('سجل الإجازات والحالات'!$AJ$6:$AJ$505,'سجل الإجازات والحالات'!$B$6:$B$505,$B88)-SUMIFS('سجل الإجازات والحالات'!$AI$6:$AI$505,'سجل الإجازات والحالات'!$B$6:$B$505,$B88))))</f>
        <v/>
      </c>
      <c r="AK88" s="57" t="str">
        <f aca="false">IF($B88="","",MAX(0,IF(OR(الموظفون!$AE88="",الموظفون!$AE88&gt;$F$3),$F$3,الموظفون!$AE88)-MAX($E$3,الموظفون!$H88)+1))</f>
        <v/>
      </c>
      <c r="AL88" s="126" t="str">
        <f aca="false">IF($B88="","",SUMIFS('سجل الإجازات والحالات'!$AV$6:$AV$505,'سجل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والحالات'!$X$6:$X$505,'سجل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والحالات'!$AJ$6:$AJ$505,'سجل الإجازات والحالات'!$B$6:$B$505,$B89))/cfg_DAYS_Y)</f>
        <v/>
      </c>
      <c r="AI89" s="135" t="str">
        <f aca="false">IF($B89="","",MAX(0,IF(OR(الموظفون!$AE89="",الموظفون!$AE89&gt;($E$3-1)),($E$3-1),الموظفون!$AE89)-الموظفون!$H89+1-SUMIFS('سجل الإجازات والحالات'!$AI$6:$AI$505,'سجل الإجازات والحالات'!$B$6:$B$505,$B89))/cfg_DAYS_Y)</f>
        <v/>
      </c>
      <c r="AJ89" s="110" t="str">
        <f aca="false">IF($B89="","",MAX(0,AK89-(SUMIFS('سجل الإجازات والحالات'!$AJ$6:$AJ$505,'سجل الإجازات والحالات'!$B$6:$B$505,$B89)-SUMIFS('سجل الإجازات والحالات'!$AI$6:$AI$505,'سجل الإجازات والحالات'!$B$6:$B$505,$B89))))</f>
        <v/>
      </c>
      <c r="AK89" s="110" t="str">
        <f aca="false">IF($B89="","",MAX(0,IF(OR(الموظفون!$AE89="",الموظفون!$AE89&gt;$F$3),$F$3,الموظفون!$AE89)-MAX($E$3,الموظفون!$H89)+1))</f>
        <v/>
      </c>
      <c r="AL89" s="131" t="str">
        <f aca="false">IF($B89="","",SUMIFS('سجل الإجازات والحالات'!$AV$6:$AV$505,'سجل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والحالات'!$X$6:$X$505,'سجل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والحالات'!$AJ$6:$AJ$505,'سجل الإجازات والحالات'!$B$6:$B$505,$B90))/cfg_DAYS_Y)</f>
        <v/>
      </c>
      <c r="AI90" s="130" t="str">
        <f aca="false">IF($B90="","",MAX(0,IF(OR(الموظفون!$AE90="",الموظفون!$AE90&gt;($E$3-1)),($E$3-1),الموظفون!$AE90)-الموظفون!$H90+1-SUMIFS('سجل الإجازات والحالات'!$AI$6:$AI$505,'سجل الإجازات والحالات'!$B$6:$B$505,$B90))/cfg_DAYS_Y)</f>
        <v/>
      </c>
      <c r="AJ90" s="57" t="str">
        <f aca="false">IF($B90="","",MAX(0,AK90-(SUMIFS('سجل الإجازات والحالات'!$AJ$6:$AJ$505,'سجل الإجازات والحالات'!$B$6:$B$505,$B90)-SUMIFS('سجل الإجازات والحالات'!$AI$6:$AI$505,'سجل الإجازات والحالات'!$B$6:$B$505,$B90))))</f>
        <v/>
      </c>
      <c r="AK90" s="57" t="str">
        <f aca="false">IF($B90="","",MAX(0,IF(OR(الموظفون!$AE90="",الموظفون!$AE90&gt;$F$3),$F$3,الموظفون!$AE90)-MAX($E$3,الموظفون!$H90)+1))</f>
        <v/>
      </c>
      <c r="AL90" s="126" t="str">
        <f aca="false">IF($B90="","",SUMIFS('سجل الإجازات والحالات'!$AV$6:$AV$505,'سجل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والحالات'!$X$6:$X$505,'سجل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والحالات'!$AJ$6:$AJ$505,'سجل الإجازات والحالات'!$B$6:$B$505,$B91))/cfg_DAYS_Y)</f>
        <v/>
      </c>
      <c r="AI91" s="135" t="str">
        <f aca="false">IF($B91="","",MAX(0,IF(OR(الموظفون!$AE91="",الموظفون!$AE91&gt;($E$3-1)),($E$3-1),الموظفون!$AE91)-الموظفون!$H91+1-SUMIFS('سجل الإجازات والحالات'!$AI$6:$AI$505,'سجل الإجازات والحالات'!$B$6:$B$505,$B91))/cfg_DAYS_Y)</f>
        <v/>
      </c>
      <c r="AJ91" s="110" t="str">
        <f aca="false">IF($B91="","",MAX(0,AK91-(SUMIFS('سجل الإجازات والحالات'!$AJ$6:$AJ$505,'سجل الإجازات والحالات'!$B$6:$B$505,$B91)-SUMIFS('سجل الإجازات والحالات'!$AI$6:$AI$505,'سجل الإجازات والحالات'!$B$6:$B$505,$B91))))</f>
        <v/>
      </c>
      <c r="AK91" s="110" t="str">
        <f aca="false">IF($B91="","",MAX(0,IF(OR(الموظفون!$AE91="",الموظفون!$AE91&gt;$F$3),$F$3,الموظفون!$AE91)-MAX($E$3,الموظفون!$H91)+1))</f>
        <v/>
      </c>
      <c r="AL91" s="131" t="str">
        <f aca="false">IF($B91="","",SUMIFS('سجل الإجازات والحالات'!$AV$6:$AV$505,'سجل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والحالات'!$X$6:$X$505,'سجل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والحالات'!$AJ$6:$AJ$505,'سجل الإجازات والحالات'!$B$6:$B$505,$B92))/cfg_DAYS_Y)</f>
        <v/>
      </c>
      <c r="AI92" s="130" t="str">
        <f aca="false">IF($B92="","",MAX(0,IF(OR(الموظفون!$AE92="",الموظفون!$AE92&gt;($E$3-1)),($E$3-1),الموظفون!$AE92)-الموظفون!$H92+1-SUMIFS('سجل الإجازات والحالات'!$AI$6:$AI$505,'سجل الإجازات والحالات'!$B$6:$B$505,$B92))/cfg_DAYS_Y)</f>
        <v/>
      </c>
      <c r="AJ92" s="57" t="str">
        <f aca="false">IF($B92="","",MAX(0,AK92-(SUMIFS('سجل الإجازات والحالات'!$AJ$6:$AJ$505,'سجل الإجازات والحالات'!$B$6:$B$505,$B92)-SUMIFS('سجل الإجازات والحالات'!$AI$6:$AI$505,'سجل الإجازات والحالات'!$B$6:$B$505,$B92))))</f>
        <v/>
      </c>
      <c r="AK92" s="57" t="str">
        <f aca="false">IF($B92="","",MAX(0,IF(OR(الموظفون!$AE92="",الموظفون!$AE92&gt;$F$3),$F$3,الموظفون!$AE92)-MAX($E$3,الموظفون!$H92)+1))</f>
        <v/>
      </c>
      <c r="AL92" s="126" t="str">
        <f aca="false">IF($B92="","",SUMIFS('سجل الإجازات والحالات'!$AV$6:$AV$505,'سجل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والحالات'!$X$6:$X$505,'سجل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والحالات'!$AJ$6:$AJ$505,'سجل الإجازات والحالات'!$B$6:$B$505,$B93))/cfg_DAYS_Y)</f>
        <v/>
      </c>
      <c r="AI93" s="135" t="str">
        <f aca="false">IF($B93="","",MAX(0,IF(OR(الموظفون!$AE93="",الموظفون!$AE93&gt;($E$3-1)),($E$3-1),الموظفون!$AE93)-الموظفون!$H93+1-SUMIFS('سجل الإجازات والحالات'!$AI$6:$AI$505,'سجل الإجازات والحالات'!$B$6:$B$505,$B93))/cfg_DAYS_Y)</f>
        <v/>
      </c>
      <c r="AJ93" s="110" t="str">
        <f aca="false">IF($B93="","",MAX(0,AK93-(SUMIFS('سجل الإجازات والحالات'!$AJ$6:$AJ$505,'سجل الإجازات والحالات'!$B$6:$B$505,$B93)-SUMIFS('سجل الإجازات والحالات'!$AI$6:$AI$505,'سجل الإجازات والحالات'!$B$6:$B$505,$B93))))</f>
        <v/>
      </c>
      <c r="AK93" s="110" t="str">
        <f aca="false">IF($B93="","",MAX(0,IF(OR(الموظفون!$AE93="",الموظفون!$AE93&gt;$F$3),$F$3,الموظفون!$AE93)-MAX($E$3,الموظفون!$H93)+1))</f>
        <v/>
      </c>
      <c r="AL93" s="131" t="str">
        <f aca="false">IF($B93="","",SUMIFS('سجل الإجازات والحالات'!$AV$6:$AV$505,'سجل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والحالات'!$X$6:$X$505,'سجل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والحالات'!$AJ$6:$AJ$505,'سجل الإجازات والحالات'!$B$6:$B$505,$B94))/cfg_DAYS_Y)</f>
        <v/>
      </c>
      <c r="AI94" s="130" t="str">
        <f aca="false">IF($B94="","",MAX(0,IF(OR(الموظفون!$AE94="",الموظفون!$AE94&gt;($E$3-1)),($E$3-1),الموظفون!$AE94)-الموظفون!$H94+1-SUMIFS('سجل الإجازات والحالات'!$AI$6:$AI$505,'سجل الإجازات والحالات'!$B$6:$B$505,$B94))/cfg_DAYS_Y)</f>
        <v/>
      </c>
      <c r="AJ94" s="57" t="str">
        <f aca="false">IF($B94="","",MAX(0,AK94-(SUMIFS('سجل الإجازات والحالات'!$AJ$6:$AJ$505,'سجل الإجازات والحالات'!$B$6:$B$505,$B94)-SUMIFS('سجل الإجازات والحالات'!$AI$6:$AI$505,'سجل الإجازات والحالات'!$B$6:$B$505,$B94))))</f>
        <v/>
      </c>
      <c r="AK94" s="57" t="str">
        <f aca="false">IF($B94="","",MAX(0,IF(OR(الموظفون!$AE94="",الموظفون!$AE94&gt;$F$3),$F$3,الموظفون!$AE94)-MAX($E$3,الموظفون!$H94)+1))</f>
        <v/>
      </c>
      <c r="AL94" s="126" t="str">
        <f aca="false">IF($B94="","",SUMIFS('سجل الإجازات والحالات'!$AV$6:$AV$505,'سجل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والحالات'!$X$6:$X$505,'سجل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والحالات'!$AJ$6:$AJ$505,'سجل الإجازات والحالات'!$B$6:$B$505,$B95))/cfg_DAYS_Y)</f>
        <v/>
      </c>
      <c r="AI95" s="135" t="str">
        <f aca="false">IF($B95="","",MAX(0,IF(OR(الموظفون!$AE95="",الموظفون!$AE95&gt;($E$3-1)),($E$3-1),الموظفون!$AE95)-الموظفون!$H95+1-SUMIFS('سجل الإجازات والحالات'!$AI$6:$AI$505,'سجل الإجازات والحالات'!$B$6:$B$505,$B95))/cfg_DAYS_Y)</f>
        <v/>
      </c>
      <c r="AJ95" s="110" t="str">
        <f aca="false">IF($B95="","",MAX(0,AK95-(SUMIFS('سجل الإجازات والحالات'!$AJ$6:$AJ$505,'سجل الإجازات والحالات'!$B$6:$B$505,$B95)-SUMIFS('سجل الإجازات والحالات'!$AI$6:$AI$505,'سجل الإجازات والحالات'!$B$6:$B$505,$B95))))</f>
        <v/>
      </c>
      <c r="AK95" s="110" t="str">
        <f aca="false">IF($B95="","",MAX(0,IF(OR(الموظفون!$AE95="",الموظفون!$AE95&gt;$F$3),$F$3,الموظفون!$AE95)-MAX($E$3,الموظفون!$H95)+1))</f>
        <v/>
      </c>
      <c r="AL95" s="131" t="str">
        <f aca="false">IF($B95="","",SUMIFS('سجل الإجازات والحالات'!$AV$6:$AV$505,'سجل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والحالات'!$X$6:$X$505,'سجل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والحالات'!$AJ$6:$AJ$505,'سجل الإجازات والحالات'!$B$6:$B$505,$B96))/cfg_DAYS_Y)</f>
        <v/>
      </c>
      <c r="AI96" s="130" t="str">
        <f aca="false">IF($B96="","",MAX(0,IF(OR(الموظفون!$AE96="",الموظفون!$AE96&gt;($E$3-1)),($E$3-1),الموظفون!$AE96)-الموظفون!$H96+1-SUMIFS('سجل الإجازات والحالات'!$AI$6:$AI$505,'سجل الإجازات والحالات'!$B$6:$B$505,$B96))/cfg_DAYS_Y)</f>
        <v/>
      </c>
      <c r="AJ96" s="57" t="str">
        <f aca="false">IF($B96="","",MAX(0,AK96-(SUMIFS('سجل الإجازات والحالات'!$AJ$6:$AJ$505,'سجل الإجازات والحالات'!$B$6:$B$505,$B96)-SUMIFS('سجل الإجازات والحالات'!$AI$6:$AI$505,'سجل الإجازات والحالات'!$B$6:$B$505,$B96))))</f>
        <v/>
      </c>
      <c r="AK96" s="57" t="str">
        <f aca="false">IF($B96="","",MAX(0,IF(OR(الموظفون!$AE96="",الموظفون!$AE96&gt;$F$3),$F$3,الموظفون!$AE96)-MAX($E$3,الموظفون!$H96)+1))</f>
        <v/>
      </c>
      <c r="AL96" s="126" t="str">
        <f aca="false">IF($B96="","",SUMIFS('سجل الإجازات والحالات'!$AV$6:$AV$505,'سجل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والحالات'!$X$6:$X$505,'سجل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والحالات'!$AJ$6:$AJ$505,'سجل الإجازات والحالات'!$B$6:$B$505,$B97))/cfg_DAYS_Y)</f>
        <v/>
      </c>
      <c r="AI97" s="135" t="str">
        <f aca="false">IF($B97="","",MAX(0,IF(OR(الموظفون!$AE97="",الموظفون!$AE97&gt;($E$3-1)),($E$3-1),الموظفون!$AE97)-الموظفون!$H97+1-SUMIFS('سجل الإجازات والحالات'!$AI$6:$AI$505,'سجل الإجازات والحالات'!$B$6:$B$505,$B97))/cfg_DAYS_Y)</f>
        <v/>
      </c>
      <c r="AJ97" s="110" t="str">
        <f aca="false">IF($B97="","",MAX(0,AK97-(SUMIFS('سجل الإجازات والحالات'!$AJ$6:$AJ$505,'سجل الإجازات والحالات'!$B$6:$B$505,$B97)-SUMIFS('سجل الإجازات والحالات'!$AI$6:$AI$505,'سجل الإجازات والحالات'!$B$6:$B$505,$B97))))</f>
        <v/>
      </c>
      <c r="AK97" s="110" t="str">
        <f aca="false">IF($B97="","",MAX(0,IF(OR(الموظفون!$AE97="",الموظفون!$AE97&gt;$F$3),$F$3,الموظفون!$AE97)-MAX($E$3,الموظفون!$H97)+1))</f>
        <v/>
      </c>
      <c r="AL97" s="131" t="str">
        <f aca="false">IF($B97="","",SUMIFS('سجل الإجازات والحالات'!$AV$6:$AV$505,'سجل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والحالات'!$X$6:$X$505,'سجل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والحالات'!$AJ$6:$AJ$505,'سجل الإجازات والحالات'!$B$6:$B$505,$B98))/cfg_DAYS_Y)</f>
        <v/>
      </c>
      <c r="AI98" s="130" t="str">
        <f aca="false">IF($B98="","",MAX(0,IF(OR(الموظفون!$AE98="",الموظفون!$AE98&gt;($E$3-1)),($E$3-1),الموظفون!$AE98)-الموظفون!$H98+1-SUMIFS('سجل الإجازات والحالات'!$AI$6:$AI$505,'سجل الإجازات والحالات'!$B$6:$B$505,$B98))/cfg_DAYS_Y)</f>
        <v/>
      </c>
      <c r="AJ98" s="57" t="str">
        <f aca="false">IF($B98="","",MAX(0,AK98-(SUMIFS('سجل الإجازات والحالات'!$AJ$6:$AJ$505,'سجل الإجازات والحالات'!$B$6:$B$505,$B98)-SUMIFS('سجل الإجازات والحالات'!$AI$6:$AI$505,'سجل الإجازات والحالات'!$B$6:$B$505,$B98))))</f>
        <v/>
      </c>
      <c r="AK98" s="57" t="str">
        <f aca="false">IF($B98="","",MAX(0,IF(OR(الموظفون!$AE98="",الموظفون!$AE98&gt;$F$3),$F$3,الموظفون!$AE98)-MAX($E$3,الموظفون!$H98)+1))</f>
        <v/>
      </c>
      <c r="AL98" s="126" t="str">
        <f aca="false">IF($B98="","",SUMIFS('سجل الإجازات والحالات'!$AV$6:$AV$505,'سجل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والحالات'!$X$6:$X$505,'سجل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والحالات'!$AJ$6:$AJ$505,'سجل الإجازات والحالات'!$B$6:$B$505,$B99))/cfg_DAYS_Y)</f>
        <v/>
      </c>
      <c r="AI99" s="135" t="str">
        <f aca="false">IF($B99="","",MAX(0,IF(OR(الموظفون!$AE99="",الموظفون!$AE99&gt;($E$3-1)),($E$3-1),الموظفون!$AE99)-الموظفون!$H99+1-SUMIFS('سجل الإجازات والحالات'!$AI$6:$AI$505,'سجل الإجازات والحالات'!$B$6:$B$505,$B99))/cfg_DAYS_Y)</f>
        <v/>
      </c>
      <c r="AJ99" s="110" t="str">
        <f aca="false">IF($B99="","",MAX(0,AK99-(SUMIFS('سجل الإجازات والحالات'!$AJ$6:$AJ$505,'سجل الإجازات والحالات'!$B$6:$B$505,$B99)-SUMIFS('سجل الإجازات والحالات'!$AI$6:$AI$505,'سجل الإجازات والحالات'!$B$6:$B$505,$B99))))</f>
        <v/>
      </c>
      <c r="AK99" s="110" t="str">
        <f aca="false">IF($B99="","",MAX(0,IF(OR(الموظفون!$AE99="",الموظفون!$AE99&gt;$F$3),$F$3,الموظفون!$AE99)-MAX($E$3,الموظفون!$H99)+1))</f>
        <v/>
      </c>
      <c r="AL99" s="131" t="str">
        <f aca="false">IF($B99="","",SUMIFS('سجل الإجازات والحالات'!$AV$6:$AV$505,'سجل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والحالات'!$X$6:$X$505,'سجل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والحالات'!$AJ$6:$AJ$505,'سجل الإجازات والحالات'!$B$6:$B$505,$B100))/cfg_DAYS_Y)</f>
        <v/>
      </c>
      <c r="AI100" s="130" t="str">
        <f aca="false">IF($B100="","",MAX(0,IF(OR(الموظفون!$AE100="",الموظفون!$AE100&gt;($E$3-1)),($E$3-1),الموظفون!$AE100)-الموظفون!$H100+1-SUMIFS('سجل الإجازات والحالات'!$AI$6:$AI$505,'سجل الإجازات والحالات'!$B$6:$B$505,$B100))/cfg_DAYS_Y)</f>
        <v/>
      </c>
      <c r="AJ100" s="57" t="str">
        <f aca="false">IF($B100="","",MAX(0,AK100-(SUMIFS('سجل الإجازات والحالات'!$AJ$6:$AJ$505,'سجل الإجازات والحالات'!$B$6:$B$505,$B100)-SUMIFS('سجل الإجازات والحالات'!$AI$6:$AI$505,'سجل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والحالات'!$AV$6:$AV$505,'سجل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والحالات'!$X$6:$X$505,'سجل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والحالات'!$AJ$6:$AJ$505,'سجل الإجازات والحالات'!$B$6:$B$505,$B101))/cfg_DAYS_Y)</f>
        <v/>
      </c>
      <c r="AI101" s="135" t="str">
        <f aca="false">IF($B101="","",MAX(0,IF(OR(الموظفون!$AE101="",الموظفون!$AE101&gt;($E$3-1)),($E$3-1),الموظفون!$AE101)-الموظفون!$H101+1-SUMIFS('سجل الإجازات والحالات'!$AI$6:$AI$505,'سجل الإجازات والحالات'!$B$6:$B$505,$B101))/cfg_DAYS_Y)</f>
        <v/>
      </c>
      <c r="AJ101" s="110" t="str">
        <f aca="false">IF($B101="","",MAX(0,AK101-(SUMIFS('سجل الإجازات والحالات'!$AJ$6:$AJ$505,'سجل الإجازات والحالات'!$B$6:$B$505,$B101)-SUMIFS('سجل الإجازات والحالات'!$AI$6:$AI$505,'سجل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والحالات'!$AV$6:$AV$505,'سجل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والحالات'!$X$6:$X$505,'سجل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والحالات'!$AJ$6:$AJ$505,'سجل الإجازات والحالات'!$B$6:$B$505,$B102))/cfg_DAYS_Y)</f>
        <v/>
      </c>
      <c r="AI102" s="130" t="str">
        <f aca="false">IF($B102="","",MAX(0,IF(OR(الموظفون!$AE102="",الموظفون!$AE102&gt;($E$3-1)),($E$3-1),الموظفون!$AE102)-الموظفون!$H102+1-SUMIFS('سجل الإجازات والحالات'!$AI$6:$AI$505,'سجل الإجازات والحالات'!$B$6:$B$505,$B102))/cfg_DAYS_Y)</f>
        <v/>
      </c>
      <c r="AJ102" s="57" t="str">
        <f aca="false">IF($B102="","",MAX(0,AK102-(SUMIFS('سجل الإجازات والحالات'!$AJ$6:$AJ$505,'سجل الإجازات والحالات'!$B$6:$B$505,$B102)-SUMIFS('سجل الإجازات والحالات'!$AI$6:$AI$505,'سجل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والحالات'!$AV$6:$AV$505,'سجل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والحالات'!$X$6:$X$505,'سجل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والحالات'!$AJ$6:$AJ$505,'سجل الإجازات والحالات'!$B$6:$B$505,$B103))/cfg_DAYS_Y)</f>
        <v/>
      </c>
      <c r="AI103" s="135" t="str">
        <f aca="false">IF($B103="","",MAX(0,IF(OR(الموظفون!$AE103="",الموظفون!$AE103&gt;($E$3-1)),($E$3-1),الموظفون!$AE103)-الموظفون!$H103+1-SUMIFS('سجل الإجازات والحالات'!$AI$6:$AI$505,'سجل الإجازات والحالات'!$B$6:$B$505,$B103))/cfg_DAYS_Y)</f>
        <v/>
      </c>
      <c r="AJ103" s="110" t="str">
        <f aca="false">IF($B103="","",MAX(0,AK103-(SUMIFS('سجل الإجازات والحالات'!$AJ$6:$AJ$505,'سجل الإجازات والحالات'!$B$6:$B$505,$B103)-SUMIFS('سجل الإجازات والحالات'!$AI$6:$AI$505,'سجل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والحالات'!$AV$6:$AV$505,'سجل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والحالات'!$X$6:$X$505,'سجل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والحالات'!$AJ$6:$AJ$505,'سجل الإجازات والحالات'!$B$6:$B$505,$B104))/cfg_DAYS_Y)</f>
        <v/>
      </c>
      <c r="AI104" s="130" t="str">
        <f aca="false">IF($B104="","",MAX(0,IF(OR(الموظفون!$AE104="",الموظفون!$AE104&gt;($E$3-1)),($E$3-1),الموظفون!$AE104)-الموظفون!$H104+1-SUMIFS('سجل الإجازات والحالات'!$AI$6:$AI$505,'سجل الإجازات والحالات'!$B$6:$B$505,$B104))/cfg_DAYS_Y)</f>
        <v/>
      </c>
      <c r="AJ104" s="57" t="str">
        <f aca="false">IF($B104="","",MAX(0,AK104-(SUMIFS('سجل الإجازات والحالات'!$AJ$6:$AJ$505,'سجل الإجازات والحالات'!$B$6:$B$505,$B104)-SUMIFS('سجل الإجازات والحالات'!$AI$6:$AI$505,'سجل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والحالات'!$AV$6:$AV$505,'سجل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والحالات'!$X$6:$X$505,'سجل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والحالات'!$AJ$6:$AJ$505,'سجل الإجازات والحالات'!$B$6:$B$505,$B105))/cfg_DAYS_Y)</f>
        <v/>
      </c>
      <c r="AI105" s="135" t="str">
        <f aca="false">IF($B105="","",MAX(0,IF(OR(الموظفون!$AE105="",الموظفون!$AE105&gt;($E$3-1)),($E$3-1),الموظفون!$AE105)-الموظفون!$H105+1-SUMIFS('سجل الإجازات والحالات'!$AI$6:$AI$505,'سجل الإجازات والحالات'!$B$6:$B$505,$B105))/cfg_DAYS_Y)</f>
        <v/>
      </c>
      <c r="AJ105" s="110" t="str">
        <f aca="false">IF($B105="","",MAX(0,AK105-(SUMIFS('سجل الإجازات والحالات'!$AJ$6:$AJ$505,'سجل الإجازات والحالات'!$B$6:$B$505,$B105)-SUMIFS('سجل الإجازات والحالات'!$AI$6:$AI$505,'سجل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والحالات'!$AV$6:$AV$505,'سجل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والحالات'!$X$6:$X$505,'سجل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330</v>
      </c>
      <c r="K106" s="103" t="n">
        <f aca="false">SUM(K6:K105)</f>
        <v>132500</v>
      </c>
      <c r="L106" s="103" t="n">
        <f aca="false">SUM(L6:L105)</f>
        <v>33125</v>
      </c>
      <c r="M106" s="103" t="n">
        <f aca="false">SUM(M6:M105)</f>
        <v>13250</v>
      </c>
      <c r="N106" s="103" t="n">
        <f aca="false">SUM(N6:N105)</f>
        <v>10300</v>
      </c>
      <c r="O106" s="136" t="n">
        <f aca="false">SUM(O6:O105)</f>
        <v>10</v>
      </c>
      <c r="P106" s="103" t="n">
        <f aca="false">SUM(P6:P105)</f>
        <v>881.25</v>
      </c>
      <c r="Q106" s="103" t="n">
        <f aca="false">SUM(Q6:Q105)</f>
        <v>0</v>
      </c>
      <c r="R106" s="103" t="n">
        <f aca="false">SUM(R6:R105)</f>
        <v>0</v>
      </c>
      <c r="S106" s="103" t="n">
        <f aca="false">SUM(S6:S105)</f>
        <v>0</v>
      </c>
      <c r="T106" s="103" t="n">
        <f aca="false">SUM(T6:T105)</f>
        <v>190056.25</v>
      </c>
      <c r="U106" s="103" t="n">
        <f aca="false">SUM(U6:U105)</f>
        <v>11273.4375</v>
      </c>
      <c r="V106" s="103" t="n">
        <f aca="false">SUM(V6:V105)</f>
        <v>1000</v>
      </c>
      <c r="W106" s="103" t="n">
        <f aca="false">SUM(W6:W105)</f>
        <v>0</v>
      </c>
      <c r="X106" s="103" t="n">
        <f aca="false">SUM(X6:X105)</f>
        <v>12273.4375</v>
      </c>
      <c r="Y106" s="103" t="n">
        <f aca="false">SUM(Y6:Y105)</f>
        <v>177782.8125</v>
      </c>
      <c r="Z106" s="103" t="n">
        <f aca="false">SUM(Z6:Z105)</f>
        <v>14585.9375</v>
      </c>
      <c r="AA106" s="103" t="n">
        <f aca="false">SUM(AA6:AA105)</f>
        <v>14074.2123287672</v>
      </c>
      <c r="AB106" s="103" t="n">
        <f aca="false">SUM(AB6:AB105)</f>
        <v>14521.3767123288</v>
      </c>
      <c r="AC106" s="103" t="n">
        <f aca="false">SUM(AC6:AC105)</f>
        <v>959.72602739726</v>
      </c>
      <c r="AD106" s="103" t="n">
        <f aca="false">SUM(AD6:AD105)</f>
        <v>4270.83333333333</v>
      </c>
      <c r="AE106" s="103" t="n">
        <f aca="false">SUM(AE6:AE105)</f>
        <v>2600</v>
      </c>
      <c r="AF106" s="103" t="n">
        <f aca="false">SUM(AF6:AF105)</f>
        <v>400</v>
      </c>
      <c r="AG106" s="103" t="n">
        <f aca="false">SUM(AG6:AG105)</f>
        <v>241468.335901827</v>
      </c>
      <c r="AH106" s="103"/>
      <c r="AI106" s="103"/>
      <c r="AJ106" s="103"/>
      <c r="AK106" s="103"/>
      <c r="AL106" s="136" t="n">
        <f aca="false">SUM(AL6:AL105)</f>
        <v>31</v>
      </c>
      <c r="AM106" s="103" t="n">
        <f aca="false">SUM(AM6:AM105)</f>
        <v>22995</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فبراير'!A1" display="◀ الشهر السابق"/>
    <hyperlink ref="L3" location="'مسير أبريل'!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أبريل "&amp;cfg_FY</f>
        <v>💵 مسير رواتب شهر أبريل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4</v>
      </c>
      <c r="D3" s="112" t="s">
        <v>434</v>
      </c>
      <c r="E3" s="114" t="n">
        <f aca="false">DATE(cfg_FY,C3,1)</f>
        <v>46113</v>
      </c>
      <c r="F3" s="114" t="n">
        <f aca="false">EOMONTH(E3,0)</f>
        <v>46142</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3106.84931506847</v>
      </c>
      <c r="AB6" s="97" t="n">
        <f aca="false">IF($B6="","",IF(الموظفون!$T6&lt;&gt;"",الموظفون!$T6,IF(AH6&gt;=cfg_LV_TH,cfg_LV_D2,cfg_LV_D1))/cfg_DAYS_Y*AJ6*الموظفون!$R6/cfg_DAYS_M)</f>
        <v>3106.84931506849</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51526.198630137</v>
      </c>
      <c r="AH6" s="130" t="n">
        <f aca="false">IF($B6="","",MAX(0,IF(OR(الموظفون!$AE6="",الموظفون!$AE6&gt;$F$3),$F$3,الموظفون!$AE6)-الموظفون!$H6+1-SUMIFS('سجل الإجازات والحالات'!$AK$6:$AK$505,'سجل الإجازات والحالات'!$B$6:$B$505,$B6))/cfg_DAYS_Y)</f>
        <v>14.3013698630137</v>
      </c>
      <c r="AI6" s="130" t="n">
        <f aca="false">IF($B6="","",MAX(0,IF(OR(الموظفون!$AE6="",الموظفون!$AE6&gt;($E$3-1)),($E$3-1),الموظفون!$AE6)-الموظفون!$H6+1-SUMIFS('سجل الإجازات والحالات'!$AJ$6:$AJ$505,'سجل الإجازات والحالات'!$B$6:$B$505,$B6))/cfg_DAYS_Y)</f>
        <v>14.2191780821918</v>
      </c>
      <c r="AJ6" s="57" t="n">
        <f aca="false">IF($B6="","",MAX(0,AK6-(SUMIFS('سجل الإجازات والحالات'!$AK$6:$AK$505,'سجل الإجازات والحالات'!$B$6:$B$505,$B6)-SUMIFS('سجل الإجازات والحالات'!$AJ$6:$AJ$505,'سجل الإجازات والحالات'!$B$6:$B$505,$B6))))</f>
        <v>30</v>
      </c>
      <c r="AK6" s="57" t="n">
        <f aca="false">IF($B6="","",MAX(0,IF(OR(الموظفون!$AE6="",الموظفون!$AE6&gt;$F$3),$F$3,الموظفون!$AE6)-MAX($E$3,الموظفون!$H6)+1))</f>
        <v>30</v>
      </c>
      <c r="AL6" s="126" t="n">
        <f aca="false">IF($B6="","",SUMIFS('سجل الإجازات والحالات'!$AW$6:$AW$505,'سجل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والحالات'!$Y$6:$Y$505,'سجل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1997.26027397259</v>
      </c>
      <c r="AB7" s="101" t="n">
        <f aca="false">IF($B7="","",IF(الموظفون!$T7&lt;&gt;"",الموظفون!$T7,IF(AH7&gt;=cfg_LV_TH,cfg_LV_D2,cfg_LV_D1))/cfg_DAYS_Y*AJ7*الموظفون!$R7/cfg_DAYS_M)</f>
        <v>1997.2602739726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32238.2705479452</v>
      </c>
      <c r="AH7" s="135" t="n">
        <f aca="false">IF($B7="","",MAX(0,IF(OR(الموظفون!$AE7="",الموظفون!$AE7&gt;$F$3),$F$3,الموظفون!$AE7)-الموظفون!$H7+1-SUMIFS('سجل الإجازات والحالات'!$AK$6:$AK$505,'سجل الإجازات والحالات'!$B$6:$B$505,$B7))/cfg_DAYS_Y)</f>
        <v>9.92054794520548</v>
      </c>
      <c r="AI7" s="135" t="n">
        <f aca="false">IF($B7="","",MAX(0,IF(OR(الموظفون!$AE7="",الموظفون!$AE7&gt;($E$3-1)),($E$3-1),الموظفون!$AE7)-الموظفون!$H7+1-SUMIFS('سجل الإجازات والحالات'!$AJ$6:$AJ$505,'سجل الإجازات والحالات'!$B$6:$B$505,$B7))/cfg_DAYS_Y)</f>
        <v>9.83835616438356</v>
      </c>
      <c r="AJ7" s="110" t="n">
        <f aca="false">IF($B7="","",MAX(0,AK7-(SUMIFS('سجل الإجازات والحالات'!$AK$6:$AK$505,'سجل الإجازات والحالات'!$B$6:$B$505,$B7)-SUMIFS('سجل الإجازات والحالات'!$AJ$6:$AJ$505,'سجل الإجازات والحالات'!$B$6:$B$505,$B7))))</f>
        <v>30</v>
      </c>
      <c r="AK7" s="110" t="n">
        <f aca="false">IF($B7="","",MAX(0,IF(OR(الموظفون!$AE7="",الموظفون!$AE7&gt;$F$3),$F$3,الموظفون!$AE7)-MAX($E$3,الموظفون!$H7)+1))</f>
        <v>30</v>
      </c>
      <c r="AL7" s="131" t="n">
        <f aca="false">IF($B7="","",SUMIFS('سجل الإجازات والحالات'!$AW$6:$AW$505,'سجل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والحالات'!$Y$6:$Y$505,'سجل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10975</v>
      </c>
      <c r="Z8" s="97" t="n">
        <f aca="false">IF($B8="","",الموظفون!$S8*IF(E8="سعودي",cfg_G_SR,cfg_G_NR)*G8/cfg_DAYS_M)</f>
        <v>212.5</v>
      </c>
      <c r="AA8" s="97" t="n">
        <f aca="false">IF($B8="","",الموظفون!$Q8*(cfg_EOS_R1*(MIN(AH8,cfg_EOS_TH)-MIN(AI8,cfg_EOS_TH))+cfg_EOS_R2*(MAX(AH8-cfg_EOS_TH,0)-MAX(AI8-cfg_EOS_TH,0))))</f>
        <v>943.150684931511</v>
      </c>
      <c r="AB8" s="97" t="n">
        <f aca="false">IF($B8="","",IF(الموظفون!$T8&lt;&gt;"",الموظفون!$T8,IF(AH8&gt;=cfg_LV_TH,cfg_LV_D2,cfg_LV_D1))/cfg_DAYS_Y*AJ8*الموظفون!$R8/cfg_DAYS_M)</f>
        <v>943.150684931507</v>
      </c>
      <c r="AC8" s="97" t="n">
        <f aca="false">IF($B8="","",IF(AND(الموظفون!$U8="نعم",N(الموظفون!$W8)&gt;0),الموظفون!$V8/الموظفون!$W8*12/cfg_DAYS_Y*AJ8,0))</f>
        <v>131.506849315068</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15259.4748858448</v>
      </c>
      <c r="AH8" s="130" t="n">
        <f aca="false">IF($B8="","",MAX(0,IF(OR(الموظفون!$AE8="",الموظفون!$AE8&gt;$F$3),$F$3,الموظفون!$AE8)-الموظفون!$H8+1-SUMIFS('سجل الإجازات والحالات'!$AK$6:$AK$505,'سجل الإجازات والحالات'!$B$6:$B$505,$B8))/cfg_DAYS_Y)</f>
        <v>7.64383561643836</v>
      </c>
      <c r="AI8" s="130" t="n">
        <f aca="false">IF($B8="","",MAX(0,IF(OR(الموظفون!$AE8="",الموظفون!$AE8&gt;($E$3-1)),($E$3-1),الموظفون!$AE8)-الموظفون!$H8+1-SUMIFS('سجل الإجازات والحالات'!$AJ$6:$AJ$505,'سجل الإجازات والحالات'!$B$6:$B$505,$B8))/cfg_DAYS_Y)</f>
        <v>7.56164383561644</v>
      </c>
      <c r="AJ8" s="57" t="n">
        <f aca="false">IF($B8="","",MAX(0,AK8-(SUMIFS('سجل الإجازات والحالات'!$AK$6:$AK$505,'سجل الإجازات والحالات'!$B$6:$B$505,$B8)-SUMIFS('سجل الإجازات والحالات'!$AJ$6:$AJ$505,'سجل الإجازات والحالات'!$B$6:$B$505,$B8))))</f>
        <v>30</v>
      </c>
      <c r="AK8" s="57" t="n">
        <f aca="false">IF($B8="","",MAX(0,IF(OR(الموظفون!$AE8="",الموظفون!$AE8&gt;$F$3),$F$3,الموظفون!$AE8)-MAX($E$3,الموظفون!$H8)+1))</f>
        <v>30</v>
      </c>
      <c r="AL8" s="126" t="n">
        <f aca="false">IF($B8="","",SUMIFS('سجل الإجازات والحالات'!$AW$6:$AW$505,'سجل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والحالات'!$Y$6:$Y$505,'سجل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1553.42465753425</v>
      </c>
      <c r="AB9" s="101" t="n">
        <f aca="false">IF($B9="","",IF(الموظفون!$T9&lt;&gt;"",الموظفون!$T9,IF(AH9&gt;=cfg_LV_TH,cfg_LV_D2,cfg_LV_D1))/cfg_DAYS_Y*AJ9*الموظفون!$R9/cfg_DAYS_M)</f>
        <v>1553.42465753425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24363.0993150685</v>
      </c>
      <c r="AH9" s="135" t="n">
        <f aca="false">IF($B9="","",MAX(0,IF(OR(الموظفون!$AE9="",الموظفون!$AE9&gt;$F$3),$F$3,الموظفون!$AE9)-الموظفون!$H9+1-SUMIFS('سجل الإجازات والحالات'!$AK$6:$AK$505,'سجل الإجازات والحالات'!$B$6:$B$505,$B9))/cfg_DAYS_Y)</f>
        <v>7.24931506849315</v>
      </c>
      <c r="AI9" s="135" t="n">
        <f aca="false">IF($B9="","",MAX(0,IF(OR(الموظفون!$AE9="",الموظفون!$AE9&gt;($E$3-1)),($E$3-1),الموظفون!$AE9)-الموظفون!$H9+1-SUMIFS('سجل الإجازات والحالات'!$AJ$6:$AJ$505,'سجل الإجازات والحالات'!$B$6:$B$505,$B9))/cfg_DAYS_Y)</f>
        <v>7.16712328767123</v>
      </c>
      <c r="AJ9" s="110" t="n">
        <f aca="false">IF($B9="","",MAX(0,AK9-(SUMIFS('سجل الإجازات والحالات'!$AK$6:$AK$505,'سجل الإجازات والحالات'!$B$6:$B$505,$B9)-SUMIFS('سجل الإجازات والحالات'!$AJ$6:$AJ$505,'سجل الإجازات والحالات'!$B$6:$B$505,$B9))))</f>
        <v>30</v>
      </c>
      <c r="AK9" s="110" t="n">
        <f aca="false">IF($B9="","",MAX(0,IF(OR(الموظفون!$AE9="",الموظفون!$AE9&gt;$F$3),$F$3,الموظفون!$AE9)-MAX($E$3,الموظفون!$H9)+1))</f>
        <v>30</v>
      </c>
      <c r="AL9" s="131" t="n">
        <f aca="false">IF($B9="","",SUMIFS('سجل الإجازات والحالات'!$AW$6:$AW$505,'سجل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والحالات'!$Y$6:$Y$505,'سجل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998.630136986305</v>
      </c>
      <c r="AB10" s="97" t="n">
        <f aca="false">IF($B10="","",IF(الموظفون!$T10&lt;&gt;"",الموظفون!$T10,IF(AH10&gt;=cfg_LV_TH,cfg_LV_D2,cfg_LV_D1))/cfg_DAYS_Y*AJ10*الموظفون!$R10/cfg_DAYS_M)</f>
        <v>998.630136986301</v>
      </c>
      <c r="AC10" s="97" t="n">
        <f aca="false">IF($B10="","",IF(AND(الموظفون!$U10="نعم",N(الموظفون!$W10)&gt;0),الموظفون!$V10/الموظفون!$W10*12/cfg_DAYS_Y*AJ10,0))</f>
        <v>230.13698630137</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16356.5639269406</v>
      </c>
      <c r="AH10" s="130" t="n">
        <f aca="false">IF($B10="","",MAX(0,IF(OR(الموظفون!$AE10="",الموظفون!$AE10&gt;$F$3),$F$3,الموظفون!$AE10)-الموظفون!$H10+1-SUMIFS('سجل الإجازات والحالات'!$AK$6:$AK$505,'سجل الإجازات والحالات'!$B$6:$B$505,$B10))/cfg_DAYS_Y)</f>
        <v>6.05479452054795</v>
      </c>
      <c r="AI10" s="130" t="n">
        <f aca="false">IF($B10="","",MAX(0,IF(OR(الموظفون!$AE10="",الموظفون!$AE10&gt;($E$3-1)),($E$3-1),الموظفون!$AE10)-الموظفون!$H10+1-SUMIFS('سجل الإجازات والحالات'!$AJ$6:$AJ$505,'سجل الإجازات والحالات'!$B$6:$B$505,$B10))/cfg_DAYS_Y)</f>
        <v>5.97260273972603</v>
      </c>
      <c r="AJ10" s="57" t="n">
        <f aca="false">IF($B10="","",MAX(0,AK10-(SUMIFS('سجل الإجازات والحالات'!$AK$6:$AK$505,'سجل الإجازات والحالات'!$B$6:$B$505,$B10)-SUMIFS('سجل الإجازات والحالات'!$AJ$6:$AJ$505,'سجل الإجازات والحالات'!$B$6:$B$505,$B10))))</f>
        <v>30</v>
      </c>
      <c r="AK10" s="57" t="n">
        <f aca="false">IF($B10="","",MAX(0,IF(OR(الموظفون!$AE10="",الموظفون!$AE10&gt;$F$3),$F$3,الموظفون!$AE10)-MAX($E$3,الموظفون!$H10)+1))</f>
        <v>30</v>
      </c>
      <c r="AL10" s="126" t="n">
        <f aca="false">IF($B10="","",SUMIFS('سجل الإجازات والحالات'!$AW$6:$AW$505,'سجل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والحالات'!$Y$6:$Y$505,'سجل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1442.46575342465</v>
      </c>
      <c r="AB11" s="101" t="n">
        <f aca="false">IF($B11="","",IF(الموظفون!$T11&lt;&gt;"",الموظفون!$T11,IF(AH11&gt;=cfg_LV_TH,cfg_LV_D2,cfg_LV_D1))/cfg_DAYS_Y*AJ11*الموظفون!$R11/cfg_DAYS_M)</f>
        <v>1442.46575342466</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25144.3065068493</v>
      </c>
      <c r="AH11" s="135" t="n">
        <f aca="false">IF($B11="","",MAX(0,IF(OR(الموظفون!$AE11="",الموظفون!$AE11&gt;$F$3),$F$3,الموظفون!$AE11)-الموظفون!$H11+1-SUMIFS('سجل الإجازات والحالات'!$AK$6:$AK$505,'سجل الإجازات والحالات'!$B$6:$B$505,$B11))/cfg_DAYS_Y)</f>
        <v>8.49041095890411</v>
      </c>
      <c r="AI11" s="135" t="n">
        <f aca="false">IF($B11="","",MAX(0,IF(OR(الموظفون!$AE11="",الموظفون!$AE11&gt;($E$3-1)),($E$3-1),الموظفون!$AE11)-الموظفون!$H11+1-SUMIFS('سجل الإجازات والحالات'!$AJ$6:$AJ$505,'سجل الإجازات والحالات'!$B$6:$B$505,$B11))/cfg_DAYS_Y)</f>
        <v>8.40821917808219</v>
      </c>
      <c r="AJ11" s="110" t="n">
        <f aca="false">IF($B11="","",MAX(0,AK11-(SUMIFS('سجل الإجازات والحالات'!$AK$6:$AK$505,'سجل الإجازات والحالات'!$B$6:$B$505,$B11)-SUMIFS('سجل الإجازات والحالات'!$AJ$6:$AJ$505,'سجل الإجازات والحالات'!$B$6:$B$505,$B11))))</f>
        <v>30</v>
      </c>
      <c r="AK11" s="110" t="n">
        <f aca="false">IF($B11="","",MAX(0,IF(OR(الموظفون!$AE11="",الموظفون!$AE11&gt;$F$3),$F$3,الموظفون!$AE11)-MAX($E$3,الموظفون!$H11)+1))</f>
        <v>30</v>
      </c>
      <c r="AL11" s="131" t="n">
        <f aca="false">IF($B11="","",SUMIFS('سجل الإجازات والحالات'!$AW$6:$AW$505,'سجل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والحالات'!$Y$6:$Y$505,'سجل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1220.54794520548</v>
      </c>
      <c r="AB12" s="97" t="n">
        <f aca="false">IF($B12="","",IF(الموظفون!$T12&lt;&gt;"",الموظفون!$T12,IF(AH12&gt;=cfg_LV_TH,cfg_LV_D2,cfg_LV_D1))/cfg_DAYS_Y*AJ12*الموظفون!$R12/cfg_DAYS_M)</f>
        <v>1220.54794520548</v>
      </c>
      <c r="AC12" s="97" t="n">
        <f aca="false">IF($B12="","",IF(AND(الموظفون!$U12="نعم",N(الموظفون!$W12)&gt;0),الموظفون!$V12/الموظفون!$W12*12/cfg_DAYS_Y*AJ12,0))</f>
        <v>369.86301369863</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20190.1255707763</v>
      </c>
      <c r="AH12" s="130" t="n">
        <f aca="false">IF($B12="","",MAX(0,IF(OR(الموظفون!$AE12="",الموظفون!$AE12&gt;$F$3),$F$3,الموظفون!$AE12)-الموظفون!$H12+1-SUMIFS('سجل الإجازات والحالات'!$AK$6:$AK$505,'سجل الإجازات والحالات'!$B$6:$B$505,$B12))/cfg_DAYS_Y)</f>
        <v>5.27945205479452</v>
      </c>
      <c r="AI12" s="130" t="n">
        <f aca="false">IF($B12="","",MAX(0,IF(OR(الموظفون!$AE12="",الموظفون!$AE12&gt;($E$3-1)),($E$3-1),الموظفون!$AE12)-الموظفون!$H12+1-SUMIFS('سجل الإجازات والحالات'!$AJ$6:$AJ$505,'سجل الإجازات والحالات'!$B$6:$B$505,$B12))/cfg_DAYS_Y)</f>
        <v>5.1972602739726</v>
      </c>
      <c r="AJ12" s="57" t="n">
        <f aca="false">IF($B12="","",MAX(0,AK12-(SUMIFS('سجل الإجازات والحالات'!$AK$6:$AK$505,'سجل الإجازات والحالات'!$B$6:$B$505,$B12)-SUMIFS('سجل الإجازات والحالات'!$AJ$6:$AJ$505,'سجل الإجازات والحالات'!$B$6:$B$505,$B12))))</f>
        <v>30</v>
      </c>
      <c r="AK12" s="57" t="n">
        <f aca="false">IF($B12="","",MAX(0,IF(OR(الموظفون!$AE12="",الموظفون!$AE12&gt;$F$3),$F$3,الموظفون!$AE12)-MAX($E$3,الموظفون!$H12)+1))</f>
        <v>30</v>
      </c>
      <c r="AL12" s="126" t="n">
        <f aca="false">IF($B12="","",SUMIFS('سجل الإجازات والحالات'!$AW$6:$AW$505,'سجل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والحالات'!$Y$6:$Y$505,'سجل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416.095890410958</v>
      </c>
      <c r="AB13" s="101" t="n">
        <f aca="false">IF($B13="","",IF(الموظفون!$T13&lt;&gt;"",الموظفون!$T13,IF(AH13&gt;=cfg_LV_TH,cfg_LV_D2,cfg_LV_D1))/cfg_DAYS_Y*AJ13*الموظفون!$R13/cfg_DAYS_M)</f>
        <v>582.534246575342</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12425.1926369863</v>
      </c>
      <c r="AH13" s="135" t="n">
        <f aca="false">IF($B13="","",MAX(0,IF(OR(الموظفون!$AE13="",الموظفون!$AE13&gt;$F$3),$F$3,الموظفون!$AE13)-الموظفون!$H13+1-SUMIFS('سجل الإجازات والحالات'!$AK$6:$AK$505,'سجل الإجازات والحالات'!$B$6:$B$505,$B13))/cfg_DAYS_Y)</f>
        <v>3.16986301369863</v>
      </c>
      <c r="AI13" s="135" t="n">
        <f aca="false">IF($B13="","",MAX(0,IF(OR(الموظفون!$AE13="",الموظفون!$AE13&gt;($E$3-1)),($E$3-1),الموظفون!$AE13)-الموظفون!$H13+1-SUMIFS('سجل الإجازات والحالات'!$AJ$6:$AJ$505,'سجل الإجازات والحالات'!$B$6:$B$505,$B13))/cfg_DAYS_Y)</f>
        <v>3.08767123287671</v>
      </c>
      <c r="AJ13" s="110" t="n">
        <f aca="false">IF($B13="","",MAX(0,AK13-(SUMIFS('سجل الإجازات والحالات'!$AK$6:$AK$505,'سجل الإجازات والحالات'!$B$6:$B$505,$B13)-SUMIFS('سجل الإجازات والحالات'!$AJ$6:$AJ$505,'سجل الإجازات والحالات'!$B$6:$B$505,$B13))))</f>
        <v>30</v>
      </c>
      <c r="AK13" s="110" t="n">
        <f aca="false">IF($B13="","",MAX(0,IF(OR(الموظفون!$AE13="",الموظفون!$AE13&gt;$F$3),$F$3,الموظفون!$AE13)-MAX($E$3,الموظفون!$H13)+1))</f>
        <v>30</v>
      </c>
      <c r="AL13" s="131" t="n">
        <f aca="false">IF($B13="","",SUMIFS('سجل الإجازات والحالات'!$AW$6:$AW$505,'سجل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والحالات'!$Y$6:$Y$505,'سجل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721.232876712324</v>
      </c>
      <c r="AB14" s="97" t="n">
        <f aca="false">IF($B14="","",IF(الموظفون!$T14&lt;&gt;"",الموظفون!$T14,IF(AH14&gt;=cfg_LV_TH,cfg_LV_D2,cfg_LV_D1))/cfg_DAYS_Y*AJ14*الموظفون!$R14/cfg_DAYS_M)</f>
        <v>721.232876712329</v>
      </c>
      <c r="AC14" s="97" t="n">
        <f aca="false">IF($B14="","",IF(AND(الموظفون!$U14="نعم",N(الموظفون!$W14)&gt;0),الموظفون!$V14/الموظفون!$W14*12/cfg_DAYS_Y*AJ14,0))</f>
        <v>90.4109589041096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11774.5433789954</v>
      </c>
      <c r="AH14" s="130" t="n">
        <f aca="false">IF($B14="","",MAX(0,IF(OR(الموظفون!$AE14="",الموظفون!$AE14&gt;$F$3),$F$3,الموظفون!$AE14)-الموظفون!$H14+1-SUMIFS('سجل الإجازات والحالات'!$AK$6:$AK$505,'سجل الإجازات والحالات'!$B$6:$B$505,$B14))/cfg_DAYS_Y)</f>
        <v>11.7095890410959</v>
      </c>
      <c r="AI14" s="130" t="n">
        <f aca="false">IF($B14="","",MAX(0,IF(OR(الموظفون!$AE14="",الموظفون!$AE14&gt;($E$3-1)),($E$3-1),الموظفون!$AE14)-الموظفون!$H14+1-SUMIFS('سجل الإجازات والحالات'!$AJ$6:$AJ$505,'سجل الإجازات والحالات'!$B$6:$B$505,$B14))/cfg_DAYS_Y)</f>
        <v>11.627397260274</v>
      </c>
      <c r="AJ14" s="57" t="n">
        <f aca="false">IF($B14="","",MAX(0,AK14-(SUMIFS('سجل الإجازات والحالات'!$AK$6:$AK$505,'سجل الإجازات والحالات'!$B$6:$B$505,$B14)-SUMIFS('سجل الإجازات والحالات'!$AJ$6:$AJ$505,'سجل الإجازات والحالات'!$B$6:$B$505,$B14))))</f>
        <v>30</v>
      </c>
      <c r="AK14" s="57" t="n">
        <f aca="false">IF($B14="","",MAX(0,IF(OR(الموظفون!$AE14="",الموظفون!$AE14&gt;$F$3),$F$3,الموظفون!$AE14)-MAX($E$3,الموظفون!$H14)+1))</f>
        <v>30</v>
      </c>
      <c r="AL14" s="126" t="n">
        <f aca="false">IF($B14="","",SUMIFS('سجل الإجازات والحالات'!$AW$6:$AW$505,'سجل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والحالات'!$Y$6:$Y$505,'سجل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16</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16</v>
      </c>
      <c r="K15" s="101" t="n">
        <f aca="false">IF($B15="","",الموظفون!$L15*$J15/cfg_DAYS_M)</f>
        <v>4800</v>
      </c>
      <c r="L15" s="101" t="n">
        <f aca="false">IF($B15="","",الموظفون!$M15*$J15/cfg_DAYS_M)</f>
        <v>1200</v>
      </c>
      <c r="M15" s="101" t="n">
        <f aca="false">IF($B15="","",الموظفون!$N15*$J15/cfg_DAYS_M)</f>
        <v>480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6480</v>
      </c>
      <c r="U15" s="101" t="n">
        <f aca="false">IF($B15="","",الموظفون!$S15*IF(E15="سعودي",cfg_G_SE,cfg_G_NE)*G15/cfg_DAYS_M)</f>
        <v>585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585</v>
      </c>
      <c r="Y15" s="133" t="n">
        <f aca="false">IF($B15="","",T15-X15)</f>
        <v>5895</v>
      </c>
      <c r="Z15" s="101" t="n">
        <f aca="false">IF($B15="","",الموظفون!$S15*IF(E15="سعودي",cfg_G_SR,cfg_G_NR)*G15/cfg_DAYS_M)</f>
        <v>705</v>
      </c>
      <c r="AA15" s="101" t="n">
        <f aca="false">IF($B15="","",الموظفون!$Q15*(cfg_EOS_R1*(MIN(AH15,cfg_EOS_TH)-MIN(AI15,cfg_EOS_TH))+cfg_EOS_R2*(MAX(AH15-cfg_EOS_TH,0)-MAX(AI15-cfg_EOS_TH,0))))</f>
        <v>266.301369863014</v>
      </c>
      <c r="AB15" s="101" t="n">
        <f aca="false">IF($B15="","",IF(الموظفون!$T15&lt;&gt;"",الموظفون!$T15,IF(AH15&gt;=cfg_LV_TH,cfg_LV_D2,cfg_LV_D1))/cfg_DAYS_Y*AJ15*الموظفون!$R15/cfg_DAYS_M)</f>
        <v>372.821917808219</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106.666666666667</v>
      </c>
      <c r="AF15" s="101" t="n">
        <f aca="false">IF($B15="","",N(الموظفون!$AA15)/12*G15/cfg_DAYS_M)</f>
        <v>0</v>
      </c>
      <c r="AG15" s="134" t="n">
        <f aca="false">IF($B15="","",T15+SUM(Z15:AF15))</f>
        <v>7930.7899543379</v>
      </c>
      <c r="AH15" s="135" t="n">
        <f aca="false">IF($B15="","",MAX(0,IF(OR(الموظفون!$AE15="",الموظفون!$AE15&gt;$F$3),$F$3,الموظفون!$AE15)-الموظفون!$H15+1-SUMIFS('سجل الإجازات والحالات'!$AK$6:$AK$505,'سجل الإجازات والحالات'!$B$6:$B$505,$B15))/cfg_DAYS_Y)</f>
        <v>0.0438356164383562</v>
      </c>
      <c r="AI15" s="135" t="n">
        <f aca="false">IF($B15="","",MAX(0,IF(OR(الموظفون!$AE15="",الموظفون!$AE15&gt;($E$3-1)),($E$3-1),الموظفون!$AE15)-الموظفون!$H15+1-SUMIFS('سجل الإجازات والحالات'!$AJ$6:$AJ$505,'سجل الإجازات والحالات'!$B$6:$B$505,$B15))/cfg_DAYS_Y)</f>
        <v>0</v>
      </c>
      <c r="AJ15" s="110" t="n">
        <f aca="false">IF($B15="","",MAX(0,AK15-(SUMIFS('سجل الإجازات والحالات'!$AK$6:$AK$505,'سجل الإجازات والحالات'!$B$6:$B$505,$B15)-SUMIFS('سجل الإجازات والحالات'!$AJ$6:$AJ$505,'سجل الإجازات والحالات'!$B$6:$B$505,$B15))))</f>
        <v>16</v>
      </c>
      <c r="AK15" s="110" t="n">
        <f aca="false">IF($B15="","",MAX(0,IF(OR(الموظفون!$AE15="",الموظفون!$AE15&gt;$F$3),$F$3,الموظفون!$AE15)-MAX($E$3,الموظفون!$H15)+1))</f>
        <v>16</v>
      </c>
      <c r="AL15" s="131" t="n">
        <f aca="false">IF($B15="","",SUMIFS('سجل الإجازات والحالات'!$AW$6:$AW$505,'سجل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والحالات'!$Y$6:$Y$505,'سجل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554.794520547947</v>
      </c>
      <c r="AB16" s="97" t="n">
        <f aca="false">IF($B16="","",IF(الموظفون!$T16&lt;&gt;"",الموظفون!$T16,IF(AH16&gt;=cfg_LV_TH,cfg_LV_D2,cfg_LV_D1))/cfg_DAYS_Y*AJ16*الموظفون!$R16/cfg_DAYS_M)</f>
        <v>554.794520547945</v>
      </c>
      <c r="AC16" s="97" t="n">
        <f aca="false">IF($B16="","",IF(AND(الموظفون!$U16="نعم",N(الموظفون!$W16)&gt;0),الموظفون!$V16/الموظفون!$W16*12/cfg_DAYS_Y*AJ16,0))</f>
        <v>106.849315068493</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9095.60502283105</v>
      </c>
      <c r="AH16" s="130" t="n">
        <f aca="false">IF($B16="","",MAX(0,IF(OR(الموظفون!$AE16="",الموظفون!$AE16&gt;$F$3),$F$3,الموظفون!$AE16)-الموظفون!$H16+1-SUMIFS('سجل الإجازات والحالات'!$AK$6:$AK$505,'سجل الإجازات والحالات'!$B$6:$B$505,$B16))/cfg_DAYS_Y)</f>
        <v>7.17260273972603</v>
      </c>
      <c r="AI16" s="130" t="n">
        <f aca="false">IF($B16="","",MAX(0,IF(OR(الموظفون!$AE16="",الموظفون!$AE16&gt;($E$3-1)),($E$3-1),الموظفون!$AE16)-الموظفون!$H16+1-SUMIFS('سجل الإجازات والحالات'!$AJ$6:$AJ$505,'سجل الإجازات والحالات'!$B$6:$B$505,$B16))/cfg_DAYS_Y)</f>
        <v>7.09041095890411</v>
      </c>
      <c r="AJ16" s="57" t="n">
        <f aca="false">IF($B16="","",MAX(0,AK16-(SUMIFS('سجل الإجازات والحالات'!$AK$6:$AK$505,'سجل الإجازات والحالات'!$B$6:$B$505,$B16)-SUMIFS('سجل الإجازات والحالات'!$AJ$6:$AJ$505,'سجل الإجازات والحالات'!$B$6:$B$505,$B16))))</f>
        <v>30</v>
      </c>
      <c r="AK16" s="57" t="n">
        <f aca="false">IF($B16="","",MAX(0,IF(OR(الموظفون!$AE16="",الموظفون!$AE16&gt;$F$3),$F$3,الموظفون!$AE16)-MAX($E$3,الموظفون!$H16)+1))</f>
        <v>30</v>
      </c>
      <c r="AL16" s="126" t="n">
        <f aca="false">IF($B16="","",SUMIFS('سجل الإجازات والحالات'!$AW$6:$AW$505,'سجل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والحالات'!$Y$6:$Y$505,'سجل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غياب 2 يوم</v>
      </c>
      <c r="G17" s="131" t="n">
        <f aca="false">IF($B17="","",IF(AK17&gt;=DAY($F$3),cfg_DAYS_M,MIN(AK17,cfg_DAYS_M)))</f>
        <v>30</v>
      </c>
      <c r="H17" s="131" t="n">
        <f aca="false">IF($B17="","",SUMIFS('الحركات الشهرية'!$D$6:$D$1005,'الحركات الشهرية'!$B$6:$B$1005,$B17,'الحركات الشهرية'!$A$6:$A$1005,$C$3))</f>
        <v>2</v>
      </c>
      <c r="I17" s="131" t="n">
        <f aca="false">IF($B17="","",MIN(G17,IF(AND(AK17&gt;0,AN17&gt;=AK17),G17,AN17)+SUMIFS('الحركات الشهرية'!$E$6:$E$1005,'الحركات الشهرية'!$B$6:$B$1005,$B17,'الحركات الشهرية'!$A$6:$A$1005,$C$3)))</f>
        <v>0</v>
      </c>
      <c r="J17" s="131" t="n">
        <f aca="false">IF($B17="","",MAX(0,G17-H17-I17))</f>
        <v>28</v>
      </c>
      <c r="K17" s="101" t="n">
        <f aca="false">IF($B17="","",الموظفون!$L17*$J17/cfg_DAYS_M)</f>
        <v>11200</v>
      </c>
      <c r="L17" s="101" t="n">
        <f aca="false">IF($B17="","",الموظفون!$M17*$J17/cfg_DAYS_M)</f>
        <v>2800</v>
      </c>
      <c r="M17" s="101" t="n">
        <f aca="false">IF($B17="","",الموظفون!$N17*$J17/cfg_DAYS_M)</f>
        <v>1120</v>
      </c>
      <c r="N17" s="101" t="n">
        <f aca="false">IF($B17="","",الموظفون!$O17*$J17/cfg_DAYS_M)</f>
        <v>1400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16520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15057.5</v>
      </c>
      <c r="Z17" s="101" t="n">
        <f aca="false">IF($B17="","",الموظفون!$S17*IF(E17="سعودي",cfg_G_SR,cfg_G_NR)*G17/cfg_DAYS_M)</f>
        <v>1762.5</v>
      </c>
      <c r="AA17" s="101" t="n">
        <f aca="false">IF($B17="","",الموظفون!$Q17*(cfg_EOS_R1*(MIN(AH17,cfg_EOS_TH)-MIN(AI17,cfg_EOS_TH))+cfg_EOS_R2*(MAX(AH17-cfg_EOS_TH,0)-MAX(AI17-cfg_EOS_TH,0))))</f>
        <v>665.753424657537</v>
      </c>
      <c r="AB17" s="101" t="n">
        <f aca="false">IF($B17="","",IF(الموظفون!$T17&lt;&gt;"",الموظفون!$T17,IF(AH17&gt;=cfg_LV_TH,cfg_LV_D2,cfg_LV_D1))/cfg_DAYS_Y*AJ17*الموظفون!$R17/cfg_DAYS_M)</f>
        <v>932.054794520548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20080.3082191781</v>
      </c>
      <c r="AH17" s="135" t="n">
        <f aca="false">IF($B17="","",MAX(0,IF(OR(الموظفون!$AE17="",الموظفون!$AE17&gt;$F$3),$F$3,الموظفون!$AE17)-الموظفون!$H17+1-SUMIFS('سجل الإجازات والحالات'!$AK$6:$AK$505,'سجل الإجازات والحالات'!$B$6:$B$505,$B17))/cfg_DAYS_Y)</f>
        <v>3.81095890410959</v>
      </c>
      <c r="AI17" s="135" t="n">
        <f aca="false">IF($B17="","",MAX(0,IF(OR(الموظفون!$AE17="",الموظفون!$AE17&gt;($E$3-1)),($E$3-1),الموظفون!$AE17)-الموظفون!$H17+1-SUMIFS('سجل الإجازات والحالات'!$AJ$6:$AJ$505,'سجل الإجازات والحالات'!$B$6:$B$505,$B17))/cfg_DAYS_Y)</f>
        <v>3.72876712328767</v>
      </c>
      <c r="AJ17" s="110" t="n">
        <f aca="false">IF($B17="","",MAX(0,AK17-(SUMIFS('سجل الإجازات والحالات'!$AK$6:$AK$505,'سجل الإجازات والحالات'!$B$6:$B$505,$B17)-SUMIFS('سجل الإجازات والحالات'!$AJ$6:$AJ$505,'سجل الإجازات والحالات'!$B$6:$B$505,$B17))))</f>
        <v>30</v>
      </c>
      <c r="AK17" s="110" t="n">
        <f aca="false">IF($B17="","",MAX(0,IF(OR(الموظفون!$AE17="",الموظفون!$AE17&gt;$F$3),$F$3,الموظفون!$AE17)-MAX($E$3,الموظفون!$H17)+1))</f>
        <v>30</v>
      </c>
      <c r="AL17" s="131" t="n">
        <f aca="false">IF($B17="","",SUMIFS('سجل الإجازات والحالات'!$AW$6:$AW$505,'سجل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والحالات'!$Y$6:$Y$505,'سجل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والحالات'!$AK$6:$AK$505,'سجل الإجازات والحالات'!$B$6:$B$505,$B18))/cfg_DAYS_Y)</f>
        <v/>
      </c>
      <c r="AI18" s="130" t="str">
        <f aca="false">IF($B18="","",MAX(0,IF(OR(الموظفون!$AE18="",الموظفون!$AE18&gt;($E$3-1)),($E$3-1),الموظفون!$AE18)-الموظفون!$H18+1-SUMIFS('سجل الإجازات والحالات'!$AJ$6:$AJ$505,'سجل الإجازات والحالات'!$B$6:$B$505,$B18))/cfg_DAYS_Y)</f>
        <v/>
      </c>
      <c r="AJ18" s="57" t="str">
        <f aca="false">IF($B18="","",MAX(0,AK18-(SUMIFS('سجل الإجازات والحالات'!$AK$6:$AK$505,'سجل الإجازات والحالات'!$B$6:$B$505,$B18)-SUMIFS('سجل الإجازات والحالات'!$AJ$6:$AJ$505,'سجل الإجازات والحالات'!$B$6:$B$505,$B18))))</f>
        <v/>
      </c>
      <c r="AK18" s="57" t="str">
        <f aca="false">IF($B18="","",MAX(0,IF(OR(الموظفون!$AE18="",الموظفون!$AE18&gt;$F$3),$F$3,الموظفون!$AE18)-MAX($E$3,الموظفون!$H18)+1))</f>
        <v/>
      </c>
      <c r="AL18" s="126" t="str">
        <f aca="false">IF($B18="","",SUMIFS('سجل الإجازات والحالات'!$AW$6:$AW$505,'سجل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والحالات'!$Y$6:$Y$505,'سجل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والحالات'!$AK$6:$AK$505,'سجل الإجازات والحالات'!$B$6:$B$505,$B19))/cfg_DAYS_Y)</f>
        <v/>
      </c>
      <c r="AI19" s="135" t="str">
        <f aca="false">IF($B19="","",MAX(0,IF(OR(الموظفون!$AE19="",الموظفون!$AE19&gt;($E$3-1)),($E$3-1),الموظفون!$AE19)-الموظفون!$H19+1-SUMIFS('سجل الإجازات والحالات'!$AJ$6:$AJ$505,'سجل الإجازات والحالات'!$B$6:$B$505,$B19))/cfg_DAYS_Y)</f>
        <v/>
      </c>
      <c r="AJ19" s="110" t="str">
        <f aca="false">IF($B19="","",MAX(0,AK19-(SUMIFS('سجل الإجازات والحالات'!$AK$6:$AK$505,'سجل الإجازات والحالات'!$B$6:$B$505,$B19)-SUMIFS('سجل الإجازات والحالات'!$AJ$6:$AJ$505,'سجل الإجازات والحالات'!$B$6:$B$505,$B19))))</f>
        <v/>
      </c>
      <c r="AK19" s="110" t="str">
        <f aca="false">IF($B19="","",MAX(0,IF(OR(الموظفون!$AE19="",الموظفون!$AE19&gt;$F$3),$F$3,الموظفون!$AE19)-MAX($E$3,الموظفون!$H19)+1))</f>
        <v/>
      </c>
      <c r="AL19" s="131" t="str">
        <f aca="false">IF($B19="","",SUMIFS('سجل الإجازات والحالات'!$AW$6:$AW$505,'سجل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والحالات'!$Y$6:$Y$505,'سجل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والحالات'!$AK$6:$AK$505,'سجل الإجازات والحالات'!$B$6:$B$505,$B20))/cfg_DAYS_Y)</f>
        <v/>
      </c>
      <c r="AI20" s="130" t="str">
        <f aca="false">IF($B20="","",MAX(0,IF(OR(الموظفون!$AE20="",الموظفون!$AE20&gt;($E$3-1)),($E$3-1),الموظفون!$AE20)-الموظفون!$H20+1-SUMIFS('سجل الإجازات والحالات'!$AJ$6:$AJ$505,'سجل الإجازات والحالات'!$B$6:$B$505,$B20))/cfg_DAYS_Y)</f>
        <v/>
      </c>
      <c r="AJ20" s="57" t="str">
        <f aca="false">IF($B20="","",MAX(0,AK20-(SUMIFS('سجل الإجازات والحالات'!$AK$6:$AK$505,'سجل الإجازات والحالات'!$B$6:$B$505,$B20)-SUMIFS('سجل الإجازات والحالات'!$AJ$6:$AJ$505,'سجل الإجازات والحالات'!$B$6:$B$505,$B20))))</f>
        <v/>
      </c>
      <c r="AK20" s="57" t="str">
        <f aca="false">IF($B20="","",MAX(0,IF(OR(الموظفون!$AE20="",الموظفون!$AE20&gt;$F$3),$F$3,الموظفون!$AE20)-MAX($E$3,الموظفون!$H20)+1))</f>
        <v/>
      </c>
      <c r="AL20" s="126" t="str">
        <f aca="false">IF($B20="","",SUMIFS('سجل الإجازات والحالات'!$AW$6:$AW$505,'سجل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والحالات'!$Y$6:$Y$505,'سجل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والحالات'!$AK$6:$AK$505,'سجل الإجازات والحالات'!$B$6:$B$505,$B21))/cfg_DAYS_Y)</f>
        <v/>
      </c>
      <c r="AI21" s="135" t="str">
        <f aca="false">IF($B21="","",MAX(0,IF(OR(الموظفون!$AE21="",الموظفون!$AE21&gt;($E$3-1)),($E$3-1),الموظفون!$AE21)-الموظفون!$H21+1-SUMIFS('سجل الإجازات والحالات'!$AJ$6:$AJ$505,'سجل الإجازات والحالات'!$B$6:$B$505,$B21))/cfg_DAYS_Y)</f>
        <v/>
      </c>
      <c r="AJ21" s="110" t="str">
        <f aca="false">IF($B21="","",MAX(0,AK21-(SUMIFS('سجل الإجازات والحالات'!$AK$6:$AK$505,'سجل الإجازات والحالات'!$B$6:$B$505,$B21)-SUMIFS('سجل الإجازات والحالات'!$AJ$6:$AJ$505,'سجل الإجازات والحالات'!$B$6:$B$505,$B21))))</f>
        <v/>
      </c>
      <c r="AK21" s="110" t="str">
        <f aca="false">IF($B21="","",MAX(0,IF(OR(الموظفون!$AE21="",الموظفون!$AE21&gt;$F$3),$F$3,الموظفون!$AE21)-MAX($E$3,الموظفون!$H21)+1))</f>
        <v/>
      </c>
      <c r="AL21" s="131" t="str">
        <f aca="false">IF($B21="","",SUMIFS('سجل الإجازات والحالات'!$AW$6:$AW$505,'سجل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والحالات'!$Y$6:$Y$505,'سجل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والحالات'!$AK$6:$AK$505,'سجل الإجازات والحالات'!$B$6:$B$505,$B22))/cfg_DAYS_Y)</f>
        <v/>
      </c>
      <c r="AI22" s="130" t="str">
        <f aca="false">IF($B22="","",MAX(0,IF(OR(الموظفون!$AE22="",الموظفون!$AE22&gt;($E$3-1)),($E$3-1),الموظفون!$AE22)-الموظفون!$H22+1-SUMIFS('سجل الإجازات والحالات'!$AJ$6:$AJ$505,'سجل الإجازات والحالات'!$B$6:$B$505,$B22))/cfg_DAYS_Y)</f>
        <v/>
      </c>
      <c r="AJ22" s="57" t="str">
        <f aca="false">IF($B22="","",MAX(0,AK22-(SUMIFS('سجل الإجازات والحالات'!$AK$6:$AK$505,'سجل الإجازات والحالات'!$B$6:$B$505,$B22)-SUMIFS('سجل الإجازات والحالات'!$AJ$6:$AJ$505,'سجل الإجازات والحالات'!$B$6:$B$505,$B22))))</f>
        <v/>
      </c>
      <c r="AK22" s="57" t="str">
        <f aca="false">IF($B22="","",MAX(0,IF(OR(الموظفون!$AE22="",الموظفون!$AE22&gt;$F$3),$F$3,الموظفون!$AE22)-MAX($E$3,الموظفون!$H22)+1))</f>
        <v/>
      </c>
      <c r="AL22" s="126" t="str">
        <f aca="false">IF($B22="","",SUMIFS('سجل الإجازات والحالات'!$AW$6:$AW$505,'سجل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والحالات'!$Y$6:$Y$505,'سجل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والحالات'!$AK$6:$AK$505,'سجل الإجازات والحالات'!$B$6:$B$505,$B23))/cfg_DAYS_Y)</f>
        <v/>
      </c>
      <c r="AI23" s="135" t="str">
        <f aca="false">IF($B23="","",MAX(0,IF(OR(الموظفون!$AE23="",الموظفون!$AE23&gt;($E$3-1)),($E$3-1),الموظفون!$AE23)-الموظفون!$H23+1-SUMIFS('سجل الإجازات والحالات'!$AJ$6:$AJ$505,'سجل الإجازات والحالات'!$B$6:$B$505,$B23))/cfg_DAYS_Y)</f>
        <v/>
      </c>
      <c r="AJ23" s="110" t="str">
        <f aca="false">IF($B23="","",MAX(0,AK23-(SUMIFS('سجل الإجازات والحالات'!$AK$6:$AK$505,'سجل الإجازات والحالات'!$B$6:$B$505,$B23)-SUMIFS('سجل الإجازات والحالات'!$AJ$6:$AJ$505,'سجل الإجازات والحالات'!$B$6:$B$505,$B23))))</f>
        <v/>
      </c>
      <c r="AK23" s="110" t="str">
        <f aca="false">IF($B23="","",MAX(0,IF(OR(الموظفون!$AE23="",الموظفون!$AE23&gt;$F$3),$F$3,الموظفون!$AE23)-MAX($E$3,الموظفون!$H23)+1))</f>
        <v/>
      </c>
      <c r="AL23" s="131" t="str">
        <f aca="false">IF($B23="","",SUMIFS('سجل الإجازات والحالات'!$AW$6:$AW$505,'سجل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والحالات'!$Y$6:$Y$505,'سجل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والحالات'!$AK$6:$AK$505,'سجل الإجازات والحالات'!$B$6:$B$505,$B24))/cfg_DAYS_Y)</f>
        <v/>
      </c>
      <c r="AI24" s="130" t="str">
        <f aca="false">IF($B24="","",MAX(0,IF(OR(الموظفون!$AE24="",الموظفون!$AE24&gt;($E$3-1)),($E$3-1),الموظفون!$AE24)-الموظفون!$H24+1-SUMIFS('سجل الإجازات والحالات'!$AJ$6:$AJ$505,'سجل الإجازات والحالات'!$B$6:$B$505,$B24))/cfg_DAYS_Y)</f>
        <v/>
      </c>
      <c r="AJ24" s="57" t="str">
        <f aca="false">IF($B24="","",MAX(0,AK24-(SUMIFS('سجل الإجازات والحالات'!$AK$6:$AK$505,'سجل الإجازات والحالات'!$B$6:$B$505,$B24)-SUMIFS('سجل الإجازات والحالات'!$AJ$6:$AJ$505,'سجل الإجازات والحالات'!$B$6:$B$505,$B24))))</f>
        <v/>
      </c>
      <c r="AK24" s="57" t="str">
        <f aca="false">IF($B24="","",MAX(0,IF(OR(الموظفون!$AE24="",الموظفون!$AE24&gt;$F$3),$F$3,الموظفون!$AE24)-MAX($E$3,الموظفون!$H24)+1))</f>
        <v/>
      </c>
      <c r="AL24" s="126" t="str">
        <f aca="false">IF($B24="","",SUMIFS('سجل الإجازات والحالات'!$AW$6:$AW$505,'سجل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والحالات'!$Y$6:$Y$505,'سجل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والحالات'!$AK$6:$AK$505,'سجل الإجازات والحالات'!$B$6:$B$505,$B25))/cfg_DAYS_Y)</f>
        <v/>
      </c>
      <c r="AI25" s="135" t="str">
        <f aca="false">IF($B25="","",MAX(0,IF(OR(الموظفون!$AE25="",الموظفون!$AE25&gt;($E$3-1)),($E$3-1),الموظفون!$AE25)-الموظفون!$H25+1-SUMIFS('سجل الإجازات والحالات'!$AJ$6:$AJ$505,'سجل الإجازات والحالات'!$B$6:$B$505,$B25))/cfg_DAYS_Y)</f>
        <v/>
      </c>
      <c r="AJ25" s="110" t="str">
        <f aca="false">IF($B25="","",MAX(0,AK25-(SUMIFS('سجل الإجازات والحالات'!$AK$6:$AK$505,'سجل الإجازات والحالات'!$B$6:$B$505,$B25)-SUMIFS('سجل الإجازات والحالات'!$AJ$6:$AJ$505,'سجل الإجازات والحالات'!$B$6:$B$505,$B25))))</f>
        <v/>
      </c>
      <c r="AK25" s="110" t="str">
        <f aca="false">IF($B25="","",MAX(0,IF(OR(الموظفون!$AE25="",الموظفون!$AE25&gt;$F$3),$F$3,الموظفون!$AE25)-MAX($E$3,الموظفون!$H25)+1))</f>
        <v/>
      </c>
      <c r="AL25" s="131" t="str">
        <f aca="false">IF($B25="","",SUMIFS('سجل الإجازات والحالات'!$AW$6:$AW$505,'سجل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والحالات'!$Y$6:$Y$505,'سجل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والحالات'!$AK$6:$AK$505,'سجل الإجازات والحالات'!$B$6:$B$505,$B26))/cfg_DAYS_Y)</f>
        <v/>
      </c>
      <c r="AI26" s="130" t="str">
        <f aca="false">IF($B26="","",MAX(0,IF(OR(الموظفون!$AE26="",الموظفون!$AE26&gt;($E$3-1)),($E$3-1),الموظفون!$AE26)-الموظفون!$H26+1-SUMIFS('سجل الإجازات والحالات'!$AJ$6:$AJ$505,'سجل الإجازات والحالات'!$B$6:$B$505,$B26))/cfg_DAYS_Y)</f>
        <v/>
      </c>
      <c r="AJ26" s="57" t="str">
        <f aca="false">IF($B26="","",MAX(0,AK26-(SUMIFS('سجل الإجازات والحالات'!$AK$6:$AK$505,'سجل الإجازات والحالات'!$B$6:$B$505,$B26)-SUMIFS('سجل الإجازات والحالات'!$AJ$6:$AJ$505,'سجل الإجازات والحالات'!$B$6:$B$505,$B26))))</f>
        <v/>
      </c>
      <c r="AK26" s="57" t="str">
        <f aca="false">IF($B26="","",MAX(0,IF(OR(الموظفون!$AE26="",الموظفون!$AE26&gt;$F$3),$F$3,الموظفون!$AE26)-MAX($E$3,الموظفون!$H26)+1))</f>
        <v/>
      </c>
      <c r="AL26" s="126" t="str">
        <f aca="false">IF($B26="","",SUMIFS('سجل الإجازات والحالات'!$AW$6:$AW$505,'سجل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والحالات'!$Y$6:$Y$505,'سجل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والحالات'!$AK$6:$AK$505,'سجل الإجازات والحالات'!$B$6:$B$505,$B27))/cfg_DAYS_Y)</f>
        <v/>
      </c>
      <c r="AI27" s="135" t="str">
        <f aca="false">IF($B27="","",MAX(0,IF(OR(الموظفون!$AE27="",الموظفون!$AE27&gt;($E$3-1)),($E$3-1),الموظفون!$AE27)-الموظفون!$H27+1-SUMIFS('سجل الإجازات والحالات'!$AJ$6:$AJ$505,'سجل الإجازات والحالات'!$B$6:$B$505,$B27))/cfg_DAYS_Y)</f>
        <v/>
      </c>
      <c r="AJ27" s="110" t="str">
        <f aca="false">IF($B27="","",MAX(0,AK27-(SUMIFS('سجل الإجازات والحالات'!$AK$6:$AK$505,'سجل الإجازات والحالات'!$B$6:$B$505,$B27)-SUMIFS('سجل الإجازات والحالات'!$AJ$6:$AJ$505,'سجل الإجازات والحالات'!$B$6:$B$505,$B27))))</f>
        <v/>
      </c>
      <c r="AK27" s="110" t="str">
        <f aca="false">IF($B27="","",MAX(0,IF(OR(الموظفون!$AE27="",الموظفون!$AE27&gt;$F$3),$F$3,الموظفون!$AE27)-MAX($E$3,الموظفون!$H27)+1))</f>
        <v/>
      </c>
      <c r="AL27" s="131" t="str">
        <f aca="false">IF($B27="","",SUMIFS('سجل الإجازات والحالات'!$AW$6:$AW$505,'سجل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والحالات'!$Y$6:$Y$505,'سجل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والحالات'!$AK$6:$AK$505,'سجل الإجازات والحالات'!$B$6:$B$505,$B28))/cfg_DAYS_Y)</f>
        <v/>
      </c>
      <c r="AI28" s="130" t="str">
        <f aca="false">IF($B28="","",MAX(0,IF(OR(الموظفون!$AE28="",الموظفون!$AE28&gt;($E$3-1)),($E$3-1),الموظفون!$AE28)-الموظفون!$H28+1-SUMIFS('سجل الإجازات والحالات'!$AJ$6:$AJ$505,'سجل الإجازات والحالات'!$B$6:$B$505,$B28))/cfg_DAYS_Y)</f>
        <v/>
      </c>
      <c r="AJ28" s="57" t="str">
        <f aca="false">IF($B28="","",MAX(0,AK28-(SUMIFS('سجل الإجازات والحالات'!$AK$6:$AK$505,'سجل الإجازات والحالات'!$B$6:$B$505,$B28)-SUMIFS('سجل الإجازات والحالات'!$AJ$6:$AJ$505,'سجل الإجازات والحالات'!$B$6:$B$505,$B28))))</f>
        <v/>
      </c>
      <c r="AK28" s="57" t="str">
        <f aca="false">IF($B28="","",MAX(0,IF(OR(الموظفون!$AE28="",الموظفون!$AE28&gt;$F$3),$F$3,الموظفون!$AE28)-MAX($E$3,الموظفون!$H28)+1))</f>
        <v/>
      </c>
      <c r="AL28" s="126" t="str">
        <f aca="false">IF($B28="","",SUMIFS('سجل الإجازات والحالات'!$AW$6:$AW$505,'سجل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والحالات'!$Y$6:$Y$505,'سجل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والحالات'!$AK$6:$AK$505,'سجل الإجازات والحالات'!$B$6:$B$505,$B29))/cfg_DAYS_Y)</f>
        <v/>
      </c>
      <c r="AI29" s="135" t="str">
        <f aca="false">IF($B29="","",MAX(0,IF(OR(الموظفون!$AE29="",الموظفون!$AE29&gt;($E$3-1)),($E$3-1),الموظفون!$AE29)-الموظفون!$H29+1-SUMIFS('سجل الإجازات والحالات'!$AJ$6:$AJ$505,'سجل الإجازات والحالات'!$B$6:$B$505,$B29))/cfg_DAYS_Y)</f>
        <v/>
      </c>
      <c r="AJ29" s="110" t="str">
        <f aca="false">IF($B29="","",MAX(0,AK29-(SUMIFS('سجل الإجازات والحالات'!$AK$6:$AK$505,'سجل الإجازات والحالات'!$B$6:$B$505,$B29)-SUMIFS('سجل الإجازات والحالات'!$AJ$6:$AJ$505,'سجل الإجازات والحالات'!$B$6:$B$505,$B29))))</f>
        <v/>
      </c>
      <c r="AK29" s="110" t="str">
        <f aca="false">IF($B29="","",MAX(0,IF(OR(الموظفون!$AE29="",الموظفون!$AE29&gt;$F$3),$F$3,الموظفون!$AE29)-MAX($E$3,الموظفون!$H29)+1))</f>
        <v/>
      </c>
      <c r="AL29" s="131" t="str">
        <f aca="false">IF($B29="","",SUMIFS('سجل الإجازات والحالات'!$AW$6:$AW$505,'سجل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والحالات'!$Y$6:$Y$505,'سجل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والحالات'!$AK$6:$AK$505,'سجل الإجازات والحالات'!$B$6:$B$505,$B30))/cfg_DAYS_Y)</f>
        <v/>
      </c>
      <c r="AI30" s="130" t="str">
        <f aca="false">IF($B30="","",MAX(0,IF(OR(الموظفون!$AE30="",الموظفون!$AE30&gt;($E$3-1)),($E$3-1),الموظفون!$AE30)-الموظفون!$H30+1-SUMIFS('سجل الإجازات والحالات'!$AJ$6:$AJ$505,'سجل الإجازات والحالات'!$B$6:$B$505,$B30))/cfg_DAYS_Y)</f>
        <v/>
      </c>
      <c r="AJ30" s="57" t="str">
        <f aca="false">IF($B30="","",MAX(0,AK30-(SUMIFS('سجل الإجازات والحالات'!$AK$6:$AK$505,'سجل الإجازات والحالات'!$B$6:$B$505,$B30)-SUMIFS('سجل الإجازات والحالات'!$AJ$6:$AJ$505,'سجل الإجازات والحالات'!$B$6:$B$505,$B30))))</f>
        <v/>
      </c>
      <c r="AK30" s="57" t="str">
        <f aca="false">IF($B30="","",MAX(0,IF(OR(الموظفون!$AE30="",الموظفون!$AE30&gt;$F$3),$F$3,الموظفون!$AE30)-MAX($E$3,الموظفون!$H30)+1))</f>
        <v/>
      </c>
      <c r="AL30" s="126" t="str">
        <f aca="false">IF($B30="","",SUMIFS('سجل الإجازات والحالات'!$AW$6:$AW$505,'سجل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والحالات'!$Y$6:$Y$505,'سجل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والحالات'!$AK$6:$AK$505,'سجل الإجازات والحالات'!$B$6:$B$505,$B31))/cfg_DAYS_Y)</f>
        <v/>
      </c>
      <c r="AI31" s="135" t="str">
        <f aca="false">IF($B31="","",MAX(0,IF(OR(الموظفون!$AE31="",الموظفون!$AE31&gt;($E$3-1)),($E$3-1),الموظفون!$AE31)-الموظفون!$H31+1-SUMIFS('سجل الإجازات والحالات'!$AJ$6:$AJ$505,'سجل الإجازات والحالات'!$B$6:$B$505,$B31))/cfg_DAYS_Y)</f>
        <v/>
      </c>
      <c r="AJ31" s="110" t="str">
        <f aca="false">IF($B31="","",MAX(0,AK31-(SUMIFS('سجل الإجازات والحالات'!$AK$6:$AK$505,'سجل الإجازات والحالات'!$B$6:$B$505,$B31)-SUMIFS('سجل الإجازات والحالات'!$AJ$6:$AJ$505,'سجل الإجازات والحالات'!$B$6:$B$505,$B31))))</f>
        <v/>
      </c>
      <c r="AK31" s="110" t="str">
        <f aca="false">IF($B31="","",MAX(0,IF(OR(الموظفون!$AE31="",الموظفون!$AE31&gt;$F$3),$F$3,الموظفون!$AE31)-MAX($E$3,الموظفون!$H31)+1))</f>
        <v/>
      </c>
      <c r="AL31" s="131" t="str">
        <f aca="false">IF($B31="","",SUMIFS('سجل الإجازات والحالات'!$AW$6:$AW$505,'سجل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والحالات'!$Y$6:$Y$505,'سجل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والحالات'!$AK$6:$AK$505,'سجل الإجازات والحالات'!$B$6:$B$505,$B32))/cfg_DAYS_Y)</f>
        <v/>
      </c>
      <c r="AI32" s="130" t="str">
        <f aca="false">IF($B32="","",MAX(0,IF(OR(الموظفون!$AE32="",الموظفون!$AE32&gt;($E$3-1)),($E$3-1),الموظفون!$AE32)-الموظفون!$H32+1-SUMIFS('سجل الإجازات والحالات'!$AJ$6:$AJ$505,'سجل الإجازات والحالات'!$B$6:$B$505,$B32))/cfg_DAYS_Y)</f>
        <v/>
      </c>
      <c r="AJ32" s="57" t="str">
        <f aca="false">IF($B32="","",MAX(0,AK32-(SUMIFS('سجل الإجازات والحالات'!$AK$6:$AK$505,'سجل الإجازات والحالات'!$B$6:$B$505,$B32)-SUMIFS('سجل الإجازات والحالات'!$AJ$6:$AJ$505,'سجل الإجازات والحالات'!$B$6:$B$505,$B32))))</f>
        <v/>
      </c>
      <c r="AK32" s="57" t="str">
        <f aca="false">IF($B32="","",MAX(0,IF(OR(الموظفون!$AE32="",الموظفون!$AE32&gt;$F$3),$F$3,الموظفون!$AE32)-MAX($E$3,الموظفون!$H32)+1))</f>
        <v/>
      </c>
      <c r="AL32" s="126" t="str">
        <f aca="false">IF($B32="","",SUMIFS('سجل الإجازات والحالات'!$AW$6:$AW$505,'سجل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والحالات'!$Y$6:$Y$505,'سجل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والحالات'!$AK$6:$AK$505,'سجل الإجازات والحالات'!$B$6:$B$505,$B33))/cfg_DAYS_Y)</f>
        <v/>
      </c>
      <c r="AI33" s="135" t="str">
        <f aca="false">IF($B33="","",MAX(0,IF(OR(الموظفون!$AE33="",الموظفون!$AE33&gt;($E$3-1)),($E$3-1),الموظفون!$AE33)-الموظفون!$H33+1-SUMIFS('سجل الإجازات والحالات'!$AJ$6:$AJ$505,'سجل الإجازات والحالات'!$B$6:$B$505,$B33))/cfg_DAYS_Y)</f>
        <v/>
      </c>
      <c r="AJ33" s="110" t="str">
        <f aca="false">IF($B33="","",MAX(0,AK33-(SUMIFS('سجل الإجازات والحالات'!$AK$6:$AK$505,'سجل الإجازات والحالات'!$B$6:$B$505,$B33)-SUMIFS('سجل الإجازات والحالات'!$AJ$6:$AJ$505,'سجل الإجازات والحالات'!$B$6:$B$505,$B33))))</f>
        <v/>
      </c>
      <c r="AK33" s="110" t="str">
        <f aca="false">IF($B33="","",MAX(0,IF(OR(الموظفون!$AE33="",الموظفون!$AE33&gt;$F$3),$F$3,الموظفون!$AE33)-MAX($E$3,الموظفون!$H33)+1))</f>
        <v/>
      </c>
      <c r="AL33" s="131" t="str">
        <f aca="false">IF($B33="","",SUMIFS('سجل الإجازات والحالات'!$AW$6:$AW$505,'سجل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والحالات'!$Y$6:$Y$505,'سجل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والحالات'!$AK$6:$AK$505,'سجل الإجازات والحالات'!$B$6:$B$505,$B34))/cfg_DAYS_Y)</f>
        <v/>
      </c>
      <c r="AI34" s="130" t="str">
        <f aca="false">IF($B34="","",MAX(0,IF(OR(الموظفون!$AE34="",الموظفون!$AE34&gt;($E$3-1)),($E$3-1),الموظفون!$AE34)-الموظفون!$H34+1-SUMIFS('سجل الإجازات والحالات'!$AJ$6:$AJ$505,'سجل الإجازات والحالات'!$B$6:$B$505,$B34))/cfg_DAYS_Y)</f>
        <v/>
      </c>
      <c r="AJ34" s="57" t="str">
        <f aca="false">IF($B34="","",MAX(0,AK34-(SUMIFS('سجل الإجازات والحالات'!$AK$6:$AK$505,'سجل الإجازات والحالات'!$B$6:$B$505,$B34)-SUMIFS('سجل الإجازات والحالات'!$AJ$6:$AJ$505,'سجل الإجازات والحالات'!$B$6:$B$505,$B34))))</f>
        <v/>
      </c>
      <c r="AK34" s="57" t="str">
        <f aca="false">IF($B34="","",MAX(0,IF(OR(الموظفون!$AE34="",الموظفون!$AE34&gt;$F$3),$F$3,الموظفون!$AE34)-MAX($E$3,الموظفون!$H34)+1))</f>
        <v/>
      </c>
      <c r="AL34" s="126" t="str">
        <f aca="false">IF($B34="","",SUMIFS('سجل الإجازات والحالات'!$AW$6:$AW$505,'سجل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والحالات'!$Y$6:$Y$505,'سجل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والحالات'!$AK$6:$AK$505,'سجل الإجازات والحالات'!$B$6:$B$505,$B35))/cfg_DAYS_Y)</f>
        <v/>
      </c>
      <c r="AI35" s="135" t="str">
        <f aca="false">IF($B35="","",MAX(0,IF(OR(الموظفون!$AE35="",الموظفون!$AE35&gt;($E$3-1)),($E$3-1),الموظفون!$AE35)-الموظفون!$H35+1-SUMIFS('سجل الإجازات والحالات'!$AJ$6:$AJ$505,'سجل الإجازات والحالات'!$B$6:$B$505,$B35))/cfg_DAYS_Y)</f>
        <v/>
      </c>
      <c r="AJ35" s="110" t="str">
        <f aca="false">IF($B35="","",MAX(0,AK35-(SUMIFS('سجل الإجازات والحالات'!$AK$6:$AK$505,'سجل الإجازات والحالات'!$B$6:$B$505,$B35)-SUMIFS('سجل الإجازات والحالات'!$AJ$6:$AJ$505,'سجل الإجازات والحالات'!$B$6:$B$505,$B35))))</f>
        <v/>
      </c>
      <c r="AK35" s="110" t="str">
        <f aca="false">IF($B35="","",MAX(0,IF(OR(الموظفون!$AE35="",الموظفون!$AE35&gt;$F$3),$F$3,الموظفون!$AE35)-MAX($E$3,الموظفون!$H35)+1))</f>
        <v/>
      </c>
      <c r="AL35" s="131" t="str">
        <f aca="false">IF($B35="","",SUMIFS('سجل الإجازات والحالات'!$AW$6:$AW$505,'سجل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والحالات'!$Y$6:$Y$505,'سجل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والحالات'!$AK$6:$AK$505,'سجل الإجازات والحالات'!$B$6:$B$505,$B36))/cfg_DAYS_Y)</f>
        <v/>
      </c>
      <c r="AI36" s="130" t="str">
        <f aca="false">IF($B36="","",MAX(0,IF(OR(الموظفون!$AE36="",الموظفون!$AE36&gt;($E$3-1)),($E$3-1),الموظفون!$AE36)-الموظفون!$H36+1-SUMIFS('سجل الإجازات والحالات'!$AJ$6:$AJ$505,'سجل الإجازات والحالات'!$B$6:$B$505,$B36))/cfg_DAYS_Y)</f>
        <v/>
      </c>
      <c r="AJ36" s="57" t="str">
        <f aca="false">IF($B36="","",MAX(0,AK36-(SUMIFS('سجل الإجازات والحالات'!$AK$6:$AK$505,'سجل الإجازات والحالات'!$B$6:$B$505,$B36)-SUMIFS('سجل الإجازات والحالات'!$AJ$6:$AJ$505,'سجل الإجازات والحالات'!$B$6:$B$505,$B36))))</f>
        <v/>
      </c>
      <c r="AK36" s="57" t="str">
        <f aca="false">IF($B36="","",MAX(0,IF(OR(الموظفون!$AE36="",الموظفون!$AE36&gt;$F$3),$F$3,الموظفون!$AE36)-MAX($E$3,الموظفون!$H36)+1))</f>
        <v/>
      </c>
      <c r="AL36" s="126" t="str">
        <f aca="false">IF($B36="","",SUMIFS('سجل الإجازات والحالات'!$AW$6:$AW$505,'سجل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والحالات'!$Y$6:$Y$505,'سجل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والحالات'!$AK$6:$AK$505,'سجل الإجازات والحالات'!$B$6:$B$505,$B37))/cfg_DAYS_Y)</f>
        <v/>
      </c>
      <c r="AI37" s="135" t="str">
        <f aca="false">IF($B37="","",MAX(0,IF(OR(الموظفون!$AE37="",الموظفون!$AE37&gt;($E$3-1)),($E$3-1),الموظفون!$AE37)-الموظفون!$H37+1-SUMIFS('سجل الإجازات والحالات'!$AJ$6:$AJ$505,'سجل الإجازات والحالات'!$B$6:$B$505,$B37))/cfg_DAYS_Y)</f>
        <v/>
      </c>
      <c r="AJ37" s="110" t="str">
        <f aca="false">IF($B37="","",MAX(0,AK37-(SUMIFS('سجل الإجازات والحالات'!$AK$6:$AK$505,'سجل الإجازات والحالات'!$B$6:$B$505,$B37)-SUMIFS('سجل الإجازات والحالات'!$AJ$6:$AJ$505,'سجل الإجازات والحالات'!$B$6:$B$505,$B37))))</f>
        <v/>
      </c>
      <c r="AK37" s="110" t="str">
        <f aca="false">IF($B37="","",MAX(0,IF(OR(الموظفون!$AE37="",الموظفون!$AE37&gt;$F$3),$F$3,الموظفون!$AE37)-MAX($E$3,الموظفون!$H37)+1))</f>
        <v/>
      </c>
      <c r="AL37" s="131" t="str">
        <f aca="false">IF($B37="","",SUMIFS('سجل الإجازات والحالات'!$AW$6:$AW$505,'سجل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والحالات'!$Y$6:$Y$505,'سجل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والحالات'!$AK$6:$AK$505,'سجل الإجازات والحالات'!$B$6:$B$505,$B38))/cfg_DAYS_Y)</f>
        <v/>
      </c>
      <c r="AI38" s="130" t="str">
        <f aca="false">IF($B38="","",MAX(0,IF(OR(الموظفون!$AE38="",الموظفون!$AE38&gt;($E$3-1)),($E$3-1),الموظفون!$AE38)-الموظفون!$H38+1-SUMIFS('سجل الإجازات والحالات'!$AJ$6:$AJ$505,'سجل الإجازات والحالات'!$B$6:$B$505,$B38))/cfg_DAYS_Y)</f>
        <v/>
      </c>
      <c r="AJ38" s="57" t="str">
        <f aca="false">IF($B38="","",MAX(0,AK38-(SUMIFS('سجل الإجازات والحالات'!$AK$6:$AK$505,'سجل الإجازات والحالات'!$B$6:$B$505,$B38)-SUMIFS('سجل الإجازات والحالات'!$AJ$6:$AJ$505,'سجل الإجازات والحالات'!$B$6:$B$505,$B38))))</f>
        <v/>
      </c>
      <c r="AK38" s="57" t="str">
        <f aca="false">IF($B38="","",MAX(0,IF(OR(الموظفون!$AE38="",الموظفون!$AE38&gt;$F$3),$F$3,الموظفون!$AE38)-MAX($E$3,الموظفون!$H38)+1))</f>
        <v/>
      </c>
      <c r="AL38" s="126" t="str">
        <f aca="false">IF($B38="","",SUMIFS('سجل الإجازات والحالات'!$AW$6:$AW$505,'سجل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والحالات'!$Y$6:$Y$505,'سجل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والحالات'!$AK$6:$AK$505,'سجل الإجازات والحالات'!$B$6:$B$505,$B39))/cfg_DAYS_Y)</f>
        <v/>
      </c>
      <c r="AI39" s="135" t="str">
        <f aca="false">IF($B39="","",MAX(0,IF(OR(الموظفون!$AE39="",الموظفون!$AE39&gt;($E$3-1)),($E$3-1),الموظفون!$AE39)-الموظفون!$H39+1-SUMIFS('سجل الإجازات والحالات'!$AJ$6:$AJ$505,'سجل الإجازات والحالات'!$B$6:$B$505,$B39))/cfg_DAYS_Y)</f>
        <v/>
      </c>
      <c r="AJ39" s="110" t="str">
        <f aca="false">IF($B39="","",MAX(0,AK39-(SUMIFS('سجل الإجازات والحالات'!$AK$6:$AK$505,'سجل الإجازات والحالات'!$B$6:$B$505,$B39)-SUMIFS('سجل الإجازات والحالات'!$AJ$6:$AJ$505,'سجل الإجازات والحالات'!$B$6:$B$505,$B39))))</f>
        <v/>
      </c>
      <c r="AK39" s="110" t="str">
        <f aca="false">IF($B39="","",MAX(0,IF(OR(الموظفون!$AE39="",الموظفون!$AE39&gt;$F$3),$F$3,الموظفون!$AE39)-MAX($E$3,الموظفون!$H39)+1))</f>
        <v/>
      </c>
      <c r="AL39" s="131" t="str">
        <f aca="false">IF($B39="","",SUMIFS('سجل الإجازات والحالات'!$AW$6:$AW$505,'سجل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والحالات'!$Y$6:$Y$505,'سجل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والحالات'!$AK$6:$AK$505,'سجل الإجازات والحالات'!$B$6:$B$505,$B40))/cfg_DAYS_Y)</f>
        <v/>
      </c>
      <c r="AI40" s="130" t="str">
        <f aca="false">IF($B40="","",MAX(0,IF(OR(الموظفون!$AE40="",الموظفون!$AE40&gt;($E$3-1)),($E$3-1),الموظفون!$AE40)-الموظفون!$H40+1-SUMIFS('سجل الإجازات والحالات'!$AJ$6:$AJ$505,'سجل الإجازات والحالات'!$B$6:$B$505,$B40))/cfg_DAYS_Y)</f>
        <v/>
      </c>
      <c r="AJ40" s="57" t="str">
        <f aca="false">IF($B40="","",MAX(0,AK40-(SUMIFS('سجل الإجازات والحالات'!$AK$6:$AK$505,'سجل الإجازات والحالات'!$B$6:$B$505,$B40)-SUMIFS('سجل الإجازات والحالات'!$AJ$6:$AJ$505,'سجل الإجازات والحالات'!$B$6:$B$505,$B40))))</f>
        <v/>
      </c>
      <c r="AK40" s="57" t="str">
        <f aca="false">IF($B40="","",MAX(0,IF(OR(الموظفون!$AE40="",الموظفون!$AE40&gt;$F$3),$F$3,الموظفون!$AE40)-MAX($E$3,الموظفون!$H40)+1))</f>
        <v/>
      </c>
      <c r="AL40" s="126" t="str">
        <f aca="false">IF($B40="","",SUMIFS('سجل الإجازات والحالات'!$AW$6:$AW$505,'سجل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والحالات'!$Y$6:$Y$505,'سجل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والحالات'!$AK$6:$AK$505,'سجل الإجازات والحالات'!$B$6:$B$505,$B41))/cfg_DAYS_Y)</f>
        <v/>
      </c>
      <c r="AI41" s="135" t="str">
        <f aca="false">IF($B41="","",MAX(0,IF(OR(الموظفون!$AE41="",الموظفون!$AE41&gt;($E$3-1)),($E$3-1),الموظفون!$AE41)-الموظفون!$H41+1-SUMIFS('سجل الإجازات والحالات'!$AJ$6:$AJ$505,'سجل الإجازات والحالات'!$B$6:$B$505,$B41))/cfg_DAYS_Y)</f>
        <v/>
      </c>
      <c r="AJ41" s="110" t="str">
        <f aca="false">IF($B41="","",MAX(0,AK41-(SUMIFS('سجل الإجازات والحالات'!$AK$6:$AK$505,'سجل الإجازات والحالات'!$B$6:$B$505,$B41)-SUMIFS('سجل الإجازات والحالات'!$AJ$6:$AJ$505,'سجل الإجازات والحالات'!$B$6:$B$505,$B41))))</f>
        <v/>
      </c>
      <c r="AK41" s="110" t="str">
        <f aca="false">IF($B41="","",MAX(0,IF(OR(الموظفون!$AE41="",الموظفون!$AE41&gt;$F$3),$F$3,الموظفون!$AE41)-MAX($E$3,الموظفون!$H41)+1))</f>
        <v/>
      </c>
      <c r="AL41" s="131" t="str">
        <f aca="false">IF($B41="","",SUMIFS('سجل الإجازات والحالات'!$AW$6:$AW$505,'سجل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والحالات'!$Y$6:$Y$505,'سجل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والحالات'!$AK$6:$AK$505,'سجل الإجازات والحالات'!$B$6:$B$505,$B42))/cfg_DAYS_Y)</f>
        <v/>
      </c>
      <c r="AI42" s="130" t="str">
        <f aca="false">IF($B42="","",MAX(0,IF(OR(الموظفون!$AE42="",الموظفون!$AE42&gt;($E$3-1)),($E$3-1),الموظفون!$AE42)-الموظفون!$H42+1-SUMIFS('سجل الإجازات والحالات'!$AJ$6:$AJ$505,'سجل الإجازات والحالات'!$B$6:$B$505,$B42))/cfg_DAYS_Y)</f>
        <v/>
      </c>
      <c r="AJ42" s="57" t="str">
        <f aca="false">IF($B42="","",MAX(0,AK42-(SUMIFS('سجل الإجازات والحالات'!$AK$6:$AK$505,'سجل الإجازات والحالات'!$B$6:$B$505,$B42)-SUMIFS('سجل الإجازات والحالات'!$AJ$6:$AJ$505,'سجل الإجازات والحالات'!$B$6:$B$505,$B42))))</f>
        <v/>
      </c>
      <c r="AK42" s="57" t="str">
        <f aca="false">IF($B42="","",MAX(0,IF(OR(الموظفون!$AE42="",الموظفون!$AE42&gt;$F$3),$F$3,الموظفون!$AE42)-MAX($E$3,الموظفون!$H42)+1))</f>
        <v/>
      </c>
      <c r="AL42" s="126" t="str">
        <f aca="false">IF($B42="","",SUMIFS('سجل الإجازات والحالات'!$AW$6:$AW$505,'سجل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والحالات'!$Y$6:$Y$505,'سجل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والحالات'!$AK$6:$AK$505,'سجل الإجازات والحالات'!$B$6:$B$505,$B43))/cfg_DAYS_Y)</f>
        <v/>
      </c>
      <c r="AI43" s="135" t="str">
        <f aca="false">IF($B43="","",MAX(0,IF(OR(الموظفون!$AE43="",الموظفون!$AE43&gt;($E$3-1)),($E$3-1),الموظفون!$AE43)-الموظفون!$H43+1-SUMIFS('سجل الإجازات والحالات'!$AJ$6:$AJ$505,'سجل الإجازات والحالات'!$B$6:$B$505,$B43))/cfg_DAYS_Y)</f>
        <v/>
      </c>
      <c r="AJ43" s="110" t="str">
        <f aca="false">IF($B43="","",MAX(0,AK43-(SUMIFS('سجل الإجازات والحالات'!$AK$6:$AK$505,'سجل الإجازات والحالات'!$B$6:$B$505,$B43)-SUMIFS('سجل الإجازات والحالات'!$AJ$6:$AJ$505,'سجل الإجازات والحالات'!$B$6:$B$505,$B43))))</f>
        <v/>
      </c>
      <c r="AK43" s="110" t="str">
        <f aca="false">IF($B43="","",MAX(0,IF(OR(الموظفون!$AE43="",الموظفون!$AE43&gt;$F$3),$F$3,الموظفون!$AE43)-MAX($E$3,الموظفون!$H43)+1))</f>
        <v/>
      </c>
      <c r="AL43" s="131" t="str">
        <f aca="false">IF($B43="","",SUMIFS('سجل الإجازات والحالات'!$AW$6:$AW$505,'سجل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والحالات'!$Y$6:$Y$505,'سجل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والحالات'!$AK$6:$AK$505,'سجل الإجازات والحالات'!$B$6:$B$505,$B44))/cfg_DAYS_Y)</f>
        <v/>
      </c>
      <c r="AI44" s="130" t="str">
        <f aca="false">IF($B44="","",MAX(0,IF(OR(الموظفون!$AE44="",الموظفون!$AE44&gt;($E$3-1)),($E$3-1),الموظفون!$AE44)-الموظفون!$H44+1-SUMIFS('سجل الإجازات والحالات'!$AJ$6:$AJ$505,'سجل الإجازات والحالات'!$B$6:$B$505,$B44))/cfg_DAYS_Y)</f>
        <v/>
      </c>
      <c r="AJ44" s="57" t="str">
        <f aca="false">IF($B44="","",MAX(0,AK44-(SUMIFS('سجل الإجازات والحالات'!$AK$6:$AK$505,'سجل الإجازات والحالات'!$B$6:$B$505,$B44)-SUMIFS('سجل الإجازات والحالات'!$AJ$6:$AJ$505,'سجل الإجازات والحالات'!$B$6:$B$505,$B44))))</f>
        <v/>
      </c>
      <c r="AK44" s="57" t="str">
        <f aca="false">IF($B44="","",MAX(0,IF(OR(الموظفون!$AE44="",الموظفون!$AE44&gt;$F$3),$F$3,الموظفون!$AE44)-MAX($E$3,الموظفون!$H44)+1))</f>
        <v/>
      </c>
      <c r="AL44" s="126" t="str">
        <f aca="false">IF($B44="","",SUMIFS('سجل الإجازات والحالات'!$AW$6:$AW$505,'سجل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والحالات'!$Y$6:$Y$505,'سجل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والحالات'!$AK$6:$AK$505,'سجل الإجازات والحالات'!$B$6:$B$505,$B45))/cfg_DAYS_Y)</f>
        <v/>
      </c>
      <c r="AI45" s="135" t="str">
        <f aca="false">IF($B45="","",MAX(0,IF(OR(الموظفون!$AE45="",الموظفون!$AE45&gt;($E$3-1)),($E$3-1),الموظفون!$AE45)-الموظفون!$H45+1-SUMIFS('سجل الإجازات والحالات'!$AJ$6:$AJ$505,'سجل الإجازات والحالات'!$B$6:$B$505,$B45))/cfg_DAYS_Y)</f>
        <v/>
      </c>
      <c r="AJ45" s="110" t="str">
        <f aca="false">IF($B45="","",MAX(0,AK45-(SUMIFS('سجل الإجازات والحالات'!$AK$6:$AK$505,'سجل الإجازات والحالات'!$B$6:$B$505,$B45)-SUMIFS('سجل الإجازات والحالات'!$AJ$6:$AJ$505,'سجل الإجازات والحالات'!$B$6:$B$505,$B45))))</f>
        <v/>
      </c>
      <c r="AK45" s="110" t="str">
        <f aca="false">IF($B45="","",MAX(0,IF(OR(الموظفون!$AE45="",الموظفون!$AE45&gt;$F$3),$F$3,الموظفون!$AE45)-MAX($E$3,الموظفون!$H45)+1))</f>
        <v/>
      </c>
      <c r="AL45" s="131" t="str">
        <f aca="false">IF($B45="","",SUMIFS('سجل الإجازات والحالات'!$AW$6:$AW$505,'سجل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والحالات'!$Y$6:$Y$505,'سجل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والحالات'!$AK$6:$AK$505,'سجل الإجازات والحالات'!$B$6:$B$505,$B46))/cfg_DAYS_Y)</f>
        <v/>
      </c>
      <c r="AI46" s="130" t="str">
        <f aca="false">IF($B46="","",MAX(0,IF(OR(الموظفون!$AE46="",الموظفون!$AE46&gt;($E$3-1)),($E$3-1),الموظفون!$AE46)-الموظفون!$H46+1-SUMIFS('سجل الإجازات والحالات'!$AJ$6:$AJ$505,'سجل الإجازات والحالات'!$B$6:$B$505,$B46))/cfg_DAYS_Y)</f>
        <v/>
      </c>
      <c r="AJ46" s="57" t="str">
        <f aca="false">IF($B46="","",MAX(0,AK46-(SUMIFS('سجل الإجازات والحالات'!$AK$6:$AK$505,'سجل الإجازات والحالات'!$B$6:$B$505,$B46)-SUMIFS('سجل الإجازات والحالات'!$AJ$6:$AJ$505,'سجل الإجازات والحالات'!$B$6:$B$505,$B46))))</f>
        <v/>
      </c>
      <c r="AK46" s="57" t="str">
        <f aca="false">IF($B46="","",MAX(0,IF(OR(الموظفون!$AE46="",الموظفون!$AE46&gt;$F$3),$F$3,الموظفون!$AE46)-MAX($E$3,الموظفون!$H46)+1))</f>
        <v/>
      </c>
      <c r="AL46" s="126" t="str">
        <f aca="false">IF($B46="","",SUMIFS('سجل الإجازات والحالات'!$AW$6:$AW$505,'سجل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والحالات'!$Y$6:$Y$505,'سجل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والحالات'!$AK$6:$AK$505,'سجل الإجازات والحالات'!$B$6:$B$505,$B47))/cfg_DAYS_Y)</f>
        <v/>
      </c>
      <c r="AI47" s="135" t="str">
        <f aca="false">IF($B47="","",MAX(0,IF(OR(الموظفون!$AE47="",الموظفون!$AE47&gt;($E$3-1)),($E$3-1),الموظفون!$AE47)-الموظفون!$H47+1-SUMIFS('سجل الإجازات والحالات'!$AJ$6:$AJ$505,'سجل الإجازات والحالات'!$B$6:$B$505,$B47))/cfg_DAYS_Y)</f>
        <v/>
      </c>
      <c r="AJ47" s="110" t="str">
        <f aca="false">IF($B47="","",MAX(0,AK47-(SUMIFS('سجل الإجازات والحالات'!$AK$6:$AK$505,'سجل الإجازات والحالات'!$B$6:$B$505,$B47)-SUMIFS('سجل الإجازات والحالات'!$AJ$6:$AJ$505,'سجل الإجازات والحالات'!$B$6:$B$505,$B47))))</f>
        <v/>
      </c>
      <c r="AK47" s="110" t="str">
        <f aca="false">IF($B47="","",MAX(0,IF(OR(الموظفون!$AE47="",الموظفون!$AE47&gt;$F$3),$F$3,الموظفون!$AE47)-MAX($E$3,الموظفون!$H47)+1))</f>
        <v/>
      </c>
      <c r="AL47" s="131" t="str">
        <f aca="false">IF($B47="","",SUMIFS('سجل الإجازات والحالات'!$AW$6:$AW$505,'سجل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والحالات'!$Y$6:$Y$505,'سجل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والحالات'!$AK$6:$AK$505,'سجل الإجازات والحالات'!$B$6:$B$505,$B48))/cfg_DAYS_Y)</f>
        <v/>
      </c>
      <c r="AI48" s="130" t="str">
        <f aca="false">IF($B48="","",MAX(0,IF(OR(الموظفون!$AE48="",الموظفون!$AE48&gt;($E$3-1)),($E$3-1),الموظفون!$AE48)-الموظفون!$H48+1-SUMIFS('سجل الإجازات والحالات'!$AJ$6:$AJ$505,'سجل الإجازات والحالات'!$B$6:$B$505,$B48))/cfg_DAYS_Y)</f>
        <v/>
      </c>
      <c r="AJ48" s="57" t="str">
        <f aca="false">IF($B48="","",MAX(0,AK48-(SUMIFS('سجل الإجازات والحالات'!$AK$6:$AK$505,'سجل الإجازات والحالات'!$B$6:$B$505,$B48)-SUMIFS('سجل الإجازات والحالات'!$AJ$6:$AJ$505,'سجل الإجازات والحالات'!$B$6:$B$505,$B48))))</f>
        <v/>
      </c>
      <c r="AK48" s="57" t="str">
        <f aca="false">IF($B48="","",MAX(0,IF(OR(الموظفون!$AE48="",الموظفون!$AE48&gt;$F$3),$F$3,الموظفون!$AE48)-MAX($E$3,الموظفون!$H48)+1))</f>
        <v/>
      </c>
      <c r="AL48" s="126" t="str">
        <f aca="false">IF($B48="","",SUMIFS('سجل الإجازات والحالات'!$AW$6:$AW$505,'سجل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والحالات'!$Y$6:$Y$505,'سجل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والحالات'!$AK$6:$AK$505,'سجل الإجازات والحالات'!$B$6:$B$505,$B49))/cfg_DAYS_Y)</f>
        <v/>
      </c>
      <c r="AI49" s="135" t="str">
        <f aca="false">IF($B49="","",MAX(0,IF(OR(الموظفون!$AE49="",الموظفون!$AE49&gt;($E$3-1)),($E$3-1),الموظفون!$AE49)-الموظفون!$H49+1-SUMIFS('سجل الإجازات والحالات'!$AJ$6:$AJ$505,'سجل الإجازات والحالات'!$B$6:$B$505,$B49))/cfg_DAYS_Y)</f>
        <v/>
      </c>
      <c r="AJ49" s="110" t="str">
        <f aca="false">IF($B49="","",MAX(0,AK49-(SUMIFS('سجل الإجازات والحالات'!$AK$6:$AK$505,'سجل الإجازات والحالات'!$B$6:$B$505,$B49)-SUMIFS('سجل الإجازات والحالات'!$AJ$6:$AJ$505,'سجل الإجازات والحالات'!$B$6:$B$505,$B49))))</f>
        <v/>
      </c>
      <c r="AK49" s="110" t="str">
        <f aca="false">IF($B49="","",MAX(0,IF(OR(الموظفون!$AE49="",الموظفون!$AE49&gt;$F$3),$F$3,الموظفون!$AE49)-MAX($E$3,الموظفون!$H49)+1))</f>
        <v/>
      </c>
      <c r="AL49" s="131" t="str">
        <f aca="false">IF($B49="","",SUMIFS('سجل الإجازات والحالات'!$AW$6:$AW$505,'سجل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والحالات'!$Y$6:$Y$505,'سجل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والحالات'!$AK$6:$AK$505,'سجل الإجازات والحالات'!$B$6:$B$505,$B50))/cfg_DAYS_Y)</f>
        <v/>
      </c>
      <c r="AI50" s="130" t="str">
        <f aca="false">IF($B50="","",MAX(0,IF(OR(الموظفون!$AE50="",الموظفون!$AE50&gt;($E$3-1)),($E$3-1),الموظفون!$AE50)-الموظفون!$H50+1-SUMIFS('سجل الإجازات والحالات'!$AJ$6:$AJ$505,'سجل الإجازات والحالات'!$B$6:$B$505,$B50))/cfg_DAYS_Y)</f>
        <v/>
      </c>
      <c r="AJ50" s="57" t="str">
        <f aca="false">IF($B50="","",MAX(0,AK50-(SUMIFS('سجل الإجازات والحالات'!$AK$6:$AK$505,'سجل الإجازات والحالات'!$B$6:$B$505,$B50)-SUMIFS('سجل الإجازات والحالات'!$AJ$6:$AJ$505,'سجل الإجازات والحالات'!$B$6:$B$505,$B50))))</f>
        <v/>
      </c>
      <c r="AK50" s="57" t="str">
        <f aca="false">IF($B50="","",MAX(0,IF(OR(الموظفون!$AE50="",الموظفون!$AE50&gt;$F$3),$F$3,الموظفون!$AE50)-MAX($E$3,الموظفون!$H50)+1))</f>
        <v/>
      </c>
      <c r="AL50" s="126" t="str">
        <f aca="false">IF($B50="","",SUMIFS('سجل الإجازات والحالات'!$AW$6:$AW$505,'سجل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والحالات'!$Y$6:$Y$505,'سجل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والحالات'!$AK$6:$AK$505,'سجل الإجازات والحالات'!$B$6:$B$505,$B51))/cfg_DAYS_Y)</f>
        <v/>
      </c>
      <c r="AI51" s="135" t="str">
        <f aca="false">IF($B51="","",MAX(0,IF(OR(الموظفون!$AE51="",الموظفون!$AE51&gt;($E$3-1)),($E$3-1),الموظفون!$AE51)-الموظفون!$H51+1-SUMIFS('سجل الإجازات والحالات'!$AJ$6:$AJ$505,'سجل الإجازات والحالات'!$B$6:$B$505,$B51))/cfg_DAYS_Y)</f>
        <v/>
      </c>
      <c r="AJ51" s="110" t="str">
        <f aca="false">IF($B51="","",MAX(0,AK51-(SUMIFS('سجل الإجازات والحالات'!$AK$6:$AK$505,'سجل الإجازات والحالات'!$B$6:$B$505,$B51)-SUMIFS('سجل الإجازات والحالات'!$AJ$6:$AJ$505,'سجل الإجازات والحالات'!$B$6:$B$505,$B51))))</f>
        <v/>
      </c>
      <c r="AK51" s="110" t="str">
        <f aca="false">IF($B51="","",MAX(0,IF(OR(الموظفون!$AE51="",الموظفون!$AE51&gt;$F$3),$F$3,الموظفون!$AE51)-MAX($E$3,الموظفون!$H51)+1))</f>
        <v/>
      </c>
      <c r="AL51" s="131" t="str">
        <f aca="false">IF($B51="","",SUMIFS('سجل الإجازات والحالات'!$AW$6:$AW$505,'سجل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والحالات'!$Y$6:$Y$505,'سجل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والحالات'!$AK$6:$AK$505,'سجل الإجازات والحالات'!$B$6:$B$505,$B52))/cfg_DAYS_Y)</f>
        <v/>
      </c>
      <c r="AI52" s="130" t="str">
        <f aca="false">IF($B52="","",MAX(0,IF(OR(الموظفون!$AE52="",الموظفون!$AE52&gt;($E$3-1)),($E$3-1),الموظفون!$AE52)-الموظفون!$H52+1-SUMIFS('سجل الإجازات والحالات'!$AJ$6:$AJ$505,'سجل الإجازات والحالات'!$B$6:$B$505,$B52))/cfg_DAYS_Y)</f>
        <v/>
      </c>
      <c r="AJ52" s="57" t="str">
        <f aca="false">IF($B52="","",MAX(0,AK52-(SUMIFS('سجل الإجازات والحالات'!$AK$6:$AK$505,'سجل الإجازات والحالات'!$B$6:$B$505,$B52)-SUMIFS('سجل الإجازات والحالات'!$AJ$6:$AJ$505,'سجل الإجازات والحالات'!$B$6:$B$505,$B52))))</f>
        <v/>
      </c>
      <c r="AK52" s="57" t="str">
        <f aca="false">IF($B52="","",MAX(0,IF(OR(الموظفون!$AE52="",الموظفون!$AE52&gt;$F$3),$F$3,الموظفون!$AE52)-MAX($E$3,الموظفون!$H52)+1))</f>
        <v/>
      </c>
      <c r="AL52" s="126" t="str">
        <f aca="false">IF($B52="","",SUMIFS('سجل الإجازات والحالات'!$AW$6:$AW$505,'سجل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والحالات'!$Y$6:$Y$505,'سجل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والحالات'!$AK$6:$AK$505,'سجل الإجازات والحالات'!$B$6:$B$505,$B53))/cfg_DAYS_Y)</f>
        <v/>
      </c>
      <c r="AI53" s="135" t="str">
        <f aca="false">IF($B53="","",MAX(0,IF(OR(الموظفون!$AE53="",الموظفون!$AE53&gt;($E$3-1)),($E$3-1),الموظفون!$AE53)-الموظفون!$H53+1-SUMIFS('سجل الإجازات والحالات'!$AJ$6:$AJ$505,'سجل الإجازات والحالات'!$B$6:$B$505,$B53))/cfg_DAYS_Y)</f>
        <v/>
      </c>
      <c r="AJ53" s="110" t="str">
        <f aca="false">IF($B53="","",MAX(0,AK53-(SUMIFS('سجل الإجازات والحالات'!$AK$6:$AK$505,'سجل الإجازات والحالات'!$B$6:$B$505,$B53)-SUMIFS('سجل الإجازات والحالات'!$AJ$6:$AJ$505,'سجل الإجازات والحالات'!$B$6:$B$505,$B53))))</f>
        <v/>
      </c>
      <c r="AK53" s="110" t="str">
        <f aca="false">IF($B53="","",MAX(0,IF(OR(الموظفون!$AE53="",الموظفون!$AE53&gt;$F$3),$F$3,الموظفون!$AE53)-MAX($E$3,الموظفون!$H53)+1))</f>
        <v/>
      </c>
      <c r="AL53" s="131" t="str">
        <f aca="false">IF($B53="","",SUMIFS('سجل الإجازات والحالات'!$AW$6:$AW$505,'سجل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والحالات'!$Y$6:$Y$505,'سجل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والحالات'!$AK$6:$AK$505,'سجل الإجازات والحالات'!$B$6:$B$505,$B54))/cfg_DAYS_Y)</f>
        <v/>
      </c>
      <c r="AI54" s="130" t="str">
        <f aca="false">IF($B54="","",MAX(0,IF(OR(الموظفون!$AE54="",الموظفون!$AE54&gt;($E$3-1)),($E$3-1),الموظفون!$AE54)-الموظفون!$H54+1-SUMIFS('سجل الإجازات والحالات'!$AJ$6:$AJ$505,'سجل الإجازات والحالات'!$B$6:$B$505,$B54))/cfg_DAYS_Y)</f>
        <v/>
      </c>
      <c r="AJ54" s="57" t="str">
        <f aca="false">IF($B54="","",MAX(0,AK54-(SUMIFS('سجل الإجازات والحالات'!$AK$6:$AK$505,'سجل الإجازات والحالات'!$B$6:$B$505,$B54)-SUMIFS('سجل الإجازات والحالات'!$AJ$6:$AJ$505,'سجل الإجازات والحالات'!$B$6:$B$505,$B54))))</f>
        <v/>
      </c>
      <c r="AK54" s="57" t="str">
        <f aca="false">IF($B54="","",MAX(0,IF(OR(الموظفون!$AE54="",الموظفون!$AE54&gt;$F$3),$F$3,الموظفون!$AE54)-MAX($E$3,الموظفون!$H54)+1))</f>
        <v/>
      </c>
      <c r="AL54" s="126" t="str">
        <f aca="false">IF($B54="","",SUMIFS('سجل الإجازات والحالات'!$AW$6:$AW$505,'سجل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والحالات'!$Y$6:$Y$505,'سجل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والحالات'!$AK$6:$AK$505,'سجل الإجازات والحالات'!$B$6:$B$505,$B55))/cfg_DAYS_Y)</f>
        <v/>
      </c>
      <c r="AI55" s="135" t="str">
        <f aca="false">IF($B55="","",MAX(0,IF(OR(الموظفون!$AE55="",الموظفون!$AE55&gt;($E$3-1)),($E$3-1),الموظفون!$AE55)-الموظفون!$H55+1-SUMIFS('سجل الإجازات والحالات'!$AJ$6:$AJ$505,'سجل الإجازات والحالات'!$B$6:$B$505,$B55))/cfg_DAYS_Y)</f>
        <v/>
      </c>
      <c r="AJ55" s="110" t="str">
        <f aca="false">IF($B55="","",MAX(0,AK55-(SUMIFS('سجل الإجازات والحالات'!$AK$6:$AK$505,'سجل الإجازات والحالات'!$B$6:$B$505,$B55)-SUMIFS('سجل الإجازات والحالات'!$AJ$6:$AJ$505,'سجل الإجازات والحالات'!$B$6:$B$505,$B55))))</f>
        <v/>
      </c>
      <c r="AK55" s="110" t="str">
        <f aca="false">IF($B55="","",MAX(0,IF(OR(الموظفون!$AE55="",الموظفون!$AE55&gt;$F$3),$F$3,الموظفون!$AE55)-MAX($E$3,الموظفون!$H55)+1))</f>
        <v/>
      </c>
      <c r="AL55" s="131" t="str">
        <f aca="false">IF($B55="","",SUMIFS('سجل الإجازات والحالات'!$AW$6:$AW$505,'سجل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والحالات'!$Y$6:$Y$505,'سجل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والحالات'!$AK$6:$AK$505,'سجل الإجازات والحالات'!$B$6:$B$505,$B56))/cfg_DAYS_Y)</f>
        <v/>
      </c>
      <c r="AI56" s="130" t="str">
        <f aca="false">IF($B56="","",MAX(0,IF(OR(الموظفون!$AE56="",الموظفون!$AE56&gt;($E$3-1)),($E$3-1),الموظفون!$AE56)-الموظفون!$H56+1-SUMIFS('سجل الإجازات والحالات'!$AJ$6:$AJ$505,'سجل الإجازات والحالات'!$B$6:$B$505,$B56))/cfg_DAYS_Y)</f>
        <v/>
      </c>
      <c r="AJ56" s="57" t="str">
        <f aca="false">IF($B56="","",MAX(0,AK56-(SUMIFS('سجل الإجازات والحالات'!$AK$6:$AK$505,'سجل الإجازات والحالات'!$B$6:$B$505,$B56)-SUMIFS('سجل الإجازات والحالات'!$AJ$6:$AJ$505,'سجل الإجازات والحالات'!$B$6:$B$505,$B56))))</f>
        <v/>
      </c>
      <c r="AK56" s="57" t="str">
        <f aca="false">IF($B56="","",MAX(0,IF(OR(الموظفون!$AE56="",الموظفون!$AE56&gt;$F$3),$F$3,الموظفون!$AE56)-MAX($E$3,الموظفون!$H56)+1))</f>
        <v/>
      </c>
      <c r="AL56" s="126" t="str">
        <f aca="false">IF($B56="","",SUMIFS('سجل الإجازات والحالات'!$AW$6:$AW$505,'سجل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والحالات'!$Y$6:$Y$505,'سجل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والحالات'!$AK$6:$AK$505,'سجل الإجازات والحالات'!$B$6:$B$505,$B57))/cfg_DAYS_Y)</f>
        <v/>
      </c>
      <c r="AI57" s="135" t="str">
        <f aca="false">IF($B57="","",MAX(0,IF(OR(الموظفون!$AE57="",الموظفون!$AE57&gt;($E$3-1)),($E$3-1),الموظفون!$AE57)-الموظفون!$H57+1-SUMIFS('سجل الإجازات والحالات'!$AJ$6:$AJ$505,'سجل الإجازات والحالات'!$B$6:$B$505,$B57))/cfg_DAYS_Y)</f>
        <v/>
      </c>
      <c r="AJ57" s="110" t="str">
        <f aca="false">IF($B57="","",MAX(0,AK57-(SUMIFS('سجل الإجازات والحالات'!$AK$6:$AK$505,'سجل الإجازات والحالات'!$B$6:$B$505,$B57)-SUMIFS('سجل الإجازات والحالات'!$AJ$6:$AJ$505,'سجل الإجازات والحالات'!$B$6:$B$505,$B57))))</f>
        <v/>
      </c>
      <c r="AK57" s="110" t="str">
        <f aca="false">IF($B57="","",MAX(0,IF(OR(الموظفون!$AE57="",الموظفون!$AE57&gt;$F$3),$F$3,الموظفون!$AE57)-MAX($E$3,الموظفون!$H57)+1))</f>
        <v/>
      </c>
      <c r="AL57" s="131" t="str">
        <f aca="false">IF($B57="","",SUMIFS('سجل الإجازات والحالات'!$AW$6:$AW$505,'سجل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والحالات'!$Y$6:$Y$505,'سجل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والحالات'!$AK$6:$AK$505,'سجل الإجازات والحالات'!$B$6:$B$505,$B58))/cfg_DAYS_Y)</f>
        <v/>
      </c>
      <c r="AI58" s="130" t="str">
        <f aca="false">IF($B58="","",MAX(0,IF(OR(الموظفون!$AE58="",الموظفون!$AE58&gt;($E$3-1)),($E$3-1),الموظفون!$AE58)-الموظفون!$H58+1-SUMIFS('سجل الإجازات والحالات'!$AJ$6:$AJ$505,'سجل الإجازات والحالات'!$B$6:$B$505,$B58))/cfg_DAYS_Y)</f>
        <v/>
      </c>
      <c r="AJ58" s="57" t="str">
        <f aca="false">IF($B58="","",MAX(0,AK58-(SUMIFS('سجل الإجازات والحالات'!$AK$6:$AK$505,'سجل الإجازات والحالات'!$B$6:$B$505,$B58)-SUMIFS('سجل الإجازات والحالات'!$AJ$6:$AJ$505,'سجل الإجازات والحالات'!$B$6:$B$505,$B58))))</f>
        <v/>
      </c>
      <c r="AK58" s="57" t="str">
        <f aca="false">IF($B58="","",MAX(0,IF(OR(الموظفون!$AE58="",الموظفون!$AE58&gt;$F$3),$F$3,الموظفون!$AE58)-MAX($E$3,الموظفون!$H58)+1))</f>
        <v/>
      </c>
      <c r="AL58" s="126" t="str">
        <f aca="false">IF($B58="","",SUMIFS('سجل الإجازات والحالات'!$AW$6:$AW$505,'سجل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والحالات'!$Y$6:$Y$505,'سجل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والحالات'!$AK$6:$AK$505,'سجل الإجازات والحالات'!$B$6:$B$505,$B59))/cfg_DAYS_Y)</f>
        <v/>
      </c>
      <c r="AI59" s="135" t="str">
        <f aca="false">IF($B59="","",MAX(0,IF(OR(الموظفون!$AE59="",الموظفون!$AE59&gt;($E$3-1)),($E$3-1),الموظفون!$AE59)-الموظفون!$H59+1-SUMIFS('سجل الإجازات والحالات'!$AJ$6:$AJ$505,'سجل الإجازات والحالات'!$B$6:$B$505,$B59))/cfg_DAYS_Y)</f>
        <v/>
      </c>
      <c r="AJ59" s="110" t="str">
        <f aca="false">IF($B59="","",MAX(0,AK59-(SUMIFS('سجل الإجازات والحالات'!$AK$6:$AK$505,'سجل الإجازات والحالات'!$B$6:$B$505,$B59)-SUMIFS('سجل الإجازات والحالات'!$AJ$6:$AJ$505,'سجل الإجازات والحالات'!$B$6:$B$505,$B59))))</f>
        <v/>
      </c>
      <c r="AK59" s="110" t="str">
        <f aca="false">IF($B59="","",MAX(0,IF(OR(الموظفون!$AE59="",الموظفون!$AE59&gt;$F$3),$F$3,الموظفون!$AE59)-MAX($E$3,الموظفون!$H59)+1))</f>
        <v/>
      </c>
      <c r="AL59" s="131" t="str">
        <f aca="false">IF($B59="","",SUMIFS('سجل الإجازات والحالات'!$AW$6:$AW$505,'سجل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والحالات'!$Y$6:$Y$505,'سجل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والحالات'!$AK$6:$AK$505,'سجل الإجازات والحالات'!$B$6:$B$505,$B60))/cfg_DAYS_Y)</f>
        <v/>
      </c>
      <c r="AI60" s="130" t="str">
        <f aca="false">IF($B60="","",MAX(0,IF(OR(الموظفون!$AE60="",الموظفون!$AE60&gt;($E$3-1)),($E$3-1),الموظفون!$AE60)-الموظفون!$H60+1-SUMIFS('سجل الإجازات والحالات'!$AJ$6:$AJ$505,'سجل الإجازات والحالات'!$B$6:$B$505,$B60))/cfg_DAYS_Y)</f>
        <v/>
      </c>
      <c r="AJ60" s="57" t="str">
        <f aca="false">IF($B60="","",MAX(0,AK60-(SUMIFS('سجل الإجازات والحالات'!$AK$6:$AK$505,'سجل الإجازات والحالات'!$B$6:$B$505,$B60)-SUMIFS('سجل الإجازات والحالات'!$AJ$6:$AJ$505,'سجل الإجازات والحالات'!$B$6:$B$505,$B60))))</f>
        <v/>
      </c>
      <c r="AK60" s="57" t="str">
        <f aca="false">IF($B60="","",MAX(0,IF(OR(الموظفون!$AE60="",الموظفون!$AE60&gt;$F$3),$F$3,الموظفون!$AE60)-MAX($E$3,الموظفون!$H60)+1))</f>
        <v/>
      </c>
      <c r="AL60" s="126" t="str">
        <f aca="false">IF($B60="","",SUMIFS('سجل الإجازات والحالات'!$AW$6:$AW$505,'سجل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والحالات'!$Y$6:$Y$505,'سجل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والحالات'!$AK$6:$AK$505,'سجل الإجازات والحالات'!$B$6:$B$505,$B61))/cfg_DAYS_Y)</f>
        <v/>
      </c>
      <c r="AI61" s="135" t="str">
        <f aca="false">IF($B61="","",MAX(0,IF(OR(الموظفون!$AE61="",الموظفون!$AE61&gt;($E$3-1)),($E$3-1),الموظفون!$AE61)-الموظفون!$H61+1-SUMIFS('سجل الإجازات والحالات'!$AJ$6:$AJ$505,'سجل الإجازات والحالات'!$B$6:$B$505,$B61))/cfg_DAYS_Y)</f>
        <v/>
      </c>
      <c r="AJ61" s="110" t="str">
        <f aca="false">IF($B61="","",MAX(0,AK61-(SUMIFS('سجل الإجازات والحالات'!$AK$6:$AK$505,'سجل الإجازات والحالات'!$B$6:$B$505,$B61)-SUMIFS('سجل الإجازات والحالات'!$AJ$6:$AJ$505,'سجل الإجازات والحالات'!$B$6:$B$505,$B61))))</f>
        <v/>
      </c>
      <c r="AK61" s="110" t="str">
        <f aca="false">IF($B61="","",MAX(0,IF(OR(الموظفون!$AE61="",الموظفون!$AE61&gt;$F$3),$F$3,الموظفون!$AE61)-MAX($E$3,الموظفون!$H61)+1))</f>
        <v/>
      </c>
      <c r="AL61" s="131" t="str">
        <f aca="false">IF($B61="","",SUMIFS('سجل الإجازات والحالات'!$AW$6:$AW$505,'سجل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والحالات'!$Y$6:$Y$505,'سجل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والحالات'!$AK$6:$AK$505,'سجل الإجازات والحالات'!$B$6:$B$505,$B62))/cfg_DAYS_Y)</f>
        <v/>
      </c>
      <c r="AI62" s="130" t="str">
        <f aca="false">IF($B62="","",MAX(0,IF(OR(الموظفون!$AE62="",الموظفون!$AE62&gt;($E$3-1)),($E$3-1),الموظفون!$AE62)-الموظفون!$H62+1-SUMIFS('سجل الإجازات والحالات'!$AJ$6:$AJ$505,'سجل الإجازات والحالات'!$B$6:$B$505,$B62))/cfg_DAYS_Y)</f>
        <v/>
      </c>
      <c r="AJ62" s="57" t="str">
        <f aca="false">IF($B62="","",MAX(0,AK62-(SUMIFS('سجل الإجازات والحالات'!$AK$6:$AK$505,'سجل الإجازات والحالات'!$B$6:$B$505,$B62)-SUMIFS('سجل الإجازات والحالات'!$AJ$6:$AJ$505,'سجل الإجازات والحالات'!$B$6:$B$505,$B62))))</f>
        <v/>
      </c>
      <c r="AK62" s="57" t="str">
        <f aca="false">IF($B62="","",MAX(0,IF(OR(الموظفون!$AE62="",الموظفون!$AE62&gt;$F$3),$F$3,الموظفون!$AE62)-MAX($E$3,الموظفون!$H62)+1))</f>
        <v/>
      </c>
      <c r="AL62" s="126" t="str">
        <f aca="false">IF($B62="","",SUMIFS('سجل الإجازات والحالات'!$AW$6:$AW$505,'سجل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والحالات'!$Y$6:$Y$505,'سجل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والحالات'!$AK$6:$AK$505,'سجل الإجازات والحالات'!$B$6:$B$505,$B63))/cfg_DAYS_Y)</f>
        <v/>
      </c>
      <c r="AI63" s="135" t="str">
        <f aca="false">IF($B63="","",MAX(0,IF(OR(الموظفون!$AE63="",الموظفون!$AE63&gt;($E$3-1)),($E$3-1),الموظفون!$AE63)-الموظفون!$H63+1-SUMIFS('سجل الإجازات والحالات'!$AJ$6:$AJ$505,'سجل الإجازات والحالات'!$B$6:$B$505,$B63))/cfg_DAYS_Y)</f>
        <v/>
      </c>
      <c r="AJ63" s="110" t="str">
        <f aca="false">IF($B63="","",MAX(0,AK63-(SUMIFS('سجل الإجازات والحالات'!$AK$6:$AK$505,'سجل الإجازات والحالات'!$B$6:$B$505,$B63)-SUMIFS('سجل الإجازات والحالات'!$AJ$6:$AJ$505,'سجل الإجازات والحالات'!$B$6:$B$505,$B63))))</f>
        <v/>
      </c>
      <c r="AK63" s="110" t="str">
        <f aca="false">IF($B63="","",MAX(0,IF(OR(الموظفون!$AE63="",الموظفون!$AE63&gt;$F$3),$F$3,الموظفون!$AE63)-MAX($E$3,الموظفون!$H63)+1))</f>
        <v/>
      </c>
      <c r="AL63" s="131" t="str">
        <f aca="false">IF($B63="","",SUMIFS('سجل الإجازات والحالات'!$AW$6:$AW$505,'سجل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والحالات'!$Y$6:$Y$505,'سجل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والحالات'!$AK$6:$AK$505,'سجل الإجازات والحالات'!$B$6:$B$505,$B64))/cfg_DAYS_Y)</f>
        <v/>
      </c>
      <c r="AI64" s="130" t="str">
        <f aca="false">IF($B64="","",MAX(0,IF(OR(الموظفون!$AE64="",الموظفون!$AE64&gt;($E$3-1)),($E$3-1),الموظفون!$AE64)-الموظفون!$H64+1-SUMIFS('سجل الإجازات والحالات'!$AJ$6:$AJ$505,'سجل الإجازات والحالات'!$B$6:$B$505,$B64))/cfg_DAYS_Y)</f>
        <v/>
      </c>
      <c r="AJ64" s="57" t="str">
        <f aca="false">IF($B64="","",MAX(0,AK64-(SUMIFS('سجل الإجازات والحالات'!$AK$6:$AK$505,'سجل الإجازات والحالات'!$B$6:$B$505,$B64)-SUMIFS('سجل الإجازات والحالات'!$AJ$6:$AJ$505,'سجل الإجازات والحالات'!$B$6:$B$505,$B64))))</f>
        <v/>
      </c>
      <c r="AK64" s="57" t="str">
        <f aca="false">IF($B64="","",MAX(0,IF(OR(الموظفون!$AE64="",الموظفون!$AE64&gt;$F$3),$F$3,الموظفون!$AE64)-MAX($E$3,الموظفون!$H64)+1))</f>
        <v/>
      </c>
      <c r="AL64" s="126" t="str">
        <f aca="false">IF($B64="","",SUMIFS('سجل الإجازات والحالات'!$AW$6:$AW$505,'سجل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والحالات'!$Y$6:$Y$505,'سجل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والحالات'!$AK$6:$AK$505,'سجل الإجازات والحالات'!$B$6:$B$505,$B65))/cfg_DAYS_Y)</f>
        <v/>
      </c>
      <c r="AI65" s="135" t="str">
        <f aca="false">IF($B65="","",MAX(0,IF(OR(الموظفون!$AE65="",الموظفون!$AE65&gt;($E$3-1)),($E$3-1),الموظفون!$AE65)-الموظفون!$H65+1-SUMIFS('سجل الإجازات والحالات'!$AJ$6:$AJ$505,'سجل الإجازات والحالات'!$B$6:$B$505,$B65))/cfg_DAYS_Y)</f>
        <v/>
      </c>
      <c r="AJ65" s="110" t="str">
        <f aca="false">IF($B65="","",MAX(0,AK65-(SUMIFS('سجل الإجازات والحالات'!$AK$6:$AK$505,'سجل الإجازات والحالات'!$B$6:$B$505,$B65)-SUMIFS('سجل الإجازات والحالات'!$AJ$6:$AJ$505,'سجل الإجازات والحالات'!$B$6:$B$505,$B65))))</f>
        <v/>
      </c>
      <c r="AK65" s="110" t="str">
        <f aca="false">IF($B65="","",MAX(0,IF(OR(الموظفون!$AE65="",الموظفون!$AE65&gt;$F$3),$F$3,الموظفون!$AE65)-MAX($E$3,الموظفون!$H65)+1))</f>
        <v/>
      </c>
      <c r="AL65" s="131" t="str">
        <f aca="false">IF($B65="","",SUMIFS('سجل الإجازات والحالات'!$AW$6:$AW$505,'سجل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والحالات'!$Y$6:$Y$505,'سجل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والحالات'!$AK$6:$AK$505,'سجل الإجازات والحالات'!$B$6:$B$505,$B66))/cfg_DAYS_Y)</f>
        <v/>
      </c>
      <c r="AI66" s="130" t="str">
        <f aca="false">IF($B66="","",MAX(0,IF(OR(الموظفون!$AE66="",الموظفون!$AE66&gt;($E$3-1)),($E$3-1),الموظفون!$AE66)-الموظفون!$H66+1-SUMIFS('سجل الإجازات والحالات'!$AJ$6:$AJ$505,'سجل الإجازات والحالات'!$B$6:$B$505,$B66))/cfg_DAYS_Y)</f>
        <v/>
      </c>
      <c r="AJ66" s="57" t="str">
        <f aca="false">IF($B66="","",MAX(0,AK66-(SUMIFS('سجل الإجازات والحالات'!$AK$6:$AK$505,'سجل الإجازات والحالات'!$B$6:$B$505,$B66)-SUMIFS('سجل الإجازات والحالات'!$AJ$6:$AJ$505,'سجل الإجازات والحالات'!$B$6:$B$505,$B66))))</f>
        <v/>
      </c>
      <c r="AK66" s="57" t="str">
        <f aca="false">IF($B66="","",MAX(0,IF(OR(الموظفون!$AE66="",الموظفون!$AE66&gt;$F$3),$F$3,الموظفون!$AE66)-MAX($E$3,الموظفون!$H66)+1))</f>
        <v/>
      </c>
      <c r="AL66" s="126" t="str">
        <f aca="false">IF($B66="","",SUMIFS('سجل الإجازات والحالات'!$AW$6:$AW$505,'سجل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والحالات'!$Y$6:$Y$505,'سجل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والحالات'!$AK$6:$AK$505,'سجل الإجازات والحالات'!$B$6:$B$505,$B67))/cfg_DAYS_Y)</f>
        <v/>
      </c>
      <c r="AI67" s="135" t="str">
        <f aca="false">IF($B67="","",MAX(0,IF(OR(الموظفون!$AE67="",الموظفون!$AE67&gt;($E$3-1)),($E$3-1),الموظفون!$AE67)-الموظفون!$H67+1-SUMIFS('سجل الإجازات والحالات'!$AJ$6:$AJ$505,'سجل الإجازات والحالات'!$B$6:$B$505,$B67))/cfg_DAYS_Y)</f>
        <v/>
      </c>
      <c r="AJ67" s="110" t="str">
        <f aca="false">IF($B67="","",MAX(0,AK67-(SUMIFS('سجل الإجازات والحالات'!$AK$6:$AK$505,'سجل الإجازات والحالات'!$B$6:$B$505,$B67)-SUMIFS('سجل الإجازات والحالات'!$AJ$6:$AJ$505,'سجل الإجازات والحالات'!$B$6:$B$505,$B67))))</f>
        <v/>
      </c>
      <c r="AK67" s="110" t="str">
        <f aca="false">IF($B67="","",MAX(0,IF(OR(الموظفون!$AE67="",الموظفون!$AE67&gt;$F$3),$F$3,الموظفون!$AE67)-MAX($E$3,الموظفون!$H67)+1))</f>
        <v/>
      </c>
      <c r="AL67" s="131" t="str">
        <f aca="false">IF($B67="","",SUMIFS('سجل الإجازات والحالات'!$AW$6:$AW$505,'سجل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والحالات'!$Y$6:$Y$505,'سجل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والحالات'!$AK$6:$AK$505,'سجل الإجازات والحالات'!$B$6:$B$505,$B68))/cfg_DAYS_Y)</f>
        <v/>
      </c>
      <c r="AI68" s="130" t="str">
        <f aca="false">IF($B68="","",MAX(0,IF(OR(الموظفون!$AE68="",الموظفون!$AE68&gt;($E$3-1)),($E$3-1),الموظفون!$AE68)-الموظفون!$H68+1-SUMIFS('سجل الإجازات والحالات'!$AJ$6:$AJ$505,'سجل الإجازات والحالات'!$B$6:$B$505,$B68))/cfg_DAYS_Y)</f>
        <v/>
      </c>
      <c r="AJ68" s="57" t="str">
        <f aca="false">IF($B68="","",MAX(0,AK68-(SUMIFS('سجل الإجازات والحالات'!$AK$6:$AK$505,'سجل الإجازات والحالات'!$B$6:$B$505,$B68)-SUMIFS('سجل الإجازات والحالات'!$AJ$6:$AJ$505,'سجل الإجازات والحالات'!$B$6:$B$505,$B68))))</f>
        <v/>
      </c>
      <c r="AK68" s="57" t="str">
        <f aca="false">IF($B68="","",MAX(0,IF(OR(الموظفون!$AE68="",الموظفون!$AE68&gt;$F$3),$F$3,الموظفون!$AE68)-MAX($E$3,الموظفون!$H68)+1))</f>
        <v/>
      </c>
      <c r="AL68" s="126" t="str">
        <f aca="false">IF($B68="","",SUMIFS('سجل الإجازات والحالات'!$AW$6:$AW$505,'سجل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والحالات'!$Y$6:$Y$505,'سجل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والحالات'!$AK$6:$AK$505,'سجل الإجازات والحالات'!$B$6:$B$505,$B69))/cfg_DAYS_Y)</f>
        <v/>
      </c>
      <c r="AI69" s="135" t="str">
        <f aca="false">IF($B69="","",MAX(0,IF(OR(الموظفون!$AE69="",الموظفون!$AE69&gt;($E$3-1)),($E$3-1),الموظفون!$AE69)-الموظفون!$H69+1-SUMIFS('سجل الإجازات والحالات'!$AJ$6:$AJ$505,'سجل الإجازات والحالات'!$B$6:$B$505,$B69))/cfg_DAYS_Y)</f>
        <v/>
      </c>
      <c r="AJ69" s="110" t="str">
        <f aca="false">IF($B69="","",MAX(0,AK69-(SUMIFS('سجل الإجازات والحالات'!$AK$6:$AK$505,'سجل الإجازات والحالات'!$B$6:$B$505,$B69)-SUMIFS('سجل الإجازات والحالات'!$AJ$6:$AJ$505,'سجل الإجازات والحالات'!$B$6:$B$505,$B69))))</f>
        <v/>
      </c>
      <c r="AK69" s="110" t="str">
        <f aca="false">IF($B69="","",MAX(0,IF(OR(الموظفون!$AE69="",الموظفون!$AE69&gt;$F$3),$F$3,الموظفون!$AE69)-MAX($E$3,الموظفون!$H69)+1))</f>
        <v/>
      </c>
      <c r="AL69" s="131" t="str">
        <f aca="false">IF($B69="","",SUMIFS('سجل الإجازات والحالات'!$AW$6:$AW$505,'سجل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والحالات'!$Y$6:$Y$505,'سجل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والحالات'!$AK$6:$AK$505,'سجل الإجازات والحالات'!$B$6:$B$505,$B70))/cfg_DAYS_Y)</f>
        <v/>
      </c>
      <c r="AI70" s="130" t="str">
        <f aca="false">IF($B70="","",MAX(0,IF(OR(الموظفون!$AE70="",الموظفون!$AE70&gt;($E$3-1)),($E$3-1),الموظفون!$AE70)-الموظفون!$H70+1-SUMIFS('سجل الإجازات والحالات'!$AJ$6:$AJ$505,'سجل الإجازات والحالات'!$B$6:$B$505,$B70))/cfg_DAYS_Y)</f>
        <v/>
      </c>
      <c r="AJ70" s="57" t="str">
        <f aca="false">IF($B70="","",MAX(0,AK70-(SUMIFS('سجل الإجازات والحالات'!$AK$6:$AK$505,'سجل الإجازات والحالات'!$B$6:$B$505,$B70)-SUMIFS('سجل الإجازات والحالات'!$AJ$6:$AJ$505,'سجل الإجازات والحالات'!$B$6:$B$505,$B70))))</f>
        <v/>
      </c>
      <c r="AK70" s="57" t="str">
        <f aca="false">IF($B70="","",MAX(0,IF(OR(الموظفون!$AE70="",الموظفون!$AE70&gt;$F$3),$F$3,الموظفون!$AE70)-MAX($E$3,الموظفون!$H70)+1))</f>
        <v/>
      </c>
      <c r="AL70" s="126" t="str">
        <f aca="false">IF($B70="","",SUMIFS('سجل الإجازات والحالات'!$AW$6:$AW$505,'سجل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والحالات'!$Y$6:$Y$505,'سجل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والحالات'!$AK$6:$AK$505,'سجل الإجازات والحالات'!$B$6:$B$505,$B71))/cfg_DAYS_Y)</f>
        <v/>
      </c>
      <c r="AI71" s="135" t="str">
        <f aca="false">IF($B71="","",MAX(0,IF(OR(الموظفون!$AE71="",الموظفون!$AE71&gt;($E$3-1)),($E$3-1),الموظفون!$AE71)-الموظفون!$H71+1-SUMIFS('سجل الإجازات والحالات'!$AJ$6:$AJ$505,'سجل الإجازات والحالات'!$B$6:$B$505,$B71))/cfg_DAYS_Y)</f>
        <v/>
      </c>
      <c r="AJ71" s="110" t="str">
        <f aca="false">IF($B71="","",MAX(0,AK71-(SUMIFS('سجل الإجازات والحالات'!$AK$6:$AK$505,'سجل الإجازات والحالات'!$B$6:$B$505,$B71)-SUMIFS('سجل الإجازات والحالات'!$AJ$6:$AJ$505,'سجل الإجازات والحالات'!$B$6:$B$505,$B71))))</f>
        <v/>
      </c>
      <c r="AK71" s="110" t="str">
        <f aca="false">IF($B71="","",MAX(0,IF(OR(الموظفون!$AE71="",الموظفون!$AE71&gt;$F$3),$F$3,الموظفون!$AE71)-MAX($E$3,الموظفون!$H71)+1))</f>
        <v/>
      </c>
      <c r="AL71" s="131" t="str">
        <f aca="false">IF($B71="","",SUMIFS('سجل الإجازات والحالات'!$AW$6:$AW$505,'سجل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والحالات'!$Y$6:$Y$505,'سجل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والحالات'!$AK$6:$AK$505,'سجل الإجازات والحالات'!$B$6:$B$505,$B72))/cfg_DAYS_Y)</f>
        <v/>
      </c>
      <c r="AI72" s="130" t="str">
        <f aca="false">IF($B72="","",MAX(0,IF(OR(الموظفون!$AE72="",الموظفون!$AE72&gt;($E$3-1)),($E$3-1),الموظفون!$AE72)-الموظفون!$H72+1-SUMIFS('سجل الإجازات والحالات'!$AJ$6:$AJ$505,'سجل الإجازات والحالات'!$B$6:$B$505,$B72))/cfg_DAYS_Y)</f>
        <v/>
      </c>
      <c r="AJ72" s="57" t="str">
        <f aca="false">IF($B72="","",MAX(0,AK72-(SUMIFS('سجل الإجازات والحالات'!$AK$6:$AK$505,'سجل الإجازات والحالات'!$B$6:$B$505,$B72)-SUMIFS('سجل الإجازات والحالات'!$AJ$6:$AJ$505,'سجل الإجازات والحالات'!$B$6:$B$505,$B72))))</f>
        <v/>
      </c>
      <c r="AK72" s="57" t="str">
        <f aca="false">IF($B72="","",MAX(0,IF(OR(الموظفون!$AE72="",الموظفون!$AE72&gt;$F$3),$F$3,الموظفون!$AE72)-MAX($E$3,الموظفون!$H72)+1))</f>
        <v/>
      </c>
      <c r="AL72" s="126" t="str">
        <f aca="false">IF($B72="","",SUMIFS('سجل الإجازات والحالات'!$AW$6:$AW$505,'سجل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والحالات'!$Y$6:$Y$505,'سجل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والحالات'!$AK$6:$AK$505,'سجل الإجازات والحالات'!$B$6:$B$505,$B73))/cfg_DAYS_Y)</f>
        <v/>
      </c>
      <c r="AI73" s="135" t="str">
        <f aca="false">IF($B73="","",MAX(0,IF(OR(الموظفون!$AE73="",الموظفون!$AE73&gt;($E$3-1)),($E$3-1),الموظفون!$AE73)-الموظفون!$H73+1-SUMIFS('سجل الإجازات والحالات'!$AJ$6:$AJ$505,'سجل الإجازات والحالات'!$B$6:$B$505,$B73))/cfg_DAYS_Y)</f>
        <v/>
      </c>
      <c r="AJ73" s="110" t="str">
        <f aca="false">IF($B73="","",MAX(0,AK73-(SUMIFS('سجل الإجازات والحالات'!$AK$6:$AK$505,'سجل الإجازات والحالات'!$B$6:$B$505,$B73)-SUMIFS('سجل الإجازات والحالات'!$AJ$6:$AJ$505,'سجل الإجازات والحالات'!$B$6:$B$505,$B73))))</f>
        <v/>
      </c>
      <c r="AK73" s="110" t="str">
        <f aca="false">IF($B73="","",MAX(0,IF(OR(الموظفون!$AE73="",الموظفون!$AE73&gt;$F$3),$F$3,الموظفون!$AE73)-MAX($E$3,الموظفون!$H73)+1))</f>
        <v/>
      </c>
      <c r="AL73" s="131" t="str">
        <f aca="false">IF($B73="","",SUMIFS('سجل الإجازات والحالات'!$AW$6:$AW$505,'سجل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والحالات'!$Y$6:$Y$505,'سجل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والحالات'!$AK$6:$AK$505,'سجل الإجازات والحالات'!$B$6:$B$505,$B74))/cfg_DAYS_Y)</f>
        <v/>
      </c>
      <c r="AI74" s="130" t="str">
        <f aca="false">IF($B74="","",MAX(0,IF(OR(الموظفون!$AE74="",الموظفون!$AE74&gt;($E$3-1)),($E$3-1),الموظفون!$AE74)-الموظفون!$H74+1-SUMIFS('سجل الإجازات والحالات'!$AJ$6:$AJ$505,'سجل الإجازات والحالات'!$B$6:$B$505,$B74))/cfg_DAYS_Y)</f>
        <v/>
      </c>
      <c r="AJ74" s="57" t="str">
        <f aca="false">IF($B74="","",MAX(0,AK74-(SUMIFS('سجل الإجازات والحالات'!$AK$6:$AK$505,'سجل الإجازات والحالات'!$B$6:$B$505,$B74)-SUMIFS('سجل الإجازات والحالات'!$AJ$6:$AJ$505,'سجل الإجازات والحالات'!$B$6:$B$505,$B74))))</f>
        <v/>
      </c>
      <c r="AK74" s="57" t="str">
        <f aca="false">IF($B74="","",MAX(0,IF(OR(الموظفون!$AE74="",الموظفون!$AE74&gt;$F$3),$F$3,الموظفون!$AE74)-MAX($E$3,الموظفون!$H74)+1))</f>
        <v/>
      </c>
      <c r="AL74" s="126" t="str">
        <f aca="false">IF($B74="","",SUMIFS('سجل الإجازات والحالات'!$AW$6:$AW$505,'سجل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والحالات'!$Y$6:$Y$505,'سجل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والحالات'!$AK$6:$AK$505,'سجل الإجازات والحالات'!$B$6:$B$505,$B75))/cfg_DAYS_Y)</f>
        <v/>
      </c>
      <c r="AI75" s="135" t="str">
        <f aca="false">IF($B75="","",MAX(0,IF(OR(الموظفون!$AE75="",الموظفون!$AE75&gt;($E$3-1)),($E$3-1),الموظفون!$AE75)-الموظفون!$H75+1-SUMIFS('سجل الإجازات والحالات'!$AJ$6:$AJ$505,'سجل الإجازات والحالات'!$B$6:$B$505,$B75))/cfg_DAYS_Y)</f>
        <v/>
      </c>
      <c r="AJ75" s="110" t="str">
        <f aca="false">IF($B75="","",MAX(0,AK75-(SUMIFS('سجل الإجازات والحالات'!$AK$6:$AK$505,'سجل الإجازات والحالات'!$B$6:$B$505,$B75)-SUMIFS('سجل الإجازات والحالات'!$AJ$6:$AJ$505,'سجل الإجازات والحالات'!$B$6:$B$505,$B75))))</f>
        <v/>
      </c>
      <c r="AK75" s="110" t="str">
        <f aca="false">IF($B75="","",MAX(0,IF(OR(الموظفون!$AE75="",الموظفون!$AE75&gt;$F$3),$F$3,الموظفون!$AE75)-MAX($E$3,الموظفون!$H75)+1))</f>
        <v/>
      </c>
      <c r="AL75" s="131" t="str">
        <f aca="false">IF($B75="","",SUMIFS('سجل الإجازات والحالات'!$AW$6:$AW$505,'سجل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والحالات'!$Y$6:$Y$505,'سجل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والحالات'!$AK$6:$AK$505,'سجل الإجازات والحالات'!$B$6:$B$505,$B76))/cfg_DAYS_Y)</f>
        <v/>
      </c>
      <c r="AI76" s="130" t="str">
        <f aca="false">IF($B76="","",MAX(0,IF(OR(الموظفون!$AE76="",الموظفون!$AE76&gt;($E$3-1)),($E$3-1),الموظفون!$AE76)-الموظفون!$H76+1-SUMIFS('سجل الإجازات والحالات'!$AJ$6:$AJ$505,'سجل الإجازات والحالات'!$B$6:$B$505,$B76))/cfg_DAYS_Y)</f>
        <v/>
      </c>
      <c r="AJ76" s="57" t="str">
        <f aca="false">IF($B76="","",MAX(0,AK76-(SUMIFS('سجل الإجازات والحالات'!$AK$6:$AK$505,'سجل الإجازات والحالات'!$B$6:$B$505,$B76)-SUMIFS('سجل الإجازات والحالات'!$AJ$6:$AJ$505,'سجل الإجازات والحالات'!$B$6:$B$505,$B76))))</f>
        <v/>
      </c>
      <c r="AK76" s="57" t="str">
        <f aca="false">IF($B76="","",MAX(0,IF(OR(الموظفون!$AE76="",الموظفون!$AE76&gt;$F$3),$F$3,الموظفون!$AE76)-MAX($E$3,الموظفون!$H76)+1))</f>
        <v/>
      </c>
      <c r="AL76" s="126" t="str">
        <f aca="false">IF($B76="","",SUMIFS('سجل الإجازات والحالات'!$AW$6:$AW$505,'سجل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والحالات'!$Y$6:$Y$505,'سجل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والحالات'!$AK$6:$AK$505,'سجل الإجازات والحالات'!$B$6:$B$505,$B77))/cfg_DAYS_Y)</f>
        <v/>
      </c>
      <c r="AI77" s="135" t="str">
        <f aca="false">IF($B77="","",MAX(0,IF(OR(الموظفون!$AE77="",الموظفون!$AE77&gt;($E$3-1)),($E$3-1),الموظفون!$AE77)-الموظفون!$H77+1-SUMIFS('سجل الإجازات والحالات'!$AJ$6:$AJ$505,'سجل الإجازات والحالات'!$B$6:$B$505,$B77))/cfg_DAYS_Y)</f>
        <v/>
      </c>
      <c r="AJ77" s="110" t="str">
        <f aca="false">IF($B77="","",MAX(0,AK77-(SUMIFS('سجل الإجازات والحالات'!$AK$6:$AK$505,'سجل الإجازات والحالات'!$B$6:$B$505,$B77)-SUMIFS('سجل الإجازات والحالات'!$AJ$6:$AJ$505,'سجل الإجازات والحالات'!$B$6:$B$505,$B77))))</f>
        <v/>
      </c>
      <c r="AK77" s="110" t="str">
        <f aca="false">IF($B77="","",MAX(0,IF(OR(الموظفون!$AE77="",الموظفون!$AE77&gt;$F$3),$F$3,الموظفون!$AE77)-MAX($E$3,الموظفون!$H77)+1))</f>
        <v/>
      </c>
      <c r="AL77" s="131" t="str">
        <f aca="false">IF($B77="","",SUMIFS('سجل الإجازات والحالات'!$AW$6:$AW$505,'سجل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والحالات'!$Y$6:$Y$505,'سجل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والحالات'!$AK$6:$AK$505,'سجل الإجازات والحالات'!$B$6:$B$505,$B78))/cfg_DAYS_Y)</f>
        <v/>
      </c>
      <c r="AI78" s="130" t="str">
        <f aca="false">IF($B78="","",MAX(0,IF(OR(الموظفون!$AE78="",الموظفون!$AE78&gt;($E$3-1)),($E$3-1),الموظفون!$AE78)-الموظفون!$H78+1-SUMIFS('سجل الإجازات والحالات'!$AJ$6:$AJ$505,'سجل الإجازات والحالات'!$B$6:$B$505,$B78))/cfg_DAYS_Y)</f>
        <v/>
      </c>
      <c r="AJ78" s="57" t="str">
        <f aca="false">IF($B78="","",MAX(0,AK78-(SUMIFS('سجل الإجازات والحالات'!$AK$6:$AK$505,'سجل الإجازات والحالات'!$B$6:$B$505,$B78)-SUMIFS('سجل الإجازات والحالات'!$AJ$6:$AJ$505,'سجل الإجازات والحالات'!$B$6:$B$505,$B78))))</f>
        <v/>
      </c>
      <c r="AK78" s="57" t="str">
        <f aca="false">IF($B78="","",MAX(0,IF(OR(الموظفون!$AE78="",الموظفون!$AE78&gt;$F$3),$F$3,الموظفون!$AE78)-MAX($E$3,الموظفون!$H78)+1))</f>
        <v/>
      </c>
      <c r="AL78" s="126" t="str">
        <f aca="false">IF($B78="","",SUMIFS('سجل الإجازات والحالات'!$AW$6:$AW$505,'سجل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والحالات'!$Y$6:$Y$505,'سجل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والحالات'!$AK$6:$AK$505,'سجل الإجازات والحالات'!$B$6:$B$505,$B79))/cfg_DAYS_Y)</f>
        <v/>
      </c>
      <c r="AI79" s="135" t="str">
        <f aca="false">IF($B79="","",MAX(0,IF(OR(الموظفون!$AE79="",الموظفون!$AE79&gt;($E$3-1)),($E$3-1),الموظفون!$AE79)-الموظفون!$H79+1-SUMIFS('سجل الإجازات والحالات'!$AJ$6:$AJ$505,'سجل الإجازات والحالات'!$B$6:$B$505,$B79))/cfg_DAYS_Y)</f>
        <v/>
      </c>
      <c r="AJ79" s="110" t="str">
        <f aca="false">IF($B79="","",MAX(0,AK79-(SUMIFS('سجل الإجازات والحالات'!$AK$6:$AK$505,'سجل الإجازات والحالات'!$B$6:$B$505,$B79)-SUMIFS('سجل الإجازات والحالات'!$AJ$6:$AJ$505,'سجل الإجازات والحالات'!$B$6:$B$505,$B79))))</f>
        <v/>
      </c>
      <c r="AK79" s="110" t="str">
        <f aca="false">IF($B79="","",MAX(0,IF(OR(الموظفون!$AE79="",الموظفون!$AE79&gt;$F$3),$F$3,الموظفون!$AE79)-MAX($E$3,الموظفون!$H79)+1))</f>
        <v/>
      </c>
      <c r="AL79" s="131" t="str">
        <f aca="false">IF($B79="","",SUMIFS('سجل الإجازات والحالات'!$AW$6:$AW$505,'سجل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والحالات'!$Y$6:$Y$505,'سجل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والحالات'!$AK$6:$AK$505,'سجل الإجازات والحالات'!$B$6:$B$505,$B80))/cfg_DAYS_Y)</f>
        <v/>
      </c>
      <c r="AI80" s="130" t="str">
        <f aca="false">IF($B80="","",MAX(0,IF(OR(الموظفون!$AE80="",الموظفون!$AE80&gt;($E$3-1)),($E$3-1),الموظفون!$AE80)-الموظفون!$H80+1-SUMIFS('سجل الإجازات والحالات'!$AJ$6:$AJ$505,'سجل الإجازات والحالات'!$B$6:$B$505,$B80))/cfg_DAYS_Y)</f>
        <v/>
      </c>
      <c r="AJ80" s="57" t="str">
        <f aca="false">IF($B80="","",MAX(0,AK80-(SUMIFS('سجل الإجازات والحالات'!$AK$6:$AK$505,'سجل الإجازات والحالات'!$B$6:$B$505,$B80)-SUMIFS('سجل الإجازات والحالات'!$AJ$6:$AJ$505,'سجل الإجازات والحالات'!$B$6:$B$505,$B80))))</f>
        <v/>
      </c>
      <c r="AK80" s="57" t="str">
        <f aca="false">IF($B80="","",MAX(0,IF(OR(الموظفون!$AE80="",الموظفون!$AE80&gt;$F$3),$F$3,الموظفون!$AE80)-MAX($E$3,الموظفون!$H80)+1))</f>
        <v/>
      </c>
      <c r="AL80" s="126" t="str">
        <f aca="false">IF($B80="","",SUMIFS('سجل الإجازات والحالات'!$AW$6:$AW$505,'سجل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والحالات'!$Y$6:$Y$505,'سجل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والحالات'!$AK$6:$AK$505,'سجل الإجازات والحالات'!$B$6:$B$505,$B81))/cfg_DAYS_Y)</f>
        <v/>
      </c>
      <c r="AI81" s="135" t="str">
        <f aca="false">IF($B81="","",MAX(0,IF(OR(الموظفون!$AE81="",الموظفون!$AE81&gt;($E$3-1)),($E$3-1),الموظفون!$AE81)-الموظفون!$H81+1-SUMIFS('سجل الإجازات والحالات'!$AJ$6:$AJ$505,'سجل الإجازات والحالات'!$B$6:$B$505,$B81))/cfg_DAYS_Y)</f>
        <v/>
      </c>
      <c r="AJ81" s="110" t="str">
        <f aca="false">IF($B81="","",MAX(0,AK81-(SUMIFS('سجل الإجازات والحالات'!$AK$6:$AK$505,'سجل الإجازات والحالات'!$B$6:$B$505,$B81)-SUMIFS('سجل الإجازات والحالات'!$AJ$6:$AJ$505,'سجل الإجازات والحالات'!$B$6:$B$505,$B81))))</f>
        <v/>
      </c>
      <c r="AK81" s="110" t="str">
        <f aca="false">IF($B81="","",MAX(0,IF(OR(الموظفون!$AE81="",الموظفون!$AE81&gt;$F$3),$F$3,الموظفون!$AE81)-MAX($E$3,الموظفون!$H81)+1))</f>
        <v/>
      </c>
      <c r="AL81" s="131" t="str">
        <f aca="false">IF($B81="","",SUMIFS('سجل الإجازات والحالات'!$AW$6:$AW$505,'سجل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والحالات'!$Y$6:$Y$505,'سجل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والحالات'!$AK$6:$AK$505,'سجل الإجازات والحالات'!$B$6:$B$505,$B82))/cfg_DAYS_Y)</f>
        <v/>
      </c>
      <c r="AI82" s="130" t="str">
        <f aca="false">IF($B82="","",MAX(0,IF(OR(الموظفون!$AE82="",الموظفون!$AE82&gt;($E$3-1)),($E$3-1),الموظفون!$AE82)-الموظفون!$H82+1-SUMIFS('سجل الإجازات والحالات'!$AJ$6:$AJ$505,'سجل الإجازات والحالات'!$B$6:$B$505,$B82))/cfg_DAYS_Y)</f>
        <v/>
      </c>
      <c r="AJ82" s="57" t="str">
        <f aca="false">IF($B82="","",MAX(0,AK82-(SUMIFS('سجل الإجازات والحالات'!$AK$6:$AK$505,'سجل الإجازات والحالات'!$B$6:$B$505,$B82)-SUMIFS('سجل الإجازات والحالات'!$AJ$6:$AJ$505,'سجل الإجازات والحالات'!$B$6:$B$505,$B82))))</f>
        <v/>
      </c>
      <c r="AK82" s="57" t="str">
        <f aca="false">IF($B82="","",MAX(0,IF(OR(الموظفون!$AE82="",الموظفون!$AE82&gt;$F$3),$F$3,الموظفون!$AE82)-MAX($E$3,الموظفون!$H82)+1))</f>
        <v/>
      </c>
      <c r="AL82" s="126" t="str">
        <f aca="false">IF($B82="","",SUMIFS('سجل الإجازات والحالات'!$AW$6:$AW$505,'سجل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والحالات'!$Y$6:$Y$505,'سجل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والحالات'!$AK$6:$AK$505,'سجل الإجازات والحالات'!$B$6:$B$505,$B83))/cfg_DAYS_Y)</f>
        <v/>
      </c>
      <c r="AI83" s="135" t="str">
        <f aca="false">IF($B83="","",MAX(0,IF(OR(الموظفون!$AE83="",الموظفون!$AE83&gt;($E$3-1)),($E$3-1),الموظفون!$AE83)-الموظفون!$H83+1-SUMIFS('سجل الإجازات والحالات'!$AJ$6:$AJ$505,'سجل الإجازات والحالات'!$B$6:$B$505,$B83))/cfg_DAYS_Y)</f>
        <v/>
      </c>
      <c r="AJ83" s="110" t="str">
        <f aca="false">IF($B83="","",MAX(0,AK83-(SUMIFS('سجل الإجازات والحالات'!$AK$6:$AK$505,'سجل الإجازات والحالات'!$B$6:$B$505,$B83)-SUMIFS('سجل الإجازات والحالات'!$AJ$6:$AJ$505,'سجل الإجازات والحالات'!$B$6:$B$505,$B83))))</f>
        <v/>
      </c>
      <c r="AK83" s="110" t="str">
        <f aca="false">IF($B83="","",MAX(0,IF(OR(الموظفون!$AE83="",الموظفون!$AE83&gt;$F$3),$F$3,الموظفون!$AE83)-MAX($E$3,الموظفون!$H83)+1))</f>
        <v/>
      </c>
      <c r="AL83" s="131" t="str">
        <f aca="false">IF($B83="","",SUMIFS('سجل الإجازات والحالات'!$AW$6:$AW$505,'سجل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والحالات'!$Y$6:$Y$505,'سجل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والحالات'!$AK$6:$AK$505,'سجل الإجازات والحالات'!$B$6:$B$505,$B84))/cfg_DAYS_Y)</f>
        <v/>
      </c>
      <c r="AI84" s="130" t="str">
        <f aca="false">IF($B84="","",MAX(0,IF(OR(الموظفون!$AE84="",الموظفون!$AE84&gt;($E$3-1)),($E$3-1),الموظفون!$AE84)-الموظفون!$H84+1-SUMIFS('سجل الإجازات والحالات'!$AJ$6:$AJ$505,'سجل الإجازات والحالات'!$B$6:$B$505,$B84))/cfg_DAYS_Y)</f>
        <v/>
      </c>
      <c r="AJ84" s="57" t="str">
        <f aca="false">IF($B84="","",MAX(0,AK84-(SUMIFS('سجل الإجازات والحالات'!$AK$6:$AK$505,'سجل الإجازات والحالات'!$B$6:$B$505,$B84)-SUMIFS('سجل الإجازات والحالات'!$AJ$6:$AJ$505,'سجل الإجازات والحالات'!$B$6:$B$505,$B84))))</f>
        <v/>
      </c>
      <c r="AK84" s="57" t="str">
        <f aca="false">IF($B84="","",MAX(0,IF(OR(الموظفون!$AE84="",الموظفون!$AE84&gt;$F$3),$F$3,الموظفون!$AE84)-MAX($E$3,الموظفون!$H84)+1))</f>
        <v/>
      </c>
      <c r="AL84" s="126" t="str">
        <f aca="false">IF($B84="","",SUMIFS('سجل الإجازات والحالات'!$AW$6:$AW$505,'سجل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والحالات'!$Y$6:$Y$505,'سجل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والحالات'!$AK$6:$AK$505,'سجل الإجازات والحالات'!$B$6:$B$505,$B85))/cfg_DAYS_Y)</f>
        <v/>
      </c>
      <c r="AI85" s="135" t="str">
        <f aca="false">IF($B85="","",MAX(0,IF(OR(الموظفون!$AE85="",الموظفون!$AE85&gt;($E$3-1)),($E$3-1),الموظفون!$AE85)-الموظفون!$H85+1-SUMIFS('سجل الإجازات والحالات'!$AJ$6:$AJ$505,'سجل الإجازات والحالات'!$B$6:$B$505,$B85))/cfg_DAYS_Y)</f>
        <v/>
      </c>
      <c r="AJ85" s="110" t="str">
        <f aca="false">IF($B85="","",MAX(0,AK85-(SUMIFS('سجل الإجازات والحالات'!$AK$6:$AK$505,'سجل الإجازات والحالات'!$B$6:$B$505,$B85)-SUMIFS('سجل الإجازات والحالات'!$AJ$6:$AJ$505,'سجل الإجازات والحالات'!$B$6:$B$505,$B85))))</f>
        <v/>
      </c>
      <c r="AK85" s="110" t="str">
        <f aca="false">IF($B85="","",MAX(0,IF(OR(الموظفون!$AE85="",الموظفون!$AE85&gt;$F$3),$F$3,الموظفون!$AE85)-MAX($E$3,الموظفون!$H85)+1))</f>
        <v/>
      </c>
      <c r="AL85" s="131" t="str">
        <f aca="false">IF($B85="","",SUMIFS('سجل الإجازات والحالات'!$AW$6:$AW$505,'سجل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والحالات'!$Y$6:$Y$505,'سجل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والحالات'!$AK$6:$AK$505,'سجل الإجازات والحالات'!$B$6:$B$505,$B86))/cfg_DAYS_Y)</f>
        <v/>
      </c>
      <c r="AI86" s="130" t="str">
        <f aca="false">IF($B86="","",MAX(0,IF(OR(الموظفون!$AE86="",الموظفون!$AE86&gt;($E$3-1)),($E$3-1),الموظفون!$AE86)-الموظفون!$H86+1-SUMIFS('سجل الإجازات والحالات'!$AJ$6:$AJ$505,'سجل الإجازات والحالات'!$B$6:$B$505,$B86))/cfg_DAYS_Y)</f>
        <v/>
      </c>
      <c r="AJ86" s="57" t="str">
        <f aca="false">IF($B86="","",MAX(0,AK86-(SUMIFS('سجل الإجازات والحالات'!$AK$6:$AK$505,'سجل الإجازات والحالات'!$B$6:$B$505,$B86)-SUMIFS('سجل الإجازات والحالات'!$AJ$6:$AJ$505,'سجل الإجازات والحالات'!$B$6:$B$505,$B86))))</f>
        <v/>
      </c>
      <c r="AK86" s="57" t="str">
        <f aca="false">IF($B86="","",MAX(0,IF(OR(الموظفون!$AE86="",الموظفون!$AE86&gt;$F$3),$F$3,الموظفون!$AE86)-MAX($E$3,الموظفون!$H86)+1))</f>
        <v/>
      </c>
      <c r="AL86" s="126" t="str">
        <f aca="false">IF($B86="","",SUMIFS('سجل الإجازات والحالات'!$AW$6:$AW$505,'سجل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والحالات'!$Y$6:$Y$505,'سجل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والحالات'!$AK$6:$AK$505,'سجل الإجازات والحالات'!$B$6:$B$505,$B87))/cfg_DAYS_Y)</f>
        <v/>
      </c>
      <c r="AI87" s="135" t="str">
        <f aca="false">IF($B87="","",MAX(0,IF(OR(الموظفون!$AE87="",الموظفون!$AE87&gt;($E$3-1)),($E$3-1),الموظفون!$AE87)-الموظفون!$H87+1-SUMIFS('سجل الإجازات والحالات'!$AJ$6:$AJ$505,'سجل الإجازات والحالات'!$B$6:$B$505,$B87))/cfg_DAYS_Y)</f>
        <v/>
      </c>
      <c r="AJ87" s="110" t="str">
        <f aca="false">IF($B87="","",MAX(0,AK87-(SUMIFS('سجل الإجازات والحالات'!$AK$6:$AK$505,'سجل الإجازات والحالات'!$B$6:$B$505,$B87)-SUMIFS('سجل الإجازات والحالات'!$AJ$6:$AJ$505,'سجل الإجازات والحالات'!$B$6:$B$505,$B87))))</f>
        <v/>
      </c>
      <c r="AK87" s="110" t="str">
        <f aca="false">IF($B87="","",MAX(0,IF(OR(الموظفون!$AE87="",الموظفون!$AE87&gt;$F$3),$F$3,الموظفون!$AE87)-MAX($E$3,الموظفون!$H87)+1))</f>
        <v/>
      </c>
      <c r="AL87" s="131" t="str">
        <f aca="false">IF($B87="","",SUMIFS('سجل الإجازات والحالات'!$AW$6:$AW$505,'سجل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والحالات'!$Y$6:$Y$505,'سجل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والحالات'!$AK$6:$AK$505,'سجل الإجازات والحالات'!$B$6:$B$505,$B88))/cfg_DAYS_Y)</f>
        <v/>
      </c>
      <c r="AI88" s="130" t="str">
        <f aca="false">IF($B88="","",MAX(0,IF(OR(الموظفون!$AE88="",الموظفون!$AE88&gt;($E$3-1)),($E$3-1),الموظفون!$AE88)-الموظفون!$H88+1-SUMIFS('سجل الإجازات والحالات'!$AJ$6:$AJ$505,'سجل الإجازات والحالات'!$B$6:$B$505,$B88))/cfg_DAYS_Y)</f>
        <v/>
      </c>
      <c r="AJ88" s="57" t="str">
        <f aca="false">IF($B88="","",MAX(0,AK88-(SUMIFS('سجل الإجازات والحالات'!$AK$6:$AK$505,'سجل الإجازات والحالات'!$B$6:$B$505,$B88)-SUMIFS('سجل الإجازات والحالات'!$AJ$6:$AJ$505,'سجل الإجازات والحالات'!$B$6:$B$505,$B88))))</f>
        <v/>
      </c>
      <c r="AK88" s="57" t="str">
        <f aca="false">IF($B88="","",MAX(0,IF(OR(الموظفون!$AE88="",الموظفون!$AE88&gt;$F$3),$F$3,الموظفون!$AE88)-MAX($E$3,الموظفون!$H88)+1))</f>
        <v/>
      </c>
      <c r="AL88" s="126" t="str">
        <f aca="false">IF($B88="","",SUMIFS('سجل الإجازات والحالات'!$AW$6:$AW$505,'سجل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والحالات'!$Y$6:$Y$505,'سجل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والحالات'!$AK$6:$AK$505,'سجل الإجازات والحالات'!$B$6:$B$505,$B89))/cfg_DAYS_Y)</f>
        <v/>
      </c>
      <c r="AI89" s="135" t="str">
        <f aca="false">IF($B89="","",MAX(0,IF(OR(الموظفون!$AE89="",الموظفون!$AE89&gt;($E$3-1)),($E$3-1),الموظفون!$AE89)-الموظفون!$H89+1-SUMIFS('سجل الإجازات والحالات'!$AJ$6:$AJ$505,'سجل الإجازات والحالات'!$B$6:$B$505,$B89))/cfg_DAYS_Y)</f>
        <v/>
      </c>
      <c r="AJ89" s="110" t="str">
        <f aca="false">IF($B89="","",MAX(0,AK89-(SUMIFS('سجل الإجازات والحالات'!$AK$6:$AK$505,'سجل الإجازات والحالات'!$B$6:$B$505,$B89)-SUMIFS('سجل الإجازات والحالات'!$AJ$6:$AJ$505,'سجل الإجازات والحالات'!$B$6:$B$505,$B89))))</f>
        <v/>
      </c>
      <c r="AK89" s="110" t="str">
        <f aca="false">IF($B89="","",MAX(0,IF(OR(الموظفون!$AE89="",الموظفون!$AE89&gt;$F$3),$F$3,الموظفون!$AE89)-MAX($E$3,الموظفون!$H89)+1))</f>
        <v/>
      </c>
      <c r="AL89" s="131" t="str">
        <f aca="false">IF($B89="","",SUMIFS('سجل الإجازات والحالات'!$AW$6:$AW$505,'سجل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والحالات'!$Y$6:$Y$505,'سجل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والحالات'!$AK$6:$AK$505,'سجل الإجازات والحالات'!$B$6:$B$505,$B90))/cfg_DAYS_Y)</f>
        <v/>
      </c>
      <c r="AI90" s="130" t="str">
        <f aca="false">IF($B90="","",MAX(0,IF(OR(الموظفون!$AE90="",الموظفون!$AE90&gt;($E$3-1)),($E$3-1),الموظفون!$AE90)-الموظفون!$H90+1-SUMIFS('سجل الإجازات والحالات'!$AJ$6:$AJ$505,'سجل الإجازات والحالات'!$B$6:$B$505,$B90))/cfg_DAYS_Y)</f>
        <v/>
      </c>
      <c r="AJ90" s="57" t="str">
        <f aca="false">IF($B90="","",MAX(0,AK90-(SUMIFS('سجل الإجازات والحالات'!$AK$6:$AK$505,'سجل الإجازات والحالات'!$B$6:$B$505,$B90)-SUMIFS('سجل الإجازات والحالات'!$AJ$6:$AJ$505,'سجل الإجازات والحالات'!$B$6:$B$505,$B90))))</f>
        <v/>
      </c>
      <c r="AK90" s="57" t="str">
        <f aca="false">IF($B90="","",MAX(0,IF(OR(الموظفون!$AE90="",الموظفون!$AE90&gt;$F$3),$F$3,الموظفون!$AE90)-MAX($E$3,الموظفون!$H90)+1))</f>
        <v/>
      </c>
      <c r="AL90" s="126" t="str">
        <f aca="false">IF($B90="","",SUMIFS('سجل الإجازات والحالات'!$AW$6:$AW$505,'سجل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والحالات'!$Y$6:$Y$505,'سجل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والحالات'!$AK$6:$AK$505,'سجل الإجازات والحالات'!$B$6:$B$505,$B91))/cfg_DAYS_Y)</f>
        <v/>
      </c>
      <c r="AI91" s="135" t="str">
        <f aca="false">IF($B91="","",MAX(0,IF(OR(الموظفون!$AE91="",الموظفون!$AE91&gt;($E$3-1)),($E$3-1),الموظفون!$AE91)-الموظفون!$H91+1-SUMIFS('سجل الإجازات والحالات'!$AJ$6:$AJ$505,'سجل الإجازات والحالات'!$B$6:$B$505,$B91))/cfg_DAYS_Y)</f>
        <v/>
      </c>
      <c r="AJ91" s="110" t="str">
        <f aca="false">IF($B91="","",MAX(0,AK91-(SUMIFS('سجل الإجازات والحالات'!$AK$6:$AK$505,'سجل الإجازات والحالات'!$B$6:$B$505,$B91)-SUMIFS('سجل الإجازات والحالات'!$AJ$6:$AJ$505,'سجل الإجازات والحالات'!$B$6:$B$505,$B91))))</f>
        <v/>
      </c>
      <c r="AK91" s="110" t="str">
        <f aca="false">IF($B91="","",MAX(0,IF(OR(الموظفون!$AE91="",الموظفون!$AE91&gt;$F$3),$F$3,الموظفون!$AE91)-MAX($E$3,الموظفون!$H91)+1))</f>
        <v/>
      </c>
      <c r="AL91" s="131" t="str">
        <f aca="false">IF($B91="","",SUMIFS('سجل الإجازات والحالات'!$AW$6:$AW$505,'سجل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والحالات'!$Y$6:$Y$505,'سجل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والحالات'!$AK$6:$AK$505,'سجل الإجازات والحالات'!$B$6:$B$505,$B92))/cfg_DAYS_Y)</f>
        <v/>
      </c>
      <c r="AI92" s="130" t="str">
        <f aca="false">IF($B92="","",MAX(0,IF(OR(الموظفون!$AE92="",الموظفون!$AE92&gt;($E$3-1)),($E$3-1),الموظفون!$AE92)-الموظفون!$H92+1-SUMIFS('سجل الإجازات والحالات'!$AJ$6:$AJ$505,'سجل الإجازات والحالات'!$B$6:$B$505,$B92))/cfg_DAYS_Y)</f>
        <v/>
      </c>
      <c r="AJ92" s="57" t="str">
        <f aca="false">IF($B92="","",MAX(0,AK92-(SUMIFS('سجل الإجازات والحالات'!$AK$6:$AK$505,'سجل الإجازات والحالات'!$B$6:$B$505,$B92)-SUMIFS('سجل الإجازات والحالات'!$AJ$6:$AJ$505,'سجل الإجازات والحالات'!$B$6:$B$505,$B92))))</f>
        <v/>
      </c>
      <c r="AK92" s="57" t="str">
        <f aca="false">IF($B92="","",MAX(0,IF(OR(الموظفون!$AE92="",الموظفون!$AE92&gt;$F$3),$F$3,الموظفون!$AE92)-MAX($E$3,الموظفون!$H92)+1))</f>
        <v/>
      </c>
      <c r="AL92" s="126" t="str">
        <f aca="false">IF($B92="","",SUMIFS('سجل الإجازات والحالات'!$AW$6:$AW$505,'سجل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والحالات'!$Y$6:$Y$505,'سجل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والحالات'!$AK$6:$AK$505,'سجل الإجازات والحالات'!$B$6:$B$505,$B93))/cfg_DAYS_Y)</f>
        <v/>
      </c>
      <c r="AI93" s="135" t="str">
        <f aca="false">IF($B93="","",MAX(0,IF(OR(الموظفون!$AE93="",الموظفون!$AE93&gt;($E$3-1)),($E$3-1),الموظفون!$AE93)-الموظفون!$H93+1-SUMIFS('سجل الإجازات والحالات'!$AJ$6:$AJ$505,'سجل الإجازات والحالات'!$B$6:$B$505,$B93))/cfg_DAYS_Y)</f>
        <v/>
      </c>
      <c r="AJ93" s="110" t="str">
        <f aca="false">IF($B93="","",MAX(0,AK93-(SUMIFS('سجل الإجازات والحالات'!$AK$6:$AK$505,'سجل الإجازات والحالات'!$B$6:$B$505,$B93)-SUMIFS('سجل الإجازات والحالات'!$AJ$6:$AJ$505,'سجل الإجازات والحالات'!$B$6:$B$505,$B93))))</f>
        <v/>
      </c>
      <c r="AK93" s="110" t="str">
        <f aca="false">IF($B93="","",MAX(0,IF(OR(الموظفون!$AE93="",الموظفون!$AE93&gt;$F$3),$F$3,الموظفون!$AE93)-MAX($E$3,الموظفون!$H93)+1))</f>
        <v/>
      </c>
      <c r="AL93" s="131" t="str">
        <f aca="false">IF($B93="","",SUMIFS('سجل الإجازات والحالات'!$AW$6:$AW$505,'سجل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والحالات'!$Y$6:$Y$505,'سجل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والحالات'!$AK$6:$AK$505,'سجل الإجازات والحالات'!$B$6:$B$505,$B94))/cfg_DAYS_Y)</f>
        <v/>
      </c>
      <c r="AI94" s="130" t="str">
        <f aca="false">IF($B94="","",MAX(0,IF(OR(الموظفون!$AE94="",الموظفون!$AE94&gt;($E$3-1)),($E$3-1),الموظفون!$AE94)-الموظفون!$H94+1-SUMIFS('سجل الإجازات والحالات'!$AJ$6:$AJ$505,'سجل الإجازات والحالات'!$B$6:$B$505,$B94))/cfg_DAYS_Y)</f>
        <v/>
      </c>
      <c r="AJ94" s="57" t="str">
        <f aca="false">IF($B94="","",MAX(0,AK94-(SUMIFS('سجل الإجازات والحالات'!$AK$6:$AK$505,'سجل الإجازات والحالات'!$B$6:$B$505,$B94)-SUMIFS('سجل الإجازات والحالات'!$AJ$6:$AJ$505,'سجل الإجازات والحالات'!$B$6:$B$505,$B94))))</f>
        <v/>
      </c>
      <c r="AK94" s="57" t="str">
        <f aca="false">IF($B94="","",MAX(0,IF(OR(الموظفون!$AE94="",الموظفون!$AE94&gt;$F$3),$F$3,الموظفون!$AE94)-MAX($E$3,الموظفون!$H94)+1))</f>
        <v/>
      </c>
      <c r="AL94" s="126" t="str">
        <f aca="false">IF($B94="","",SUMIFS('سجل الإجازات والحالات'!$AW$6:$AW$505,'سجل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والحالات'!$Y$6:$Y$505,'سجل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والحالات'!$AK$6:$AK$505,'سجل الإجازات والحالات'!$B$6:$B$505,$B95))/cfg_DAYS_Y)</f>
        <v/>
      </c>
      <c r="AI95" s="135" t="str">
        <f aca="false">IF($B95="","",MAX(0,IF(OR(الموظفون!$AE95="",الموظفون!$AE95&gt;($E$3-1)),($E$3-1),الموظفون!$AE95)-الموظفون!$H95+1-SUMIFS('سجل الإجازات والحالات'!$AJ$6:$AJ$505,'سجل الإجازات والحالات'!$B$6:$B$505,$B95))/cfg_DAYS_Y)</f>
        <v/>
      </c>
      <c r="AJ95" s="110" t="str">
        <f aca="false">IF($B95="","",MAX(0,AK95-(SUMIFS('سجل الإجازات والحالات'!$AK$6:$AK$505,'سجل الإجازات والحالات'!$B$6:$B$505,$B95)-SUMIFS('سجل الإجازات والحالات'!$AJ$6:$AJ$505,'سجل الإجازات والحالات'!$B$6:$B$505,$B95))))</f>
        <v/>
      </c>
      <c r="AK95" s="110" t="str">
        <f aca="false">IF($B95="","",MAX(0,IF(OR(الموظفون!$AE95="",الموظفون!$AE95&gt;$F$3),$F$3,الموظفون!$AE95)-MAX($E$3,الموظفون!$H95)+1))</f>
        <v/>
      </c>
      <c r="AL95" s="131" t="str">
        <f aca="false">IF($B95="","",SUMIFS('سجل الإجازات والحالات'!$AW$6:$AW$505,'سجل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والحالات'!$Y$6:$Y$505,'سجل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والحالات'!$AK$6:$AK$505,'سجل الإجازات والحالات'!$B$6:$B$505,$B96))/cfg_DAYS_Y)</f>
        <v/>
      </c>
      <c r="AI96" s="130" t="str">
        <f aca="false">IF($B96="","",MAX(0,IF(OR(الموظفون!$AE96="",الموظفون!$AE96&gt;($E$3-1)),($E$3-1),الموظفون!$AE96)-الموظفون!$H96+1-SUMIFS('سجل الإجازات والحالات'!$AJ$6:$AJ$505,'سجل الإجازات والحالات'!$B$6:$B$505,$B96))/cfg_DAYS_Y)</f>
        <v/>
      </c>
      <c r="AJ96" s="57" t="str">
        <f aca="false">IF($B96="","",MAX(0,AK96-(SUMIFS('سجل الإجازات والحالات'!$AK$6:$AK$505,'سجل الإجازات والحالات'!$B$6:$B$505,$B96)-SUMIFS('سجل الإجازات والحالات'!$AJ$6:$AJ$505,'سجل الإجازات والحالات'!$B$6:$B$505,$B96))))</f>
        <v/>
      </c>
      <c r="AK96" s="57" t="str">
        <f aca="false">IF($B96="","",MAX(0,IF(OR(الموظفون!$AE96="",الموظفون!$AE96&gt;$F$3),$F$3,الموظفون!$AE96)-MAX($E$3,الموظفون!$H96)+1))</f>
        <v/>
      </c>
      <c r="AL96" s="126" t="str">
        <f aca="false">IF($B96="","",SUMIFS('سجل الإجازات والحالات'!$AW$6:$AW$505,'سجل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والحالات'!$Y$6:$Y$505,'سجل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والحالات'!$AK$6:$AK$505,'سجل الإجازات والحالات'!$B$6:$B$505,$B97))/cfg_DAYS_Y)</f>
        <v/>
      </c>
      <c r="AI97" s="135" t="str">
        <f aca="false">IF($B97="","",MAX(0,IF(OR(الموظفون!$AE97="",الموظفون!$AE97&gt;($E$3-1)),($E$3-1),الموظفون!$AE97)-الموظفون!$H97+1-SUMIFS('سجل الإجازات والحالات'!$AJ$6:$AJ$505,'سجل الإجازات والحالات'!$B$6:$B$505,$B97))/cfg_DAYS_Y)</f>
        <v/>
      </c>
      <c r="AJ97" s="110" t="str">
        <f aca="false">IF($B97="","",MAX(0,AK97-(SUMIFS('سجل الإجازات والحالات'!$AK$6:$AK$505,'سجل الإجازات والحالات'!$B$6:$B$505,$B97)-SUMIFS('سجل الإجازات والحالات'!$AJ$6:$AJ$505,'سجل الإجازات والحالات'!$B$6:$B$505,$B97))))</f>
        <v/>
      </c>
      <c r="AK97" s="110" t="str">
        <f aca="false">IF($B97="","",MAX(0,IF(OR(الموظفون!$AE97="",الموظفون!$AE97&gt;$F$3),$F$3,الموظفون!$AE97)-MAX($E$3,الموظفون!$H97)+1))</f>
        <v/>
      </c>
      <c r="AL97" s="131" t="str">
        <f aca="false">IF($B97="","",SUMIFS('سجل الإجازات والحالات'!$AW$6:$AW$505,'سجل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والحالات'!$Y$6:$Y$505,'سجل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والحالات'!$AK$6:$AK$505,'سجل الإجازات والحالات'!$B$6:$B$505,$B98))/cfg_DAYS_Y)</f>
        <v/>
      </c>
      <c r="AI98" s="130" t="str">
        <f aca="false">IF($B98="","",MAX(0,IF(OR(الموظفون!$AE98="",الموظفون!$AE98&gt;($E$3-1)),($E$3-1),الموظفون!$AE98)-الموظفون!$H98+1-SUMIFS('سجل الإجازات والحالات'!$AJ$6:$AJ$505,'سجل الإجازات والحالات'!$B$6:$B$505,$B98))/cfg_DAYS_Y)</f>
        <v/>
      </c>
      <c r="AJ98" s="57" t="str">
        <f aca="false">IF($B98="","",MAX(0,AK98-(SUMIFS('سجل الإجازات والحالات'!$AK$6:$AK$505,'سجل الإجازات والحالات'!$B$6:$B$505,$B98)-SUMIFS('سجل الإجازات والحالات'!$AJ$6:$AJ$505,'سجل الإجازات والحالات'!$B$6:$B$505,$B98))))</f>
        <v/>
      </c>
      <c r="AK98" s="57" t="str">
        <f aca="false">IF($B98="","",MAX(0,IF(OR(الموظفون!$AE98="",الموظفون!$AE98&gt;$F$3),$F$3,الموظفون!$AE98)-MAX($E$3,الموظفون!$H98)+1))</f>
        <v/>
      </c>
      <c r="AL98" s="126" t="str">
        <f aca="false">IF($B98="","",SUMIFS('سجل الإجازات والحالات'!$AW$6:$AW$505,'سجل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والحالات'!$Y$6:$Y$505,'سجل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والحالات'!$AK$6:$AK$505,'سجل الإجازات والحالات'!$B$6:$B$505,$B99))/cfg_DAYS_Y)</f>
        <v/>
      </c>
      <c r="AI99" s="135" t="str">
        <f aca="false">IF($B99="","",MAX(0,IF(OR(الموظفون!$AE99="",الموظفون!$AE99&gt;($E$3-1)),($E$3-1),الموظفون!$AE99)-الموظفون!$H99+1-SUMIFS('سجل الإجازات والحالات'!$AJ$6:$AJ$505,'سجل الإجازات والحالات'!$B$6:$B$505,$B99))/cfg_DAYS_Y)</f>
        <v/>
      </c>
      <c r="AJ99" s="110" t="str">
        <f aca="false">IF($B99="","",MAX(0,AK99-(SUMIFS('سجل الإجازات والحالات'!$AK$6:$AK$505,'سجل الإجازات والحالات'!$B$6:$B$505,$B99)-SUMIFS('سجل الإجازات والحالات'!$AJ$6:$AJ$505,'سجل الإجازات والحالات'!$B$6:$B$505,$B99))))</f>
        <v/>
      </c>
      <c r="AK99" s="110" t="str">
        <f aca="false">IF($B99="","",MAX(0,IF(OR(الموظفون!$AE99="",الموظفون!$AE99&gt;$F$3),$F$3,الموظفون!$AE99)-MAX($E$3,الموظفون!$H99)+1))</f>
        <v/>
      </c>
      <c r="AL99" s="131" t="str">
        <f aca="false">IF($B99="","",SUMIFS('سجل الإجازات والحالات'!$AW$6:$AW$505,'سجل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والحالات'!$Y$6:$Y$505,'سجل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والحالات'!$AK$6:$AK$505,'سجل الإجازات والحالات'!$B$6:$B$505,$B100))/cfg_DAYS_Y)</f>
        <v/>
      </c>
      <c r="AI100" s="130" t="str">
        <f aca="false">IF($B100="","",MAX(0,IF(OR(الموظفون!$AE100="",الموظفون!$AE100&gt;($E$3-1)),($E$3-1),الموظفون!$AE100)-الموظفون!$H100+1-SUMIFS('سجل الإجازات والحالات'!$AJ$6:$AJ$505,'سجل الإجازات والحالات'!$B$6:$B$505,$B100))/cfg_DAYS_Y)</f>
        <v/>
      </c>
      <c r="AJ100" s="57" t="str">
        <f aca="false">IF($B100="","",MAX(0,AK100-(SUMIFS('سجل الإجازات والحالات'!$AK$6:$AK$505,'سجل الإجازات والحالات'!$B$6:$B$505,$B100)-SUMIFS('سجل الإجازات والحالات'!$AJ$6:$AJ$505,'سجل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والحالات'!$AW$6:$AW$505,'سجل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والحالات'!$Y$6:$Y$505,'سجل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والحالات'!$AK$6:$AK$505,'سجل الإجازات والحالات'!$B$6:$B$505,$B101))/cfg_DAYS_Y)</f>
        <v/>
      </c>
      <c r="AI101" s="135" t="str">
        <f aca="false">IF($B101="","",MAX(0,IF(OR(الموظفون!$AE101="",الموظفون!$AE101&gt;($E$3-1)),($E$3-1),الموظفون!$AE101)-الموظفون!$H101+1-SUMIFS('سجل الإجازات والحالات'!$AJ$6:$AJ$505,'سجل الإجازات والحالات'!$B$6:$B$505,$B101))/cfg_DAYS_Y)</f>
        <v/>
      </c>
      <c r="AJ101" s="110" t="str">
        <f aca="false">IF($B101="","",MAX(0,AK101-(SUMIFS('سجل الإجازات والحالات'!$AK$6:$AK$505,'سجل الإجازات والحالات'!$B$6:$B$505,$B101)-SUMIFS('سجل الإجازات والحالات'!$AJ$6:$AJ$505,'سجل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والحالات'!$AW$6:$AW$505,'سجل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والحالات'!$Y$6:$Y$505,'سجل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والحالات'!$AK$6:$AK$505,'سجل الإجازات والحالات'!$B$6:$B$505,$B102))/cfg_DAYS_Y)</f>
        <v/>
      </c>
      <c r="AI102" s="130" t="str">
        <f aca="false">IF($B102="","",MAX(0,IF(OR(الموظفون!$AE102="",الموظفون!$AE102&gt;($E$3-1)),($E$3-1),الموظفون!$AE102)-الموظفون!$H102+1-SUMIFS('سجل الإجازات والحالات'!$AJ$6:$AJ$505,'سجل الإجازات والحالات'!$B$6:$B$505,$B102))/cfg_DAYS_Y)</f>
        <v/>
      </c>
      <c r="AJ102" s="57" t="str">
        <f aca="false">IF($B102="","",MAX(0,AK102-(SUMIFS('سجل الإجازات والحالات'!$AK$6:$AK$505,'سجل الإجازات والحالات'!$B$6:$B$505,$B102)-SUMIFS('سجل الإجازات والحالات'!$AJ$6:$AJ$505,'سجل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والحالات'!$AW$6:$AW$505,'سجل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والحالات'!$Y$6:$Y$505,'سجل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والحالات'!$AK$6:$AK$505,'سجل الإجازات والحالات'!$B$6:$B$505,$B103))/cfg_DAYS_Y)</f>
        <v/>
      </c>
      <c r="AI103" s="135" t="str">
        <f aca="false">IF($B103="","",MAX(0,IF(OR(الموظفون!$AE103="",الموظفون!$AE103&gt;($E$3-1)),($E$3-1),الموظفون!$AE103)-الموظفون!$H103+1-SUMIFS('سجل الإجازات والحالات'!$AJ$6:$AJ$505,'سجل الإجازات والحالات'!$B$6:$B$505,$B103))/cfg_DAYS_Y)</f>
        <v/>
      </c>
      <c r="AJ103" s="110" t="str">
        <f aca="false">IF($B103="","",MAX(0,AK103-(SUMIFS('سجل الإجازات والحالات'!$AK$6:$AK$505,'سجل الإجازات والحالات'!$B$6:$B$505,$B103)-SUMIFS('سجل الإجازات والحالات'!$AJ$6:$AJ$505,'سجل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والحالات'!$AW$6:$AW$505,'سجل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والحالات'!$Y$6:$Y$505,'سجل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والحالات'!$AK$6:$AK$505,'سجل الإجازات والحالات'!$B$6:$B$505,$B104))/cfg_DAYS_Y)</f>
        <v/>
      </c>
      <c r="AI104" s="130" t="str">
        <f aca="false">IF($B104="","",MAX(0,IF(OR(الموظفون!$AE104="",الموظفون!$AE104&gt;($E$3-1)),($E$3-1),الموظفون!$AE104)-الموظفون!$H104+1-SUMIFS('سجل الإجازات والحالات'!$AJ$6:$AJ$505,'سجل الإجازات والحالات'!$B$6:$B$505,$B104))/cfg_DAYS_Y)</f>
        <v/>
      </c>
      <c r="AJ104" s="57" t="str">
        <f aca="false">IF($B104="","",MAX(0,AK104-(SUMIFS('سجل الإجازات والحالات'!$AK$6:$AK$505,'سجل الإجازات والحالات'!$B$6:$B$505,$B104)-SUMIFS('سجل الإجازات والحالات'!$AJ$6:$AJ$505,'سجل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والحالات'!$AW$6:$AW$505,'سجل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والحالات'!$Y$6:$Y$505,'سجل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والحالات'!$AK$6:$AK$505,'سجل الإجازات والحالات'!$B$6:$B$505,$B105))/cfg_DAYS_Y)</f>
        <v/>
      </c>
      <c r="AI105" s="135" t="str">
        <f aca="false">IF($B105="","",MAX(0,IF(OR(الموظفون!$AE105="",الموظفون!$AE105&gt;($E$3-1)),($E$3-1),الموظفون!$AE105)-الموظفون!$H105+1-SUMIFS('سجل الإجازات والحالات'!$AJ$6:$AJ$505,'سجل الإجازات والحالات'!$B$6:$B$505,$B105))/cfg_DAYS_Y)</f>
        <v/>
      </c>
      <c r="AJ105" s="110" t="str">
        <f aca="false">IF($B105="","",MAX(0,AK105-(SUMIFS('سجل الإجازات والحالات'!$AK$6:$AK$505,'سجل الإجازات والحالات'!$B$6:$B$505,$B105)-SUMIFS('سجل الإجازات والحالات'!$AJ$6:$AJ$505,'سجل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والحالات'!$AW$6:$AW$505,'سجل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والحالات'!$Y$6:$Y$505,'سجل الإجازات والحالات'!$B$6:$B$505,$B105))</f>
        <v/>
      </c>
    </row>
    <row r="106" customFormat="false" ht="24" hidden="false" customHeight="true" outlineLevel="0" collapsed="false">
      <c r="A106" s="103"/>
      <c r="B106" s="103" t="str">
        <f aca="false">COUNTIF(G6:G105,"&gt;0")&amp;" موظف"</f>
        <v>12 موظف</v>
      </c>
      <c r="C106" s="103" t="s">
        <v>127</v>
      </c>
      <c r="D106" s="103"/>
      <c r="E106" s="103"/>
      <c r="F106" s="103" t="str">
        <f aca="false">COUNTIFS(G6:G105,"&gt;0",J6:J105,0)&amp;" بدون راتب"</f>
        <v>0 بدون راتب</v>
      </c>
      <c r="G106" s="103"/>
      <c r="H106" s="136" t="n">
        <f aca="false">SUM(H6:H105)</f>
        <v>2</v>
      </c>
      <c r="I106" s="136" t="n">
        <f aca="false">SUM(I6:I105)</f>
        <v>0</v>
      </c>
      <c r="J106" s="136" t="n">
        <f aca="false">SUM(J6:J105)</f>
        <v>344</v>
      </c>
      <c r="K106" s="103" t="n">
        <f aca="false">SUM(K6:K105)</f>
        <v>136500</v>
      </c>
      <c r="L106" s="103" t="n">
        <f aca="false">SUM(L6:L105)</f>
        <v>34125</v>
      </c>
      <c r="M106" s="103" t="n">
        <f aca="false">SUM(M6:M105)</f>
        <v>13650</v>
      </c>
      <c r="N106" s="103" t="n">
        <f aca="false">SUM(N6:N105)</f>
        <v>10200</v>
      </c>
      <c r="O106" s="136" t="n">
        <f aca="false">SUM(O6:O105)</f>
        <v>0</v>
      </c>
      <c r="P106" s="103" t="n">
        <f aca="false">SUM(P6:P105)</f>
        <v>0</v>
      </c>
      <c r="Q106" s="103" t="n">
        <f aca="false">SUM(Q6:Q105)</f>
        <v>0</v>
      </c>
      <c r="R106" s="103" t="n">
        <f aca="false">SUM(R6:R105)</f>
        <v>0</v>
      </c>
      <c r="S106" s="103" t="n">
        <f aca="false">SUM(S6:S105)</f>
        <v>0</v>
      </c>
      <c r="T106" s="103" t="n">
        <f aca="false">SUM(T6:T105)</f>
        <v>194475</v>
      </c>
      <c r="U106" s="103" t="n">
        <f aca="false">SUM(U6:U105)</f>
        <v>11858.4375</v>
      </c>
      <c r="V106" s="103" t="n">
        <f aca="false">SUM(V6:V105)</f>
        <v>1000</v>
      </c>
      <c r="W106" s="103" t="n">
        <f aca="false">SUM(W6:W105)</f>
        <v>0</v>
      </c>
      <c r="X106" s="103" t="n">
        <f aca="false">SUM(X6:X105)</f>
        <v>12858.4375</v>
      </c>
      <c r="Y106" s="103" t="n">
        <f aca="false">SUM(Y6:Y105)</f>
        <v>181616.5625</v>
      </c>
      <c r="Z106" s="103" t="n">
        <f aca="false">SUM(Z6:Z105)</f>
        <v>15290.9375</v>
      </c>
      <c r="AA106" s="103" t="n">
        <f aca="false">SUM(AA6:AA105)</f>
        <v>13886.506849315</v>
      </c>
      <c r="AB106" s="103" t="n">
        <f aca="false">SUM(AB6:AB105)</f>
        <v>14425.7671232877</v>
      </c>
      <c r="AC106" s="103" t="n">
        <f aca="false">SUM(AC6:AC105)</f>
        <v>928.767123287671</v>
      </c>
      <c r="AD106" s="103" t="n">
        <f aca="false">SUM(AD6:AD105)</f>
        <v>4270.83333333333</v>
      </c>
      <c r="AE106" s="103" t="n">
        <f aca="false">SUM(AE6:AE105)</f>
        <v>2706.66666666667</v>
      </c>
      <c r="AF106" s="103" t="n">
        <f aca="false">SUM(AF6:AF105)</f>
        <v>400</v>
      </c>
      <c r="AG106" s="103" t="n">
        <f aca="false">SUM(AG6:AG105)</f>
        <v>246384.47859589</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مارس'!A1" display="◀ الشهر السابق"/>
    <hyperlink ref="L3" location="'مسير مايو'!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مايو "&amp;cfg_FY</f>
        <v>💵 مسير رواتب شهر مايو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5</v>
      </c>
      <c r="D3" s="112" t="s">
        <v>434</v>
      </c>
      <c r="E3" s="114" t="n">
        <f aca="false">DATE(cfg_FY,C3,1)</f>
        <v>46143</v>
      </c>
      <c r="F3" s="114" t="n">
        <f aca="false">EOMONTH(E3,0)</f>
        <v>46173</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3210.41095890413</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والحالات'!$AL$6:$AL$505,'سجل الإجازات والحالات'!$B$6:$B$505,$B6))/cfg_DAYS_Y)</f>
        <v>14.386301369863</v>
      </c>
      <c r="AI6" s="130" t="n">
        <f aca="false">IF($B6="","",MAX(0,IF(OR(الموظفون!$AE6="",الموظفون!$AE6&gt;($E$3-1)),($E$3-1),الموظفون!$AE6)-الموظفون!$H6+1-SUMIFS('سجل الإجازات والحالات'!$AK$6:$AK$505,'سجل الإجازات والحالات'!$B$6:$B$505,$B6))/cfg_DAYS_Y)</f>
        <v>14.3013698630137</v>
      </c>
      <c r="AJ6" s="57" t="n">
        <f aca="false">IF($B6="","",MAX(0,AK6-(SUMIFS('سجل الإجازات والحالات'!$AL$6:$AL$505,'سجل الإجازات والحالات'!$B$6:$B$505,$B6)-SUMIFS('سجل الإجازات والحالات'!$AK$6:$AK$505,'سجل الإجازات والحالات'!$B$6:$B$505,$B6))))</f>
        <v>31</v>
      </c>
      <c r="AK6" s="57" t="n">
        <f aca="false">IF($B6="","",MAX(0,IF(OR(الموظفون!$AE6="",الموظفون!$AE6&gt;$F$3),$F$3,الموظفون!$AE6)-MAX($E$3,الموظفون!$H6)+1))</f>
        <v>31</v>
      </c>
      <c r="AL6" s="126" t="n">
        <f aca="false">IF($B6="","",SUMIFS('سجل الإجازات والحالات'!$AX$6:$AX$505,'سجل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والحالات'!$Z$6:$Z$505,'سجل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والحالات'!$AL$6:$AL$505,'سجل الإجازات والحالات'!$B$6:$B$505,$B7))/cfg_DAYS_Y)</f>
        <v>10.0054794520548</v>
      </c>
      <c r="AI7" s="135" t="n">
        <f aca="false">IF($B7="","",MAX(0,IF(OR(الموظفون!$AE7="",الموظفون!$AE7&gt;($E$3-1)),($E$3-1),الموظفون!$AE7)-الموظفون!$H7+1-SUMIFS('سجل الإجازات والحالات'!$AK$6:$AK$505,'سجل الإجازات والحالات'!$B$6:$B$505,$B7))/cfg_DAYS_Y)</f>
        <v>9.92054794520548</v>
      </c>
      <c r="AJ7" s="110" t="n">
        <f aca="false">IF($B7="","",MAX(0,AK7-(SUMIFS('سجل الإجازات والحالات'!$AL$6:$AL$505,'سجل الإجازات والحالات'!$B$6:$B$505,$B7)-SUMIFS('سجل الإجازات والحالات'!$AK$6:$AK$505,'سجل الإجازات والحالات'!$B$6:$B$505,$B7))))</f>
        <v>31</v>
      </c>
      <c r="AK7" s="110" t="n">
        <f aca="false">IF($B7="","",MAX(0,IF(OR(الموظفون!$AE7="",الموظفون!$AE7&gt;$F$3),$F$3,الموظفون!$AE7)-MAX($E$3,الموظفون!$H7)+1))</f>
        <v>31</v>
      </c>
      <c r="AL7" s="131" t="n">
        <f aca="false">IF($B7="","",SUMIFS('سجل الإجازات والحالات'!$AX$6:$AX$505,'سجل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والحالات'!$Z$6:$Z$505,'سجل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10975</v>
      </c>
      <c r="Z8" s="97" t="n">
        <f aca="false">IF($B8="","",الموظفون!$S8*IF(E8="سعودي",cfg_G_SR,cfg_G_NR)*G8/cfg_DAYS_M)</f>
        <v>212.5</v>
      </c>
      <c r="AA8" s="97" t="n">
        <f aca="false">IF($B8="","",الموظفون!$Q8*(cfg_EOS_R1*(MIN(AH8,cfg_EOS_TH)-MIN(AI8,cfg_EOS_TH))+cfg_EOS_R2*(MAX(AH8-cfg_EOS_TH,0)-MAX(AI8-cfg_EOS_TH,0))))</f>
        <v>974.589041095885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15326.7351598173</v>
      </c>
      <c r="AH8" s="130" t="n">
        <f aca="false">IF($B8="","",MAX(0,IF(OR(الموظفون!$AE8="",الموظفون!$AE8&gt;$F$3),$F$3,الموظفون!$AE8)-الموظفون!$H8+1-SUMIFS('سجل الإجازات والحالات'!$AL$6:$AL$505,'سجل الإجازات والحالات'!$B$6:$B$505,$B8))/cfg_DAYS_Y)</f>
        <v>7.72876712328767</v>
      </c>
      <c r="AI8" s="130" t="n">
        <f aca="false">IF($B8="","",MAX(0,IF(OR(الموظفون!$AE8="",الموظفون!$AE8&gt;($E$3-1)),($E$3-1),الموظفون!$AE8)-الموظفون!$H8+1-SUMIFS('سجل الإجازات والحالات'!$AK$6:$AK$505,'سجل الإجازات والحالات'!$B$6:$B$505,$B8))/cfg_DAYS_Y)</f>
        <v>7.64383561643836</v>
      </c>
      <c r="AJ8" s="57" t="n">
        <f aca="false">IF($B8="","",MAX(0,AK8-(SUMIFS('سجل الإجازات والحالات'!$AL$6:$AL$505,'سجل الإجازات والحالات'!$B$6:$B$505,$B8)-SUMIFS('سجل الإجازات والحالات'!$AK$6:$AK$505,'سجل الإجازات والحالات'!$B$6:$B$505,$B8))))</f>
        <v>31</v>
      </c>
      <c r="AK8" s="57" t="n">
        <f aca="false">IF($B8="","",MAX(0,IF(OR(الموظفون!$AE8="",الموظفون!$AE8&gt;$F$3),$F$3,الموظفون!$AE8)-MAX($E$3,الموظفون!$H8)+1))</f>
        <v>31</v>
      </c>
      <c r="AL8" s="126" t="n">
        <f aca="false">IF($B8="","",SUMIFS('سجل الإجازات والحالات'!$AX$6:$AX$505,'سجل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والحالات'!$Z$6:$Z$505,'سجل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والحالات'!$AL$6:$AL$505,'سجل الإجازات والحالات'!$B$6:$B$505,$B9))/cfg_DAYS_Y)</f>
        <v>7.33424657534247</v>
      </c>
      <c r="AI9" s="135" t="n">
        <f aca="false">IF($B9="","",MAX(0,IF(OR(الموظفون!$AE9="",الموظفون!$AE9&gt;($E$3-1)),($E$3-1),الموظفون!$AE9)-الموظفون!$H9+1-SUMIFS('سجل الإجازات والحالات'!$AK$6:$AK$505,'سجل الإجازات والحالات'!$B$6:$B$505,$B9))/cfg_DAYS_Y)</f>
        <v>7.24931506849315</v>
      </c>
      <c r="AJ9" s="110" t="n">
        <f aca="false">IF($B9="","",MAX(0,AK9-(SUMIFS('سجل الإجازات والحالات'!$AL$6:$AL$505,'سجل الإجازات والحالات'!$B$6:$B$505,$B9)-SUMIFS('سجل الإجازات والحالات'!$AK$6:$AK$505,'سجل الإجازات والحالات'!$B$6:$B$505,$B9))))</f>
        <v>31</v>
      </c>
      <c r="AK9" s="110" t="n">
        <f aca="false">IF($B9="","",MAX(0,IF(OR(الموظفون!$AE9="",الموظفون!$AE9&gt;$F$3),$F$3,الموظفون!$AE9)-MAX($E$3,الموظفون!$H9)+1))</f>
        <v>31</v>
      </c>
      <c r="AL9" s="131" t="n">
        <f aca="false">IF($B9="","",SUMIFS('سجل الإجازات والحالات'!$AX$6:$AX$505,'سجل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والحالات'!$Z$6:$Z$505,'سجل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16</v>
      </c>
      <c r="P10" s="97" t="n">
        <f aca="false">IF($B10="","",O10*(الموظفون!$P10+الموظفون!$L10*cfg_OT_P)/cfg_DAYS_M/cfg_HRS)</f>
        <v>1156.66666666667</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14006.6666666667</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14006.6666666667</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17587.4771689498</v>
      </c>
      <c r="AH10" s="130" t="n">
        <f aca="false">IF($B10="","",MAX(0,IF(OR(الموظفون!$AE10="",الموظفون!$AE10&gt;$F$3),$F$3,الموظفون!$AE10)-الموظفون!$H10+1-SUMIFS('سجل الإجازات والحالات'!$AL$6:$AL$505,'سجل الإجازات والحالات'!$B$6:$B$505,$B10))/cfg_DAYS_Y)</f>
        <v>6.13972602739726</v>
      </c>
      <c r="AI10" s="130" t="n">
        <f aca="false">IF($B10="","",MAX(0,IF(OR(الموظفون!$AE10="",الموظفون!$AE10&gt;($E$3-1)),($E$3-1),الموظفون!$AE10)-الموظفون!$H10+1-SUMIFS('سجل الإجازات والحالات'!$AK$6:$AK$505,'سجل الإجازات والحالات'!$B$6:$B$505,$B10))/cfg_DAYS_Y)</f>
        <v>6.05479452054795</v>
      </c>
      <c r="AJ10" s="57" t="n">
        <f aca="false">IF($B10="","",MAX(0,AK10-(SUMIFS('سجل الإجازات والحالات'!$AL$6:$AL$505,'سجل الإجازات والحالات'!$B$6:$B$505,$B10)-SUMIFS('سجل الإجازات والحالات'!$AK$6:$AK$505,'سجل الإجازات والحالات'!$B$6:$B$505,$B10))))</f>
        <v>31</v>
      </c>
      <c r="AK10" s="57" t="n">
        <f aca="false">IF($B10="","",MAX(0,IF(OR(الموظفون!$AE10="",الموظفون!$AE10&gt;$F$3),$F$3,الموظفون!$AE10)-MAX($E$3,الموظفون!$H10)+1))</f>
        <v>31</v>
      </c>
      <c r="AL10" s="126" t="n">
        <f aca="false">IF($B10="","",SUMIFS('سجل الإجازات والحالات'!$AX$6:$AX$505,'سجل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والحالات'!$Z$6:$Z$505,'سجل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والحالات'!$AL$6:$AL$505,'سجل الإجازات والحالات'!$B$6:$B$505,$B11))/cfg_DAYS_Y)</f>
        <v>8.57534246575342</v>
      </c>
      <c r="AI11" s="135" t="n">
        <f aca="false">IF($B11="","",MAX(0,IF(OR(الموظفون!$AE11="",الموظفون!$AE11&gt;($E$3-1)),($E$3-1),الموظفون!$AE11)-الموظفون!$H11+1-SUMIFS('سجل الإجازات والحالات'!$AK$6:$AK$505,'سجل الإجازات والحالات'!$B$6:$B$505,$B11))/cfg_DAYS_Y)</f>
        <v>8.49041095890411</v>
      </c>
      <c r="AJ11" s="110" t="n">
        <f aca="false">IF($B11="","",MAX(0,AK11-(SUMIFS('سجل الإجازات والحالات'!$AL$6:$AL$505,'سجل الإجازات والحالات'!$B$6:$B$505,$B11)-SUMIFS('سجل الإجازات والحالات'!$AK$6:$AK$505,'سجل الإجازات والحالات'!$B$6:$B$505,$B11))))</f>
        <v>31</v>
      </c>
      <c r="AK11" s="110" t="n">
        <f aca="false">IF($B11="","",MAX(0,IF(OR(الموظفون!$AE11="",الموظفون!$AE11&gt;$F$3),$F$3,الموظفون!$AE11)-MAX($E$3,الموظفون!$H11)+1))</f>
        <v>31</v>
      </c>
      <c r="AL11" s="131" t="n">
        <f aca="false">IF($B11="","",SUMIFS('سجل الإجازات والحالات'!$AX$6:$AX$505,'سجل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والحالات'!$Z$6:$Z$505,'سجل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1261.23287671232</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20283.8242009132</v>
      </c>
      <c r="AH12" s="130" t="n">
        <f aca="false">IF($B12="","",MAX(0,IF(OR(الموظفون!$AE12="",الموظفون!$AE12&gt;$F$3),$F$3,الموظفون!$AE12)-الموظفون!$H12+1-SUMIFS('سجل الإجازات والحالات'!$AL$6:$AL$505,'سجل الإجازات والحالات'!$B$6:$B$505,$B12))/cfg_DAYS_Y)</f>
        <v>5.36438356164384</v>
      </c>
      <c r="AI12" s="130" t="n">
        <f aca="false">IF($B12="","",MAX(0,IF(OR(الموظفون!$AE12="",الموظفون!$AE12&gt;($E$3-1)),($E$3-1),الموظفون!$AE12)-الموظفون!$H12+1-SUMIFS('سجل الإجازات والحالات'!$AK$6:$AK$505,'سجل الإجازات والحالات'!$B$6:$B$505,$B12))/cfg_DAYS_Y)</f>
        <v>5.27945205479452</v>
      </c>
      <c r="AJ12" s="57" t="n">
        <f aca="false">IF($B12="","",MAX(0,AK12-(SUMIFS('سجل الإجازات والحالات'!$AL$6:$AL$505,'سجل الإجازات والحالات'!$B$6:$B$505,$B12)-SUMIFS('سجل الإجازات والحالات'!$AK$6:$AK$505,'سجل الإجازات والحالات'!$B$6:$B$505,$B12))))</f>
        <v>31</v>
      </c>
      <c r="AK12" s="57" t="n">
        <f aca="false">IF($B12="","",MAX(0,IF(OR(الموظفون!$AE12="",الموظفون!$AE12&gt;$F$3),$F$3,الموظفون!$AE12)-MAX($E$3,الموظفون!$H12)+1))</f>
        <v>31</v>
      </c>
      <c r="AL12" s="126" t="n">
        <f aca="false">IF($B12="","",SUMIFS('سجل الإجازات والحالات'!$AX$6:$AX$505,'سجل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والحالات'!$Z$6:$Z$505,'سجل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والحالات'!$AL$6:$AL$505,'سجل الإجازات والحالات'!$B$6:$B$505,$B13))/cfg_DAYS_Y)</f>
        <v>3.25479452054795</v>
      </c>
      <c r="AI13" s="135" t="n">
        <f aca="false">IF($B13="","",MAX(0,IF(OR(الموظفون!$AE13="",الموظفون!$AE13&gt;($E$3-1)),($E$3-1),الموظفون!$AE13)-الموظفون!$H13+1-SUMIFS('سجل الإجازات والحالات'!$AK$6:$AK$505,'سجل الإجازات والحالات'!$B$6:$B$505,$B13))/cfg_DAYS_Y)</f>
        <v>3.16986301369863</v>
      </c>
      <c r="AJ13" s="110" t="n">
        <f aca="false">IF($B13="","",MAX(0,AK13-(SUMIFS('سجل الإجازات والحالات'!$AL$6:$AL$505,'سجل الإجازات والحالات'!$B$6:$B$505,$B13)-SUMIFS('سجل الإجازات والحالات'!$AK$6:$AK$505,'سجل الإجازات والحالات'!$B$6:$B$505,$B13))))</f>
        <v>31</v>
      </c>
      <c r="AK13" s="110" t="n">
        <f aca="false">IF($B13="","",MAX(0,IF(OR(الموظفون!$AE13="",الموظفون!$AE13&gt;$F$3),$F$3,الموظفون!$AE13)-MAX($E$3,الموظفون!$H13)+1))</f>
        <v>31</v>
      </c>
      <c r="AL13" s="131" t="n">
        <f aca="false">IF($B13="","",SUMIFS('سجل الإجازات والحالات'!$AX$6:$AX$505,'سجل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والحالات'!$Z$6:$Z$505,'سجل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والحالات'!$AL$6:$AL$505,'سجل الإجازات والحالات'!$B$6:$B$505,$B14))/cfg_DAYS_Y)</f>
        <v>11.7945205479452</v>
      </c>
      <c r="AI14" s="130" t="n">
        <f aca="false">IF($B14="","",MAX(0,IF(OR(الموظفون!$AE14="",الموظفون!$AE14&gt;($E$3-1)),($E$3-1),الموظفون!$AE14)-الموظفون!$H14+1-SUMIFS('سجل الإجازات والحالات'!$AK$6:$AK$505,'سجل الإجازات والحالات'!$B$6:$B$505,$B14))/cfg_DAYS_Y)</f>
        <v>11.7095890410959</v>
      </c>
      <c r="AJ14" s="57" t="n">
        <f aca="false">IF($B14="","",MAX(0,AK14-(SUMIFS('سجل الإجازات والحالات'!$AL$6:$AL$505,'سجل الإجازات والحالات'!$B$6:$B$505,$B14)-SUMIFS('سجل الإجازات والحالات'!$AK$6:$AK$505,'سجل الإجازات والحالات'!$B$6:$B$505,$B14))))</f>
        <v>31</v>
      </c>
      <c r="AK14" s="57" t="n">
        <f aca="false">IF($B14="","",MAX(0,IF(OR(الموظفون!$AE14="",الموظفون!$AE14&gt;$F$3),$F$3,الموظفون!$AE14)-MAX($E$3,الموظفون!$H14)+1))</f>
        <v>31</v>
      </c>
      <c r="AL14" s="126" t="n">
        <f aca="false">IF($B14="","",SUMIFS('سجل الإجازات والحالات'!$AX$6:$AX$505,'سجل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والحالات'!$Z$6:$Z$505,'سجل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والحالات'!$AL$6:$AL$505,'سجل الإجازات والحالات'!$B$6:$B$505,$B15))/cfg_DAYS_Y)</f>
        <v>0.128767123287671</v>
      </c>
      <c r="AI15" s="135" t="n">
        <f aca="false">IF($B15="","",MAX(0,IF(OR(الموظفون!$AE15="",الموظفون!$AE15&gt;($E$3-1)),($E$3-1),الموظفون!$AE15)-الموظفون!$H15+1-SUMIFS('سجل الإجازات والحالات'!$AK$6:$AK$505,'سجل الإجازات والحالات'!$B$6:$B$505,$B15))/cfg_DAYS_Y)</f>
        <v>0.0438356164383562</v>
      </c>
      <c r="AJ15" s="110" t="n">
        <f aca="false">IF($B15="","",MAX(0,AK15-(SUMIFS('سجل الإجازات والحالات'!$AL$6:$AL$505,'سجل الإجازات والحالات'!$B$6:$B$505,$B15)-SUMIFS('سجل الإجازات والحالات'!$AK$6:$AK$505,'سجل الإجازات والحالات'!$B$6:$B$505,$B15))))</f>
        <v>31</v>
      </c>
      <c r="AK15" s="110" t="n">
        <f aca="false">IF($B15="","",MAX(0,IF(OR(الموظفون!$AE15="",الموظفون!$AE15&gt;$F$3),$F$3,الموظفون!$AE15)-MAX($E$3,الموظفون!$H15)+1))</f>
        <v>31</v>
      </c>
      <c r="AL15" s="131" t="n">
        <f aca="false">IF($B15="","",SUMIFS('سجل الإجازات والحالات'!$AX$6:$AX$505,'سجل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والحالات'!$Z$6:$Z$505,'سجل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573.287671232874</v>
      </c>
      <c r="AB16" s="97" t="n">
        <f aca="false">IF($B16="","",IF(الموظفون!$T16&lt;&gt;"",الموظفون!$T16,IF(AH16&gt;=cfg_LV_TH,cfg_LV_D2,cfg_LV_D1))/cfg_DAYS_Y*AJ16*الموظفون!$R16/cfg_DAYS_M)</f>
        <v>573.287671232877</v>
      </c>
      <c r="AC16" s="97" t="n">
        <f aca="false">IF($B16="","",IF(AND(الموظفون!$U16="نعم",N(الموظفون!$W16)&gt;0),الموظفون!$V16/الموظفون!$W16*12/cfg_DAYS_Y*AJ16,0))</f>
        <v>110.41095890411</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9136.15296803653</v>
      </c>
      <c r="AH16" s="130" t="n">
        <f aca="false">IF($B16="","",MAX(0,IF(OR(الموظفون!$AE16="",الموظفون!$AE16&gt;$F$3),$F$3,الموظفون!$AE16)-الموظفون!$H16+1-SUMIFS('سجل الإجازات والحالات'!$AL$6:$AL$505,'سجل الإجازات والحالات'!$B$6:$B$505,$B16))/cfg_DAYS_Y)</f>
        <v>7.25753424657534</v>
      </c>
      <c r="AI16" s="130" t="n">
        <f aca="false">IF($B16="","",MAX(0,IF(OR(الموظفون!$AE16="",الموظفون!$AE16&gt;($E$3-1)),($E$3-1),الموظفون!$AE16)-الموظفون!$H16+1-SUMIFS('سجل الإجازات والحالات'!$AK$6:$AK$505,'سجل الإجازات والحالات'!$B$6:$B$505,$B16))/cfg_DAYS_Y)</f>
        <v>7.17260273972603</v>
      </c>
      <c r="AJ16" s="57" t="n">
        <f aca="false">IF($B16="","",MAX(0,AK16-(SUMIFS('سجل الإجازات والحالات'!$AL$6:$AL$505,'سجل الإجازات والحالات'!$B$6:$B$505,$B16)-SUMIFS('سجل الإجازات والحالات'!$AK$6:$AK$505,'سجل الإجازات والحالات'!$B$6:$B$505,$B16))))</f>
        <v>31</v>
      </c>
      <c r="AK16" s="57" t="n">
        <f aca="false">IF($B16="","",MAX(0,IF(OR(الموظفون!$AE16="",الموظفون!$AE16&gt;$F$3),$F$3,الموظفون!$AE16)-MAX($E$3,الموظفون!$H16)+1))</f>
        <v>31</v>
      </c>
      <c r="AL16" s="126" t="n">
        <f aca="false">IF($B16="","",SUMIFS('سجل الإجازات والحالات'!$AX$6:$AX$505,'سجل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والحالات'!$Z$6:$Z$505,'سجل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687.945205479452</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والحالات'!$AL$6:$AL$505,'سجل الإجازات والحالات'!$B$6:$B$505,$B17))/cfg_DAYS_Y)</f>
        <v>3.8958904109589</v>
      </c>
      <c r="AI17" s="135" t="n">
        <f aca="false">IF($B17="","",MAX(0,IF(OR(الموظفون!$AE17="",الموظفون!$AE17&gt;($E$3-1)),($E$3-1),الموظفون!$AE17)-الموظفون!$H17+1-SUMIFS('سجل الإجازات والحالات'!$AK$6:$AK$505,'سجل الإجازات والحالات'!$B$6:$B$505,$B17))/cfg_DAYS_Y)</f>
        <v>3.81095890410959</v>
      </c>
      <c r="AJ17" s="110" t="n">
        <f aca="false">IF($B17="","",MAX(0,AK17-(SUMIFS('سجل الإجازات والحالات'!$AL$6:$AL$505,'سجل الإجازات والحالات'!$B$6:$B$505,$B17)-SUMIFS('سجل الإجازات والحالات'!$AK$6:$AK$505,'سجل الإجازات والحالات'!$B$6:$B$505,$B17))))</f>
        <v>31</v>
      </c>
      <c r="AK17" s="110" t="n">
        <f aca="false">IF($B17="","",MAX(0,IF(OR(الموظفون!$AE17="",الموظفون!$AE17&gt;$F$3),$F$3,الموظفون!$AE17)-MAX($E$3,الموظفون!$H17)+1))</f>
        <v>31</v>
      </c>
      <c r="AL17" s="131" t="n">
        <f aca="false">IF($B17="","",SUMIFS('سجل الإجازات والحالات'!$AX$6:$AX$505,'سجل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والحالات'!$Z$6:$Z$505,'سجل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والحالات'!$AL$6:$AL$505,'سجل الإجازات والحالات'!$B$6:$B$505,$B18))/cfg_DAYS_Y)</f>
        <v/>
      </c>
      <c r="AI18" s="130" t="str">
        <f aca="false">IF($B18="","",MAX(0,IF(OR(الموظفون!$AE18="",الموظفون!$AE18&gt;($E$3-1)),($E$3-1),الموظفون!$AE18)-الموظفون!$H18+1-SUMIFS('سجل الإجازات والحالات'!$AK$6:$AK$505,'سجل الإجازات والحالات'!$B$6:$B$505,$B18))/cfg_DAYS_Y)</f>
        <v/>
      </c>
      <c r="AJ18" s="57" t="str">
        <f aca="false">IF($B18="","",MAX(0,AK18-(SUMIFS('سجل الإجازات والحالات'!$AL$6:$AL$505,'سجل الإجازات والحالات'!$B$6:$B$505,$B18)-SUMIFS('سجل الإجازات والحالات'!$AK$6:$AK$505,'سجل الإجازات والحالات'!$B$6:$B$505,$B18))))</f>
        <v/>
      </c>
      <c r="AK18" s="57" t="str">
        <f aca="false">IF($B18="","",MAX(0,IF(OR(الموظفون!$AE18="",الموظفون!$AE18&gt;$F$3),$F$3,الموظفون!$AE18)-MAX($E$3,الموظفون!$H18)+1))</f>
        <v/>
      </c>
      <c r="AL18" s="126" t="str">
        <f aca="false">IF($B18="","",SUMIFS('سجل الإجازات والحالات'!$AX$6:$AX$505,'سجل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والحالات'!$Z$6:$Z$505,'سجل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والحالات'!$AL$6:$AL$505,'سجل الإجازات والحالات'!$B$6:$B$505,$B19))/cfg_DAYS_Y)</f>
        <v/>
      </c>
      <c r="AI19" s="135" t="str">
        <f aca="false">IF($B19="","",MAX(0,IF(OR(الموظفون!$AE19="",الموظفون!$AE19&gt;($E$3-1)),($E$3-1),الموظفون!$AE19)-الموظفون!$H19+1-SUMIFS('سجل الإجازات والحالات'!$AK$6:$AK$505,'سجل الإجازات والحالات'!$B$6:$B$505,$B19))/cfg_DAYS_Y)</f>
        <v/>
      </c>
      <c r="AJ19" s="110" t="str">
        <f aca="false">IF($B19="","",MAX(0,AK19-(SUMIFS('سجل الإجازات والحالات'!$AL$6:$AL$505,'سجل الإجازات والحالات'!$B$6:$B$505,$B19)-SUMIFS('سجل الإجازات والحالات'!$AK$6:$AK$505,'سجل الإجازات والحالات'!$B$6:$B$505,$B19))))</f>
        <v/>
      </c>
      <c r="AK19" s="110" t="str">
        <f aca="false">IF($B19="","",MAX(0,IF(OR(الموظفون!$AE19="",الموظفون!$AE19&gt;$F$3),$F$3,الموظفون!$AE19)-MAX($E$3,الموظفون!$H19)+1))</f>
        <v/>
      </c>
      <c r="AL19" s="131" t="str">
        <f aca="false">IF($B19="","",SUMIFS('سجل الإجازات والحالات'!$AX$6:$AX$505,'سجل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والحالات'!$Z$6:$Z$505,'سجل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والحالات'!$AL$6:$AL$505,'سجل الإجازات والحالات'!$B$6:$B$505,$B20))/cfg_DAYS_Y)</f>
        <v/>
      </c>
      <c r="AI20" s="130" t="str">
        <f aca="false">IF($B20="","",MAX(0,IF(OR(الموظفون!$AE20="",الموظفون!$AE20&gt;($E$3-1)),($E$3-1),الموظفون!$AE20)-الموظفون!$H20+1-SUMIFS('سجل الإجازات والحالات'!$AK$6:$AK$505,'سجل الإجازات والحالات'!$B$6:$B$505,$B20))/cfg_DAYS_Y)</f>
        <v/>
      </c>
      <c r="AJ20" s="57" t="str">
        <f aca="false">IF($B20="","",MAX(0,AK20-(SUMIFS('سجل الإجازات والحالات'!$AL$6:$AL$505,'سجل الإجازات والحالات'!$B$6:$B$505,$B20)-SUMIFS('سجل الإجازات والحالات'!$AK$6:$AK$505,'سجل الإجازات والحالات'!$B$6:$B$505,$B20))))</f>
        <v/>
      </c>
      <c r="AK20" s="57" t="str">
        <f aca="false">IF($B20="","",MAX(0,IF(OR(الموظفون!$AE20="",الموظفون!$AE20&gt;$F$3),$F$3,الموظفون!$AE20)-MAX($E$3,الموظفون!$H20)+1))</f>
        <v/>
      </c>
      <c r="AL20" s="126" t="str">
        <f aca="false">IF($B20="","",SUMIFS('سجل الإجازات والحالات'!$AX$6:$AX$505,'سجل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والحالات'!$Z$6:$Z$505,'سجل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والحالات'!$AL$6:$AL$505,'سجل الإجازات والحالات'!$B$6:$B$505,$B21))/cfg_DAYS_Y)</f>
        <v/>
      </c>
      <c r="AI21" s="135" t="str">
        <f aca="false">IF($B21="","",MAX(0,IF(OR(الموظفون!$AE21="",الموظفون!$AE21&gt;($E$3-1)),($E$3-1),الموظفون!$AE21)-الموظفون!$H21+1-SUMIFS('سجل الإجازات والحالات'!$AK$6:$AK$505,'سجل الإجازات والحالات'!$B$6:$B$505,$B21))/cfg_DAYS_Y)</f>
        <v/>
      </c>
      <c r="AJ21" s="110" t="str">
        <f aca="false">IF($B21="","",MAX(0,AK21-(SUMIFS('سجل الإجازات والحالات'!$AL$6:$AL$505,'سجل الإجازات والحالات'!$B$6:$B$505,$B21)-SUMIFS('سجل الإجازات والحالات'!$AK$6:$AK$505,'سجل الإجازات والحالات'!$B$6:$B$505,$B21))))</f>
        <v/>
      </c>
      <c r="AK21" s="110" t="str">
        <f aca="false">IF($B21="","",MAX(0,IF(OR(الموظفون!$AE21="",الموظفون!$AE21&gt;$F$3),$F$3,الموظفون!$AE21)-MAX($E$3,الموظفون!$H21)+1))</f>
        <v/>
      </c>
      <c r="AL21" s="131" t="str">
        <f aca="false">IF($B21="","",SUMIFS('سجل الإجازات والحالات'!$AX$6:$AX$505,'سجل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والحالات'!$Z$6:$Z$505,'سجل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والحالات'!$AL$6:$AL$505,'سجل الإجازات والحالات'!$B$6:$B$505,$B22))/cfg_DAYS_Y)</f>
        <v/>
      </c>
      <c r="AI22" s="130" t="str">
        <f aca="false">IF($B22="","",MAX(0,IF(OR(الموظفون!$AE22="",الموظفون!$AE22&gt;($E$3-1)),($E$3-1),الموظفون!$AE22)-الموظفون!$H22+1-SUMIFS('سجل الإجازات والحالات'!$AK$6:$AK$505,'سجل الإجازات والحالات'!$B$6:$B$505,$B22))/cfg_DAYS_Y)</f>
        <v/>
      </c>
      <c r="AJ22" s="57" t="str">
        <f aca="false">IF($B22="","",MAX(0,AK22-(SUMIFS('سجل الإجازات والحالات'!$AL$6:$AL$505,'سجل الإجازات والحالات'!$B$6:$B$505,$B22)-SUMIFS('سجل الإجازات والحالات'!$AK$6:$AK$505,'سجل الإجازات والحالات'!$B$6:$B$505,$B22))))</f>
        <v/>
      </c>
      <c r="AK22" s="57" t="str">
        <f aca="false">IF($B22="","",MAX(0,IF(OR(الموظفون!$AE22="",الموظفون!$AE22&gt;$F$3),$F$3,الموظفون!$AE22)-MAX($E$3,الموظفون!$H22)+1))</f>
        <v/>
      </c>
      <c r="AL22" s="126" t="str">
        <f aca="false">IF($B22="","",SUMIFS('سجل الإجازات والحالات'!$AX$6:$AX$505,'سجل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والحالات'!$Z$6:$Z$505,'سجل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والحالات'!$AL$6:$AL$505,'سجل الإجازات والحالات'!$B$6:$B$505,$B23))/cfg_DAYS_Y)</f>
        <v/>
      </c>
      <c r="AI23" s="135" t="str">
        <f aca="false">IF($B23="","",MAX(0,IF(OR(الموظفون!$AE23="",الموظفون!$AE23&gt;($E$3-1)),($E$3-1),الموظفون!$AE23)-الموظفون!$H23+1-SUMIFS('سجل الإجازات والحالات'!$AK$6:$AK$505,'سجل الإجازات والحالات'!$B$6:$B$505,$B23))/cfg_DAYS_Y)</f>
        <v/>
      </c>
      <c r="AJ23" s="110" t="str">
        <f aca="false">IF($B23="","",MAX(0,AK23-(SUMIFS('سجل الإجازات والحالات'!$AL$6:$AL$505,'سجل الإجازات والحالات'!$B$6:$B$505,$B23)-SUMIFS('سجل الإجازات والحالات'!$AK$6:$AK$505,'سجل الإجازات والحالات'!$B$6:$B$505,$B23))))</f>
        <v/>
      </c>
      <c r="AK23" s="110" t="str">
        <f aca="false">IF($B23="","",MAX(0,IF(OR(الموظفون!$AE23="",الموظفون!$AE23&gt;$F$3),$F$3,الموظفون!$AE23)-MAX($E$3,الموظفون!$H23)+1))</f>
        <v/>
      </c>
      <c r="AL23" s="131" t="str">
        <f aca="false">IF($B23="","",SUMIFS('سجل الإجازات والحالات'!$AX$6:$AX$505,'سجل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والحالات'!$Z$6:$Z$505,'سجل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والحالات'!$AL$6:$AL$505,'سجل الإجازات والحالات'!$B$6:$B$505,$B24))/cfg_DAYS_Y)</f>
        <v/>
      </c>
      <c r="AI24" s="130" t="str">
        <f aca="false">IF($B24="","",MAX(0,IF(OR(الموظفون!$AE24="",الموظفون!$AE24&gt;($E$3-1)),($E$3-1),الموظفون!$AE24)-الموظفون!$H24+1-SUMIFS('سجل الإجازات والحالات'!$AK$6:$AK$505,'سجل الإجازات والحالات'!$B$6:$B$505,$B24))/cfg_DAYS_Y)</f>
        <v/>
      </c>
      <c r="AJ24" s="57" t="str">
        <f aca="false">IF($B24="","",MAX(0,AK24-(SUMIFS('سجل الإجازات والحالات'!$AL$6:$AL$505,'سجل الإجازات والحالات'!$B$6:$B$505,$B24)-SUMIFS('سجل الإجازات والحالات'!$AK$6:$AK$505,'سجل الإجازات والحالات'!$B$6:$B$505,$B24))))</f>
        <v/>
      </c>
      <c r="AK24" s="57" t="str">
        <f aca="false">IF($B24="","",MAX(0,IF(OR(الموظفون!$AE24="",الموظفون!$AE24&gt;$F$3),$F$3,الموظفون!$AE24)-MAX($E$3,الموظفون!$H24)+1))</f>
        <v/>
      </c>
      <c r="AL24" s="126" t="str">
        <f aca="false">IF($B24="","",SUMIFS('سجل الإجازات والحالات'!$AX$6:$AX$505,'سجل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والحالات'!$Z$6:$Z$505,'سجل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والحالات'!$AL$6:$AL$505,'سجل الإجازات والحالات'!$B$6:$B$505,$B25))/cfg_DAYS_Y)</f>
        <v/>
      </c>
      <c r="AI25" s="135" t="str">
        <f aca="false">IF($B25="","",MAX(0,IF(OR(الموظفون!$AE25="",الموظفون!$AE25&gt;($E$3-1)),($E$3-1),الموظفون!$AE25)-الموظفون!$H25+1-SUMIFS('سجل الإجازات والحالات'!$AK$6:$AK$505,'سجل الإجازات والحالات'!$B$6:$B$505,$B25))/cfg_DAYS_Y)</f>
        <v/>
      </c>
      <c r="AJ25" s="110" t="str">
        <f aca="false">IF($B25="","",MAX(0,AK25-(SUMIFS('سجل الإجازات والحالات'!$AL$6:$AL$505,'سجل الإجازات والحالات'!$B$6:$B$505,$B25)-SUMIFS('سجل الإجازات والحالات'!$AK$6:$AK$505,'سجل الإجازات والحالات'!$B$6:$B$505,$B25))))</f>
        <v/>
      </c>
      <c r="AK25" s="110" t="str">
        <f aca="false">IF($B25="","",MAX(0,IF(OR(الموظفون!$AE25="",الموظفون!$AE25&gt;$F$3),$F$3,الموظفون!$AE25)-MAX($E$3,الموظفون!$H25)+1))</f>
        <v/>
      </c>
      <c r="AL25" s="131" t="str">
        <f aca="false">IF($B25="","",SUMIFS('سجل الإجازات والحالات'!$AX$6:$AX$505,'سجل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والحالات'!$Z$6:$Z$505,'سجل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والحالات'!$AL$6:$AL$505,'سجل الإجازات والحالات'!$B$6:$B$505,$B26))/cfg_DAYS_Y)</f>
        <v/>
      </c>
      <c r="AI26" s="130" t="str">
        <f aca="false">IF($B26="","",MAX(0,IF(OR(الموظفون!$AE26="",الموظفون!$AE26&gt;($E$3-1)),($E$3-1),الموظفون!$AE26)-الموظفون!$H26+1-SUMIFS('سجل الإجازات والحالات'!$AK$6:$AK$505,'سجل الإجازات والحالات'!$B$6:$B$505,$B26))/cfg_DAYS_Y)</f>
        <v/>
      </c>
      <c r="AJ26" s="57" t="str">
        <f aca="false">IF($B26="","",MAX(0,AK26-(SUMIFS('سجل الإجازات والحالات'!$AL$6:$AL$505,'سجل الإجازات والحالات'!$B$6:$B$505,$B26)-SUMIFS('سجل الإجازات والحالات'!$AK$6:$AK$505,'سجل الإجازات والحالات'!$B$6:$B$505,$B26))))</f>
        <v/>
      </c>
      <c r="AK26" s="57" t="str">
        <f aca="false">IF($B26="","",MAX(0,IF(OR(الموظفون!$AE26="",الموظفون!$AE26&gt;$F$3),$F$3,الموظفون!$AE26)-MAX($E$3,الموظفون!$H26)+1))</f>
        <v/>
      </c>
      <c r="AL26" s="126" t="str">
        <f aca="false">IF($B26="","",SUMIFS('سجل الإجازات والحالات'!$AX$6:$AX$505,'سجل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والحالات'!$Z$6:$Z$505,'سجل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والحالات'!$AL$6:$AL$505,'سجل الإجازات والحالات'!$B$6:$B$505,$B27))/cfg_DAYS_Y)</f>
        <v/>
      </c>
      <c r="AI27" s="135" t="str">
        <f aca="false">IF($B27="","",MAX(0,IF(OR(الموظفون!$AE27="",الموظفون!$AE27&gt;($E$3-1)),($E$3-1),الموظفون!$AE27)-الموظفون!$H27+1-SUMIFS('سجل الإجازات والحالات'!$AK$6:$AK$505,'سجل الإجازات والحالات'!$B$6:$B$505,$B27))/cfg_DAYS_Y)</f>
        <v/>
      </c>
      <c r="AJ27" s="110" t="str">
        <f aca="false">IF($B27="","",MAX(0,AK27-(SUMIFS('سجل الإجازات والحالات'!$AL$6:$AL$505,'سجل الإجازات والحالات'!$B$6:$B$505,$B27)-SUMIFS('سجل الإجازات والحالات'!$AK$6:$AK$505,'سجل الإجازات والحالات'!$B$6:$B$505,$B27))))</f>
        <v/>
      </c>
      <c r="AK27" s="110" t="str">
        <f aca="false">IF($B27="","",MAX(0,IF(OR(الموظفون!$AE27="",الموظفون!$AE27&gt;$F$3),$F$3,الموظفون!$AE27)-MAX($E$3,الموظفون!$H27)+1))</f>
        <v/>
      </c>
      <c r="AL27" s="131" t="str">
        <f aca="false">IF($B27="","",SUMIFS('سجل الإجازات والحالات'!$AX$6:$AX$505,'سجل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والحالات'!$Z$6:$Z$505,'سجل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والحالات'!$AL$6:$AL$505,'سجل الإجازات والحالات'!$B$6:$B$505,$B28))/cfg_DAYS_Y)</f>
        <v/>
      </c>
      <c r="AI28" s="130" t="str">
        <f aca="false">IF($B28="","",MAX(0,IF(OR(الموظفون!$AE28="",الموظفون!$AE28&gt;($E$3-1)),($E$3-1),الموظفون!$AE28)-الموظفون!$H28+1-SUMIFS('سجل الإجازات والحالات'!$AK$6:$AK$505,'سجل الإجازات والحالات'!$B$6:$B$505,$B28))/cfg_DAYS_Y)</f>
        <v/>
      </c>
      <c r="AJ28" s="57" t="str">
        <f aca="false">IF($B28="","",MAX(0,AK28-(SUMIFS('سجل الإجازات والحالات'!$AL$6:$AL$505,'سجل الإجازات والحالات'!$B$6:$B$505,$B28)-SUMIFS('سجل الإجازات والحالات'!$AK$6:$AK$505,'سجل الإجازات والحالات'!$B$6:$B$505,$B28))))</f>
        <v/>
      </c>
      <c r="AK28" s="57" t="str">
        <f aca="false">IF($B28="","",MAX(0,IF(OR(الموظفون!$AE28="",الموظفون!$AE28&gt;$F$3),$F$3,الموظفون!$AE28)-MAX($E$3,الموظفون!$H28)+1))</f>
        <v/>
      </c>
      <c r="AL28" s="126" t="str">
        <f aca="false">IF($B28="","",SUMIFS('سجل الإجازات والحالات'!$AX$6:$AX$505,'سجل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والحالات'!$Z$6:$Z$505,'سجل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والحالات'!$AL$6:$AL$505,'سجل الإجازات والحالات'!$B$6:$B$505,$B29))/cfg_DAYS_Y)</f>
        <v/>
      </c>
      <c r="AI29" s="135" t="str">
        <f aca="false">IF($B29="","",MAX(0,IF(OR(الموظفون!$AE29="",الموظفون!$AE29&gt;($E$3-1)),($E$3-1),الموظفون!$AE29)-الموظفون!$H29+1-SUMIFS('سجل الإجازات والحالات'!$AK$6:$AK$505,'سجل الإجازات والحالات'!$B$6:$B$505,$B29))/cfg_DAYS_Y)</f>
        <v/>
      </c>
      <c r="AJ29" s="110" t="str">
        <f aca="false">IF($B29="","",MAX(0,AK29-(SUMIFS('سجل الإجازات والحالات'!$AL$6:$AL$505,'سجل الإجازات والحالات'!$B$6:$B$505,$B29)-SUMIFS('سجل الإجازات والحالات'!$AK$6:$AK$505,'سجل الإجازات والحالات'!$B$6:$B$505,$B29))))</f>
        <v/>
      </c>
      <c r="AK29" s="110" t="str">
        <f aca="false">IF($B29="","",MAX(0,IF(OR(الموظفون!$AE29="",الموظفون!$AE29&gt;$F$3),$F$3,الموظفون!$AE29)-MAX($E$3,الموظفون!$H29)+1))</f>
        <v/>
      </c>
      <c r="AL29" s="131" t="str">
        <f aca="false">IF($B29="","",SUMIFS('سجل الإجازات والحالات'!$AX$6:$AX$505,'سجل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والحالات'!$Z$6:$Z$505,'سجل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والحالات'!$AL$6:$AL$505,'سجل الإجازات والحالات'!$B$6:$B$505,$B30))/cfg_DAYS_Y)</f>
        <v/>
      </c>
      <c r="AI30" s="130" t="str">
        <f aca="false">IF($B30="","",MAX(0,IF(OR(الموظفون!$AE30="",الموظفون!$AE30&gt;($E$3-1)),($E$3-1),الموظفون!$AE30)-الموظفون!$H30+1-SUMIFS('سجل الإجازات والحالات'!$AK$6:$AK$505,'سجل الإجازات والحالات'!$B$6:$B$505,$B30))/cfg_DAYS_Y)</f>
        <v/>
      </c>
      <c r="AJ30" s="57" t="str">
        <f aca="false">IF($B30="","",MAX(0,AK30-(SUMIFS('سجل الإجازات والحالات'!$AL$6:$AL$505,'سجل الإجازات والحالات'!$B$6:$B$505,$B30)-SUMIFS('سجل الإجازات والحالات'!$AK$6:$AK$505,'سجل الإجازات والحالات'!$B$6:$B$505,$B30))))</f>
        <v/>
      </c>
      <c r="AK30" s="57" t="str">
        <f aca="false">IF($B30="","",MAX(0,IF(OR(الموظفون!$AE30="",الموظفون!$AE30&gt;$F$3),$F$3,الموظفون!$AE30)-MAX($E$3,الموظفون!$H30)+1))</f>
        <v/>
      </c>
      <c r="AL30" s="126" t="str">
        <f aca="false">IF($B30="","",SUMIFS('سجل الإجازات والحالات'!$AX$6:$AX$505,'سجل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والحالات'!$Z$6:$Z$505,'سجل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والحالات'!$AL$6:$AL$505,'سجل الإجازات والحالات'!$B$6:$B$505,$B31))/cfg_DAYS_Y)</f>
        <v/>
      </c>
      <c r="AI31" s="135" t="str">
        <f aca="false">IF($B31="","",MAX(0,IF(OR(الموظفون!$AE31="",الموظفون!$AE31&gt;($E$3-1)),($E$3-1),الموظفون!$AE31)-الموظفون!$H31+1-SUMIFS('سجل الإجازات والحالات'!$AK$6:$AK$505,'سجل الإجازات والحالات'!$B$6:$B$505,$B31))/cfg_DAYS_Y)</f>
        <v/>
      </c>
      <c r="AJ31" s="110" t="str">
        <f aca="false">IF($B31="","",MAX(0,AK31-(SUMIFS('سجل الإجازات والحالات'!$AL$6:$AL$505,'سجل الإجازات والحالات'!$B$6:$B$505,$B31)-SUMIFS('سجل الإجازات والحالات'!$AK$6:$AK$505,'سجل الإجازات والحالات'!$B$6:$B$505,$B31))))</f>
        <v/>
      </c>
      <c r="AK31" s="110" t="str">
        <f aca="false">IF($B31="","",MAX(0,IF(OR(الموظفون!$AE31="",الموظفون!$AE31&gt;$F$3),$F$3,الموظفون!$AE31)-MAX($E$3,الموظفون!$H31)+1))</f>
        <v/>
      </c>
      <c r="AL31" s="131" t="str">
        <f aca="false">IF($B31="","",SUMIFS('سجل الإجازات والحالات'!$AX$6:$AX$505,'سجل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والحالات'!$Z$6:$Z$505,'سجل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والحالات'!$AL$6:$AL$505,'سجل الإجازات والحالات'!$B$6:$B$505,$B32))/cfg_DAYS_Y)</f>
        <v/>
      </c>
      <c r="AI32" s="130" t="str">
        <f aca="false">IF($B32="","",MAX(0,IF(OR(الموظفون!$AE32="",الموظفون!$AE32&gt;($E$3-1)),($E$3-1),الموظفون!$AE32)-الموظفون!$H32+1-SUMIFS('سجل الإجازات والحالات'!$AK$6:$AK$505,'سجل الإجازات والحالات'!$B$6:$B$505,$B32))/cfg_DAYS_Y)</f>
        <v/>
      </c>
      <c r="AJ32" s="57" t="str">
        <f aca="false">IF($B32="","",MAX(0,AK32-(SUMIFS('سجل الإجازات والحالات'!$AL$6:$AL$505,'سجل الإجازات والحالات'!$B$6:$B$505,$B32)-SUMIFS('سجل الإجازات والحالات'!$AK$6:$AK$505,'سجل الإجازات والحالات'!$B$6:$B$505,$B32))))</f>
        <v/>
      </c>
      <c r="AK32" s="57" t="str">
        <f aca="false">IF($B32="","",MAX(0,IF(OR(الموظفون!$AE32="",الموظفون!$AE32&gt;$F$3),$F$3,الموظفون!$AE32)-MAX($E$3,الموظفون!$H32)+1))</f>
        <v/>
      </c>
      <c r="AL32" s="126" t="str">
        <f aca="false">IF($B32="","",SUMIFS('سجل الإجازات والحالات'!$AX$6:$AX$505,'سجل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والحالات'!$Z$6:$Z$505,'سجل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والحالات'!$AL$6:$AL$505,'سجل الإجازات والحالات'!$B$6:$B$505,$B33))/cfg_DAYS_Y)</f>
        <v/>
      </c>
      <c r="AI33" s="135" t="str">
        <f aca="false">IF($B33="","",MAX(0,IF(OR(الموظفون!$AE33="",الموظفون!$AE33&gt;($E$3-1)),($E$3-1),الموظفون!$AE33)-الموظفون!$H33+1-SUMIFS('سجل الإجازات والحالات'!$AK$6:$AK$505,'سجل الإجازات والحالات'!$B$6:$B$505,$B33))/cfg_DAYS_Y)</f>
        <v/>
      </c>
      <c r="AJ33" s="110" t="str">
        <f aca="false">IF($B33="","",MAX(0,AK33-(SUMIFS('سجل الإجازات والحالات'!$AL$6:$AL$505,'سجل الإجازات والحالات'!$B$6:$B$505,$B33)-SUMIFS('سجل الإجازات والحالات'!$AK$6:$AK$505,'سجل الإجازات والحالات'!$B$6:$B$505,$B33))))</f>
        <v/>
      </c>
      <c r="AK33" s="110" t="str">
        <f aca="false">IF($B33="","",MAX(0,IF(OR(الموظفون!$AE33="",الموظفون!$AE33&gt;$F$3),$F$3,الموظفون!$AE33)-MAX($E$3,الموظفون!$H33)+1))</f>
        <v/>
      </c>
      <c r="AL33" s="131" t="str">
        <f aca="false">IF($B33="","",SUMIFS('سجل الإجازات والحالات'!$AX$6:$AX$505,'سجل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والحالات'!$Z$6:$Z$505,'سجل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والحالات'!$AL$6:$AL$505,'سجل الإجازات والحالات'!$B$6:$B$505,$B34))/cfg_DAYS_Y)</f>
        <v/>
      </c>
      <c r="AI34" s="130" t="str">
        <f aca="false">IF($B34="","",MAX(0,IF(OR(الموظفون!$AE34="",الموظفون!$AE34&gt;($E$3-1)),($E$3-1),الموظفون!$AE34)-الموظفون!$H34+1-SUMIFS('سجل الإجازات والحالات'!$AK$6:$AK$505,'سجل الإجازات والحالات'!$B$6:$B$505,$B34))/cfg_DAYS_Y)</f>
        <v/>
      </c>
      <c r="AJ34" s="57" t="str">
        <f aca="false">IF($B34="","",MAX(0,AK34-(SUMIFS('سجل الإجازات والحالات'!$AL$6:$AL$505,'سجل الإجازات والحالات'!$B$6:$B$505,$B34)-SUMIFS('سجل الإجازات والحالات'!$AK$6:$AK$505,'سجل الإجازات والحالات'!$B$6:$B$505,$B34))))</f>
        <v/>
      </c>
      <c r="AK34" s="57" t="str">
        <f aca="false">IF($B34="","",MAX(0,IF(OR(الموظفون!$AE34="",الموظفون!$AE34&gt;$F$3),$F$3,الموظفون!$AE34)-MAX($E$3,الموظفون!$H34)+1))</f>
        <v/>
      </c>
      <c r="AL34" s="126" t="str">
        <f aca="false">IF($B34="","",SUMIFS('سجل الإجازات والحالات'!$AX$6:$AX$505,'سجل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والحالات'!$Z$6:$Z$505,'سجل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والحالات'!$AL$6:$AL$505,'سجل الإجازات والحالات'!$B$6:$B$505,$B35))/cfg_DAYS_Y)</f>
        <v/>
      </c>
      <c r="AI35" s="135" t="str">
        <f aca="false">IF($B35="","",MAX(0,IF(OR(الموظفون!$AE35="",الموظفون!$AE35&gt;($E$3-1)),($E$3-1),الموظفون!$AE35)-الموظفون!$H35+1-SUMIFS('سجل الإجازات والحالات'!$AK$6:$AK$505,'سجل الإجازات والحالات'!$B$6:$B$505,$B35))/cfg_DAYS_Y)</f>
        <v/>
      </c>
      <c r="AJ35" s="110" t="str">
        <f aca="false">IF($B35="","",MAX(0,AK35-(SUMIFS('سجل الإجازات والحالات'!$AL$6:$AL$505,'سجل الإجازات والحالات'!$B$6:$B$505,$B35)-SUMIFS('سجل الإجازات والحالات'!$AK$6:$AK$505,'سجل الإجازات والحالات'!$B$6:$B$505,$B35))))</f>
        <v/>
      </c>
      <c r="AK35" s="110" t="str">
        <f aca="false">IF($B35="","",MAX(0,IF(OR(الموظفون!$AE35="",الموظفون!$AE35&gt;$F$3),$F$3,الموظفون!$AE35)-MAX($E$3,الموظفون!$H35)+1))</f>
        <v/>
      </c>
      <c r="AL35" s="131" t="str">
        <f aca="false">IF($B35="","",SUMIFS('سجل الإجازات والحالات'!$AX$6:$AX$505,'سجل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والحالات'!$Z$6:$Z$505,'سجل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والحالات'!$AL$6:$AL$505,'سجل الإجازات والحالات'!$B$6:$B$505,$B36))/cfg_DAYS_Y)</f>
        <v/>
      </c>
      <c r="AI36" s="130" t="str">
        <f aca="false">IF($B36="","",MAX(0,IF(OR(الموظفون!$AE36="",الموظفون!$AE36&gt;($E$3-1)),($E$3-1),الموظفون!$AE36)-الموظفون!$H36+1-SUMIFS('سجل الإجازات والحالات'!$AK$6:$AK$505,'سجل الإجازات والحالات'!$B$6:$B$505,$B36))/cfg_DAYS_Y)</f>
        <v/>
      </c>
      <c r="AJ36" s="57" t="str">
        <f aca="false">IF($B36="","",MAX(0,AK36-(SUMIFS('سجل الإجازات والحالات'!$AL$6:$AL$505,'سجل الإجازات والحالات'!$B$6:$B$505,$B36)-SUMIFS('سجل الإجازات والحالات'!$AK$6:$AK$505,'سجل الإجازات والحالات'!$B$6:$B$505,$B36))))</f>
        <v/>
      </c>
      <c r="AK36" s="57" t="str">
        <f aca="false">IF($B36="","",MAX(0,IF(OR(الموظفون!$AE36="",الموظفون!$AE36&gt;$F$3),$F$3,الموظفون!$AE36)-MAX($E$3,الموظفون!$H36)+1))</f>
        <v/>
      </c>
      <c r="AL36" s="126" t="str">
        <f aca="false">IF($B36="","",SUMIFS('سجل الإجازات والحالات'!$AX$6:$AX$505,'سجل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والحالات'!$Z$6:$Z$505,'سجل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والحالات'!$AL$6:$AL$505,'سجل الإجازات والحالات'!$B$6:$B$505,$B37))/cfg_DAYS_Y)</f>
        <v/>
      </c>
      <c r="AI37" s="135" t="str">
        <f aca="false">IF($B37="","",MAX(0,IF(OR(الموظفون!$AE37="",الموظفون!$AE37&gt;($E$3-1)),($E$3-1),الموظفون!$AE37)-الموظفون!$H37+1-SUMIFS('سجل الإجازات والحالات'!$AK$6:$AK$505,'سجل الإجازات والحالات'!$B$6:$B$505,$B37))/cfg_DAYS_Y)</f>
        <v/>
      </c>
      <c r="AJ37" s="110" t="str">
        <f aca="false">IF($B37="","",MAX(0,AK37-(SUMIFS('سجل الإجازات والحالات'!$AL$6:$AL$505,'سجل الإجازات والحالات'!$B$6:$B$505,$B37)-SUMIFS('سجل الإجازات والحالات'!$AK$6:$AK$505,'سجل الإجازات والحالات'!$B$6:$B$505,$B37))))</f>
        <v/>
      </c>
      <c r="AK37" s="110" t="str">
        <f aca="false">IF($B37="","",MAX(0,IF(OR(الموظفون!$AE37="",الموظفون!$AE37&gt;$F$3),$F$3,الموظفون!$AE37)-MAX($E$3,الموظفون!$H37)+1))</f>
        <v/>
      </c>
      <c r="AL37" s="131" t="str">
        <f aca="false">IF($B37="","",SUMIFS('سجل الإجازات والحالات'!$AX$6:$AX$505,'سجل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والحالات'!$Z$6:$Z$505,'سجل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والحالات'!$AL$6:$AL$505,'سجل الإجازات والحالات'!$B$6:$B$505,$B38))/cfg_DAYS_Y)</f>
        <v/>
      </c>
      <c r="AI38" s="130" t="str">
        <f aca="false">IF($B38="","",MAX(0,IF(OR(الموظفون!$AE38="",الموظفون!$AE38&gt;($E$3-1)),($E$3-1),الموظفون!$AE38)-الموظفون!$H38+1-SUMIFS('سجل الإجازات والحالات'!$AK$6:$AK$505,'سجل الإجازات والحالات'!$B$6:$B$505,$B38))/cfg_DAYS_Y)</f>
        <v/>
      </c>
      <c r="AJ38" s="57" t="str">
        <f aca="false">IF($B38="","",MAX(0,AK38-(SUMIFS('سجل الإجازات والحالات'!$AL$6:$AL$505,'سجل الإجازات والحالات'!$B$6:$B$505,$B38)-SUMIFS('سجل الإجازات والحالات'!$AK$6:$AK$505,'سجل الإجازات والحالات'!$B$6:$B$505,$B38))))</f>
        <v/>
      </c>
      <c r="AK38" s="57" t="str">
        <f aca="false">IF($B38="","",MAX(0,IF(OR(الموظفون!$AE38="",الموظفون!$AE38&gt;$F$3),$F$3,الموظفون!$AE38)-MAX($E$3,الموظفون!$H38)+1))</f>
        <v/>
      </c>
      <c r="AL38" s="126" t="str">
        <f aca="false">IF($B38="","",SUMIFS('سجل الإجازات والحالات'!$AX$6:$AX$505,'سجل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والحالات'!$Z$6:$Z$505,'سجل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والحالات'!$AL$6:$AL$505,'سجل الإجازات والحالات'!$B$6:$B$505,$B39))/cfg_DAYS_Y)</f>
        <v/>
      </c>
      <c r="AI39" s="135" t="str">
        <f aca="false">IF($B39="","",MAX(0,IF(OR(الموظفون!$AE39="",الموظفون!$AE39&gt;($E$3-1)),($E$3-1),الموظفون!$AE39)-الموظفون!$H39+1-SUMIFS('سجل الإجازات والحالات'!$AK$6:$AK$505,'سجل الإجازات والحالات'!$B$6:$B$505,$B39))/cfg_DAYS_Y)</f>
        <v/>
      </c>
      <c r="AJ39" s="110" t="str">
        <f aca="false">IF($B39="","",MAX(0,AK39-(SUMIFS('سجل الإجازات والحالات'!$AL$6:$AL$505,'سجل الإجازات والحالات'!$B$6:$B$505,$B39)-SUMIFS('سجل الإجازات والحالات'!$AK$6:$AK$505,'سجل الإجازات والحالات'!$B$6:$B$505,$B39))))</f>
        <v/>
      </c>
      <c r="AK39" s="110" t="str">
        <f aca="false">IF($B39="","",MAX(0,IF(OR(الموظفون!$AE39="",الموظفون!$AE39&gt;$F$3),$F$3,الموظفون!$AE39)-MAX($E$3,الموظفون!$H39)+1))</f>
        <v/>
      </c>
      <c r="AL39" s="131" t="str">
        <f aca="false">IF($B39="","",SUMIFS('سجل الإجازات والحالات'!$AX$6:$AX$505,'سجل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والحالات'!$Z$6:$Z$505,'سجل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والحالات'!$AL$6:$AL$505,'سجل الإجازات والحالات'!$B$6:$B$505,$B40))/cfg_DAYS_Y)</f>
        <v/>
      </c>
      <c r="AI40" s="130" t="str">
        <f aca="false">IF($B40="","",MAX(0,IF(OR(الموظفون!$AE40="",الموظفون!$AE40&gt;($E$3-1)),($E$3-1),الموظفون!$AE40)-الموظفون!$H40+1-SUMIFS('سجل الإجازات والحالات'!$AK$6:$AK$505,'سجل الإجازات والحالات'!$B$6:$B$505,$B40))/cfg_DAYS_Y)</f>
        <v/>
      </c>
      <c r="AJ40" s="57" t="str">
        <f aca="false">IF($B40="","",MAX(0,AK40-(SUMIFS('سجل الإجازات والحالات'!$AL$6:$AL$505,'سجل الإجازات والحالات'!$B$6:$B$505,$B40)-SUMIFS('سجل الإجازات والحالات'!$AK$6:$AK$505,'سجل الإجازات والحالات'!$B$6:$B$505,$B40))))</f>
        <v/>
      </c>
      <c r="AK40" s="57" t="str">
        <f aca="false">IF($B40="","",MAX(0,IF(OR(الموظفون!$AE40="",الموظفون!$AE40&gt;$F$3),$F$3,الموظفون!$AE40)-MAX($E$3,الموظفون!$H40)+1))</f>
        <v/>
      </c>
      <c r="AL40" s="126" t="str">
        <f aca="false">IF($B40="","",SUMIFS('سجل الإجازات والحالات'!$AX$6:$AX$505,'سجل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والحالات'!$Z$6:$Z$505,'سجل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والحالات'!$AL$6:$AL$505,'سجل الإجازات والحالات'!$B$6:$B$505,$B41))/cfg_DAYS_Y)</f>
        <v/>
      </c>
      <c r="AI41" s="135" t="str">
        <f aca="false">IF($B41="","",MAX(0,IF(OR(الموظفون!$AE41="",الموظفون!$AE41&gt;($E$3-1)),($E$3-1),الموظفون!$AE41)-الموظفون!$H41+1-SUMIFS('سجل الإجازات والحالات'!$AK$6:$AK$505,'سجل الإجازات والحالات'!$B$6:$B$505,$B41))/cfg_DAYS_Y)</f>
        <v/>
      </c>
      <c r="AJ41" s="110" t="str">
        <f aca="false">IF($B41="","",MAX(0,AK41-(SUMIFS('سجل الإجازات والحالات'!$AL$6:$AL$505,'سجل الإجازات والحالات'!$B$6:$B$505,$B41)-SUMIFS('سجل الإجازات والحالات'!$AK$6:$AK$505,'سجل الإجازات والحالات'!$B$6:$B$505,$B41))))</f>
        <v/>
      </c>
      <c r="AK41" s="110" t="str">
        <f aca="false">IF($B41="","",MAX(0,IF(OR(الموظفون!$AE41="",الموظفون!$AE41&gt;$F$3),$F$3,الموظفون!$AE41)-MAX($E$3,الموظفون!$H41)+1))</f>
        <v/>
      </c>
      <c r="AL41" s="131" t="str">
        <f aca="false">IF($B41="","",SUMIFS('سجل الإجازات والحالات'!$AX$6:$AX$505,'سجل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والحالات'!$Z$6:$Z$505,'سجل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والحالات'!$AL$6:$AL$505,'سجل الإجازات والحالات'!$B$6:$B$505,$B42))/cfg_DAYS_Y)</f>
        <v/>
      </c>
      <c r="AI42" s="130" t="str">
        <f aca="false">IF($B42="","",MAX(0,IF(OR(الموظفون!$AE42="",الموظفون!$AE42&gt;($E$3-1)),($E$3-1),الموظفون!$AE42)-الموظفون!$H42+1-SUMIFS('سجل الإجازات والحالات'!$AK$6:$AK$505,'سجل الإجازات والحالات'!$B$6:$B$505,$B42))/cfg_DAYS_Y)</f>
        <v/>
      </c>
      <c r="AJ42" s="57" t="str">
        <f aca="false">IF($B42="","",MAX(0,AK42-(SUMIFS('سجل الإجازات والحالات'!$AL$6:$AL$505,'سجل الإجازات والحالات'!$B$6:$B$505,$B42)-SUMIFS('سجل الإجازات والحالات'!$AK$6:$AK$505,'سجل الإجازات والحالات'!$B$6:$B$505,$B42))))</f>
        <v/>
      </c>
      <c r="AK42" s="57" t="str">
        <f aca="false">IF($B42="","",MAX(0,IF(OR(الموظفون!$AE42="",الموظفون!$AE42&gt;$F$3),$F$3,الموظفون!$AE42)-MAX($E$3,الموظفون!$H42)+1))</f>
        <v/>
      </c>
      <c r="AL42" s="126" t="str">
        <f aca="false">IF($B42="","",SUMIFS('سجل الإجازات والحالات'!$AX$6:$AX$505,'سجل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والحالات'!$Z$6:$Z$505,'سجل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والحالات'!$AL$6:$AL$505,'سجل الإجازات والحالات'!$B$6:$B$505,$B43))/cfg_DAYS_Y)</f>
        <v/>
      </c>
      <c r="AI43" s="135" t="str">
        <f aca="false">IF($B43="","",MAX(0,IF(OR(الموظفون!$AE43="",الموظفون!$AE43&gt;($E$3-1)),($E$3-1),الموظفون!$AE43)-الموظفون!$H43+1-SUMIFS('سجل الإجازات والحالات'!$AK$6:$AK$505,'سجل الإجازات والحالات'!$B$6:$B$505,$B43))/cfg_DAYS_Y)</f>
        <v/>
      </c>
      <c r="AJ43" s="110" t="str">
        <f aca="false">IF($B43="","",MAX(0,AK43-(SUMIFS('سجل الإجازات والحالات'!$AL$6:$AL$505,'سجل الإجازات والحالات'!$B$6:$B$505,$B43)-SUMIFS('سجل الإجازات والحالات'!$AK$6:$AK$505,'سجل الإجازات والحالات'!$B$6:$B$505,$B43))))</f>
        <v/>
      </c>
      <c r="AK43" s="110" t="str">
        <f aca="false">IF($B43="","",MAX(0,IF(OR(الموظفون!$AE43="",الموظفون!$AE43&gt;$F$3),$F$3,الموظفون!$AE43)-MAX($E$3,الموظفون!$H43)+1))</f>
        <v/>
      </c>
      <c r="AL43" s="131" t="str">
        <f aca="false">IF($B43="","",SUMIFS('سجل الإجازات والحالات'!$AX$6:$AX$505,'سجل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والحالات'!$Z$6:$Z$505,'سجل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والحالات'!$AL$6:$AL$505,'سجل الإجازات والحالات'!$B$6:$B$505,$B44))/cfg_DAYS_Y)</f>
        <v/>
      </c>
      <c r="AI44" s="130" t="str">
        <f aca="false">IF($B44="","",MAX(0,IF(OR(الموظفون!$AE44="",الموظفون!$AE44&gt;($E$3-1)),($E$3-1),الموظفون!$AE44)-الموظفون!$H44+1-SUMIFS('سجل الإجازات والحالات'!$AK$6:$AK$505,'سجل الإجازات والحالات'!$B$6:$B$505,$B44))/cfg_DAYS_Y)</f>
        <v/>
      </c>
      <c r="AJ44" s="57" t="str">
        <f aca="false">IF($B44="","",MAX(0,AK44-(SUMIFS('سجل الإجازات والحالات'!$AL$6:$AL$505,'سجل الإجازات والحالات'!$B$6:$B$505,$B44)-SUMIFS('سجل الإجازات والحالات'!$AK$6:$AK$505,'سجل الإجازات والحالات'!$B$6:$B$505,$B44))))</f>
        <v/>
      </c>
      <c r="AK44" s="57" t="str">
        <f aca="false">IF($B44="","",MAX(0,IF(OR(الموظفون!$AE44="",الموظفون!$AE44&gt;$F$3),$F$3,الموظفون!$AE44)-MAX($E$3,الموظفون!$H44)+1))</f>
        <v/>
      </c>
      <c r="AL44" s="126" t="str">
        <f aca="false">IF($B44="","",SUMIFS('سجل الإجازات والحالات'!$AX$6:$AX$505,'سجل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والحالات'!$Z$6:$Z$505,'سجل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والحالات'!$AL$6:$AL$505,'سجل الإجازات والحالات'!$B$6:$B$505,$B45))/cfg_DAYS_Y)</f>
        <v/>
      </c>
      <c r="AI45" s="135" t="str">
        <f aca="false">IF($B45="","",MAX(0,IF(OR(الموظفون!$AE45="",الموظفون!$AE45&gt;($E$3-1)),($E$3-1),الموظفون!$AE45)-الموظفون!$H45+1-SUMIFS('سجل الإجازات والحالات'!$AK$6:$AK$505,'سجل الإجازات والحالات'!$B$6:$B$505,$B45))/cfg_DAYS_Y)</f>
        <v/>
      </c>
      <c r="AJ45" s="110" t="str">
        <f aca="false">IF($B45="","",MAX(0,AK45-(SUMIFS('سجل الإجازات والحالات'!$AL$6:$AL$505,'سجل الإجازات والحالات'!$B$6:$B$505,$B45)-SUMIFS('سجل الإجازات والحالات'!$AK$6:$AK$505,'سجل الإجازات والحالات'!$B$6:$B$505,$B45))))</f>
        <v/>
      </c>
      <c r="AK45" s="110" t="str">
        <f aca="false">IF($B45="","",MAX(0,IF(OR(الموظفون!$AE45="",الموظفون!$AE45&gt;$F$3),$F$3,الموظفون!$AE45)-MAX($E$3,الموظفون!$H45)+1))</f>
        <v/>
      </c>
      <c r="AL45" s="131" t="str">
        <f aca="false">IF($B45="","",SUMIFS('سجل الإجازات والحالات'!$AX$6:$AX$505,'سجل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والحالات'!$Z$6:$Z$505,'سجل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والحالات'!$AL$6:$AL$505,'سجل الإجازات والحالات'!$B$6:$B$505,$B46))/cfg_DAYS_Y)</f>
        <v/>
      </c>
      <c r="AI46" s="130" t="str">
        <f aca="false">IF($B46="","",MAX(0,IF(OR(الموظفون!$AE46="",الموظفون!$AE46&gt;($E$3-1)),($E$3-1),الموظفون!$AE46)-الموظفون!$H46+1-SUMIFS('سجل الإجازات والحالات'!$AK$6:$AK$505,'سجل الإجازات والحالات'!$B$6:$B$505,$B46))/cfg_DAYS_Y)</f>
        <v/>
      </c>
      <c r="AJ46" s="57" t="str">
        <f aca="false">IF($B46="","",MAX(0,AK46-(SUMIFS('سجل الإجازات والحالات'!$AL$6:$AL$505,'سجل الإجازات والحالات'!$B$6:$B$505,$B46)-SUMIFS('سجل الإجازات والحالات'!$AK$6:$AK$505,'سجل الإجازات والحالات'!$B$6:$B$505,$B46))))</f>
        <v/>
      </c>
      <c r="AK46" s="57" t="str">
        <f aca="false">IF($B46="","",MAX(0,IF(OR(الموظفون!$AE46="",الموظفون!$AE46&gt;$F$3),$F$3,الموظفون!$AE46)-MAX($E$3,الموظفون!$H46)+1))</f>
        <v/>
      </c>
      <c r="AL46" s="126" t="str">
        <f aca="false">IF($B46="","",SUMIFS('سجل الإجازات والحالات'!$AX$6:$AX$505,'سجل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والحالات'!$Z$6:$Z$505,'سجل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والحالات'!$AL$6:$AL$505,'سجل الإجازات والحالات'!$B$6:$B$505,$B47))/cfg_DAYS_Y)</f>
        <v/>
      </c>
      <c r="AI47" s="135" t="str">
        <f aca="false">IF($B47="","",MAX(0,IF(OR(الموظفون!$AE47="",الموظفون!$AE47&gt;($E$3-1)),($E$3-1),الموظفون!$AE47)-الموظفون!$H47+1-SUMIFS('سجل الإجازات والحالات'!$AK$6:$AK$505,'سجل الإجازات والحالات'!$B$6:$B$505,$B47))/cfg_DAYS_Y)</f>
        <v/>
      </c>
      <c r="AJ47" s="110" t="str">
        <f aca="false">IF($B47="","",MAX(0,AK47-(SUMIFS('سجل الإجازات والحالات'!$AL$6:$AL$505,'سجل الإجازات والحالات'!$B$6:$B$505,$B47)-SUMIFS('سجل الإجازات والحالات'!$AK$6:$AK$505,'سجل الإجازات والحالات'!$B$6:$B$505,$B47))))</f>
        <v/>
      </c>
      <c r="AK47" s="110" t="str">
        <f aca="false">IF($B47="","",MAX(0,IF(OR(الموظفون!$AE47="",الموظفون!$AE47&gt;$F$3),$F$3,الموظفون!$AE47)-MAX($E$3,الموظفون!$H47)+1))</f>
        <v/>
      </c>
      <c r="AL47" s="131" t="str">
        <f aca="false">IF($B47="","",SUMIFS('سجل الإجازات والحالات'!$AX$6:$AX$505,'سجل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والحالات'!$Z$6:$Z$505,'سجل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والحالات'!$AL$6:$AL$505,'سجل الإجازات والحالات'!$B$6:$B$505,$B48))/cfg_DAYS_Y)</f>
        <v/>
      </c>
      <c r="AI48" s="130" t="str">
        <f aca="false">IF($B48="","",MAX(0,IF(OR(الموظفون!$AE48="",الموظفون!$AE48&gt;($E$3-1)),($E$3-1),الموظفون!$AE48)-الموظفون!$H48+1-SUMIFS('سجل الإجازات والحالات'!$AK$6:$AK$505,'سجل الإجازات والحالات'!$B$6:$B$505,$B48))/cfg_DAYS_Y)</f>
        <v/>
      </c>
      <c r="AJ48" s="57" t="str">
        <f aca="false">IF($B48="","",MAX(0,AK48-(SUMIFS('سجل الإجازات والحالات'!$AL$6:$AL$505,'سجل الإجازات والحالات'!$B$6:$B$505,$B48)-SUMIFS('سجل الإجازات والحالات'!$AK$6:$AK$505,'سجل الإجازات والحالات'!$B$6:$B$505,$B48))))</f>
        <v/>
      </c>
      <c r="AK48" s="57" t="str">
        <f aca="false">IF($B48="","",MAX(0,IF(OR(الموظفون!$AE48="",الموظفون!$AE48&gt;$F$3),$F$3,الموظفون!$AE48)-MAX($E$3,الموظفون!$H48)+1))</f>
        <v/>
      </c>
      <c r="AL48" s="126" t="str">
        <f aca="false">IF($B48="","",SUMIFS('سجل الإجازات والحالات'!$AX$6:$AX$505,'سجل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والحالات'!$Z$6:$Z$505,'سجل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والحالات'!$AL$6:$AL$505,'سجل الإجازات والحالات'!$B$6:$B$505,$B49))/cfg_DAYS_Y)</f>
        <v/>
      </c>
      <c r="AI49" s="135" t="str">
        <f aca="false">IF($B49="","",MAX(0,IF(OR(الموظفون!$AE49="",الموظفون!$AE49&gt;($E$3-1)),($E$3-1),الموظفون!$AE49)-الموظفون!$H49+1-SUMIFS('سجل الإجازات والحالات'!$AK$6:$AK$505,'سجل الإجازات والحالات'!$B$6:$B$505,$B49))/cfg_DAYS_Y)</f>
        <v/>
      </c>
      <c r="AJ49" s="110" t="str">
        <f aca="false">IF($B49="","",MAX(0,AK49-(SUMIFS('سجل الإجازات والحالات'!$AL$6:$AL$505,'سجل الإجازات والحالات'!$B$6:$B$505,$B49)-SUMIFS('سجل الإجازات والحالات'!$AK$6:$AK$505,'سجل الإجازات والحالات'!$B$6:$B$505,$B49))))</f>
        <v/>
      </c>
      <c r="AK49" s="110" t="str">
        <f aca="false">IF($B49="","",MAX(0,IF(OR(الموظفون!$AE49="",الموظفون!$AE49&gt;$F$3),$F$3,الموظفون!$AE49)-MAX($E$3,الموظفون!$H49)+1))</f>
        <v/>
      </c>
      <c r="AL49" s="131" t="str">
        <f aca="false">IF($B49="","",SUMIFS('سجل الإجازات والحالات'!$AX$6:$AX$505,'سجل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والحالات'!$Z$6:$Z$505,'سجل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والحالات'!$AL$6:$AL$505,'سجل الإجازات والحالات'!$B$6:$B$505,$B50))/cfg_DAYS_Y)</f>
        <v/>
      </c>
      <c r="AI50" s="130" t="str">
        <f aca="false">IF($B50="","",MAX(0,IF(OR(الموظفون!$AE50="",الموظفون!$AE50&gt;($E$3-1)),($E$3-1),الموظفون!$AE50)-الموظفون!$H50+1-SUMIFS('سجل الإجازات والحالات'!$AK$6:$AK$505,'سجل الإجازات والحالات'!$B$6:$B$505,$B50))/cfg_DAYS_Y)</f>
        <v/>
      </c>
      <c r="AJ50" s="57" t="str">
        <f aca="false">IF($B50="","",MAX(0,AK50-(SUMIFS('سجل الإجازات والحالات'!$AL$6:$AL$505,'سجل الإجازات والحالات'!$B$6:$B$505,$B50)-SUMIFS('سجل الإجازات والحالات'!$AK$6:$AK$505,'سجل الإجازات والحالات'!$B$6:$B$505,$B50))))</f>
        <v/>
      </c>
      <c r="AK50" s="57" t="str">
        <f aca="false">IF($B50="","",MAX(0,IF(OR(الموظفون!$AE50="",الموظفون!$AE50&gt;$F$3),$F$3,الموظفون!$AE50)-MAX($E$3,الموظفون!$H50)+1))</f>
        <v/>
      </c>
      <c r="AL50" s="126" t="str">
        <f aca="false">IF($B50="","",SUMIFS('سجل الإجازات والحالات'!$AX$6:$AX$505,'سجل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والحالات'!$Z$6:$Z$505,'سجل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والحالات'!$AL$6:$AL$505,'سجل الإجازات والحالات'!$B$6:$B$505,$B51))/cfg_DAYS_Y)</f>
        <v/>
      </c>
      <c r="AI51" s="135" t="str">
        <f aca="false">IF($B51="","",MAX(0,IF(OR(الموظفون!$AE51="",الموظفون!$AE51&gt;($E$3-1)),($E$3-1),الموظفون!$AE51)-الموظفون!$H51+1-SUMIFS('سجل الإجازات والحالات'!$AK$6:$AK$505,'سجل الإجازات والحالات'!$B$6:$B$505,$B51))/cfg_DAYS_Y)</f>
        <v/>
      </c>
      <c r="AJ51" s="110" t="str">
        <f aca="false">IF($B51="","",MAX(0,AK51-(SUMIFS('سجل الإجازات والحالات'!$AL$6:$AL$505,'سجل الإجازات والحالات'!$B$6:$B$505,$B51)-SUMIFS('سجل الإجازات والحالات'!$AK$6:$AK$505,'سجل الإجازات والحالات'!$B$6:$B$505,$B51))))</f>
        <v/>
      </c>
      <c r="AK51" s="110" t="str">
        <f aca="false">IF($B51="","",MAX(0,IF(OR(الموظفون!$AE51="",الموظفون!$AE51&gt;$F$3),$F$3,الموظفون!$AE51)-MAX($E$3,الموظفون!$H51)+1))</f>
        <v/>
      </c>
      <c r="AL51" s="131" t="str">
        <f aca="false">IF($B51="","",SUMIFS('سجل الإجازات والحالات'!$AX$6:$AX$505,'سجل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والحالات'!$Z$6:$Z$505,'سجل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والحالات'!$AL$6:$AL$505,'سجل الإجازات والحالات'!$B$6:$B$505,$B52))/cfg_DAYS_Y)</f>
        <v/>
      </c>
      <c r="AI52" s="130" t="str">
        <f aca="false">IF($B52="","",MAX(0,IF(OR(الموظفون!$AE52="",الموظفون!$AE52&gt;($E$3-1)),($E$3-1),الموظفون!$AE52)-الموظفون!$H52+1-SUMIFS('سجل الإجازات والحالات'!$AK$6:$AK$505,'سجل الإجازات والحالات'!$B$6:$B$505,$B52))/cfg_DAYS_Y)</f>
        <v/>
      </c>
      <c r="AJ52" s="57" t="str">
        <f aca="false">IF($B52="","",MAX(0,AK52-(SUMIFS('سجل الإجازات والحالات'!$AL$6:$AL$505,'سجل الإجازات والحالات'!$B$6:$B$505,$B52)-SUMIFS('سجل الإجازات والحالات'!$AK$6:$AK$505,'سجل الإجازات والحالات'!$B$6:$B$505,$B52))))</f>
        <v/>
      </c>
      <c r="AK52" s="57" t="str">
        <f aca="false">IF($B52="","",MAX(0,IF(OR(الموظفون!$AE52="",الموظفون!$AE52&gt;$F$3),$F$3,الموظفون!$AE52)-MAX($E$3,الموظفون!$H52)+1))</f>
        <v/>
      </c>
      <c r="AL52" s="126" t="str">
        <f aca="false">IF($B52="","",SUMIFS('سجل الإجازات والحالات'!$AX$6:$AX$505,'سجل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والحالات'!$Z$6:$Z$505,'سجل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والحالات'!$AL$6:$AL$505,'سجل الإجازات والحالات'!$B$6:$B$505,$B53))/cfg_DAYS_Y)</f>
        <v/>
      </c>
      <c r="AI53" s="135" t="str">
        <f aca="false">IF($B53="","",MAX(0,IF(OR(الموظفون!$AE53="",الموظفون!$AE53&gt;($E$3-1)),($E$3-1),الموظفون!$AE53)-الموظفون!$H53+1-SUMIFS('سجل الإجازات والحالات'!$AK$6:$AK$505,'سجل الإجازات والحالات'!$B$6:$B$505,$B53))/cfg_DAYS_Y)</f>
        <v/>
      </c>
      <c r="AJ53" s="110" t="str">
        <f aca="false">IF($B53="","",MAX(0,AK53-(SUMIFS('سجل الإجازات والحالات'!$AL$6:$AL$505,'سجل الإجازات والحالات'!$B$6:$B$505,$B53)-SUMIFS('سجل الإجازات والحالات'!$AK$6:$AK$505,'سجل الإجازات والحالات'!$B$6:$B$505,$B53))))</f>
        <v/>
      </c>
      <c r="AK53" s="110" t="str">
        <f aca="false">IF($B53="","",MAX(0,IF(OR(الموظفون!$AE53="",الموظفون!$AE53&gt;$F$3),$F$3,الموظفون!$AE53)-MAX($E$3,الموظفون!$H53)+1))</f>
        <v/>
      </c>
      <c r="AL53" s="131" t="str">
        <f aca="false">IF($B53="","",SUMIFS('سجل الإجازات والحالات'!$AX$6:$AX$505,'سجل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والحالات'!$Z$6:$Z$505,'سجل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والحالات'!$AL$6:$AL$505,'سجل الإجازات والحالات'!$B$6:$B$505,$B54))/cfg_DAYS_Y)</f>
        <v/>
      </c>
      <c r="AI54" s="130" t="str">
        <f aca="false">IF($B54="","",MAX(0,IF(OR(الموظفون!$AE54="",الموظفون!$AE54&gt;($E$3-1)),($E$3-1),الموظفون!$AE54)-الموظفون!$H54+1-SUMIFS('سجل الإجازات والحالات'!$AK$6:$AK$505,'سجل الإجازات والحالات'!$B$6:$B$505,$B54))/cfg_DAYS_Y)</f>
        <v/>
      </c>
      <c r="AJ54" s="57" t="str">
        <f aca="false">IF($B54="","",MAX(0,AK54-(SUMIFS('سجل الإجازات والحالات'!$AL$6:$AL$505,'سجل الإجازات والحالات'!$B$6:$B$505,$B54)-SUMIFS('سجل الإجازات والحالات'!$AK$6:$AK$505,'سجل الإجازات والحالات'!$B$6:$B$505,$B54))))</f>
        <v/>
      </c>
      <c r="AK54" s="57" t="str">
        <f aca="false">IF($B54="","",MAX(0,IF(OR(الموظفون!$AE54="",الموظفون!$AE54&gt;$F$3),$F$3,الموظفون!$AE54)-MAX($E$3,الموظفون!$H54)+1))</f>
        <v/>
      </c>
      <c r="AL54" s="126" t="str">
        <f aca="false">IF($B54="","",SUMIFS('سجل الإجازات والحالات'!$AX$6:$AX$505,'سجل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والحالات'!$Z$6:$Z$505,'سجل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والحالات'!$AL$6:$AL$505,'سجل الإجازات والحالات'!$B$6:$B$505,$B55))/cfg_DAYS_Y)</f>
        <v/>
      </c>
      <c r="AI55" s="135" t="str">
        <f aca="false">IF($B55="","",MAX(0,IF(OR(الموظفون!$AE55="",الموظفون!$AE55&gt;($E$3-1)),($E$3-1),الموظفون!$AE55)-الموظفون!$H55+1-SUMIFS('سجل الإجازات والحالات'!$AK$6:$AK$505,'سجل الإجازات والحالات'!$B$6:$B$505,$B55))/cfg_DAYS_Y)</f>
        <v/>
      </c>
      <c r="AJ55" s="110" t="str">
        <f aca="false">IF($B55="","",MAX(0,AK55-(SUMIFS('سجل الإجازات والحالات'!$AL$6:$AL$505,'سجل الإجازات والحالات'!$B$6:$B$505,$B55)-SUMIFS('سجل الإجازات والحالات'!$AK$6:$AK$505,'سجل الإجازات والحالات'!$B$6:$B$505,$B55))))</f>
        <v/>
      </c>
      <c r="AK55" s="110" t="str">
        <f aca="false">IF($B55="","",MAX(0,IF(OR(الموظفون!$AE55="",الموظفون!$AE55&gt;$F$3),$F$3,الموظفون!$AE55)-MAX($E$3,الموظفون!$H55)+1))</f>
        <v/>
      </c>
      <c r="AL55" s="131" t="str">
        <f aca="false">IF($B55="","",SUMIFS('سجل الإجازات والحالات'!$AX$6:$AX$505,'سجل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والحالات'!$Z$6:$Z$505,'سجل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والحالات'!$AL$6:$AL$505,'سجل الإجازات والحالات'!$B$6:$B$505,$B56))/cfg_DAYS_Y)</f>
        <v/>
      </c>
      <c r="AI56" s="130" t="str">
        <f aca="false">IF($B56="","",MAX(0,IF(OR(الموظفون!$AE56="",الموظفون!$AE56&gt;($E$3-1)),($E$3-1),الموظفون!$AE56)-الموظفون!$H56+1-SUMIFS('سجل الإجازات والحالات'!$AK$6:$AK$505,'سجل الإجازات والحالات'!$B$6:$B$505,$B56))/cfg_DAYS_Y)</f>
        <v/>
      </c>
      <c r="AJ56" s="57" t="str">
        <f aca="false">IF($B56="","",MAX(0,AK56-(SUMIFS('سجل الإجازات والحالات'!$AL$6:$AL$505,'سجل الإجازات والحالات'!$B$6:$B$505,$B56)-SUMIFS('سجل الإجازات والحالات'!$AK$6:$AK$505,'سجل الإجازات والحالات'!$B$6:$B$505,$B56))))</f>
        <v/>
      </c>
      <c r="AK56" s="57" t="str">
        <f aca="false">IF($B56="","",MAX(0,IF(OR(الموظفون!$AE56="",الموظفون!$AE56&gt;$F$3),$F$3,الموظفون!$AE56)-MAX($E$3,الموظفون!$H56)+1))</f>
        <v/>
      </c>
      <c r="AL56" s="126" t="str">
        <f aca="false">IF($B56="","",SUMIFS('سجل الإجازات والحالات'!$AX$6:$AX$505,'سجل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والحالات'!$Z$6:$Z$505,'سجل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والحالات'!$AL$6:$AL$505,'سجل الإجازات والحالات'!$B$6:$B$505,$B57))/cfg_DAYS_Y)</f>
        <v/>
      </c>
      <c r="AI57" s="135" t="str">
        <f aca="false">IF($B57="","",MAX(0,IF(OR(الموظفون!$AE57="",الموظفون!$AE57&gt;($E$3-1)),($E$3-1),الموظفون!$AE57)-الموظفون!$H57+1-SUMIFS('سجل الإجازات والحالات'!$AK$6:$AK$505,'سجل الإجازات والحالات'!$B$6:$B$505,$B57))/cfg_DAYS_Y)</f>
        <v/>
      </c>
      <c r="AJ57" s="110" t="str">
        <f aca="false">IF($B57="","",MAX(0,AK57-(SUMIFS('سجل الإجازات والحالات'!$AL$6:$AL$505,'سجل الإجازات والحالات'!$B$6:$B$505,$B57)-SUMIFS('سجل الإجازات والحالات'!$AK$6:$AK$505,'سجل الإجازات والحالات'!$B$6:$B$505,$B57))))</f>
        <v/>
      </c>
      <c r="AK57" s="110" t="str">
        <f aca="false">IF($B57="","",MAX(0,IF(OR(الموظفون!$AE57="",الموظفون!$AE57&gt;$F$3),$F$3,الموظفون!$AE57)-MAX($E$3,الموظفون!$H57)+1))</f>
        <v/>
      </c>
      <c r="AL57" s="131" t="str">
        <f aca="false">IF($B57="","",SUMIFS('سجل الإجازات والحالات'!$AX$6:$AX$505,'سجل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والحالات'!$Z$6:$Z$505,'سجل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والحالات'!$AL$6:$AL$505,'سجل الإجازات والحالات'!$B$6:$B$505,$B58))/cfg_DAYS_Y)</f>
        <v/>
      </c>
      <c r="AI58" s="130" t="str">
        <f aca="false">IF($B58="","",MAX(0,IF(OR(الموظفون!$AE58="",الموظفون!$AE58&gt;($E$3-1)),($E$3-1),الموظفون!$AE58)-الموظفون!$H58+1-SUMIFS('سجل الإجازات والحالات'!$AK$6:$AK$505,'سجل الإجازات والحالات'!$B$6:$B$505,$B58))/cfg_DAYS_Y)</f>
        <v/>
      </c>
      <c r="AJ58" s="57" t="str">
        <f aca="false">IF($B58="","",MAX(0,AK58-(SUMIFS('سجل الإجازات والحالات'!$AL$6:$AL$505,'سجل الإجازات والحالات'!$B$6:$B$505,$B58)-SUMIFS('سجل الإجازات والحالات'!$AK$6:$AK$505,'سجل الإجازات والحالات'!$B$6:$B$505,$B58))))</f>
        <v/>
      </c>
      <c r="AK58" s="57" t="str">
        <f aca="false">IF($B58="","",MAX(0,IF(OR(الموظفون!$AE58="",الموظفون!$AE58&gt;$F$3),$F$3,الموظفون!$AE58)-MAX($E$3,الموظفون!$H58)+1))</f>
        <v/>
      </c>
      <c r="AL58" s="126" t="str">
        <f aca="false">IF($B58="","",SUMIFS('سجل الإجازات والحالات'!$AX$6:$AX$505,'سجل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والحالات'!$Z$6:$Z$505,'سجل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والحالات'!$AL$6:$AL$505,'سجل الإجازات والحالات'!$B$6:$B$505,$B59))/cfg_DAYS_Y)</f>
        <v/>
      </c>
      <c r="AI59" s="135" t="str">
        <f aca="false">IF($B59="","",MAX(0,IF(OR(الموظفون!$AE59="",الموظفون!$AE59&gt;($E$3-1)),($E$3-1),الموظفون!$AE59)-الموظفون!$H59+1-SUMIFS('سجل الإجازات والحالات'!$AK$6:$AK$505,'سجل الإجازات والحالات'!$B$6:$B$505,$B59))/cfg_DAYS_Y)</f>
        <v/>
      </c>
      <c r="AJ59" s="110" t="str">
        <f aca="false">IF($B59="","",MAX(0,AK59-(SUMIFS('سجل الإجازات والحالات'!$AL$6:$AL$505,'سجل الإجازات والحالات'!$B$6:$B$505,$B59)-SUMIFS('سجل الإجازات والحالات'!$AK$6:$AK$505,'سجل الإجازات والحالات'!$B$6:$B$505,$B59))))</f>
        <v/>
      </c>
      <c r="AK59" s="110" t="str">
        <f aca="false">IF($B59="","",MAX(0,IF(OR(الموظفون!$AE59="",الموظفون!$AE59&gt;$F$3),$F$3,الموظفون!$AE59)-MAX($E$3,الموظفون!$H59)+1))</f>
        <v/>
      </c>
      <c r="AL59" s="131" t="str">
        <f aca="false">IF($B59="","",SUMIFS('سجل الإجازات والحالات'!$AX$6:$AX$505,'سجل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والحالات'!$Z$6:$Z$505,'سجل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والحالات'!$AL$6:$AL$505,'سجل الإجازات والحالات'!$B$6:$B$505,$B60))/cfg_DAYS_Y)</f>
        <v/>
      </c>
      <c r="AI60" s="130" t="str">
        <f aca="false">IF($B60="","",MAX(0,IF(OR(الموظفون!$AE60="",الموظفون!$AE60&gt;($E$3-1)),($E$3-1),الموظفون!$AE60)-الموظفون!$H60+1-SUMIFS('سجل الإجازات والحالات'!$AK$6:$AK$505,'سجل الإجازات والحالات'!$B$6:$B$505,$B60))/cfg_DAYS_Y)</f>
        <v/>
      </c>
      <c r="AJ60" s="57" t="str">
        <f aca="false">IF($B60="","",MAX(0,AK60-(SUMIFS('سجل الإجازات والحالات'!$AL$6:$AL$505,'سجل الإجازات والحالات'!$B$6:$B$505,$B60)-SUMIFS('سجل الإجازات والحالات'!$AK$6:$AK$505,'سجل الإجازات والحالات'!$B$6:$B$505,$B60))))</f>
        <v/>
      </c>
      <c r="AK60" s="57" t="str">
        <f aca="false">IF($B60="","",MAX(0,IF(OR(الموظفون!$AE60="",الموظفون!$AE60&gt;$F$3),$F$3,الموظفون!$AE60)-MAX($E$3,الموظفون!$H60)+1))</f>
        <v/>
      </c>
      <c r="AL60" s="126" t="str">
        <f aca="false">IF($B60="","",SUMIFS('سجل الإجازات والحالات'!$AX$6:$AX$505,'سجل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والحالات'!$Z$6:$Z$505,'سجل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والحالات'!$AL$6:$AL$505,'سجل الإجازات والحالات'!$B$6:$B$505,$B61))/cfg_DAYS_Y)</f>
        <v/>
      </c>
      <c r="AI61" s="135" t="str">
        <f aca="false">IF($B61="","",MAX(0,IF(OR(الموظفون!$AE61="",الموظفون!$AE61&gt;($E$3-1)),($E$3-1),الموظفون!$AE61)-الموظفون!$H61+1-SUMIFS('سجل الإجازات والحالات'!$AK$6:$AK$505,'سجل الإجازات والحالات'!$B$6:$B$505,$B61))/cfg_DAYS_Y)</f>
        <v/>
      </c>
      <c r="AJ61" s="110" t="str">
        <f aca="false">IF($B61="","",MAX(0,AK61-(SUMIFS('سجل الإجازات والحالات'!$AL$6:$AL$505,'سجل الإجازات والحالات'!$B$6:$B$505,$B61)-SUMIFS('سجل الإجازات والحالات'!$AK$6:$AK$505,'سجل الإجازات والحالات'!$B$6:$B$505,$B61))))</f>
        <v/>
      </c>
      <c r="AK61" s="110" t="str">
        <f aca="false">IF($B61="","",MAX(0,IF(OR(الموظفون!$AE61="",الموظفون!$AE61&gt;$F$3),$F$3,الموظفون!$AE61)-MAX($E$3,الموظفون!$H61)+1))</f>
        <v/>
      </c>
      <c r="AL61" s="131" t="str">
        <f aca="false">IF($B61="","",SUMIFS('سجل الإجازات والحالات'!$AX$6:$AX$505,'سجل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والحالات'!$Z$6:$Z$505,'سجل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والحالات'!$AL$6:$AL$505,'سجل الإجازات والحالات'!$B$6:$B$505,$B62))/cfg_DAYS_Y)</f>
        <v/>
      </c>
      <c r="AI62" s="130" t="str">
        <f aca="false">IF($B62="","",MAX(0,IF(OR(الموظفون!$AE62="",الموظفون!$AE62&gt;($E$3-1)),($E$3-1),الموظفون!$AE62)-الموظفون!$H62+1-SUMIFS('سجل الإجازات والحالات'!$AK$6:$AK$505,'سجل الإجازات والحالات'!$B$6:$B$505,$B62))/cfg_DAYS_Y)</f>
        <v/>
      </c>
      <c r="AJ62" s="57" t="str">
        <f aca="false">IF($B62="","",MAX(0,AK62-(SUMIFS('سجل الإجازات والحالات'!$AL$6:$AL$505,'سجل الإجازات والحالات'!$B$6:$B$505,$B62)-SUMIFS('سجل الإجازات والحالات'!$AK$6:$AK$505,'سجل الإجازات والحالات'!$B$6:$B$505,$B62))))</f>
        <v/>
      </c>
      <c r="AK62" s="57" t="str">
        <f aca="false">IF($B62="","",MAX(0,IF(OR(الموظفون!$AE62="",الموظفون!$AE62&gt;$F$3),$F$3,الموظفون!$AE62)-MAX($E$3,الموظفون!$H62)+1))</f>
        <v/>
      </c>
      <c r="AL62" s="126" t="str">
        <f aca="false">IF($B62="","",SUMIFS('سجل الإجازات والحالات'!$AX$6:$AX$505,'سجل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والحالات'!$Z$6:$Z$505,'سجل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والحالات'!$AL$6:$AL$505,'سجل الإجازات والحالات'!$B$6:$B$505,$B63))/cfg_DAYS_Y)</f>
        <v/>
      </c>
      <c r="AI63" s="135" t="str">
        <f aca="false">IF($B63="","",MAX(0,IF(OR(الموظفون!$AE63="",الموظفون!$AE63&gt;($E$3-1)),($E$3-1),الموظفون!$AE63)-الموظفون!$H63+1-SUMIFS('سجل الإجازات والحالات'!$AK$6:$AK$505,'سجل الإجازات والحالات'!$B$6:$B$505,$B63))/cfg_DAYS_Y)</f>
        <v/>
      </c>
      <c r="AJ63" s="110" t="str">
        <f aca="false">IF($B63="","",MAX(0,AK63-(SUMIFS('سجل الإجازات والحالات'!$AL$6:$AL$505,'سجل الإجازات والحالات'!$B$6:$B$505,$B63)-SUMIFS('سجل الإجازات والحالات'!$AK$6:$AK$505,'سجل الإجازات والحالات'!$B$6:$B$505,$B63))))</f>
        <v/>
      </c>
      <c r="AK63" s="110" t="str">
        <f aca="false">IF($B63="","",MAX(0,IF(OR(الموظفون!$AE63="",الموظفون!$AE63&gt;$F$3),$F$3,الموظفون!$AE63)-MAX($E$3,الموظفون!$H63)+1))</f>
        <v/>
      </c>
      <c r="AL63" s="131" t="str">
        <f aca="false">IF($B63="","",SUMIFS('سجل الإجازات والحالات'!$AX$6:$AX$505,'سجل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والحالات'!$Z$6:$Z$505,'سجل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والحالات'!$AL$6:$AL$505,'سجل الإجازات والحالات'!$B$6:$B$505,$B64))/cfg_DAYS_Y)</f>
        <v/>
      </c>
      <c r="AI64" s="130" t="str">
        <f aca="false">IF($B64="","",MAX(0,IF(OR(الموظفون!$AE64="",الموظفون!$AE64&gt;($E$3-1)),($E$3-1),الموظفون!$AE64)-الموظفون!$H64+1-SUMIFS('سجل الإجازات والحالات'!$AK$6:$AK$505,'سجل الإجازات والحالات'!$B$6:$B$505,$B64))/cfg_DAYS_Y)</f>
        <v/>
      </c>
      <c r="AJ64" s="57" t="str">
        <f aca="false">IF($B64="","",MAX(0,AK64-(SUMIFS('سجل الإجازات والحالات'!$AL$6:$AL$505,'سجل الإجازات والحالات'!$B$6:$B$505,$B64)-SUMIFS('سجل الإجازات والحالات'!$AK$6:$AK$505,'سجل الإجازات والحالات'!$B$6:$B$505,$B64))))</f>
        <v/>
      </c>
      <c r="AK64" s="57" t="str">
        <f aca="false">IF($B64="","",MAX(0,IF(OR(الموظفون!$AE64="",الموظفون!$AE64&gt;$F$3),$F$3,الموظفون!$AE64)-MAX($E$3,الموظفون!$H64)+1))</f>
        <v/>
      </c>
      <c r="AL64" s="126" t="str">
        <f aca="false">IF($B64="","",SUMIFS('سجل الإجازات والحالات'!$AX$6:$AX$505,'سجل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والحالات'!$Z$6:$Z$505,'سجل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والحالات'!$AL$6:$AL$505,'سجل الإجازات والحالات'!$B$6:$B$505,$B65))/cfg_DAYS_Y)</f>
        <v/>
      </c>
      <c r="AI65" s="135" t="str">
        <f aca="false">IF($B65="","",MAX(0,IF(OR(الموظفون!$AE65="",الموظفون!$AE65&gt;($E$3-1)),($E$3-1),الموظفون!$AE65)-الموظفون!$H65+1-SUMIFS('سجل الإجازات والحالات'!$AK$6:$AK$505,'سجل الإجازات والحالات'!$B$6:$B$505,$B65))/cfg_DAYS_Y)</f>
        <v/>
      </c>
      <c r="AJ65" s="110" t="str">
        <f aca="false">IF($B65="","",MAX(0,AK65-(SUMIFS('سجل الإجازات والحالات'!$AL$6:$AL$505,'سجل الإجازات والحالات'!$B$6:$B$505,$B65)-SUMIFS('سجل الإجازات والحالات'!$AK$6:$AK$505,'سجل الإجازات والحالات'!$B$6:$B$505,$B65))))</f>
        <v/>
      </c>
      <c r="AK65" s="110" t="str">
        <f aca="false">IF($B65="","",MAX(0,IF(OR(الموظفون!$AE65="",الموظفون!$AE65&gt;$F$3),$F$3,الموظفون!$AE65)-MAX($E$3,الموظفون!$H65)+1))</f>
        <v/>
      </c>
      <c r="AL65" s="131" t="str">
        <f aca="false">IF($B65="","",SUMIFS('سجل الإجازات والحالات'!$AX$6:$AX$505,'سجل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والحالات'!$Z$6:$Z$505,'سجل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والحالات'!$AL$6:$AL$505,'سجل الإجازات والحالات'!$B$6:$B$505,$B66))/cfg_DAYS_Y)</f>
        <v/>
      </c>
      <c r="AI66" s="130" t="str">
        <f aca="false">IF($B66="","",MAX(0,IF(OR(الموظفون!$AE66="",الموظفون!$AE66&gt;($E$3-1)),($E$3-1),الموظفون!$AE66)-الموظفون!$H66+1-SUMIFS('سجل الإجازات والحالات'!$AK$6:$AK$505,'سجل الإجازات والحالات'!$B$6:$B$505,$B66))/cfg_DAYS_Y)</f>
        <v/>
      </c>
      <c r="AJ66" s="57" t="str">
        <f aca="false">IF($B66="","",MAX(0,AK66-(SUMIFS('سجل الإجازات والحالات'!$AL$6:$AL$505,'سجل الإجازات والحالات'!$B$6:$B$505,$B66)-SUMIFS('سجل الإجازات والحالات'!$AK$6:$AK$505,'سجل الإجازات والحالات'!$B$6:$B$505,$B66))))</f>
        <v/>
      </c>
      <c r="AK66" s="57" t="str">
        <f aca="false">IF($B66="","",MAX(0,IF(OR(الموظفون!$AE66="",الموظفون!$AE66&gt;$F$3),$F$3,الموظفون!$AE66)-MAX($E$3,الموظفون!$H66)+1))</f>
        <v/>
      </c>
      <c r="AL66" s="126" t="str">
        <f aca="false">IF($B66="","",SUMIFS('سجل الإجازات والحالات'!$AX$6:$AX$505,'سجل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والحالات'!$Z$6:$Z$505,'سجل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والحالات'!$AL$6:$AL$505,'سجل الإجازات والحالات'!$B$6:$B$505,$B67))/cfg_DAYS_Y)</f>
        <v/>
      </c>
      <c r="AI67" s="135" t="str">
        <f aca="false">IF($B67="","",MAX(0,IF(OR(الموظفون!$AE67="",الموظفون!$AE67&gt;($E$3-1)),($E$3-1),الموظفون!$AE67)-الموظفون!$H67+1-SUMIFS('سجل الإجازات والحالات'!$AK$6:$AK$505,'سجل الإجازات والحالات'!$B$6:$B$505,$B67))/cfg_DAYS_Y)</f>
        <v/>
      </c>
      <c r="AJ67" s="110" t="str">
        <f aca="false">IF($B67="","",MAX(0,AK67-(SUMIFS('سجل الإجازات والحالات'!$AL$6:$AL$505,'سجل الإجازات والحالات'!$B$6:$B$505,$B67)-SUMIFS('سجل الإجازات والحالات'!$AK$6:$AK$505,'سجل الإجازات والحالات'!$B$6:$B$505,$B67))))</f>
        <v/>
      </c>
      <c r="AK67" s="110" t="str">
        <f aca="false">IF($B67="","",MAX(0,IF(OR(الموظفون!$AE67="",الموظفون!$AE67&gt;$F$3),$F$3,الموظفون!$AE67)-MAX($E$3,الموظفون!$H67)+1))</f>
        <v/>
      </c>
      <c r="AL67" s="131" t="str">
        <f aca="false">IF($B67="","",SUMIFS('سجل الإجازات والحالات'!$AX$6:$AX$505,'سجل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والحالات'!$Z$6:$Z$505,'سجل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والحالات'!$AL$6:$AL$505,'سجل الإجازات والحالات'!$B$6:$B$505,$B68))/cfg_DAYS_Y)</f>
        <v/>
      </c>
      <c r="AI68" s="130" t="str">
        <f aca="false">IF($B68="","",MAX(0,IF(OR(الموظفون!$AE68="",الموظفون!$AE68&gt;($E$3-1)),($E$3-1),الموظفون!$AE68)-الموظفون!$H68+1-SUMIFS('سجل الإجازات والحالات'!$AK$6:$AK$505,'سجل الإجازات والحالات'!$B$6:$B$505,$B68))/cfg_DAYS_Y)</f>
        <v/>
      </c>
      <c r="AJ68" s="57" t="str">
        <f aca="false">IF($B68="","",MAX(0,AK68-(SUMIFS('سجل الإجازات والحالات'!$AL$6:$AL$505,'سجل الإجازات والحالات'!$B$6:$B$505,$B68)-SUMIFS('سجل الإجازات والحالات'!$AK$6:$AK$505,'سجل الإجازات والحالات'!$B$6:$B$505,$B68))))</f>
        <v/>
      </c>
      <c r="AK68" s="57" t="str">
        <f aca="false">IF($B68="","",MAX(0,IF(OR(الموظفون!$AE68="",الموظفون!$AE68&gt;$F$3),$F$3,الموظفون!$AE68)-MAX($E$3,الموظفون!$H68)+1))</f>
        <v/>
      </c>
      <c r="AL68" s="126" t="str">
        <f aca="false">IF($B68="","",SUMIFS('سجل الإجازات والحالات'!$AX$6:$AX$505,'سجل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والحالات'!$Z$6:$Z$505,'سجل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والحالات'!$AL$6:$AL$505,'سجل الإجازات والحالات'!$B$6:$B$505,$B69))/cfg_DAYS_Y)</f>
        <v/>
      </c>
      <c r="AI69" s="135" t="str">
        <f aca="false">IF($B69="","",MAX(0,IF(OR(الموظفون!$AE69="",الموظفون!$AE69&gt;($E$3-1)),($E$3-1),الموظفون!$AE69)-الموظفون!$H69+1-SUMIFS('سجل الإجازات والحالات'!$AK$6:$AK$505,'سجل الإجازات والحالات'!$B$6:$B$505,$B69))/cfg_DAYS_Y)</f>
        <v/>
      </c>
      <c r="AJ69" s="110" t="str">
        <f aca="false">IF($B69="","",MAX(0,AK69-(SUMIFS('سجل الإجازات والحالات'!$AL$6:$AL$505,'سجل الإجازات والحالات'!$B$6:$B$505,$B69)-SUMIFS('سجل الإجازات والحالات'!$AK$6:$AK$505,'سجل الإجازات والحالات'!$B$6:$B$505,$B69))))</f>
        <v/>
      </c>
      <c r="AK69" s="110" t="str">
        <f aca="false">IF($B69="","",MAX(0,IF(OR(الموظفون!$AE69="",الموظفون!$AE69&gt;$F$3),$F$3,الموظفون!$AE69)-MAX($E$3,الموظفون!$H69)+1))</f>
        <v/>
      </c>
      <c r="AL69" s="131" t="str">
        <f aca="false">IF($B69="","",SUMIFS('سجل الإجازات والحالات'!$AX$6:$AX$505,'سجل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والحالات'!$Z$6:$Z$505,'سجل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والحالات'!$AL$6:$AL$505,'سجل الإجازات والحالات'!$B$6:$B$505,$B70))/cfg_DAYS_Y)</f>
        <v/>
      </c>
      <c r="AI70" s="130" t="str">
        <f aca="false">IF($B70="","",MAX(0,IF(OR(الموظفون!$AE70="",الموظفون!$AE70&gt;($E$3-1)),($E$3-1),الموظفون!$AE70)-الموظفون!$H70+1-SUMIFS('سجل الإجازات والحالات'!$AK$6:$AK$505,'سجل الإجازات والحالات'!$B$6:$B$505,$B70))/cfg_DAYS_Y)</f>
        <v/>
      </c>
      <c r="AJ70" s="57" t="str">
        <f aca="false">IF($B70="","",MAX(0,AK70-(SUMIFS('سجل الإجازات والحالات'!$AL$6:$AL$505,'سجل الإجازات والحالات'!$B$6:$B$505,$B70)-SUMIFS('سجل الإجازات والحالات'!$AK$6:$AK$505,'سجل الإجازات والحالات'!$B$6:$B$505,$B70))))</f>
        <v/>
      </c>
      <c r="AK70" s="57" t="str">
        <f aca="false">IF($B70="","",MAX(0,IF(OR(الموظفون!$AE70="",الموظفون!$AE70&gt;$F$3),$F$3,الموظفون!$AE70)-MAX($E$3,الموظفون!$H70)+1))</f>
        <v/>
      </c>
      <c r="AL70" s="126" t="str">
        <f aca="false">IF($B70="","",SUMIFS('سجل الإجازات والحالات'!$AX$6:$AX$505,'سجل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والحالات'!$Z$6:$Z$505,'سجل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والحالات'!$AL$6:$AL$505,'سجل الإجازات والحالات'!$B$6:$B$505,$B71))/cfg_DAYS_Y)</f>
        <v/>
      </c>
      <c r="AI71" s="135" t="str">
        <f aca="false">IF($B71="","",MAX(0,IF(OR(الموظفون!$AE71="",الموظفون!$AE71&gt;($E$3-1)),($E$3-1),الموظفون!$AE71)-الموظفون!$H71+1-SUMIFS('سجل الإجازات والحالات'!$AK$6:$AK$505,'سجل الإجازات والحالات'!$B$6:$B$505,$B71))/cfg_DAYS_Y)</f>
        <v/>
      </c>
      <c r="AJ71" s="110" t="str">
        <f aca="false">IF($B71="","",MAX(0,AK71-(SUMIFS('سجل الإجازات والحالات'!$AL$6:$AL$505,'سجل الإجازات والحالات'!$B$6:$B$505,$B71)-SUMIFS('سجل الإجازات والحالات'!$AK$6:$AK$505,'سجل الإجازات والحالات'!$B$6:$B$505,$B71))))</f>
        <v/>
      </c>
      <c r="AK71" s="110" t="str">
        <f aca="false">IF($B71="","",MAX(0,IF(OR(الموظفون!$AE71="",الموظفون!$AE71&gt;$F$3),$F$3,الموظفون!$AE71)-MAX($E$3,الموظفون!$H71)+1))</f>
        <v/>
      </c>
      <c r="AL71" s="131" t="str">
        <f aca="false">IF($B71="","",SUMIFS('سجل الإجازات والحالات'!$AX$6:$AX$505,'سجل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والحالات'!$Z$6:$Z$505,'سجل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والحالات'!$AL$6:$AL$505,'سجل الإجازات والحالات'!$B$6:$B$505,$B72))/cfg_DAYS_Y)</f>
        <v/>
      </c>
      <c r="AI72" s="130" t="str">
        <f aca="false">IF($B72="","",MAX(0,IF(OR(الموظفون!$AE72="",الموظفون!$AE72&gt;($E$3-1)),($E$3-1),الموظفون!$AE72)-الموظفون!$H72+1-SUMIFS('سجل الإجازات والحالات'!$AK$6:$AK$505,'سجل الإجازات والحالات'!$B$6:$B$505,$B72))/cfg_DAYS_Y)</f>
        <v/>
      </c>
      <c r="AJ72" s="57" t="str">
        <f aca="false">IF($B72="","",MAX(0,AK72-(SUMIFS('سجل الإجازات والحالات'!$AL$6:$AL$505,'سجل الإجازات والحالات'!$B$6:$B$505,$B72)-SUMIFS('سجل الإجازات والحالات'!$AK$6:$AK$505,'سجل الإجازات والحالات'!$B$6:$B$505,$B72))))</f>
        <v/>
      </c>
      <c r="AK72" s="57" t="str">
        <f aca="false">IF($B72="","",MAX(0,IF(OR(الموظفون!$AE72="",الموظفون!$AE72&gt;$F$3),$F$3,الموظفون!$AE72)-MAX($E$3,الموظفون!$H72)+1))</f>
        <v/>
      </c>
      <c r="AL72" s="126" t="str">
        <f aca="false">IF($B72="","",SUMIFS('سجل الإجازات والحالات'!$AX$6:$AX$505,'سجل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والحالات'!$Z$6:$Z$505,'سجل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والحالات'!$AL$6:$AL$505,'سجل الإجازات والحالات'!$B$6:$B$505,$B73))/cfg_DAYS_Y)</f>
        <v/>
      </c>
      <c r="AI73" s="135" t="str">
        <f aca="false">IF($B73="","",MAX(0,IF(OR(الموظفون!$AE73="",الموظفون!$AE73&gt;($E$3-1)),($E$3-1),الموظفون!$AE73)-الموظفون!$H73+1-SUMIFS('سجل الإجازات والحالات'!$AK$6:$AK$505,'سجل الإجازات والحالات'!$B$6:$B$505,$B73))/cfg_DAYS_Y)</f>
        <v/>
      </c>
      <c r="AJ73" s="110" t="str">
        <f aca="false">IF($B73="","",MAX(0,AK73-(SUMIFS('سجل الإجازات والحالات'!$AL$6:$AL$505,'سجل الإجازات والحالات'!$B$6:$B$505,$B73)-SUMIFS('سجل الإجازات والحالات'!$AK$6:$AK$505,'سجل الإجازات والحالات'!$B$6:$B$505,$B73))))</f>
        <v/>
      </c>
      <c r="AK73" s="110" t="str">
        <f aca="false">IF($B73="","",MAX(0,IF(OR(الموظفون!$AE73="",الموظفون!$AE73&gt;$F$3),$F$3,الموظفون!$AE73)-MAX($E$3,الموظفون!$H73)+1))</f>
        <v/>
      </c>
      <c r="AL73" s="131" t="str">
        <f aca="false">IF($B73="","",SUMIFS('سجل الإجازات والحالات'!$AX$6:$AX$505,'سجل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والحالات'!$Z$6:$Z$505,'سجل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والحالات'!$AL$6:$AL$505,'سجل الإجازات والحالات'!$B$6:$B$505,$B74))/cfg_DAYS_Y)</f>
        <v/>
      </c>
      <c r="AI74" s="130" t="str">
        <f aca="false">IF($B74="","",MAX(0,IF(OR(الموظفون!$AE74="",الموظفون!$AE74&gt;($E$3-1)),($E$3-1),الموظفون!$AE74)-الموظفون!$H74+1-SUMIFS('سجل الإجازات والحالات'!$AK$6:$AK$505,'سجل الإجازات والحالات'!$B$6:$B$505,$B74))/cfg_DAYS_Y)</f>
        <v/>
      </c>
      <c r="AJ74" s="57" t="str">
        <f aca="false">IF($B74="","",MAX(0,AK74-(SUMIFS('سجل الإجازات والحالات'!$AL$6:$AL$505,'سجل الإجازات والحالات'!$B$6:$B$505,$B74)-SUMIFS('سجل الإجازات والحالات'!$AK$6:$AK$505,'سجل الإجازات والحالات'!$B$6:$B$505,$B74))))</f>
        <v/>
      </c>
      <c r="AK74" s="57" t="str">
        <f aca="false">IF($B74="","",MAX(0,IF(OR(الموظفون!$AE74="",الموظفون!$AE74&gt;$F$3),$F$3,الموظفون!$AE74)-MAX($E$3,الموظفون!$H74)+1))</f>
        <v/>
      </c>
      <c r="AL74" s="126" t="str">
        <f aca="false">IF($B74="","",SUMIFS('سجل الإجازات والحالات'!$AX$6:$AX$505,'سجل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والحالات'!$Z$6:$Z$505,'سجل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والحالات'!$AL$6:$AL$505,'سجل الإجازات والحالات'!$B$6:$B$505,$B75))/cfg_DAYS_Y)</f>
        <v/>
      </c>
      <c r="AI75" s="135" t="str">
        <f aca="false">IF($B75="","",MAX(0,IF(OR(الموظفون!$AE75="",الموظفون!$AE75&gt;($E$3-1)),($E$3-1),الموظفون!$AE75)-الموظفون!$H75+1-SUMIFS('سجل الإجازات والحالات'!$AK$6:$AK$505,'سجل الإجازات والحالات'!$B$6:$B$505,$B75))/cfg_DAYS_Y)</f>
        <v/>
      </c>
      <c r="AJ75" s="110" t="str">
        <f aca="false">IF($B75="","",MAX(0,AK75-(SUMIFS('سجل الإجازات والحالات'!$AL$6:$AL$505,'سجل الإجازات والحالات'!$B$6:$B$505,$B75)-SUMIFS('سجل الإجازات والحالات'!$AK$6:$AK$505,'سجل الإجازات والحالات'!$B$6:$B$505,$B75))))</f>
        <v/>
      </c>
      <c r="AK75" s="110" t="str">
        <f aca="false">IF($B75="","",MAX(0,IF(OR(الموظفون!$AE75="",الموظفون!$AE75&gt;$F$3),$F$3,الموظفون!$AE75)-MAX($E$3,الموظفون!$H75)+1))</f>
        <v/>
      </c>
      <c r="AL75" s="131" t="str">
        <f aca="false">IF($B75="","",SUMIFS('سجل الإجازات والحالات'!$AX$6:$AX$505,'سجل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والحالات'!$Z$6:$Z$505,'سجل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والحالات'!$AL$6:$AL$505,'سجل الإجازات والحالات'!$B$6:$B$505,$B76))/cfg_DAYS_Y)</f>
        <v/>
      </c>
      <c r="AI76" s="130" t="str">
        <f aca="false">IF($B76="","",MAX(0,IF(OR(الموظفون!$AE76="",الموظفون!$AE76&gt;($E$3-1)),($E$3-1),الموظفون!$AE76)-الموظفون!$H76+1-SUMIFS('سجل الإجازات والحالات'!$AK$6:$AK$505,'سجل الإجازات والحالات'!$B$6:$B$505,$B76))/cfg_DAYS_Y)</f>
        <v/>
      </c>
      <c r="AJ76" s="57" t="str">
        <f aca="false">IF($B76="","",MAX(0,AK76-(SUMIFS('سجل الإجازات والحالات'!$AL$6:$AL$505,'سجل الإجازات والحالات'!$B$6:$B$505,$B76)-SUMIFS('سجل الإجازات والحالات'!$AK$6:$AK$505,'سجل الإجازات والحالات'!$B$6:$B$505,$B76))))</f>
        <v/>
      </c>
      <c r="AK76" s="57" t="str">
        <f aca="false">IF($B76="","",MAX(0,IF(OR(الموظفون!$AE76="",الموظفون!$AE76&gt;$F$3),$F$3,الموظفون!$AE76)-MAX($E$3,الموظفون!$H76)+1))</f>
        <v/>
      </c>
      <c r="AL76" s="126" t="str">
        <f aca="false">IF($B76="","",SUMIFS('سجل الإجازات والحالات'!$AX$6:$AX$505,'سجل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والحالات'!$Z$6:$Z$505,'سجل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والحالات'!$AL$6:$AL$505,'سجل الإجازات والحالات'!$B$6:$B$505,$B77))/cfg_DAYS_Y)</f>
        <v/>
      </c>
      <c r="AI77" s="135" t="str">
        <f aca="false">IF($B77="","",MAX(0,IF(OR(الموظفون!$AE77="",الموظفون!$AE77&gt;($E$3-1)),($E$3-1),الموظفون!$AE77)-الموظفون!$H77+1-SUMIFS('سجل الإجازات والحالات'!$AK$6:$AK$505,'سجل الإجازات والحالات'!$B$6:$B$505,$B77))/cfg_DAYS_Y)</f>
        <v/>
      </c>
      <c r="AJ77" s="110" t="str">
        <f aca="false">IF($B77="","",MAX(0,AK77-(SUMIFS('سجل الإجازات والحالات'!$AL$6:$AL$505,'سجل الإجازات والحالات'!$B$6:$B$505,$B77)-SUMIFS('سجل الإجازات والحالات'!$AK$6:$AK$505,'سجل الإجازات والحالات'!$B$6:$B$505,$B77))))</f>
        <v/>
      </c>
      <c r="AK77" s="110" t="str">
        <f aca="false">IF($B77="","",MAX(0,IF(OR(الموظفون!$AE77="",الموظفون!$AE77&gt;$F$3),$F$3,الموظفون!$AE77)-MAX($E$3,الموظفون!$H77)+1))</f>
        <v/>
      </c>
      <c r="AL77" s="131" t="str">
        <f aca="false">IF($B77="","",SUMIFS('سجل الإجازات والحالات'!$AX$6:$AX$505,'سجل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والحالات'!$Z$6:$Z$505,'سجل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والحالات'!$AL$6:$AL$505,'سجل الإجازات والحالات'!$B$6:$B$505,$B78))/cfg_DAYS_Y)</f>
        <v/>
      </c>
      <c r="AI78" s="130" t="str">
        <f aca="false">IF($B78="","",MAX(0,IF(OR(الموظفون!$AE78="",الموظفون!$AE78&gt;($E$3-1)),($E$3-1),الموظفون!$AE78)-الموظفون!$H78+1-SUMIFS('سجل الإجازات والحالات'!$AK$6:$AK$505,'سجل الإجازات والحالات'!$B$6:$B$505,$B78))/cfg_DAYS_Y)</f>
        <v/>
      </c>
      <c r="AJ78" s="57" t="str">
        <f aca="false">IF($B78="","",MAX(0,AK78-(SUMIFS('سجل الإجازات والحالات'!$AL$6:$AL$505,'سجل الإجازات والحالات'!$B$6:$B$505,$B78)-SUMIFS('سجل الإجازات والحالات'!$AK$6:$AK$505,'سجل الإجازات والحالات'!$B$6:$B$505,$B78))))</f>
        <v/>
      </c>
      <c r="AK78" s="57" t="str">
        <f aca="false">IF($B78="","",MAX(0,IF(OR(الموظفون!$AE78="",الموظفون!$AE78&gt;$F$3),$F$3,الموظفون!$AE78)-MAX($E$3,الموظفون!$H78)+1))</f>
        <v/>
      </c>
      <c r="AL78" s="126" t="str">
        <f aca="false">IF($B78="","",SUMIFS('سجل الإجازات والحالات'!$AX$6:$AX$505,'سجل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والحالات'!$Z$6:$Z$505,'سجل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والحالات'!$AL$6:$AL$505,'سجل الإجازات والحالات'!$B$6:$B$505,$B79))/cfg_DAYS_Y)</f>
        <v/>
      </c>
      <c r="AI79" s="135" t="str">
        <f aca="false">IF($B79="","",MAX(0,IF(OR(الموظفون!$AE79="",الموظفون!$AE79&gt;($E$3-1)),($E$3-1),الموظفون!$AE79)-الموظفون!$H79+1-SUMIFS('سجل الإجازات والحالات'!$AK$6:$AK$505,'سجل الإجازات والحالات'!$B$6:$B$505,$B79))/cfg_DAYS_Y)</f>
        <v/>
      </c>
      <c r="AJ79" s="110" t="str">
        <f aca="false">IF($B79="","",MAX(0,AK79-(SUMIFS('سجل الإجازات والحالات'!$AL$6:$AL$505,'سجل الإجازات والحالات'!$B$6:$B$505,$B79)-SUMIFS('سجل الإجازات والحالات'!$AK$6:$AK$505,'سجل الإجازات والحالات'!$B$6:$B$505,$B79))))</f>
        <v/>
      </c>
      <c r="AK79" s="110" t="str">
        <f aca="false">IF($B79="","",MAX(0,IF(OR(الموظفون!$AE79="",الموظفون!$AE79&gt;$F$3),$F$3,الموظفون!$AE79)-MAX($E$3,الموظفون!$H79)+1))</f>
        <v/>
      </c>
      <c r="AL79" s="131" t="str">
        <f aca="false">IF($B79="","",SUMIFS('سجل الإجازات والحالات'!$AX$6:$AX$505,'سجل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والحالات'!$Z$6:$Z$505,'سجل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والحالات'!$AL$6:$AL$505,'سجل الإجازات والحالات'!$B$6:$B$505,$B80))/cfg_DAYS_Y)</f>
        <v/>
      </c>
      <c r="AI80" s="130" t="str">
        <f aca="false">IF($B80="","",MAX(0,IF(OR(الموظفون!$AE80="",الموظفون!$AE80&gt;($E$3-1)),($E$3-1),الموظفون!$AE80)-الموظفون!$H80+1-SUMIFS('سجل الإجازات والحالات'!$AK$6:$AK$505,'سجل الإجازات والحالات'!$B$6:$B$505,$B80))/cfg_DAYS_Y)</f>
        <v/>
      </c>
      <c r="AJ80" s="57" t="str">
        <f aca="false">IF($B80="","",MAX(0,AK80-(SUMIFS('سجل الإجازات والحالات'!$AL$6:$AL$505,'سجل الإجازات والحالات'!$B$6:$B$505,$B80)-SUMIFS('سجل الإجازات والحالات'!$AK$6:$AK$505,'سجل الإجازات والحالات'!$B$6:$B$505,$B80))))</f>
        <v/>
      </c>
      <c r="AK80" s="57" t="str">
        <f aca="false">IF($B80="","",MAX(0,IF(OR(الموظفون!$AE80="",الموظفون!$AE80&gt;$F$3),$F$3,الموظفون!$AE80)-MAX($E$3,الموظفون!$H80)+1))</f>
        <v/>
      </c>
      <c r="AL80" s="126" t="str">
        <f aca="false">IF($B80="","",SUMIFS('سجل الإجازات والحالات'!$AX$6:$AX$505,'سجل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والحالات'!$Z$6:$Z$505,'سجل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والحالات'!$AL$6:$AL$505,'سجل الإجازات والحالات'!$B$6:$B$505,$B81))/cfg_DAYS_Y)</f>
        <v/>
      </c>
      <c r="AI81" s="135" t="str">
        <f aca="false">IF($B81="","",MAX(0,IF(OR(الموظفون!$AE81="",الموظفون!$AE81&gt;($E$3-1)),($E$3-1),الموظفون!$AE81)-الموظفون!$H81+1-SUMIFS('سجل الإجازات والحالات'!$AK$6:$AK$505,'سجل الإجازات والحالات'!$B$6:$B$505,$B81))/cfg_DAYS_Y)</f>
        <v/>
      </c>
      <c r="AJ81" s="110" t="str">
        <f aca="false">IF($B81="","",MAX(0,AK81-(SUMIFS('سجل الإجازات والحالات'!$AL$6:$AL$505,'سجل الإجازات والحالات'!$B$6:$B$505,$B81)-SUMIFS('سجل الإجازات والحالات'!$AK$6:$AK$505,'سجل الإجازات والحالات'!$B$6:$B$505,$B81))))</f>
        <v/>
      </c>
      <c r="AK81" s="110" t="str">
        <f aca="false">IF($B81="","",MAX(0,IF(OR(الموظفون!$AE81="",الموظفون!$AE81&gt;$F$3),$F$3,الموظفون!$AE81)-MAX($E$3,الموظفون!$H81)+1))</f>
        <v/>
      </c>
      <c r="AL81" s="131" t="str">
        <f aca="false">IF($B81="","",SUMIFS('سجل الإجازات والحالات'!$AX$6:$AX$505,'سجل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والحالات'!$Z$6:$Z$505,'سجل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والحالات'!$AL$6:$AL$505,'سجل الإجازات والحالات'!$B$6:$B$505,$B82))/cfg_DAYS_Y)</f>
        <v/>
      </c>
      <c r="AI82" s="130" t="str">
        <f aca="false">IF($B82="","",MAX(0,IF(OR(الموظفون!$AE82="",الموظفون!$AE82&gt;($E$3-1)),($E$3-1),الموظفون!$AE82)-الموظفون!$H82+1-SUMIFS('سجل الإجازات والحالات'!$AK$6:$AK$505,'سجل الإجازات والحالات'!$B$6:$B$505,$B82))/cfg_DAYS_Y)</f>
        <v/>
      </c>
      <c r="AJ82" s="57" t="str">
        <f aca="false">IF($B82="","",MAX(0,AK82-(SUMIFS('سجل الإجازات والحالات'!$AL$6:$AL$505,'سجل الإجازات والحالات'!$B$6:$B$505,$B82)-SUMIFS('سجل الإجازات والحالات'!$AK$6:$AK$505,'سجل الإجازات والحالات'!$B$6:$B$505,$B82))))</f>
        <v/>
      </c>
      <c r="AK82" s="57" t="str">
        <f aca="false">IF($B82="","",MAX(0,IF(OR(الموظفون!$AE82="",الموظفون!$AE82&gt;$F$3),$F$3,الموظفون!$AE82)-MAX($E$3,الموظفون!$H82)+1))</f>
        <v/>
      </c>
      <c r="AL82" s="126" t="str">
        <f aca="false">IF($B82="","",SUMIFS('سجل الإجازات والحالات'!$AX$6:$AX$505,'سجل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والحالات'!$Z$6:$Z$505,'سجل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والحالات'!$AL$6:$AL$505,'سجل الإجازات والحالات'!$B$6:$B$505,$B83))/cfg_DAYS_Y)</f>
        <v/>
      </c>
      <c r="AI83" s="135" t="str">
        <f aca="false">IF($B83="","",MAX(0,IF(OR(الموظفون!$AE83="",الموظفون!$AE83&gt;($E$3-1)),($E$3-1),الموظفون!$AE83)-الموظفون!$H83+1-SUMIFS('سجل الإجازات والحالات'!$AK$6:$AK$505,'سجل الإجازات والحالات'!$B$6:$B$505,$B83))/cfg_DAYS_Y)</f>
        <v/>
      </c>
      <c r="AJ83" s="110" t="str">
        <f aca="false">IF($B83="","",MAX(0,AK83-(SUMIFS('سجل الإجازات والحالات'!$AL$6:$AL$505,'سجل الإجازات والحالات'!$B$6:$B$505,$B83)-SUMIFS('سجل الإجازات والحالات'!$AK$6:$AK$505,'سجل الإجازات والحالات'!$B$6:$B$505,$B83))))</f>
        <v/>
      </c>
      <c r="AK83" s="110" t="str">
        <f aca="false">IF($B83="","",MAX(0,IF(OR(الموظفون!$AE83="",الموظفون!$AE83&gt;$F$3),$F$3,الموظفون!$AE83)-MAX($E$3,الموظفون!$H83)+1))</f>
        <v/>
      </c>
      <c r="AL83" s="131" t="str">
        <f aca="false">IF($B83="","",SUMIFS('سجل الإجازات والحالات'!$AX$6:$AX$505,'سجل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والحالات'!$Z$6:$Z$505,'سجل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والحالات'!$AL$6:$AL$505,'سجل الإجازات والحالات'!$B$6:$B$505,$B84))/cfg_DAYS_Y)</f>
        <v/>
      </c>
      <c r="AI84" s="130" t="str">
        <f aca="false">IF($B84="","",MAX(0,IF(OR(الموظفون!$AE84="",الموظفون!$AE84&gt;($E$3-1)),($E$3-1),الموظفون!$AE84)-الموظفون!$H84+1-SUMIFS('سجل الإجازات والحالات'!$AK$6:$AK$505,'سجل الإجازات والحالات'!$B$6:$B$505,$B84))/cfg_DAYS_Y)</f>
        <v/>
      </c>
      <c r="AJ84" s="57" t="str">
        <f aca="false">IF($B84="","",MAX(0,AK84-(SUMIFS('سجل الإجازات والحالات'!$AL$6:$AL$505,'سجل الإجازات والحالات'!$B$6:$B$505,$B84)-SUMIFS('سجل الإجازات والحالات'!$AK$6:$AK$505,'سجل الإجازات والحالات'!$B$6:$B$505,$B84))))</f>
        <v/>
      </c>
      <c r="AK84" s="57" t="str">
        <f aca="false">IF($B84="","",MAX(0,IF(OR(الموظفون!$AE84="",الموظفون!$AE84&gt;$F$3),$F$3,الموظفون!$AE84)-MAX($E$3,الموظفون!$H84)+1))</f>
        <v/>
      </c>
      <c r="AL84" s="126" t="str">
        <f aca="false">IF($B84="","",SUMIFS('سجل الإجازات والحالات'!$AX$6:$AX$505,'سجل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والحالات'!$Z$6:$Z$505,'سجل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والحالات'!$AL$6:$AL$505,'سجل الإجازات والحالات'!$B$6:$B$505,$B85))/cfg_DAYS_Y)</f>
        <v/>
      </c>
      <c r="AI85" s="135" t="str">
        <f aca="false">IF($B85="","",MAX(0,IF(OR(الموظفون!$AE85="",الموظفون!$AE85&gt;($E$3-1)),($E$3-1),الموظفون!$AE85)-الموظفون!$H85+1-SUMIFS('سجل الإجازات والحالات'!$AK$6:$AK$505,'سجل الإجازات والحالات'!$B$6:$B$505,$B85))/cfg_DAYS_Y)</f>
        <v/>
      </c>
      <c r="AJ85" s="110" t="str">
        <f aca="false">IF($B85="","",MAX(0,AK85-(SUMIFS('سجل الإجازات والحالات'!$AL$6:$AL$505,'سجل الإجازات والحالات'!$B$6:$B$505,$B85)-SUMIFS('سجل الإجازات والحالات'!$AK$6:$AK$505,'سجل الإجازات والحالات'!$B$6:$B$505,$B85))))</f>
        <v/>
      </c>
      <c r="AK85" s="110" t="str">
        <f aca="false">IF($B85="","",MAX(0,IF(OR(الموظفون!$AE85="",الموظفون!$AE85&gt;$F$3),$F$3,الموظفون!$AE85)-MAX($E$3,الموظفون!$H85)+1))</f>
        <v/>
      </c>
      <c r="AL85" s="131" t="str">
        <f aca="false">IF($B85="","",SUMIFS('سجل الإجازات والحالات'!$AX$6:$AX$505,'سجل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والحالات'!$Z$6:$Z$505,'سجل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والحالات'!$AL$6:$AL$505,'سجل الإجازات والحالات'!$B$6:$B$505,$B86))/cfg_DAYS_Y)</f>
        <v/>
      </c>
      <c r="AI86" s="130" t="str">
        <f aca="false">IF($B86="","",MAX(0,IF(OR(الموظفون!$AE86="",الموظفون!$AE86&gt;($E$3-1)),($E$3-1),الموظفون!$AE86)-الموظفون!$H86+1-SUMIFS('سجل الإجازات والحالات'!$AK$6:$AK$505,'سجل الإجازات والحالات'!$B$6:$B$505,$B86))/cfg_DAYS_Y)</f>
        <v/>
      </c>
      <c r="AJ86" s="57" t="str">
        <f aca="false">IF($B86="","",MAX(0,AK86-(SUMIFS('سجل الإجازات والحالات'!$AL$6:$AL$505,'سجل الإجازات والحالات'!$B$6:$B$505,$B86)-SUMIFS('سجل الإجازات والحالات'!$AK$6:$AK$505,'سجل الإجازات والحالات'!$B$6:$B$505,$B86))))</f>
        <v/>
      </c>
      <c r="AK86" s="57" t="str">
        <f aca="false">IF($B86="","",MAX(0,IF(OR(الموظفون!$AE86="",الموظفون!$AE86&gt;$F$3),$F$3,الموظفون!$AE86)-MAX($E$3,الموظفون!$H86)+1))</f>
        <v/>
      </c>
      <c r="AL86" s="126" t="str">
        <f aca="false">IF($B86="","",SUMIFS('سجل الإجازات والحالات'!$AX$6:$AX$505,'سجل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والحالات'!$Z$6:$Z$505,'سجل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والحالات'!$AL$6:$AL$505,'سجل الإجازات والحالات'!$B$6:$B$505,$B87))/cfg_DAYS_Y)</f>
        <v/>
      </c>
      <c r="AI87" s="135" t="str">
        <f aca="false">IF($B87="","",MAX(0,IF(OR(الموظفون!$AE87="",الموظفون!$AE87&gt;($E$3-1)),($E$3-1),الموظفون!$AE87)-الموظفون!$H87+1-SUMIFS('سجل الإجازات والحالات'!$AK$6:$AK$505,'سجل الإجازات والحالات'!$B$6:$B$505,$B87))/cfg_DAYS_Y)</f>
        <v/>
      </c>
      <c r="AJ87" s="110" t="str">
        <f aca="false">IF($B87="","",MAX(0,AK87-(SUMIFS('سجل الإجازات والحالات'!$AL$6:$AL$505,'سجل الإجازات والحالات'!$B$6:$B$505,$B87)-SUMIFS('سجل الإجازات والحالات'!$AK$6:$AK$505,'سجل الإجازات والحالات'!$B$6:$B$505,$B87))))</f>
        <v/>
      </c>
      <c r="AK87" s="110" t="str">
        <f aca="false">IF($B87="","",MAX(0,IF(OR(الموظفون!$AE87="",الموظفون!$AE87&gt;$F$3),$F$3,الموظفون!$AE87)-MAX($E$3,الموظفون!$H87)+1))</f>
        <v/>
      </c>
      <c r="AL87" s="131" t="str">
        <f aca="false">IF($B87="","",SUMIFS('سجل الإجازات والحالات'!$AX$6:$AX$505,'سجل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والحالات'!$Z$6:$Z$505,'سجل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والحالات'!$AL$6:$AL$505,'سجل الإجازات والحالات'!$B$6:$B$505,$B88))/cfg_DAYS_Y)</f>
        <v/>
      </c>
      <c r="AI88" s="130" t="str">
        <f aca="false">IF($B88="","",MAX(0,IF(OR(الموظفون!$AE88="",الموظفون!$AE88&gt;($E$3-1)),($E$3-1),الموظفون!$AE88)-الموظفون!$H88+1-SUMIFS('سجل الإجازات والحالات'!$AK$6:$AK$505,'سجل الإجازات والحالات'!$B$6:$B$505,$B88))/cfg_DAYS_Y)</f>
        <v/>
      </c>
      <c r="AJ88" s="57" t="str">
        <f aca="false">IF($B88="","",MAX(0,AK88-(SUMIFS('سجل الإجازات والحالات'!$AL$6:$AL$505,'سجل الإجازات والحالات'!$B$6:$B$505,$B88)-SUMIFS('سجل الإجازات والحالات'!$AK$6:$AK$505,'سجل الإجازات والحالات'!$B$6:$B$505,$B88))))</f>
        <v/>
      </c>
      <c r="AK88" s="57" t="str">
        <f aca="false">IF($B88="","",MAX(0,IF(OR(الموظفون!$AE88="",الموظفون!$AE88&gt;$F$3),$F$3,الموظفون!$AE88)-MAX($E$3,الموظفون!$H88)+1))</f>
        <v/>
      </c>
      <c r="AL88" s="126" t="str">
        <f aca="false">IF($B88="","",SUMIFS('سجل الإجازات والحالات'!$AX$6:$AX$505,'سجل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والحالات'!$Z$6:$Z$505,'سجل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والحالات'!$AL$6:$AL$505,'سجل الإجازات والحالات'!$B$6:$B$505,$B89))/cfg_DAYS_Y)</f>
        <v/>
      </c>
      <c r="AI89" s="135" t="str">
        <f aca="false">IF($B89="","",MAX(0,IF(OR(الموظفون!$AE89="",الموظفون!$AE89&gt;($E$3-1)),($E$3-1),الموظفون!$AE89)-الموظفون!$H89+1-SUMIFS('سجل الإجازات والحالات'!$AK$6:$AK$505,'سجل الإجازات والحالات'!$B$6:$B$505,$B89))/cfg_DAYS_Y)</f>
        <v/>
      </c>
      <c r="AJ89" s="110" t="str">
        <f aca="false">IF($B89="","",MAX(0,AK89-(SUMIFS('سجل الإجازات والحالات'!$AL$6:$AL$505,'سجل الإجازات والحالات'!$B$6:$B$505,$B89)-SUMIFS('سجل الإجازات والحالات'!$AK$6:$AK$505,'سجل الإجازات والحالات'!$B$6:$B$505,$B89))))</f>
        <v/>
      </c>
      <c r="AK89" s="110" t="str">
        <f aca="false">IF($B89="","",MAX(0,IF(OR(الموظفون!$AE89="",الموظفون!$AE89&gt;$F$3),$F$3,الموظفون!$AE89)-MAX($E$3,الموظفون!$H89)+1))</f>
        <v/>
      </c>
      <c r="AL89" s="131" t="str">
        <f aca="false">IF($B89="","",SUMIFS('سجل الإجازات والحالات'!$AX$6:$AX$505,'سجل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والحالات'!$Z$6:$Z$505,'سجل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والحالات'!$AL$6:$AL$505,'سجل الإجازات والحالات'!$B$6:$B$505,$B90))/cfg_DAYS_Y)</f>
        <v/>
      </c>
      <c r="AI90" s="130" t="str">
        <f aca="false">IF($B90="","",MAX(0,IF(OR(الموظفون!$AE90="",الموظفون!$AE90&gt;($E$3-1)),($E$3-1),الموظفون!$AE90)-الموظفون!$H90+1-SUMIFS('سجل الإجازات والحالات'!$AK$6:$AK$505,'سجل الإجازات والحالات'!$B$6:$B$505,$B90))/cfg_DAYS_Y)</f>
        <v/>
      </c>
      <c r="AJ90" s="57" t="str">
        <f aca="false">IF($B90="","",MAX(0,AK90-(SUMIFS('سجل الإجازات والحالات'!$AL$6:$AL$505,'سجل الإجازات والحالات'!$B$6:$B$505,$B90)-SUMIFS('سجل الإجازات والحالات'!$AK$6:$AK$505,'سجل الإجازات والحالات'!$B$6:$B$505,$B90))))</f>
        <v/>
      </c>
      <c r="AK90" s="57" t="str">
        <f aca="false">IF($B90="","",MAX(0,IF(OR(الموظفون!$AE90="",الموظفون!$AE90&gt;$F$3),$F$3,الموظفون!$AE90)-MAX($E$3,الموظفون!$H90)+1))</f>
        <v/>
      </c>
      <c r="AL90" s="126" t="str">
        <f aca="false">IF($B90="","",SUMIFS('سجل الإجازات والحالات'!$AX$6:$AX$505,'سجل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والحالات'!$Z$6:$Z$505,'سجل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والحالات'!$AL$6:$AL$505,'سجل الإجازات والحالات'!$B$6:$B$505,$B91))/cfg_DAYS_Y)</f>
        <v/>
      </c>
      <c r="AI91" s="135" t="str">
        <f aca="false">IF($B91="","",MAX(0,IF(OR(الموظفون!$AE91="",الموظفون!$AE91&gt;($E$3-1)),($E$3-1),الموظفون!$AE91)-الموظفون!$H91+1-SUMIFS('سجل الإجازات والحالات'!$AK$6:$AK$505,'سجل الإجازات والحالات'!$B$6:$B$505,$B91))/cfg_DAYS_Y)</f>
        <v/>
      </c>
      <c r="AJ91" s="110" t="str">
        <f aca="false">IF($B91="","",MAX(0,AK91-(SUMIFS('سجل الإجازات والحالات'!$AL$6:$AL$505,'سجل الإجازات والحالات'!$B$6:$B$505,$B91)-SUMIFS('سجل الإجازات والحالات'!$AK$6:$AK$505,'سجل الإجازات والحالات'!$B$6:$B$505,$B91))))</f>
        <v/>
      </c>
      <c r="AK91" s="110" t="str">
        <f aca="false">IF($B91="","",MAX(0,IF(OR(الموظفون!$AE91="",الموظفون!$AE91&gt;$F$3),$F$3,الموظفون!$AE91)-MAX($E$3,الموظفون!$H91)+1))</f>
        <v/>
      </c>
      <c r="AL91" s="131" t="str">
        <f aca="false">IF($B91="","",SUMIFS('سجل الإجازات والحالات'!$AX$6:$AX$505,'سجل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والحالات'!$Z$6:$Z$505,'سجل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والحالات'!$AL$6:$AL$505,'سجل الإجازات والحالات'!$B$6:$B$505,$B92))/cfg_DAYS_Y)</f>
        <v/>
      </c>
      <c r="AI92" s="130" t="str">
        <f aca="false">IF($B92="","",MAX(0,IF(OR(الموظفون!$AE92="",الموظفون!$AE92&gt;($E$3-1)),($E$3-1),الموظفون!$AE92)-الموظفون!$H92+1-SUMIFS('سجل الإجازات والحالات'!$AK$6:$AK$505,'سجل الإجازات والحالات'!$B$6:$B$505,$B92))/cfg_DAYS_Y)</f>
        <v/>
      </c>
      <c r="AJ92" s="57" t="str">
        <f aca="false">IF($B92="","",MAX(0,AK92-(SUMIFS('سجل الإجازات والحالات'!$AL$6:$AL$505,'سجل الإجازات والحالات'!$B$6:$B$505,$B92)-SUMIFS('سجل الإجازات والحالات'!$AK$6:$AK$505,'سجل الإجازات والحالات'!$B$6:$B$505,$B92))))</f>
        <v/>
      </c>
      <c r="AK92" s="57" t="str">
        <f aca="false">IF($B92="","",MAX(0,IF(OR(الموظفون!$AE92="",الموظفون!$AE92&gt;$F$3),$F$3,الموظفون!$AE92)-MAX($E$3,الموظفون!$H92)+1))</f>
        <v/>
      </c>
      <c r="AL92" s="126" t="str">
        <f aca="false">IF($B92="","",SUMIFS('سجل الإجازات والحالات'!$AX$6:$AX$505,'سجل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والحالات'!$Z$6:$Z$505,'سجل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والحالات'!$AL$6:$AL$505,'سجل الإجازات والحالات'!$B$6:$B$505,$B93))/cfg_DAYS_Y)</f>
        <v/>
      </c>
      <c r="AI93" s="135" t="str">
        <f aca="false">IF($B93="","",MAX(0,IF(OR(الموظفون!$AE93="",الموظفون!$AE93&gt;($E$3-1)),($E$3-1),الموظفون!$AE93)-الموظفون!$H93+1-SUMIFS('سجل الإجازات والحالات'!$AK$6:$AK$505,'سجل الإجازات والحالات'!$B$6:$B$505,$B93))/cfg_DAYS_Y)</f>
        <v/>
      </c>
      <c r="AJ93" s="110" t="str">
        <f aca="false">IF($B93="","",MAX(0,AK93-(SUMIFS('سجل الإجازات والحالات'!$AL$6:$AL$505,'سجل الإجازات والحالات'!$B$6:$B$505,$B93)-SUMIFS('سجل الإجازات والحالات'!$AK$6:$AK$505,'سجل الإجازات والحالات'!$B$6:$B$505,$B93))))</f>
        <v/>
      </c>
      <c r="AK93" s="110" t="str">
        <f aca="false">IF($B93="","",MAX(0,IF(OR(الموظفون!$AE93="",الموظفون!$AE93&gt;$F$3),$F$3,الموظفون!$AE93)-MAX($E$3,الموظفون!$H93)+1))</f>
        <v/>
      </c>
      <c r="AL93" s="131" t="str">
        <f aca="false">IF($B93="","",SUMIFS('سجل الإجازات والحالات'!$AX$6:$AX$505,'سجل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والحالات'!$Z$6:$Z$505,'سجل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والحالات'!$AL$6:$AL$505,'سجل الإجازات والحالات'!$B$6:$B$505,$B94))/cfg_DAYS_Y)</f>
        <v/>
      </c>
      <c r="AI94" s="130" t="str">
        <f aca="false">IF($B94="","",MAX(0,IF(OR(الموظفون!$AE94="",الموظفون!$AE94&gt;($E$3-1)),($E$3-1),الموظفون!$AE94)-الموظفون!$H94+1-SUMIFS('سجل الإجازات والحالات'!$AK$6:$AK$505,'سجل الإجازات والحالات'!$B$6:$B$505,$B94))/cfg_DAYS_Y)</f>
        <v/>
      </c>
      <c r="AJ94" s="57" t="str">
        <f aca="false">IF($B94="","",MAX(0,AK94-(SUMIFS('سجل الإجازات والحالات'!$AL$6:$AL$505,'سجل الإجازات والحالات'!$B$6:$B$505,$B94)-SUMIFS('سجل الإجازات والحالات'!$AK$6:$AK$505,'سجل الإجازات والحالات'!$B$6:$B$505,$B94))))</f>
        <v/>
      </c>
      <c r="AK94" s="57" t="str">
        <f aca="false">IF($B94="","",MAX(0,IF(OR(الموظفون!$AE94="",الموظفون!$AE94&gt;$F$3),$F$3,الموظفون!$AE94)-MAX($E$3,الموظفون!$H94)+1))</f>
        <v/>
      </c>
      <c r="AL94" s="126" t="str">
        <f aca="false">IF($B94="","",SUMIFS('سجل الإجازات والحالات'!$AX$6:$AX$505,'سجل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والحالات'!$Z$6:$Z$505,'سجل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والحالات'!$AL$6:$AL$505,'سجل الإجازات والحالات'!$B$6:$B$505,$B95))/cfg_DAYS_Y)</f>
        <v/>
      </c>
      <c r="AI95" s="135" t="str">
        <f aca="false">IF($B95="","",MAX(0,IF(OR(الموظفون!$AE95="",الموظفون!$AE95&gt;($E$3-1)),($E$3-1),الموظفون!$AE95)-الموظفون!$H95+1-SUMIFS('سجل الإجازات والحالات'!$AK$6:$AK$505,'سجل الإجازات والحالات'!$B$6:$B$505,$B95))/cfg_DAYS_Y)</f>
        <v/>
      </c>
      <c r="AJ95" s="110" t="str">
        <f aca="false">IF($B95="","",MAX(0,AK95-(SUMIFS('سجل الإجازات والحالات'!$AL$6:$AL$505,'سجل الإجازات والحالات'!$B$6:$B$505,$B95)-SUMIFS('سجل الإجازات والحالات'!$AK$6:$AK$505,'سجل الإجازات والحالات'!$B$6:$B$505,$B95))))</f>
        <v/>
      </c>
      <c r="AK95" s="110" t="str">
        <f aca="false">IF($B95="","",MAX(0,IF(OR(الموظفون!$AE95="",الموظفون!$AE95&gt;$F$3),$F$3,الموظفون!$AE95)-MAX($E$3,الموظفون!$H95)+1))</f>
        <v/>
      </c>
      <c r="AL95" s="131" t="str">
        <f aca="false">IF($B95="","",SUMIFS('سجل الإجازات والحالات'!$AX$6:$AX$505,'سجل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والحالات'!$Z$6:$Z$505,'سجل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والحالات'!$AL$6:$AL$505,'سجل الإجازات والحالات'!$B$6:$B$505,$B96))/cfg_DAYS_Y)</f>
        <v/>
      </c>
      <c r="AI96" s="130" t="str">
        <f aca="false">IF($B96="","",MAX(0,IF(OR(الموظفون!$AE96="",الموظفون!$AE96&gt;($E$3-1)),($E$3-1),الموظفون!$AE96)-الموظفون!$H96+1-SUMIFS('سجل الإجازات والحالات'!$AK$6:$AK$505,'سجل الإجازات والحالات'!$B$6:$B$505,$B96))/cfg_DAYS_Y)</f>
        <v/>
      </c>
      <c r="AJ96" s="57" t="str">
        <f aca="false">IF($B96="","",MAX(0,AK96-(SUMIFS('سجل الإجازات والحالات'!$AL$6:$AL$505,'سجل الإجازات والحالات'!$B$6:$B$505,$B96)-SUMIFS('سجل الإجازات والحالات'!$AK$6:$AK$505,'سجل الإجازات والحالات'!$B$6:$B$505,$B96))))</f>
        <v/>
      </c>
      <c r="AK96" s="57" t="str">
        <f aca="false">IF($B96="","",MAX(0,IF(OR(الموظفون!$AE96="",الموظفون!$AE96&gt;$F$3),$F$3,الموظفون!$AE96)-MAX($E$3,الموظفون!$H96)+1))</f>
        <v/>
      </c>
      <c r="AL96" s="126" t="str">
        <f aca="false">IF($B96="","",SUMIFS('سجل الإجازات والحالات'!$AX$6:$AX$505,'سجل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والحالات'!$Z$6:$Z$505,'سجل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والحالات'!$AL$6:$AL$505,'سجل الإجازات والحالات'!$B$6:$B$505,$B97))/cfg_DAYS_Y)</f>
        <v/>
      </c>
      <c r="AI97" s="135" t="str">
        <f aca="false">IF($B97="","",MAX(0,IF(OR(الموظفون!$AE97="",الموظفون!$AE97&gt;($E$3-1)),($E$3-1),الموظفون!$AE97)-الموظفون!$H97+1-SUMIFS('سجل الإجازات والحالات'!$AK$6:$AK$505,'سجل الإجازات والحالات'!$B$6:$B$505,$B97))/cfg_DAYS_Y)</f>
        <v/>
      </c>
      <c r="AJ97" s="110" t="str">
        <f aca="false">IF($B97="","",MAX(0,AK97-(SUMIFS('سجل الإجازات والحالات'!$AL$6:$AL$505,'سجل الإجازات والحالات'!$B$6:$B$505,$B97)-SUMIFS('سجل الإجازات والحالات'!$AK$6:$AK$505,'سجل الإجازات والحالات'!$B$6:$B$505,$B97))))</f>
        <v/>
      </c>
      <c r="AK97" s="110" t="str">
        <f aca="false">IF($B97="","",MAX(0,IF(OR(الموظفون!$AE97="",الموظفون!$AE97&gt;$F$3),$F$3,الموظفون!$AE97)-MAX($E$3,الموظفون!$H97)+1))</f>
        <v/>
      </c>
      <c r="AL97" s="131" t="str">
        <f aca="false">IF($B97="","",SUMIFS('سجل الإجازات والحالات'!$AX$6:$AX$505,'سجل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والحالات'!$Z$6:$Z$505,'سجل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والحالات'!$AL$6:$AL$505,'سجل الإجازات والحالات'!$B$6:$B$505,$B98))/cfg_DAYS_Y)</f>
        <v/>
      </c>
      <c r="AI98" s="130" t="str">
        <f aca="false">IF($B98="","",MAX(0,IF(OR(الموظفون!$AE98="",الموظفون!$AE98&gt;($E$3-1)),($E$3-1),الموظفون!$AE98)-الموظفون!$H98+1-SUMIFS('سجل الإجازات والحالات'!$AK$6:$AK$505,'سجل الإجازات والحالات'!$B$6:$B$505,$B98))/cfg_DAYS_Y)</f>
        <v/>
      </c>
      <c r="AJ98" s="57" t="str">
        <f aca="false">IF($B98="","",MAX(0,AK98-(SUMIFS('سجل الإجازات والحالات'!$AL$6:$AL$505,'سجل الإجازات والحالات'!$B$6:$B$505,$B98)-SUMIFS('سجل الإجازات والحالات'!$AK$6:$AK$505,'سجل الإجازات والحالات'!$B$6:$B$505,$B98))))</f>
        <v/>
      </c>
      <c r="AK98" s="57" t="str">
        <f aca="false">IF($B98="","",MAX(0,IF(OR(الموظفون!$AE98="",الموظفون!$AE98&gt;$F$3),$F$3,الموظفون!$AE98)-MAX($E$3,الموظفون!$H98)+1))</f>
        <v/>
      </c>
      <c r="AL98" s="126" t="str">
        <f aca="false">IF($B98="","",SUMIFS('سجل الإجازات والحالات'!$AX$6:$AX$505,'سجل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والحالات'!$Z$6:$Z$505,'سجل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والحالات'!$AL$6:$AL$505,'سجل الإجازات والحالات'!$B$6:$B$505,$B99))/cfg_DAYS_Y)</f>
        <v/>
      </c>
      <c r="AI99" s="135" t="str">
        <f aca="false">IF($B99="","",MAX(0,IF(OR(الموظفون!$AE99="",الموظفون!$AE99&gt;($E$3-1)),($E$3-1),الموظفون!$AE99)-الموظفون!$H99+1-SUMIFS('سجل الإجازات والحالات'!$AK$6:$AK$505,'سجل الإجازات والحالات'!$B$6:$B$505,$B99))/cfg_DAYS_Y)</f>
        <v/>
      </c>
      <c r="AJ99" s="110" t="str">
        <f aca="false">IF($B99="","",MAX(0,AK99-(SUMIFS('سجل الإجازات والحالات'!$AL$6:$AL$505,'سجل الإجازات والحالات'!$B$6:$B$505,$B99)-SUMIFS('سجل الإجازات والحالات'!$AK$6:$AK$505,'سجل الإجازات والحالات'!$B$6:$B$505,$B99))))</f>
        <v/>
      </c>
      <c r="AK99" s="110" t="str">
        <f aca="false">IF($B99="","",MAX(0,IF(OR(الموظفون!$AE99="",الموظفون!$AE99&gt;$F$3),$F$3,الموظفون!$AE99)-MAX($E$3,الموظفون!$H99)+1))</f>
        <v/>
      </c>
      <c r="AL99" s="131" t="str">
        <f aca="false">IF($B99="","",SUMIFS('سجل الإجازات والحالات'!$AX$6:$AX$505,'سجل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والحالات'!$Z$6:$Z$505,'سجل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والحالات'!$AL$6:$AL$505,'سجل الإجازات والحالات'!$B$6:$B$505,$B100))/cfg_DAYS_Y)</f>
        <v/>
      </c>
      <c r="AI100" s="130" t="str">
        <f aca="false">IF($B100="","",MAX(0,IF(OR(الموظفون!$AE100="",الموظفون!$AE100&gt;($E$3-1)),($E$3-1),الموظفون!$AE100)-الموظفون!$H100+1-SUMIFS('سجل الإجازات والحالات'!$AK$6:$AK$505,'سجل الإجازات والحالات'!$B$6:$B$505,$B100))/cfg_DAYS_Y)</f>
        <v/>
      </c>
      <c r="AJ100" s="57" t="str">
        <f aca="false">IF($B100="","",MAX(0,AK100-(SUMIFS('سجل الإجازات والحالات'!$AL$6:$AL$505,'سجل الإجازات والحالات'!$B$6:$B$505,$B100)-SUMIFS('سجل الإجازات والحالات'!$AK$6:$AK$505,'سجل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والحالات'!$AX$6:$AX$505,'سجل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والحالات'!$Z$6:$Z$505,'سجل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والحالات'!$AL$6:$AL$505,'سجل الإجازات والحالات'!$B$6:$B$505,$B101))/cfg_DAYS_Y)</f>
        <v/>
      </c>
      <c r="AI101" s="135" t="str">
        <f aca="false">IF($B101="","",MAX(0,IF(OR(الموظفون!$AE101="",الموظفون!$AE101&gt;($E$3-1)),($E$3-1),الموظفون!$AE101)-الموظفون!$H101+1-SUMIFS('سجل الإجازات والحالات'!$AK$6:$AK$505,'سجل الإجازات والحالات'!$B$6:$B$505,$B101))/cfg_DAYS_Y)</f>
        <v/>
      </c>
      <c r="AJ101" s="110" t="str">
        <f aca="false">IF($B101="","",MAX(0,AK101-(SUMIFS('سجل الإجازات والحالات'!$AL$6:$AL$505,'سجل الإجازات والحالات'!$B$6:$B$505,$B101)-SUMIFS('سجل الإجازات والحالات'!$AK$6:$AK$505,'سجل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والحالات'!$AX$6:$AX$505,'سجل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والحالات'!$Z$6:$Z$505,'سجل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والحالات'!$AL$6:$AL$505,'سجل الإجازات والحالات'!$B$6:$B$505,$B102))/cfg_DAYS_Y)</f>
        <v/>
      </c>
      <c r="AI102" s="130" t="str">
        <f aca="false">IF($B102="","",MAX(0,IF(OR(الموظفون!$AE102="",الموظفون!$AE102&gt;($E$3-1)),($E$3-1),الموظفون!$AE102)-الموظفون!$H102+1-SUMIFS('سجل الإجازات والحالات'!$AK$6:$AK$505,'سجل الإجازات والحالات'!$B$6:$B$505,$B102))/cfg_DAYS_Y)</f>
        <v/>
      </c>
      <c r="AJ102" s="57" t="str">
        <f aca="false">IF($B102="","",MAX(0,AK102-(SUMIFS('سجل الإجازات والحالات'!$AL$6:$AL$505,'سجل الإجازات والحالات'!$B$6:$B$505,$B102)-SUMIFS('سجل الإجازات والحالات'!$AK$6:$AK$505,'سجل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والحالات'!$AX$6:$AX$505,'سجل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والحالات'!$Z$6:$Z$505,'سجل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والحالات'!$AL$6:$AL$505,'سجل الإجازات والحالات'!$B$6:$B$505,$B103))/cfg_DAYS_Y)</f>
        <v/>
      </c>
      <c r="AI103" s="135" t="str">
        <f aca="false">IF($B103="","",MAX(0,IF(OR(الموظفون!$AE103="",الموظفون!$AE103&gt;($E$3-1)),($E$3-1),الموظفون!$AE103)-الموظفون!$H103+1-SUMIFS('سجل الإجازات والحالات'!$AK$6:$AK$505,'سجل الإجازات والحالات'!$B$6:$B$505,$B103))/cfg_DAYS_Y)</f>
        <v/>
      </c>
      <c r="AJ103" s="110" t="str">
        <f aca="false">IF($B103="","",MAX(0,AK103-(SUMIFS('سجل الإجازات والحالات'!$AL$6:$AL$505,'سجل الإجازات والحالات'!$B$6:$B$505,$B103)-SUMIFS('سجل الإجازات والحالات'!$AK$6:$AK$505,'سجل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والحالات'!$AX$6:$AX$505,'سجل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والحالات'!$Z$6:$Z$505,'سجل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والحالات'!$AL$6:$AL$505,'سجل الإجازات والحالات'!$B$6:$B$505,$B104))/cfg_DAYS_Y)</f>
        <v/>
      </c>
      <c r="AI104" s="130" t="str">
        <f aca="false">IF($B104="","",MAX(0,IF(OR(الموظفون!$AE104="",الموظفون!$AE104&gt;($E$3-1)),($E$3-1),الموظفون!$AE104)-الموظفون!$H104+1-SUMIFS('سجل الإجازات والحالات'!$AK$6:$AK$505,'سجل الإجازات والحالات'!$B$6:$B$505,$B104))/cfg_DAYS_Y)</f>
        <v/>
      </c>
      <c r="AJ104" s="57" t="str">
        <f aca="false">IF($B104="","",MAX(0,AK104-(SUMIFS('سجل الإجازات والحالات'!$AL$6:$AL$505,'سجل الإجازات والحالات'!$B$6:$B$505,$B104)-SUMIFS('سجل الإجازات والحالات'!$AK$6:$AK$505,'سجل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والحالات'!$AX$6:$AX$505,'سجل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والحالات'!$Z$6:$Z$505,'سجل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والحالات'!$AL$6:$AL$505,'سجل الإجازات والحالات'!$B$6:$B$505,$B105))/cfg_DAYS_Y)</f>
        <v/>
      </c>
      <c r="AI105" s="135" t="str">
        <f aca="false">IF($B105="","",MAX(0,IF(OR(الموظفون!$AE105="",الموظفون!$AE105&gt;($E$3-1)),($E$3-1),الموظفون!$AE105)-الموظفون!$H105+1-SUMIFS('سجل الإجازات والحالات'!$AK$6:$AK$505,'سجل الإجازات والحالات'!$B$6:$B$505,$B105))/cfg_DAYS_Y)</f>
        <v/>
      </c>
      <c r="AJ105" s="110" t="str">
        <f aca="false">IF($B105="","",MAX(0,AK105-(SUMIFS('سجل الإجازات والحالات'!$AL$6:$AL$505,'سجل الإجازات والحالات'!$B$6:$B$505,$B105)-SUMIFS('سجل الإجازات والحالات'!$AK$6:$AK$505,'سجل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والحالات'!$AX$6:$AX$505,'سجل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والحالات'!$Z$6:$Z$505,'سجل الإجازات والحالات'!$B$6:$B$505,$B105))</f>
        <v/>
      </c>
    </row>
    <row r="106" customFormat="false" ht="24" hidden="false" customHeight="true" outlineLevel="0" collapsed="false">
      <c r="A106" s="103"/>
      <c r="B106" s="103" t="str">
        <f aca="false">COUNTIF(G6:G105,"&gt;0")&amp;" موظف"</f>
        <v>12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360</v>
      </c>
      <c r="K106" s="103" t="n">
        <f aca="false">SUM(K6:K105)</f>
        <v>141500</v>
      </c>
      <c r="L106" s="103" t="n">
        <f aca="false">SUM(L6:L105)</f>
        <v>35375</v>
      </c>
      <c r="M106" s="103" t="n">
        <f aca="false">SUM(M6:M105)</f>
        <v>14150</v>
      </c>
      <c r="N106" s="103" t="n">
        <f aca="false">SUM(N6:N105)</f>
        <v>10300</v>
      </c>
      <c r="O106" s="136" t="n">
        <f aca="false">SUM(O6:O105)</f>
        <v>16</v>
      </c>
      <c r="P106" s="103" t="n">
        <f aca="false">SUM(P6:P105)</f>
        <v>1156.66666666667</v>
      </c>
      <c r="Q106" s="103" t="n">
        <f aca="false">SUM(Q6:Q105)</f>
        <v>0</v>
      </c>
      <c r="R106" s="103" t="n">
        <f aca="false">SUM(R6:R105)</f>
        <v>0</v>
      </c>
      <c r="S106" s="103" t="n">
        <f aca="false">SUM(S6:S105)</f>
        <v>0</v>
      </c>
      <c r="T106" s="103" t="n">
        <f aca="false">SUM(T6:T105)</f>
        <v>202481.666666667</v>
      </c>
      <c r="U106" s="103" t="n">
        <f aca="false">SUM(U6:U105)</f>
        <v>12370.3125</v>
      </c>
      <c r="V106" s="103" t="n">
        <f aca="false">SUM(V6:V105)</f>
        <v>1000</v>
      </c>
      <c r="W106" s="103" t="n">
        <f aca="false">SUM(W6:W105)</f>
        <v>0</v>
      </c>
      <c r="X106" s="103" t="n">
        <f aca="false">SUM(X6:X105)</f>
        <v>13370.3125</v>
      </c>
      <c r="Y106" s="103" t="n">
        <f aca="false">SUM(Y6:Y105)</f>
        <v>189111.354166667</v>
      </c>
      <c r="Z106" s="103" t="n">
        <f aca="false">SUM(Z6:Z105)</f>
        <v>15907.8125</v>
      </c>
      <c r="AA106" s="103" t="n">
        <f aca="false">SUM(AA6:AA105)</f>
        <v>14590.1712328767</v>
      </c>
      <c r="AB106" s="103" t="n">
        <f aca="false">SUM(AB6:AB105)</f>
        <v>15243.7191780822</v>
      </c>
      <c r="AC106" s="103" t="n">
        <f aca="false">SUM(AC6:AC105)</f>
        <v>959.72602739726</v>
      </c>
      <c r="AD106" s="103" t="n">
        <f aca="false">SUM(AD6:AD105)</f>
        <v>4270.83333333333</v>
      </c>
      <c r="AE106" s="103" t="n">
        <f aca="false">SUM(AE6:AE105)</f>
        <v>2800</v>
      </c>
      <c r="AF106" s="103" t="n">
        <f aca="false">SUM(AF6:AF105)</f>
        <v>400</v>
      </c>
      <c r="AG106" s="103" t="n">
        <f aca="false">SUM(AG6:AG105)</f>
        <v>256653.928938356</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أبريل'!A1" display="◀ الشهر السابق"/>
    <hyperlink ref="L3" location="'مسير يونيو'!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يونيو "&amp;cfg_FY</f>
        <v>💵 مسير رواتب شهر يونيو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6</v>
      </c>
      <c r="D3" s="112" t="s">
        <v>434</v>
      </c>
      <c r="E3" s="114" t="n">
        <f aca="false">DATE(cfg_FY,C3,1)</f>
        <v>46174</v>
      </c>
      <c r="F3" s="114" t="n">
        <f aca="false">EOMONTH(E3,0)</f>
        <v>46203</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3106.84931506847</v>
      </c>
      <c r="AB6" s="97" t="n">
        <f aca="false">IF($B6="","",IF(الموظفون!$T6&lt;&gt;"",الموظفون!$T6,IF(AH6&gt;=cfg_LV_TH,cfg_LV_D2,cfg_LV_D1))/cfg_DAYS_Y*AJ6*الموظفون!$R6/cfg_DAYS_M)</f>
        <v>3106.84931506849</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51526.198630137</v>
      </c>
      <c r="AH6" s="130" t="n">
        <f aca="false">IF($B6="","",MAX(0,IF(OR(الموظفون!$AE6="",الموظفون!$AE6&gt;$F$3),$F$3,الموظفون!$AE6)-الموظفون!$H6+1-SUMIFS('سجل الإجازات والحالات'!$AM$6:$AM$505,'سجل الإجازات والحالات'!$B$6:$B$505,$B6))/cfg_DAYS_Y)</f>
        <v>14.4684931506849</v>
      </c>
      <c r="AI6" s="130" t="n">
        <f aca="false">IF($B6="","",MAX(0,IF(OR(الموظفون!$AE6="",الموظفون!$AE6&gt;($E$3-1)),($E$3-1),الموظفون!$AE6)-الموظفون!$H6+1-SUMIFS('سجل الإجازات والحالات'!$AL$6:$AL$505,'سجل الإجازات والحالات'!$B$6:$B$505,$B6))/cfg_DAYS_Y)</f>
        <v>14.386301369863</v>
      </c>
      <c r="AJ6" s="57" t="n">
        <f aca="false">IF($B6="","",MAX(0,AK6-(SUMIFS('سجل الإجازات والحالات'!$AM$6:$AM$505,'سجل الإجازات والحالات'!$B$6:$B$505,$B6)-SUMIFS('سجل الإجازات والحالات'!$AL$6:$AL$505,'سجل الإجازات والحالات'!$B$6:$B$505,$B6))))</f>
        <v>30</v>
      </c>
      <c r="AK6" s="57" t="n">
        <f aca="false">IF($B6="","",MAX(0,IF(OR(الموظفون!$AE6="",الموظفون!$AE6&gt;$F$3),$F$3,الموظفون!$AE6)-MAX($E$3,الموظفون!$H6)+1))</f>
        <v>30</v>
      </c>
      <c r="AL6" s="126" t="n">
        <f aca="false">IF($B6="","",SUMIFS('سجل الإجازات والحالات'!$AY$6:$AY$505,'سجل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والحالات'!$AA$6:$AA$505,'سجل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1997.26027397259</v>
      </c>
      <c r="AB7" s="101" t="n">
        <f aca="false">IF($B7="","",IF(الموظفون!$T7&lt;&gt;"",الموظفون!$T7,IF(AH7&gt;=cfg_LV_TH,cfg_LV_D2,cfg_LV_D1))/cfg_DAYS_Y*AJ7*الموظفون!$R7/cfg_DAYS_M)</f>
        <v>1997.2602739726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32238.2705479452</v>
      </c>
      <c r="AH7" s="135" t="n">
        <f aca="false">IF($B7="","",MAX(0,IF(OR(الموظفون!$AE7="",الموظفون!$AE7&gt;$F$3),$F$3,الموظفون!$AE7)-الموظفون!$H7+1-SUMIFS('سجل الإجازات والحالات'!$AM$6:$AM$505,'سجل الإجازات والحالات'!$B$6:$B$505,$B7))/cfg_DAYS_Y)</f>
        <v>10.0876712328767</v>
      </c>
      <c r="AI7" s="135" t="n">
        <f aca="false">IF($B7="","",MAX(0,IF(OR(الموظفون!$AE7="",الموظفون!$AE7&gt;($E$3-1)),($E$3-1),الموظفون!$AE7)-الموظفون!$H7+1-SUMIFS('سجل الإجازات والحالات'!$AL$6:$AL$505,'سجل الإجازات والحالات'!$B$6:$B$505,$B7))/cfg_DAYS_Y)</f>
        <v>10.0054794520548</v>
      </c>
      <c r="AJ7" s="110" t="n">
        <f aca="false">IF($B7="","",MAX(0,AK7-(SUMIFS('سجل الإجازات والحالات'!$AM$6:$AM$505,'سجل الإجازات والحالات'!$B$6:$B$505,$B7)-SUMIFS('سجل الإجازات والحالات'!$AL$6:$AL$505,'سجل الإجازات والحالات'!$B$6:$B$505,$B7))))</f>
        <v>30</v>
      </c>
      <c r="AK7" s="110" t="n">
        <f aca="false">IF($B7="","",MAX(0,IF(OR(الموظفون!$AE7="",الموظفون!$AE7&gt;$F$3),$F$3,الموظفون!$AE7)-MAX($E$3,الموظفون!$H7)+1))</f>
        <v>30</v>
      </c>
      <c r="AL7" s="131" t="n">
        <f aca="false">IF($B7="","",SUMIFS('سجل الإجازات والحالات'!$AY$6:$AY$505,'سجل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والحالات'!$AA$6:$AA$505,'سجل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943.150684931511</v>
      </c>
      <c r="AB8" s="97" t="n">
        <f aca="false">IF($B8="","",IF(الموظفون!$T8&lt;&gt;"",الموظفون!$T8,IF(AH8&gt;=cfg_LV_TH,cfg_LV_D2,cfg_LV_D1))/cfg_DAYS_Y*AJ8*الموظفون!$R8/cfg_DAYS_M)</f>
        <v>943.150684931507</v>
      </c>
      <c r="AC8" s="97" t="n">
        <f aca="false">IF($B8="","",IF(AND(الموظفون!$U8="نعم",N(الموظفون!$W8)&gt;0),الموظفون!$V8/الموظفون!$W8*12/cfg_DAYS_Y*AJ8,0))</f>
        <v>131.506849315068</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15259.4748858448</v>
      </c>
      <c r="AH8" s="130" t="n">
        <f aca="false">IF($B8="","",MAX(0,IF(OR(الموظفون!$AE8="",الموظفون!$AE8&gt;$F$3),$F$3,الموظفون!$AE8)-الموظفون!$H8+1-SUMIFS('سجل الإجازات والحالات'!$AM$6:$AM$505,'سجل الإجازات والحالات'!$B$6:$B$505,$B8))/cfg_DAYS_Y)</f>
        <v>7.81095890410959</v>
      </c>
      <c r="AI8" s="130" t="n">
        <f aca="false">IF($B8="","",MAX(0,IF(OR(الموظفون!$AE8="",الموظفون!$AE8&gt;($E$3-1)),($E$3-1),الموظفون!$AE8)-الموظفون!$H8+1-SUMIFS('سجل الإجازات والحالات'!$AL$6:$AL$505,'سجل الإجازات والحالات'!$B$6:$B$505,$B8))/cfg_DAYS_Y)</f>
        <v>7.72876712328767</v>
      </c>
      <c r="AJ8" s="57" t="n">
        <f aca="false">IF($B8="","",MAX(0,AK8-(SUMIFS('سجل الإجازات والحالات'!$AM$6:$AM$505,'سجل الإجازات والحالات'!$B$6:$B$505,$B8)-SUMIFS('سجل الإجازات والحالات'!$AL$6:$AL$505,'سجل الإجازات والحالات'!$B$6:$B$505,$B8))))</f>
        <v>30</v>
      </c>
      <c r="AK8" s="57" t="n">
        <f aca="false">IF($B8="","",MAX(0,IF(OR(الموظفون!$AE8="",الموظفون!$AE8&gt;$F$3),$F$3,الموظفون!$AE8)-MAX($E$3,الموظفون!$H8)+1))</f>
        <v>30</v>
      </c>
      <c r="AL8" s="126" t="n">
        <f aca="false">IF($B8="","",SUMIFS('سجل الإجازات والحالات'!$AY$6:$AY$505,'سجل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والحالات'!$AA$6:$AA$505,'سجل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1553.42465753425</v>
      </c>
      <c r="AB9" s="101" t="n">
        <f aca="false">IF($B9="","",IF(الموظفون!$T9&lt;&gt;"",الموظفون!$T9,IF(AH9&gt;=cfg_LV_TH,cfg_LV_D2,cfg_LV_D1))/cfg_DAYS_Y*AJ9*الموظفون!$R9/cfg_DAYS_M)</f>
        <v>1553.42465753425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24363.0993150685</v>
      </c>
      <c r="AH9" s="135" t="n">
        <f aca="false">IF($B9="","",MAX(0,IF(OR(الموظفون!$AE9="",الموظفون!$AE9&gt;$F$3),$F$3,الموظفون!$AE9)-الموظفون!$H9+1-SUMIFS('سجل الإجازات والحالات'!$AM$6:$AM$505,'سجل الإجازات والحالات'!$B$6:$B$505,$B9))/cfg_DAYS_Y)</f>
        <v>7.41643835616438</v>
      </c>
      <c r="AI9" s="135" t="n">
        <f aca="false">IF($B9="","",MAX(0,IF(OR(الموظفون!$AE9="",الموظفون!$AE9&gt;($E$3-1)),($E$3-1),الموظفون!$AE9)-الموظفون!$H9+1-SUMIFS('سجل الإجازات والحالات'!$AL$6:$AL$505,'سجل الإجازات والحالات'!$B$6:$B$505,$B9))/cfg_DAYS_Y)</f>
        <v>7.33424657534247</v>
      </c>
      <c r="AJ9" s="110" t="n">
        <f aca="false">IF($B9="","",MAX(0,AK9-(SUMIFS('سجل الإجازات والحالات'!$AM$6:$AM$505,'سجل الإجازات والحالات'!$B$6:$B$505,$B9)-SUMIFS('سجل الإجازات والحالات'!$AL$6:$AL$505,'سجل الإجازات والحالات'!$B$6:$B$505,$B9))))</f>
        <v>30</v>
      </c>
      <c r="AK9" s="110" t="n">
        <f aca="false">IF($B9="","",MAX(0,IF(OR(الموظفون!$AE9="",الموظفون!$AE9&gt;$F$3),$F$3,الموظفون!$AE9)-MAX($E$3,الموظفون!$H9)+1))</f>
        <v>30</v>
      </c>
      <c r="AL9" s="131" t="n">
        <f aca="false">IF($B9="","",SUMIFS('سجل الإجازات والحالات'!$AY$6:$AY$505,'سجل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والحالات'!$AA$6:$AA$505,'سجل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998.630136986305</v>
      </c>
      <c r="AB10" s="97" t="n">
        <f aca="false">IF($B10="","",IF(الموظفون!$T10&lt;&gt;"",الموظفون!$T10,IF(AH10&gt;=cfg_LV_TH,cfg_LV_D2,cfg_LV_D1))/cfg_DAYS_Y*AJ10*الموظفون!$R10/cfg_DAYS_M)</f>
        <v>998.630136986301</v>
      </c>
      <c r="AC10" s="97" t="n">
        <f aca="false">IF($B10="","",IF(AND(الموظفون!$U10="نعم",N(الموظفون!$W10)&gt;0),الموظفون!$V10/الموظفون!$W10*12/cfg_DAYS_Y*AJ10,0))</f>
        <v>230.13698630137</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16356.5639269406</v>
      </c>
      <c r="AH10" s="130" t="n">
        <f aca="false">IF($B10="","",MAX(0,IF(OR(الموظفون!$AE10="",الموظفون!$AE10&gt;$F$3),$F$3,الموظفون!$AE10)-الموظفون!$H10+1-SUMIFS('سجل الإجازات والحالات'!$AM$6:$AM$505,'سجل الإجازات والحالات'!$B$6:$B$505,$B10))/cfg_DAYS_Y)</f>
        <v>6.22191780821918</v>
      </c>
      <c r="AI10" s="130" t="n">
        <f aca="false">IF($B10="","",MAX(0,IF(OR(الموظفون!$AE10="",الموظفون!$AE10&gt;($E$3-1)),($E$3-1),الموظفون!$AE10)-الموظفون!$H10+1-SUMIFS('سجل الإجازات والحالات'!$AL$6:$AL$505,'سجل الإجازات والحالات'!$B$6:$B$505,$B10))/cfg_DAYS_Y)</f>
        <v>6.13972602739726</v>
      </c>
      <c r="AJ10" s="57" t="n">
        <f aca="false">IF($B10="","",MAX(0,AK10-(SUMIFS('سجل الإجازات والحالات'!$AM$6:$AM$505,'سجل الإجازات والحالات'!$B$6:$B$505,$B10)-SUMIFS('سجل الإجازات والحالات'!$AL$6:$AL$505,'سجل الإجازات والحالات'!$B$6:$B$505,$B10))))</f>
        <v>30</v>
      </c>
      <c r="AK10" s="57" t="n">
        <f aca="false">IF($B10="","",MAX(0,IF(OR(الموظفون!$AE10="",الموظفون!$AE10&gt;$F$3),$F$3,الموظفون!$AE10)-MAX($E$3,الموظفون!$H10)+1))</f>
        <v>30</v>
      </c>
      <c r="AL10" s="126" t="n">
        <f aca="false">IF($B10="","",SUMIFS('سجل الإجازات والحالات'!$AY$6:$AY$505,'سجل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والحالات'!$AA$6:$AA$505,'سجل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6500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26550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24965.625</v>
      </c>
      <c r="Z11" s="101" t="n">
        <f aca="false">IF($B11="","",الموظفون!$S11*IF(E11="سعودي",cfg_G_SR,cfg_G_NR)*G11/cfg_DAYS_M)</f>
        <v>1909.375</v>
      </c>
      <c r="AA11" s="101" t="n">
        <f aca="false">IF($B11="","",الموظفون!$Q11*(cfg_EOS_R1*(MIN(AH11,cfg_EOS_TH)-MIN(AI11,cfg_EOS_TH))+cfg_EOS_R2*(MAX(AH11-cfg_EOS_TH,0)-MAX(AI11-cfg_EOS_TH,0))))</f>
        <v>1442.46575342468</v>
      </c>
      <c r="AB11" s="101" t="n">
        <f aca="false">IF($B11="","",IF(الموظفون!$T11&lt;&gt;"",الموظفون!$T11,IF(AH11&gt;=cfg_LV_TH,cfg_LV_D2,cfg_LV_D1))/cfg_DAYS_Y*AJ11*الموظفون!$R11/cfg_DAYS_M)</f>
        <v>1442.46575342466</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31644.3065068493</v>
      </c>
      <c r="AH11" s="135" t="n">
        <f aca="false">IF($B11="","",MAX(0,IF(OR(الموظفون!$AE11="",الموظفون!$AE11&gt;$F$3),$F$3,الموظفون!$AE11)-الموظفون!$H11+1-SUMIFS('سجل الإجازات والحالات'!$AM$6:$AM$505,'سجل الإجازات والحالات'!$B$6:$B$505,$B11))/cfg_DAYS_Y)</f>
        <v>8.65753424657534</v>
      </c>
      <c r="AI11" s="135" t="n">
        <f aca="false">IF($B11="","",MAX(0,IF(OR(الموظفون!$AE11="",الموظفون!$AE11&gt;($E$3-1)),($E$3-1),الموظفون!$AE11)-الموظفون!$H11+1-SUMIFS('سجل الإجازات والحالات'!$AL$6:$AL$505,'سجل الإجازات والحالات'!$B$6:$B$505,$B11))/cfg_DAYS_Y)</f>
        <v>8.57534246575342</v>
      </c>
      <c r="AJ11" s="110" t="n">
        <f aca="false">IF($B11="","",MAX(0,AK11-(SUMIFS('سجل الإجازات والحالات'!$AM$6:$AM$505,'سجل الإجازات والحالات'!$B$6:$B$505,$B11)-SUMIFS('سجل الإجازات والحالات'!$AL$6:$AL$505,'سجل الإجازات والحالات'!$B$6:$B$505,$B11))))</f>
        <v>30</v>
      </c>
      <c r="AK11" s="110" t="n">
        <f aca="false">IF($B11="","",MAX(0,IF(OR(الموظفون!$AE11="",الموظفون!$AE11&gt;$F$3),$F$3,الموظفون!$AE11)-MAX($E$3,الموظفون!$H11)+1))</f>
        <v>30</v>
      </c>
      <c r="AL11" s="131" t="n">
        <f aca="false">IF($B11="","",SUMIFS('سجل الإجازات والحالات'!$AY$6:$AY$505,'سجل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والحالات'!$AA$6:$AA$505,'سجل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1220.54794520548</v>
      </c>
      <c r="AB12" s="97" t="n">
        <f aca="false">IF($B12="","",IF(الموظفون!$T12&lt;&gt;"",الموظفون!$T12,IF(AH12&gt;=cfg_LV_TH,cfg_LV_D2,cfg_LV_D1))/cfg_DAYS_Y*AJ12*الموظفون!$R12/cfg_DAYS_M)</f>
        <v>1220.54794520548</v>
      </c>
      <c r="AC12" s="97" t="n">
        <f aca="false">IF($B12="","",IF(AND(الموظفون!$U12="نعم",N(الموظفون!$W12)&gt;0),الموظفون!$V12/الموظفون!$W12*12/cfg_DAYS_Y*AJ12,0))</f>
        <v>369.86301369863</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20190.1255707763</v>
      </c>
      <c r="AH12" s="130" t="n">
        <f aca="false">IF($B12="","",MAX(0,IF(OR(الموظفون!$AE12="",الموظفون!$AE12&gt;$F$3),$F$3,الموظفون!$AE12)-الموظفون!$H12+1-SUMIFS('سجل الإجازات والحالات'!$AM$6:$AM$505,'سجل الإجازات والحالات'!$B$6:$B$505,$B12))/cfg_DAYS_Y)</f>
        <v>5.44657534246575</v>
      </c>
      <c r="AI12" s="130" t="n">
        <f aca="false">IF($B12="","",MAX(0,IF(OR(الموظفون!$AE12="",الموظفون!$AE12&gt;($E$3-1)),($E$3-1),الموظفون!$AE12)-الموظفون!$H12+1-SUMIFS('سجل الإجازات والحالات'!$AL$6:$AL$505,'سجل الإجازات والحالات'!$B$6:$B$505,$B12))/cfg_DAYS_Y)</f>
        <v>5.36438356164384</v>
      </c>
      <c r="AJ12" s="57" t="n">
        <f aca="false">IF($B12="","",MAX(0,AK12-(SUMIFS('سجل الإجازات والحالات'!$AM$6:$AM$505,'سجل الإجازات والحالات'!$B$6:$B$505,$B12)-SUMIFS('سجل الإجازات والحالات'!$AL$6:$AL$505,'سجل الإجازات والحالات'!$B$6:$B$505,$B12))))</f>
        <v>30</v>
      </c>
      <c r="AK12" s="57" t="n">
        <f aca="false">IF($B12="","",MAX(0,IF(OR(الموظفون!$AE12="",الموظفون!$AE12&gt;$F$3),$F$3,الموظفون!$AE12)-MAX($E$3,الموظفون!$H12)+1))</f>
        <v>30</v>
      </c>
      <c r="AL12" s="126" t="n">
        <f aca="false">IF($B12="","",SUMIFS('سجل الإجازات والحالات'!$AY$6:$AY$505,'سجل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والحالات'!$AA$6:$AA$505,'سجل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416.095890410958</v>
      </c>
      <c r="AB13" s="101" t="n">
        <f aca="false">IF($B13="","",IF(الموظفون!$T13&lt;&gt;"",الموظفون!$T13,IF(AH13&gt;=cfg_LV_TH,cfg_LV_D2,cfg_LV_D1))/cfg_DAYS_Y*AJ13*الموظفون!$R13/cfg_DAYS_M)</f>
        <v>582.534246575342</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12425.1926369863</v>
      </c>
      <c r="AH13" s="135" t="n">
        <f aca="false">IF($B13="","",MAX(0,IF(OR(الموظفون!$AE13="",الموظفون!$AE13&gt;$F$3),$F$3,الموظفون!$AE13)-الموظفون!$H13+1-SUMIFS('سجل الإجازات والحالات'!$AM$6:$AM$505,'سجل الإجازات والحالات'!$B$6:$B$505,$B13))/cfg_DAYS_Y)</f>
        <v>3.33698630136986</v>
      </c>
      <c r="AI13" s="135" t="n">
        <f aca="false">IF($B13="","",MAX(0,IF(OR(الموظفون!$AE13="",الموظفون!$AE13&gt;($E$3-1)),($E$3-1),الموظفون!$AE13)-الموظفون!$H13+1-SUMIFS('سجل الإجازات والحالات'!$AL$6:$AL$505,'سجل الإجازات والحالات'!$B$6:$B$505,$B13))/cfg_DAYS_Y)</f>
        <v>3.25479452054795</v>
      </c>
      <c r="AJ13" s="110" t="n">
        <f aca="false">IF($B13="","",MAX(0,AK13-(SUMIFS('سجل الإجازات والحالات'!$AM$6:$AM$505,'سجل الإجازات والحالات'!$B$6:$B$505,$B13)-SUMIFS('سجل الإجازات والحالات'!$AL$6:$AL$505,'سجل الإجازات والحالات'!$B$6:$B$505,$B13))))</f>
        <v>30</v>
      </c>
      <c r="AK13" s="110" t="n">
        <f aca="false">IF($B13="","",MAX(0,IF(OR(الموظفون!$AE13="",الموظفون!$AE13&gt;$F$3),$F$3,الموظفون!$AE13)-MAX($E$3,الموظفون!$H13)+1))</f>
        <v>30</v>
      </c>
      <c r="AL13" s="131" t="n">
        <f aca="false">IF($B13="","",SUMIFS('سجل الإجازات والحالات'!$AY$6:$AY$505,'سجل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والحالات'!$AA$6:$AA$505,'سجل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راتب إجازة مقدم</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30</v>
      </c>
      <c r="J14" s="126" t="n">
        <f aca="false">IF($B14="","",MAX(0,G14-H14-I14))</f>
        <v>0</v>
      </c>
      <c r="K14" s="97" t="n">
        <f aca="false">IF($B14="","",الموظفون!$L14*$J14/cfg_DAYS_M)</f>
        <v>0</v>
      </c>
      <c r="L14" s="97" t="n">
        <f aca="false">IF($B14="","",الموظفون!$M14*$J14/cfg_DAYS_M)</f>
        <v>0</v>
      </c>
      <c r="M14" s="97" t="n">
        <f aca="false">IF($B14="","",الموظفون!$N14*$J14/cfg_DAYS_M)</f>
        <v>0</v>
      </c>
      <c r="N14" s="97" t="n">
        <f aca="false">IF($B14="","",الموظفون!$O14*$J14/cfg_DAYS_M)</f>
        <v>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8775</v>
      </c>
      <c r="T14" s="127" t="n">
        <f aca="false">IF($B14="","",SUM(K14:N14)+SUM(P14:S14))</f>
        <v>8775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8775</v>
      </c>
      <c r="Z14" s="97" t="n">
        <f aca="false">IF($B14="","",الموظفون!$S14*IF(E14="سعودي",cfg_G_SR,cfg_G_NR)*G14/cfg_DAYS_M)</f>
        <v>162.5</v>
      </c>
      <c r="AA14" s="97" t="n">
        <f aca="false">IF($B14="","",الموظفون!$Q14*(cfg_EOS_R1*(MIN(AH14,cfg_EOS_TH)-MIN(AI14,cfg_EOS_TH))+cfg_EOS_R2*(MAX(AH14-cfg_EOS_TH,0)-MAX(AI14-cfg_EOS_TH,0))))</f>
        <v>721.232876712324</v>
      </c>
      <c r="AB14" s="97" t="n">
        <f aca="false">IF($B14="","",IF(الموظفون!$T14&lt;&gt;"",الموظفون!$T14,IF(AH14&gt;=cfg_LV_TH,cfg_LV_D2,cfg_LV_D1))/cfg_DAYS_Y*AJ14*الموظفون!$R14/cfg_DAYS_M)</f>
        <v>721.232876712329</v>
      </c>
      <c r="AC14" s="97" t="n">
        <f aca="false">IF($B14="","",IF(AND(الموظفون!$U14="نعم",N(الموظفون!$W14)&gt;0),الموظفون!$V14/الموظفون!$W14*12/cfg_DAYS_Y*AJ14,0))</f>
        <v>90.4109589041096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11474.5433789954</v>
      </c>
      <c r="AH14" s="130" t="n">
        <f aca="false">IF($B14="","",MAX(0,IF(OR(الموظفون!$AE14="",الموظفون!$AE14&gt;$F$3),$F$3,الموظفون!$AE14)-الموظفون!$H14+1-SUMIFS('سجل الإجازات والحالات'!$AM$6:$AM$505,'سجل الإجازات والحالات'!$B$6:$B$505,$B14))/cfg_DAYS_Y)</f>
        <v>11.8767123287671</v>
      </c>
      <c r="AI14" s="130" t="n">
        <f aca="false">IF($B14="","",MAX(0,IF(OR(الموظفون!$AE14="",الموظفون!$AE14&gt;($E$3-1)),($E$3-1),الموظفون!$AE14)-الموظفون!$H14+1-SUMIFS('سجل الإجازات والحالات'!$AL$6:$AL$505,'سجل الإجازات والحالات'!$B$6:$B$505,$B14))/cfg_DAYS_Y)</f>
        <v>11.7945205479452</v>
      </c>
      <c r="AJ14" s="57" t="n">
        <f aca="false">IF($B14="","",MAX(0,AK14-(SUMIFS('سجل الإجازات والحالات'!$AM$6:$AM$505,'سجل الإجازات والحالات'!$B$6:$B$505,$B14)-SUMIFS('سجل الإجازات والحالات'!$AL$6:$AL$505,'سجل الإجازات والحالات'!$B$6:$B$505,$B14))))</f>
        <v>30</v>
      </c>
      <c r="AK14" s="57" t="n">
        <f aca="false">IF($B14="","",MAX(0,IF(OR(الموظفون!$AE14="",الموظفون!$AE14&gt;$F$3),$F$3,الموظفون!$AE14)-MAX($E$3,الموظفون!$H14)+1))</f>
        <v>30</v>
      </c>
      <c r="AL14" s="126" t="n">
        <f aca="false">IF($B14="","",SUMIFS('سجل الإجازات والحالات'!$AY$6:$AY$505,'سجل الإجازات والحالات'!$B$6:$B$505,$B14)+SUMIFS('الحركات الشهرية'!$K$6:$K$1005,'الحركات الشهرية'!$B$6:$B$1005,$B14,'الحركات الشهرية'!$A$6:$A$1005,$C$3))</f>
        <v>0</v>
      </c>
      <c r="AM14" s="97" t="n">
        <f aca="false">IF($B14="","",AL14*الموظفون!$R14/cfg_DAYS_M+S14)</f>
        <v>8775</v>
      </c>
      <c r="AN14" s="126" t="n">
        <f aca="false">IF($B14="","",SUMIFS('سجل الإجازات والحالات'!$AA$6:$AA$505,'سجل الإجازات والحالات'!$B$6:$B$505,$B14))</f>
        <v>30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499.315068493151</v>
      </c>
      <c r="AB15" s="101" t="n">
        <f aca="false">IF($B15="","",IF(الموظفون!$T15&lt;&gt;"",الموظفون!$T15,IF(AH15&gt;=cfg_LV_TH,cfg_LV_D2,cfg_LV_D1))/cfg_DAYS_Y*AJ15*الموظفون!$R15/cfg_DAYS_M)</f>
        <v>699.041095890411</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14870.2311643836</v>
      </c>
      <c r="AH15" s="135" t="n">
        <f aca="false">IF($B15="","",MAX(0,IF(OR(الموظفون!$AE15="",الموظفون!$AE15&gt;$F$3),$F$3,الموظفون!$AE15)-الموظفون!$H15+1-SUMIFS('سجل الإجازات والحالات'!$AM$6:$AM$505,'سجل الإجازات والحالات'!$B$6:$B$505,$B15))/cfg_DAYS_Y)</f>
        <v>0.210958904109589</v>
      </c>
      <c r="AI15" s="135" t="n">
        <f aca="false">IF($B15="","",MAX(0,IF(OR(الموظفون!$AE15="",الموظفون!$AE15&gt;($E$3-1)),($E$3-1),الموظفون!$AE15)-الموظفون!$H15+1-SUMIFS('سجل الإجازات والحالات'!$AL$6:$AL$505,'سجل الإجازات والحالات'!$B$6:$B$505,$B15))/cfg_DAYS_Y)</f>
        <v>0.128767123287671</v>
      </c>
      <c r="AJ15" s="110" t="n">
        <f aca="false">IF($B15="","",MAX(0,AK15-(SUMIFS('سجل الإجازات والحالات'!$AM$6:$AM$505,'سجل الإجازات والحالات'!$B$6:$B$505,$B15)-SUMIFS('سجل الإجازات والحالات'!$AL$6:$AL$505,'سجل الإجازات والحالات'!$B$6:$B$505,$B15))))</f>
        <v>30</v>
      </c>
      <c r="AK15" s="110" t="n">
        <f aca="false">IF($B15="","",MAX(0,IF(OR(الموظفون!$AE15="",الموظفون!$AE15&gt;$F$3),$F$3,الموظفون!$AE15)-MAX($E$3,الموظفون!$H15)+1))</f>
        <v>30</v>
      </c>
      <c r="AL15" s="131" t="n">
        <f aca="false">IF($B15="","",SUMIFS('سجل الإجازات والحالات'!$AY$6:$AY$505,'سجل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والحالات'!$AA$6:$AA$505,'سجل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554.794520547947</v>
      </c>
      <c r="AB16" s="97" t="n">
        <f aca="false">IF($B16="","",IF(الموظفون!$T16&lt;&gt;"",الموظفون!$T16,IF(AH16&gt;=cfg_LV_TH,cfg_LV_D2,cfg_LV_D1))/cfg_DAYS_Y*AJ16*الموظفون!$R16/cfg_DAYS_M)</f>
        <v>554.794520547945</v>
      </c>
      <c r="AC16" s="97" t="n">
        <f aca="false">IF($B16="","",IF(AND(الموظفون!$U16="نعم",N(الموظفون!$W16)&gt;0),الموظفون!$V16/الموظفون!$W16*12/cfg_DAYS_Y*AJ16,0))</f>
        <v>106.849315068493</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9095.60502283105</v>
      </c>
      <c r="AH16" s="130" t="n">
        <f aca="false">IF($B16="","",MAX(0,IF(OR(الموظفون!$AE16="",الموظفون!$AE16&gt;$F$3),$F$3,الموظفون!$AE16)-الموظفون!$H16+1-SUMIFS('سجل الإجازات والحالات'!$AM$6:$AM$505,'سجل الإجازات والحالات'!$B$6:$B$505,$B16))/cfg_DAYS_Y)</f>
        <v>7.33972602739726</v>
      </c>
      <c r="AI16" s="130" t="n">
        <f aca="false">IF($B16="","",MAX(0,IF(OR(الموظفون!$AE16="",الموظفون!$AE16&gt;($E$3-1)),($E$3-1),الموظفون!$AE16)-الموظفون!$H16+1-SUMIFS('سجل الإجازات والحالات'!$AL$6:$AL$505,'سجل الإجازات والحالات'!$B$6:$B$505,$B16))/cfg_DAYS_Y)</f>
        <v>7.25753424657534</v>
      </c>
      <c r="AJ16" s="57" t="n">
        <f aca="false">IF($B16="","",MAX(0,AK16-(SUMIFS('سجل الإجازات والحالات'!$AM$6:$AM$505,'سجل الإجازات والحالات'!$B$6:$B$505,$B16)-SUMIFS('سجل الإجازات والحالات'!$AL$6:$AL$505,'سجل الإجازات والحالات'!$B$6:$B$505,$B16))))</f>
        <v>30</v>
      </c>
      <c r="AK16" s="57" t="n">
        <f aca="false">IF($B16="","",MAX(0,IF(OR(الموظفون!$AE16="",الموظفون!$AE16&gt;$F$3),$F$3,الموظفون!$AE16)-MAX($E$3,الموظفون!$H16)+1))</f>
        <v>30</v>
      </c>
      <c r="AL16" s="126" t="n">
        <f aca="false">IF($B16="","",SUMIFS('سجل الإجازات والحالات'!$AY$6:$AY$505,'سجل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والحالات'!$AA$6:$AA$505,'سجل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665.753424657533</v>
      </c>
      <c r="AB17" s="101" t="n">
        <f aca="false">IF($B17="","",IF(الموظفون!$T17&lt;&gt;"",الموظفون!$T17,IF(AH17&gt;=cfg_LV_TH,cfg_LV_D2,cfg_LV_D1))/cfg_DAYS_Y*AJ17*الموظفون!$R17/cfg_DAYS_M)</f>
        <v>932.054794520548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21260.3082191781</v>
      </c>
      <c r="AH17" s="135" t="n">
        <f aca="false">IF($B17="","",MAX(0,IF(OR(الموظفون!$AE17="",الموظفون!$AE17&gt;$F$3),$F$3,الموظفون!$AE17)-الموظفون!$H17+1-SUMIFS('سجل الإجازات والحالات'!$AM$6:$AM$505,'سجل الإجازات والحالات'!$B$6:$B$505,$B17))/cfg_DAYS_Y)</f>
        <v>3.97808219178082</v>
      </c>
      <c r="AI17" s="135" t="n">
        <f aca="false">IF($B17="","",MAX(0,IF(OR(الموظفون!$AE17="",الموظفون!$AE17&gt;($E$3-1)),($E$3-1),الموظفون!$AE17)-الموظفون!$H17+1-SUMIFS('سجل الإجازات والحالات'!$AL$6:$AL$505,'سجل الإجازات والحالات'!$B$6:$B$505,$B17))/cfg_DAYS_Y)</f>
        <v>3.8958904109589</v>
      </c>
      <c r="AJ17" s="110" t="n">
        <f aca="false">IF($B17="","",MAX(0,AK17-(SUMIFS('سجل الإجازات والحالات'!$AM$6:$AM$505,'سجل الإجازات والحالات'!$B$6:$B$505,$B17)-SUMIFS('سجل الإجازات والحالات'!$AL$6:$AL$505,'سجل الإجازات والحالات'!$B$6:$B$505,$B17))))</f>
        <v>30</v>
      </c>
      <c r="AK17" s="110" t="n">
        <f aca="false">IF($B17="","",MAX(0,IF(OR(الموظفون!$AE17="",الموظفون!$AE17&gt;$F$3),$F$3,الموظفون!$AE17)-MAX($E$3,الموظفون!$H17)+1))</f>
        <v>30</v>
      </c>
      <c r="AL17" s="131" t="n">
        <f aca="false">IF($B17="","",SUMIFS('سجل الإجازات والحالات'!$AY$6:$AY$505,'سجل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والحالات'!$AA$6:$AA$505,'سجل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والحالات'!$AM$6:$AM$505,'سجل الإجازات والحالات'!$B$6:$B$505,$B18))/cfg_DAYS_Y)</f>
        <v/>
      </c>
      <c r="AI18" s="130" t="str">
        <f aca="false">IF($B18="","",MAX(0,IF(OR(الموظفون!$AE18="",الموظفون!$AE18&gt;($E$3-1)),($E$3-1),الموظفون!$AE18)-الموظفون!$H18+1-SUMIFS('سجل الإجازات والحالات'!$AL$6:$AL$505,'سجل الإجازات والحالات'!$B$6:$B$505,$B18))/cfg_DAYS_Y)</f>
        <v/>
      </c>
      <c r="AJ18" s="57" t="str">
        <f aca="false">IF($B18="","",MAX(0,AK18-(SUMIFS('سجل الإجازات والحالات'!$AM$6:$AM$505,'سجل الإجازات والحالات'!$B$6:$B$505,$B18)-SUMIFS('سجل الإجازات والحالات'!$AL$6:$AL$505,'سجل الإجازات والحالات'!$B$6:$B$505,$B18))))</f>
        <v/>
      </c>
      <c r="AK18" s="57" t="str">
        <f aca="false">IF($B18="","",MAX(0,IF(OR(الموظفون!$AE18="",الموظفون!$AE18&gt;$F$3),$F$3,الموظفون!$AE18)-MAX($E$3,الموظفون!$H18)+1))</f>
        <v/>
      </c>
      <c r="AL18" s="126" t="str">
        <f aca="false">IF($B18="","",SUMIFS('سجل الإجازات والحالات'!$AY$6:$AY$505,'سجل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والحالات'!$AA$6:$AA$505,'سجل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والحالات'!$AM$6:$AM$505,'سجل الإجازات والحالات'!$B$6:$B$505,$B19))/cfg_DAYS_Y)</f>
        <v/>
      </c>
      <c r="AI19" s="135" t="str">
        <f aca="false">IF($B19="","",MAX(0,IF(OR(الموظفون!$AE19="",الموظفون!$AE19&gt;($E$3-1)),($E$3-1),الموظفون!$AE19)-الموظفون!$H19+1-SUMIFS('سجل الإجازات والحالات'!$AL$6:$AL$505,'سجل الإجازات والحالات'!$B$6:$B$505,$B19))/cfg_DAYS_Y)</f>
        <v/>
      </c>
      <c r="AJ19" s="110" t="str">
        <f aca="false">IF($B19="","",MAX(0,AK19-(SUMIFS('سجل الإجازات والحالات'!$AM$6:$AM$505,'سجل الإجازات والحالات'!$B$6:$B$505,$B19)-SUMIFS('سجل الإجازات والحالات'!$AL$6:$AL$505,'سجل الإجازات والحالات'!$B$6:$B$505,$B19))))</f>
        <v/>
      </c>
      <c r="AK19" s="110" t="str">
        <f aca="false">IF($B19="","",MAX(0,IF(OR(الموظفون!$AE19="",الموظفون!$AE19&gt;$F$3),$F$3,الموظفون!$AE19)-MAX($E$3,الموظفون!$H19)+1))</f>
        <v/>
      </c>
      <c r="AL19" s="131" t="str">
        <f aca="false">IF($B19="","",SUMIFS('سجل الإجازات والحالات'!$AY$6:$AY$505,'سجل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والحالات'!$AA$6:$AA$505,'سجل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والحالات'!$AM$6:$AM$505,'سجل الإجازات والحالات'!$B$6:$B$505,$B20))/cfg_DAYS_Y)</f>
        <v/>
      </c>
      <c r="AI20" s="130" t="str">
        <f aca="false">IF($B20="","",MAX(0,IF(OR(الموظفون!$AE20="",الموظفون!$AE20&gt;($E$3-1)),($E$3-1),الموظفون!$AE20)-الموظفون!$H20+1-SUMIFS('سجل الإجازات والحالات'!$AL$6:$AL$505,'سجل الإجازات والحالات'!$B$6:$B$505,$B20))/cfg_DAYS_Y)</f>
        <v/>
      </c>
      <c r="AJ20" s="57" t="str">
        <f aca="false">IF($B20="","",MAX(0,AK20-(SUMIFS('سجل الإجازات والحالات'!$AM$6:$AM$505,'سجل الإجازات والحالات'!$B$6:$B$505,$B20)-SUMIFS('سجل الإجازات والحالات'!$AL$6:$AL$505,'سجل الإجازات والحالات'!$B$6:$B$505,$B20))))</f>
        <v/>
      </c>
      <c r="AK20" s="57" t="str">
        <f aca="false">IF($B20="","",MAX(0,IF(OR(الموظفون!$AE20="",الموظفون!$AE20&gt;$F$3),$F$3,الموظفون!$AE20)-MAX($E$3,الموظفون!$H20)+1))</f>
        <v/>
      </c>
      <c r="AL20" s="126" t="str">
        <f aca="false">IF($B20="","",SUMIFS('سجل الإجازات والحالات'!$AY$6:$AY$505,'سجل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والحالات'!$AA$6:$AA$505,'سجل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والحالات'!$AM$6:$AM$505,'سجل الإجازات والحالات'!$B$6:$B$505,$B21))/cfg_DAYS_Y)</f>
        <v/>
      </c>
      <c r="AI21" s="135" t="str">
        <f aca="false">IF($B21="","",MAX(0,IF(OR(الموظفون!$AE21="",الموظفون!$AE21&gt;($E$3-1)),($E$3-1),الموظفون!$AE21)-الموظفون!$H21+1-SUMIFS('سجل الإجازات والحالات'!$AL$6:$AL$505,'سجل الإجازات والحالات'!$B$6:$B$505,$B21))/cfg_DAYS_Y)</f>
        <v/>
      </c>
      <c r="AJ21" s="110" t="str">
        <f aca="false">IF($B21="","",MAX(0,AK21-(SUMIFS('سجل الإجازات والحالات'!$AM$6:$AM$505,'سجل الإجازات والحالات'!$B$6:$B$505,$B21)-SUMIFS('سجل الإجازات والحالات'!$AL$6:$AL$505,'سجل الإجازات والحالات'!$B$6:$B$505,$B21))))</f>
        <v/>
      </c>
      <c r="AK21" s="110" t="str">
        <f aca="false">IF($B21="","",MAX(0,IF(OR(الموظفون!$AE21="",الموظفون!$AE21&gt;$F$3),$F$3,الموظفون!$AE21)-MAX($E$3,الموظفون!$H21)+1))</f>
        <v/>
      </c>
      <c r="AL21" s="131" t="str">
        <f aca="false">IF($B21="","",SUMIFS('سجل الإجازات والحالات'!$AY$6:$AY$505,'سجل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والحالات'!$AA$6:$AA$505,'سجل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والحالات'!$AM$6:$AM$505,'سجل الإجازات والحالات'!$B$6:$B$505,$B22))/cfg_DAYS_Y)</f>
        <v/>
      </c>
      <c r="AI22" s="130" t="str">
        <f aca="false">IF($B22="","",MAX(0,IF(OR(الموظفون!$AE22="",الموظفون!$AE22&gt;($E$3-1)),($E$3-1),الموظفون!$AE22)-الموظفون!$H22+1-SUMIFS('سجل الإجازات والحالات'!$AL$6:$AL$505,'سجل الإجازات والحالات'!$B$6:$B$505,$B22))/cfg_DAYS_Y)</f>
        <v/>
      </c>
      <c r="AJ22" s="57" t="str">
        <f aca="false">IF($B22="","",MAX(0,AK22-(SUMIFS('سجل الإجازات والحالات'!$AM$6:$AM$505,'سجل الإجازات والحالات'!$B$6:$B$505,$B22)-SUMIFS('سجل الإجازات والحالات'!$AL$6:$AL$505,'سجل الإجازات والحالات'!$B$6:$B$505,$B22))))</f>
        <v/>
      </c>
      <c r="AK22" s="57" t="str">
        <f aca="false">IF($B22="","",MAX(0,IF(OR(الموظفون!$AE22="",الموظفون!$AE22&gt;$F$3),$F$3,الموظفون!$AE22)-MAX($E$3,الموظفون!$H22)+1))</f>
        <v/>
      </c>
      <c r="AL22" s="126" t="str">
        <f aca="false">IF($B22="","",SUMIFS('سجل الإجازات والحالات'!$AY$6:$AY$505,'سجل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والحالات'!$AA$6:$AA$505,'سجل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والحالات'!$AM$6:$AM$505,'سجل الإجازات والحالات'!$B$6:$B$505,$B23))/cfg_DAYS_Y)</f>
        <v/>
      </c>
      <c r="AI23" s="135" t="str">
        <f aca="false">IF($B23="","",MAX(0,IF(OR(الموظفون!$AE23="",الموظفون!$AE23&gt;($E$3-1)),($E$3-1),الموظفون!$AE23)-الموظفون!$H23+1-SUMIFS('سجل الإجازات والحالات'!$AL$6:$AL$505,'سجل الإجازات والحالات'!$B$6:$B$505,$B23))/cfg_DAYS_Y)</f>
        <v/>
      </c>
      <c r="AJ23" s="110" t="str">
        <f aca="false">IF($B23="","",MAX(0,AK23-(SUMIFS('سجل الإجازات والحالات'!$AM$6:$AM$505,'سجل الإجازات والحالات'!$B$6:$B$505,$B23)-SUMIFS('سجل الإجازات والحالات'!$AL$6:$AL$505,'سجل الإجازات والحالات'!$B$6:$B$505,$B23))))</f>
        <v/>
      </c>
      <c r="AK23" s="110" t="str">
        <f aca="false">IF($B23="","",MAX(0,IF(OR(الموظفون!$AE23="",الموظفون!$AE23&gt;$F$3),$F$3,الموظفون!$AE23)-MAX($E$3,الموظفون!$H23)+1))</f>
        <v/>
      </c>
      <c r="AL23" s="131" t="str">
        <f aca="false">IF($B23="","",SUMIFS('سجل الإجازات والحالات'!$AY$6:$AY$505,'سجل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والحالات'!$AA$6:$AA$505,'سجل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والحالات'!$AM$6:$AM$505,'سجل الإجازات والحالات'!$B$6:$B$505,$B24))/cfg_DAYS_Y)</f>
        <v/>
      </c>
      <c r="AI24" s="130" t="str">
        <f aca="false">IF($B24="","",MAX(0,IF(OR(الموظفون!$AE24="",الموظفون!$AE24&gt;($E$3-1)),($E$3-1),الموظفون!$AE24)-الموظفون!$H24+1-SUMIFS('سجل الإجازات والحالات'!$AL$6:$AL$505,'سجل الإجازات والحالات'!$B$6:$B$505,$B24))/cfg_DAYS_Y)</f>
        <v/>
      </c>
      <c r="AJ24" s="57" t="str">
        <f aca="false">IF($B24="","",MAX(0,AK24-(SUMIFS('سجل الإجازات والحالات'!$AM$6:$AM$505,'سجل الإجازات والحالات'!$B$6:$B$505,$B24)-SUMIFS('سجل الإجازات والحالات'!$AL$6:$AL$505,'سجل الإجازات والحالات'!$B$6:$B$505,$B24))))</f>
        <v/>
      </c>
      <c r="AK24" s="57" t="str">
        <f aca="false">IF($B24="","",MAX(0,IF(OR(الموظفون!$AE24="",الموظفون!$AE24&gt;$F$3),$F$3,الموظفون!$AE24)-MAX($E$3,الموظفون!$H24)+1))</f>
        <v/>
      </c>
      <c r="AL24" s="126" t="str">
        <f aca="false">IF($B24="","",SUMIFS('سجل الإجازات والحالات'!$AY$6:$AY$505,'سجل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والحالات'!$AA$6:$AA$505,'سجل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والحالات'!$AM$6:$AM$505,'سجل الإجازات والحالات'!$B$6:$B$505,$B25))/cfg_DAYS_Y)</f>
        <v/>
      </c>
      <c r="AI25" s="135" t="str">
        <f aca="false">IF($B25="","",MAX(0,IF(OR(الموظفون!$AE25="",الموظفون!$AE25&gt;($E$3-1)),($E$3-1),الموظفون!$AE25)-الموظفون!$H25+1-SUMIFS('سجل الإجازات والحالات'!$AL$6:$AL$505,'سجل الإجازات والحالات'!$B$6:$B$505,$B25))/cfg_DAYS_Y)</f>
        <v/>
      </c>
      <c r="AJ25" s="110" t="str">
        <f aca="false">IF($B25="","",MAX(0,AK25-(SUMIFS('سجل الإجازات والحالات'!$AM$6:$AM$505,'سجل الإجازات والحالات'!$B$6:$B$505,$B25)-SUMIFS('سجل الإجازات والحالات'!$AL$6:$AL$505,'سجل الإجازات والحالات'!$B$6:$B$505,$B25))))</f>
        <v/>
      </c>
      <c r="AK25" s="110" t="str">
        <f aca="false">IF($B25="","",MAX(0,IF(OR(الموظفون!$AE25="",الموظفون!$AE25&gt;$F$3),$F$3,الموظفون!$AE25)-MAX($E$3,الموظفون!$H25)+1))</f>
        <v/>
      </c>
      <c r="AL25" s="131" t="str">
        <f aca="false">IF($B25="","",SUMIFS('سجل الإجازات والحالات'!$AY$6:$AY$505,'سجل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والحالات'!$AA$6:$AA$505,'سجل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والحالات'!$AM$6:$AM$505,'سجل الإجازات والحالات'!$B$6:$B$505,$B26))/cfg_DAYS_Y)</f>
        <v/>
      </c>
      <c r="AI26" s="130" t="str">
        <f aca="false">IF($B26="","",MAX(0,IF(OR(الموظفون!$AE26="",الموظفون!$AE26&gt;($E$3-1)),($E$3-1),الموظفون!$AE26)-الموظفون!$H26+1-SUMIFS('سجل الإجازات والحالات'!$AL$6:$AL$505,'سجل الإجازات والحالات'!$B$6:$B$505,$B26))/cfg_DAYS_Y)</f>
        <v/>
      </c>
      <c r="AJ26" s="57" t="str">
        <f aca="false">IF($B26="","",MAX(0,AK26-(SUMIFS('سجل الإجازات والحالات'!$AM$6:$AM$505,'سجل الإجازات والحالات'!$B$6:$B$505,$B26)-SUMIFS('سجل الإجازات والحالات'!$AL$6:$AL$505,'سجل الإجازات والحالات'!$B$6:$B$505,$B26))))</f>
        <v/>
      </c>
      <c r="AK26" s="57" t="str">
        <f aca="false">IF($B26="","",MAX(0,IF(OR(الموظفون!$AE26="",الموظفون!$AE26&gt;$F$3),$F$3,الموظفون!$AE26)-MAX($E$3,الموظفون!$H26)+1))</f>
        <v/>
      </c>
      <c r="AL26" s="126" t="str">
        <f aca="false">IF($B26="","",SUMIFS('سجل الإجازات والحالات'!$AY$6:$AY$505,'سجل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والحالات'!$AA$6:$AA$505,'سجل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والحالات'!$AM$6:$AM$505,'سجل الإجازات والحالات'!$B$6:$B$505,$B27))/cfg_DAYS_Y)</f>
        <v/>
      </c>
      <c r="AI27" s="135" t="str">
        <f aca="false">IF($B27="","",MAX(0,IF(OR(الموظفون!$AE27="",الموظفون!$AE27&gt;($E$3-1)),($E$3-1),الموظفون!$AE27)-الموظفون!$H27+1-SUMIFS('سجل الإجازات والحالات'!$AL$6:$AL$505,'سجل الإجازات والحالات'!$B$6:$B$505,$B27))/cfg_DAYS_Y)</f>
        <v/>
      </c>
      <c r="AJ27" s="110" t="str">
        <f aca="false">IF($B27="","",MAX(0,AK27-(SUMIFS('سجل الإجازات والحالات'!$AM$6:$AM$505,'سجل الإجازات والحالات'!$B$6:$B$505,$B27)-SUMIFS('سجل الإجازات والحالات'!$AL$6:$AL$505,'سجل الإجازات والحالات'!$B$6:$B$505,$B27))))</f>
        <v/>
      </c>
      <c r="AK27" s="110" t="str">
        <f aca="false">IF($B27="","",MAX(0,IF(OR(الموظفون!$AE27="",الموظفون!$AE27&gt;$F$3),$F$3,الموظفون!$AE27)-MAX($E$3,الموظفون!$H27)+1))</f>
        <v/>
      </c>
      <c r="AL27" s="131" t="str">
        <f aca="false">IF($B27="","",SUMIFS('سجل الإجازات والحالات'!$AY$6:$AY$505,'سجل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والحالات'!$AA$6:$AA$505,'سجل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والحالات'!$AM$6:$AM$505,'سجل الإجازات والحالات'!$B$6:$B$505,$B28))/cfg_DAYS_Y)</f>
        <v/>
      </c>
      <c r="AI28" s="130" t="str">
        <f aca="false">IF($B28="","",MAX(0,IF(OR(الموظفون!$AE28="",الموظفون!$AE28&gt;($E$3-1)),($E$3-1),الموظفون!$AE28)-الموظفون!$H28+1-SUMIFS('سجل الإجازات والحالات'!$AL$6:$AL$505,'سجل الإجازات والحالات'!$B$6:$B$505,$B28))/cfg_DAYS_Y)</f>
        <v/>
      </c>
      <c r="AJ28" s="57" t="str">
        <f aca="false">IF($B28="","",MAX(0,AK28-(SUMIFS('سجل الإجازات والحالات'!$AM$6:$AM$505,'سجل الإجازات والحالات'!$B$6:$B$505,$B28)-SUMIFS('سجل الإجازات والحالات'!$AL$6:$AL$505,'سجل الإجازات والحالات'!$B$6:$B$505,$B28))))</f>
        <v/>
      </c>
      <c r="AK28" s="57" t="str">
        <f aca="false">IF($B28="","",MAX(0,IF(OR(الموظفون!$AE28="",الموظفون!$AE28&gt;$F$3),$F$3,الموظفون!$AE28)-MAX($E$3,الموظفون!$H28)+1))</f>
        <v/>
      </c>
      <c r="AL28" s="126" t="str">
        <f aca="false">IF($B28="","",SUMIFS('سجل الإجازات والحالات'!$AY$6:$AY$505,'سجل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والحالات'!$AA$6:$AA$505,'سجل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والحالات'!$AM$6:$AM$505,'سجل الإجازات والحالات'!$B$6:$B$505,$B29))/cfg_DAYS_Y)</f>
        <v/>
      </c>
      <c r="AI29" s="135" t="str">
        <f aca="false">IF($B29="","",MAX(0,IF(OR(الموظفون!$AE29="",الموظفون!$AE29&gt;($E$3-1)),($E$3-1),الموظفون!$AE29)-الموظفون!$H29+1-SUMIFS('سجل الإجازات والحالات'!$AL$6:$AL$505,'سجل الإجازات والحالات'!$B$6:$B$505,$B29))/cfg_DAYS_Y)</f>
        <v/>
      </c>
      <c r="AJ29" s="110" t="str">
        <f aca="false">IF($B29="","",MAX(0,AK29-(SUMIFS('سجل الإجازات والحالات'!$AM$6:$AM$505,'سجل الإجازات والحالات'!$B$6:$B$505,$B29)-SUMIFS('سجل الإجازات والحالات'!$AL$6:$AL$505,'سجل الإجازات والحالات'!$B$6:$B$505,$B29))))</f>
        <v/>
      </c>
      <c r="AK29" s="110" t="str">
        <f aca="false">IF($B29="","",MAX(0,IF(OR(الموظفون!$AE29="",الموظفون!$AE29&gt;$F$3),$F$3,الموظفون!$AE29)-MAX($E$3,الموظفون!$H29)+1))</f>
        <v/>
      </c>
      <c r="AL29" s="131" t="str">
        <f aca="false">IF($B29="","",SUMIFS('سجل الإجازات والحالات'!$AY$6:$AY$505,'سجل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والحالات'!$AA$6:$AA$505,'سجل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والحالات'!$AM$6:$AM$505,'سجل الإجازات والحالات'!$B$6:$B$505,$B30))/cfg_DAYS_Y)</f>
        <v/>
      </c>
      <c r="AI30" s="130" t="str">
        <f aca="false">IF($B30="","",MAX(0,IF(OR(الموظفون!$AE30="",الموظفون!$AE30&gt;($E$3-1)),($E$3-1),الموظفون!$AE30)-الموظفون!$H30+1-SUMIFS('سجل الإجازات والحالات'!$AL$6:$AL$505,'سجل الإجازات والحالات'!$B$6:$B$505,$B30))/cfg_DAYS_Y)</f>
        <v/>
      </c>
      <c r="AJ30" s="57" t="str">
        <f aca="false">IF($B30="","",MAX(0,AK30-(SUMIFS('سجل الإجازات والحالات'!$AM$6:$AM$505,'سجل الإجازات والحالات'!$B$6:$B$505,$B30)-SUMIFS('سجل الإجازات والحالات'!$AL$6:$AL$505,'سجل الإجازات والحالات'!$B$6:$B$505,$B30))))</f>
        <v/>
      </c>
      <c r="AK30" s="57" t="str">
        <f aca="false">IF($B30="","",MAX(0,IF(OR(الموظفون!$AE30="",الموظفون!$AE30&gt;$F$3),$F$3,الموظفون!$AE30)-MAX($E$3,الموظفون!$H30)+1))</f>
        <v/>
      </c>
      <c r="AL30" s="126" t="str">
        <f aca="false">IF($B30="","",SUMIFS('سجل الإجازات والحالات'!$AY$6:$AY$505,'سجل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والحالات'!$AA$6:$AA$505,'سجل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والحالات'!$AM$6:$AM$505,'سجل الإجازات والحالات'!$B$6:$B$505,$B31))/cfg_DAYS_Y)</f>
        <v/>
      </c>
      <c r="AI31" s="135" t="str">
        <f aca="false">IF($B31="","",MAX(0,IF(OR(الموظفون!$AE31="",الموظفون!$AE31&gt;($E$3-1)),($E$3-1),الموظفون!$AE31)-الموظفون!$H31+1-SUMIFS('سجل الإجازات والحالات'!$AL$6:$AL$505,'سجل الإجازات والحالات'!$B$6:$B$505,$B31))/cfg_DAYS_Y)</f>
        <v/>
      </c>
      <c r="AJ31" s="110" t="str">
        <f aca="false">IF($B31="","",MAX(0,AK31-(SUMIFS('سجل الإجازات والحالات'!$AM$6:$AM$505,'سجل الإجازات والحالات'!$B$6:$B$505,$B31)-SUMIFS('سجل الإجازات والحالات'!$AL$6:$AL$505,'سجل الإجازات والحالات'!$B$6:$B$505,$B31))))</f>
        <v/>
      </c>
      <c r="AK31" s="110" t="str">
        <f aca="false">IF($B31="","",MAX(0,IF(OR(الموظفون!$AE31="",الموظفون!$AE31&gt;$F$3),$F$3,الموظفون!$AE31)-MAX($E$3,الموظفون!$H31)+1))</f>
        <v/>
      </c>
      <c r="AL31" s="131" t="str">
        <f aca="false">IF($B31="","",SUMIFS('سجل الإجازات والحالات'!$AY$6:$AY$505,'سجل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والحالات'!$AA$6:$AA$505,'سجل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والحالات'!$AM$6:$AM$505,'سجل الإجازات والحالات'!$B$6:$B$505,$B32))/cfg_DAYS_Y)</f>
        <v/>
      </c>
      <c r="AI32" s="130" t="str">
        <f aca="false">IF($B32="","",MAX(0,IF(OR(الموظفون!$AE32="",الموظفون!$AE32&gt;($E$3-1)),($E$3-1),الموظفون!$AE32)-الموظفون!$H32+1-SUMIFS('سجل الإجازات والحالات'!$AL$6:$AL$505,'سجل الإجازات والحالات'!$B$6:$B$505,$B32))/cfg_DAYS_Y)</f>
        <v/>
      </c>
      <c r="AJ32" s="57" t="str">
        <f aca="false">IF($B32="","",MAX(0,AK32-(SUMIFS('سجل الإجازات والحالات'!$AM$6:$AM$505,'سجل الإجازات والحالات'!$B$6:$B$505,$B32)-SUMIFS('سجل الإجازات والحالات'!$AL$6:$AL$505,'سجل الإجازات والحالات'!$B$6:$B$505,$B32))))</f>
        <v/>
      </c>
      <c r="AK32" s="57" t="str">
        <f aca="false">IF($B32="","",MAX(0,IF(OR(الموظفون!$AE32="",الموظفون!$AE32&gt;$F$3),$F$3,الموظفون!$AE32)-MAX($E$3,الموظفون!$H32)+1))</f>
        <v/>
      </c>
      <c r="AL32" s="126" t="str">
        <f aca="false">IF($B32="","",SUMIFS('سجل الإجازات والحالات'!$AY$6:$AY$505,'سجل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والحالات'!$AA$6:$AA$505,'سجل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والحالات'!$AM$6:$AM$505,'سجل الإجازات والحالات'!$B$6:$B$505,$B33))/cfg_DAYS_Y)</f>
        <v/>
      </c>
      <c r="AI33" s="135" t="str">
        <f aca="false">IF($B33="","",MAX(0,IF(OR(الموظفون!$AE33="",الموظفون!$AE33&gt;($E$3-1)),($E$3-1),الموظفون!$AE33)-الموظفون!$H33+1-SUMIFS('سجل الإجازات والحالات'!$AL$6:$AL$505,'سجل الإجازات والحالات'!$B$6:$B$505,$B33))/cfg_DAYS_Y)</f>
        <v/>
      </c>
      <c r="AJ33" s="110" t="str">
        <f aca="false">IF($B33="","",MAX(0,AK33-(SUMIFS('سجل الإجازات والحالات'!$AM$6:$AM$505,'سجل الإجازات والحالات'!$B$6:$B$505,$B33)-SUMIFS('سجل الإجازات والحالات'!$AL$6:$AL$505,'سجل الإجازات والحالات'!$B$6:$B$505,$B33))))</f>
        <v/>
      </c>
      <c r="AK33" s="110" t="str">
        <f aca="false">IF($B33="","",MAX(0,IF(OR(الموظفون!$AE33="",الموظفون!$AE33&gt;$F$3),$F$3,الموظفون!$AE33)-MAX($E$3,الموظفون!$H33)+1))</f>
        <v/>
      </c>
      <c r="AL33" s="131" t="str">
        <f aca="false">IF($B33="","",SUMIFS('سجل الإجازات والحالات'!$AY$6:$AY$505,'سجل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والحالات'!$AA$6:$AA$505,'سجل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والحالات'!$AM$6:$AM$505,'سجل الإجازات والحالات'!$B$6:$B$505,$B34))/cfg_DAYS_Y)</f>
        <v/>
      </c>
      <c r="AI34" s="130" t="str">
        <f aca="false">IF($B34="","",MAX(0,IF(OR(الموظفون!$AE34="",الموظفون!$AE34&gt;($E$3-1)),($E$3-1),الموظفون!$AE34)-الموظفون!$H34+1-SUMIFS('سجل الإجازات والحالات'!$AL$6:$AL$505,'سجل الإجازات والحالات'!$B$6:$B$505,$B34))/cfg_DAYS_Y)</f>
        <v/>
      </c>
      <c r="AJ34" s="57" t="str">
        <f aca="false">IF($B34="","",MAX(0,AK34-(SUMIFS('سجل الإجازات والحالات'!$AM$6:$AM$505,'سجل الإجازات والحالات'!$B$6:$B$505,$B34)-SUMIFS('سجل الإجازات والحالات'!$AL$6:$AL$505,'سجل الإجازات والحالات'!$B$6:$B$505,$B34))))</f>
        <v/>
      </c>
      <c r="AK34" s="57" t="str">
        <f aca="false">IF($B34="","",MAX(0,IF(OR(الموظفون!$AE34="",الموظفون!$AE34&gt;$F$3),$F$3,الموظفون!$AE34)-MAX($E$3,الموظفون!$H34)+1))</f>
        <v/>
      </c>
      <c r="AL34" s="126" t="str">
        <f aca="false">IF($B34="","",SUMIFS('سجل الإجازات والحالات'!$AY$6:$AY$505,'سجل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والحالات'!$AA$6:$AA$505,'سجل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والحالات'!$AM$6:$AM$505,'سجل الإجازات والحالات'!$B$6:$B$505,$B35))/cfg_DAYS_Y)</f>
        <v/>
      </c>
      <c r="AI35" s="135" t="str">
        <f aca="false">IF($B35="","",MAX(0,IF(OR(الموظفون!$AE35="",الموظفون!$AE35&gt;($E$3-1)),($E$3-1),الموظفون!$AE35)-الموظفون!$H35+1-SUMIFS('سجل الإجازات والحالات'!$AL$6:$AL$505,'سجل الإجازات والحالات'!$B$6:$B$505,$B35))/cfg_DAYS_Y)</f>
        <v/>
      </c>
      <c r="AJ35" s="110" t="str">
        <f aca="false">IF($B35="","",MAX(0,AK35-(SUMIFS('سجل الإجازات والحالات'!$AM$6:$AM$505,'سجل الإجازات والحالات'!$B$6:$B$505,$B35)-SUMIFS('سجل الإجازات والحالات'!$AL$6:$AL$505,'سجل الإجازات والحالات'!$B$6:$B$505,$B35))))</f>
        <v/>
      </c>
      <c r="AK35" s="110" t="str">
        <f aca="false">IF($B35="","",MAX(0,IF(OR(الموظفون!$AE35="",الموظفون!$AE35&gt;$F$3),$F$3,الموظفون!$AE35)-MAX($E$3,الموظفون!$H35)+1))</f>
        <v/>
      </c>
      <c r="AL35" s="131" t="str">
        <f aca="false">IF($B35="","",SUMIFS('سجل الإجازات والحالات'!$AY$6:$AY$505,'سجل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والحالات'!$AA$6:$AA$505,'سجل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والحالات'!$AM$6:$AM$505,'سجل الإجازات والحالات'!$B$6:$B$505,$B36))/cfg_DAYS_Y)</f>
        <v/>
      </c>
      <c r="AI36" s="130" t="str">
        <f aca="false">IF($B36="","",MAX(0,IF(OR(الموظفون!$AE36="",الموظفون!$AE36&gt;($E$3-1)),($E$3-1),الموظفون!$AE36)-الموظفون!$H36+1-SUMIFS('سجل الإجازات والحالات'!$AL$6:$AL$505,'سجل الإجازات والحالات'!$B$6:$B$505,$B36))/cfg_DAYS_Y)</f>
        <v/>
      </c>
      <c r="AJ36" s="57" t="str">
        <f aca="false">IF($B36="","",MAX(0,AK36-(SUMIFS('سجل الإجازات والحالات'!$AM$6:$AM$505,'سجل الإجازات والحالات'!$B$6:$B$505,$B36)-SUMIFS('سجل الإجازات والحالات'!$AL$6:$AL$505,'سجل الإجازات والحالات'!$B$6:$B$505,$B36))))</f>
        <v/>
      </c>
      <c r="AK36" s="57" t="str">
        <f aca="false">IF($B36="","",MAX(0,IF(OR(الموظفون!$AE36="",الموظفون!$AE36&gt;$F$3),$F$3,الموظفون!$AE36)-MAX($E$3,الموظفون!$H36)+1))</f>
        <v/>
      </c>
      <c r="AL36" s="126" t="str">
        <f aca="false">IF($B36="","",SUMIFS('سجل الإجازات والحالات'!$AY$6:$AY$505,'سجل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والحالات'!$AA$6:$AA$505,'سجل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والحالات'!$AM$6:$AM$505,'سجل الإجازات والحالات'!$B$6:$B$505,$B37))/cfg_DAYS_Y)</f>
        <v/>
      </c>
      <c r="AI37" s="135" t="str">
        <f aca="false">IF($B37="","",MAX(0,IF(OR(الموظفون!$AE37="",الموظفون!$AE37&gt;($E$3-1)),($E$3-1),الموظفون!$AE37)-الموظفون!$H37+1-SUMIFS('سجل الإجازات والحالات'!$AL$6:$AL$505,'سجل الإجازات والحالات'!$B$6:$B$505,$B37))/cfg_DAYS_Y)</f>
        <v/>
      </c>
      <c r="AJ37" s="110" t="str">
        <f aca="false">IF($B37="","",MAX(0,AK37-(SUMIFS('سجل الإجازات والحالات'!$AM$6:$AM$505,'سجل الإجازات والحالات'!$B$6:$B$505,$B37)-SUMIFS('سجل الإجازات والحالات'!$AL$6:$AL$505,'سجل الإجازات والحالات'!$B$6:$B$505,$B37))))</f>
        <v/>
      </c>
      <c r="AK37" s="110" t="str">
        <f aca="false">IF($B37="","",MAX(0,IF(OR(الموظفون!$AE37="",الموظفون!$AE37&gt;$F$3),$F$3,الموظفون!$AE37)-MAX($E$3,الموظفون!$H37)+1))</f>
        <v/>
      </c>
      <c r="AL37" s="131" t="str">
        <f aca="false">IF($B37="","",SUMIFS('سجل الإجازات والحالات'!$AY$6:$AY$505,'سجل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والحالات'!$AA$6:$AA$505,'سجل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والحالات'!$AM$6:$AM$505,'سجل الإجازات والحالات'!$B$6:$B$505,$B38))/cfg_DAYS_Y)</f>
        <v/>
      </c>
      <c r="AI38" s="130" t="str">
        <f aca="false">IF($B38="","",MAX(0,IF(OR(الموظفون!$AE38="",الموظفون!$AE38&gt;($E$3-1)),($E$3-1),الموظفون!$AE38)-الموظفون!$H38+1-SUMIFS('سجل الإجازات والحالات'!$AL$6:$AL$505,'سجل الإجازات والحالات'!$B$6:$B$505,$B38))/cfg_DAYS_Y)</f>
        <v/>
      </c>
      <c r="AJ38" s="57" t="str">
        <f aca="false">IF($B38="","",MAX(0,AK38-(SUMIFS('سجل الإجازات والحالات'!$AM$6:$AM$505,'سجل الإجازات والحالات'!$B$6:$B$505,$B38)-SUMIFS('سجل الإجازات والحالات'!$AL$6:$AL$505,'سجل الإجازات والحالات'!$B$6:$B$505,$B38))))</f>
        <v/>
      </c>
      <c r="AK38" s="57" t="str">
        <f aca="false">IF($B38="","",MAX(0,IF(OR(الموظفون!$AE38="",الموظفون!$AE38&gt;$F$3),$F$3,الموظفون!$AE38)-MAX($E$3,الموظفون!$H38)+1))</f>
        <v/>
      </c>
      <c r="AL38" s="126" t="str">
        <f aca="false">IF($B38="","",SUMIFS('سجل الإجازات والحالات'!$AY$6:$AY$505,'سجل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والحالات'!$AA$6:$AA$505,'سجل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والحالات'!$AM$6:$AM$505,'سجل الإجازات والحالات'!$B$6:$B$505,$B39))/cfg_DAYS_Y)</f>
        <v/>
      </c>
      <c r="AI39" s="135" t="str">
        <f aca="false">IF($B39="","",MAX(0,IF(OR(الموظفون!$AE39="",الموظفون!$AE39&gt;($E$3-1)),($E$3-1),الموظفون!$AE39)-الموظفون!$H39+1-SUMIFS('سجل الإجازات والحالات'!$AL$6:$AL$505,'سجل الإجازات والحالات'!$B$6:$B$505,$B39))/cfg_DAYS_Y)</f>
        <v/>
      </c>
      <c r="AJ39" s="110" t="str">
        <f aca="false">IF($B39="","",MAX(0,AK39-(SUMIFS('سجل الإجازات والحالات'!$AM$6:$AM$505,'سجل الإجازات والحالات'!$B$6:$B$505,$B39)-SUMIFS('سجل الإجازات والحالات'!$AL$6:$AL$505,'سجل الإجازات والحالات'!$B$6:$B$505,$B39))))</f>
        <v/>
      </c>
      <c r="AK39" s="110" t="str">
        <f aca="false">IF($B39="","",MAX(0,IF(OR(الموظفون!$AE39="",الموظفون!$AE39&gt;$F$3),$F$3,الموظفون!$AE39)-MAX($E$3,الموظفون!$H39)+1))</f>
        <v/>
      </c>
      <c r="AL39" s="131" t="str">
        <f aca="false">IF($B39="","",SUMIFS('سجل الإجازات والحالات'!$AY$6:$AY$505,'سجل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والحالات'!$AA$6:$AA$505,'سجل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والحالات'!$AM$6:$AM$505,'سجل الإجازات والحالات'!$B$6:$B$505,$B40))/cfg_DAYS_Y)</f>
        <v/>
      </c>
      <c r="AI40" s="130" t="str">
        <f aca="false">IF($B40="","",MAX(0,IF(OR(الموظفون!$AE40="",الموظفون!$AE40&gt;($E$3-1)),($E$3-1),الموظفون!$AE40)-الموظفون!$H40+1-SUMIFS('سجل الإجازات والحالات'!$AL$6:$AL$505,'سجل الإجازات والحالات'!$B$6:$B$505,$B40))/cfg_DAYS_Y)</f>
        <v/>
      </c>
      <c r="AJ40" s="57" t="str">
        <f aca="false">IF($B40="","",MAX(0,AK40-(SUMIFS('سجل الإجازات والحالات'!$AM$6:$AM$505,'سجل الإجازات والحالات'!$B$6:$B$505,$B40)-SUMIFS('سجل الإجازات والحالات'!$AL$6:$AL$505,'سجل الإجازات والحالات'!$B$6:$B$505,$B40))))</f>
        <v/>
      </c>
      <c r="AK40" s="57" t="str">
        <f aca="false">IF($B40="","",MAX(0,IF(OR(الموظفون!$AE40="",الموظفون!$AE40&gt;$F$3),$F$3,الموظفون!$AE40)-MAX($E$3,الموظفون!$H40)+1))</f>
        <v/>
      </c>
      <c r="AL40" s="126" t="str">
        <f aca="false">IF($B40="","",SUMIFS('سجل الإجازات والحالات'!$AY$6:$AY$505,'سجل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والحالات'!$AA$6:$AA$505,'سجل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والحالات'!$AM$6:$AM$505,'سجل الإجازات والحالات'!$B$6:$B$505,$B41))/cfg_DAYS_Y)</f>
        <v/>
      </c>
      <c r="AI41" s="135" t="str">
        <f aca="false">IF($B41="","",MAX(0,IF(OR(الموظفون!$AE41="",الموظفون!$AE41&gt;($E$3-1)),($E$3-1),الموظفون!$AE41)-الموظفون!$H41+1-SUMIFS('سجل الإجازات والحالات'!$AL$6:$AL$505,'سجل الإجازات والحالات'!$B$6:$B$505,$B41))/cfg_DAYS_Y)</f>
        <v/>
      </c>
      <c r="AJ41" s="110" t="str">
        <f aca="false">IF($B41="","",MAX(0,AK41-(SUMIFS('سجل الإجازات والحالات'!$AM$6:$AM$505,'سجل الإجازات والحالات'!$B$6:$B$505,$B41)-SUMIFS('سجل الإجازات والحالات'!$AL$6:$AL$505,'سجل الإجازات والحالات'!$B$6:$B$505,$B41))))</f>
        <v/>
      </c>
      <c r="AK41" s="110" t="str">
        <f aca="false">IF($B41="","",MAX(0,IF(OR(الموظفون!$AE41="",الموظفون!$AE41&gt;$F$3),$F$3,الموظفون!$AE41)-MAX($E$3,الموظفون!$H41)+1))</f>
        <v/>
      </c>
      <c r="AL41" s="131" t="str">
        <f aca="false">IF($B41="","",SUMIFS('سجل الإجازات والحالات'!$AY$6:$AY$505,'سجل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والحالات'!$AA$6:$AA$505,'سجل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والحالات'!$AM$6:$AM$505,'سجل الإجازات والحالات'!$B$6:$B$505,$B42))/cfg_DAYS_Y)</f>
        <v/>
      </c>
      <c r="AI42" s="130" t="str">
        <f aca="false">IF($B42="","",MAX(0,IF(OR(الموظفون!$AE42="",الموظفون!$AE42&gt;($E$3-1)),($E$3-1),الموظفون!$AE42)-الموظفون!$H42+1-SUMIFS('سجل الإجازات والحالات'!$AL$6:$AL$505,'سجل الإجازات والحالات'!$B$6:$B$505,$B42))/cfg_DAYS_Y)</f>
        <v/>
      </c>
      <c r="AJ42" s="57" t="str">
        <f aca="false">IF($B42="","",MAX(0,AK42-(SUMIFS('سجل الإجازات والحالات'!$AM$6:$AM$505,'سجل الإجازات والحالات'!$B$6:$B$505,$B42)-SUMIFS('سجل الإجازات والحالات'!$AL$6:$AL$505,'سجل الإجازات والحالات'!$B$6:$B$505,$B42))))</f>
        <v/>
      </c>
      <c r="AK42" s="57" t="str">
        <f aca="false">IF($B42="","",MAX(0,IF(OR(الموظفون!$AE42="",الموظفون!$AE42&gt;$F$3),$F$3,الموظفون!$AE42)-MAX($E$3,الموظفون!$H42)+1))</f>
        <v/>
      </c>
      <c r="AL42" s="126" t="str">
        <f aca="false">IF($B42="","",SUMIFS('سجل الإجازات والحالات'!$AY$6:$AY$505,'سجل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والحالات'!$AA$6:$AA$505,'سجل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والحالات'!$AM$6:$AM$505,'سجل الإجازات والحالات'!$B$6:$B$505,$B43))/cfg_DAYS_Y)</f>
        <v/>
      </c>
      <c r="AI43" s="135" t="str">
        <f aca="false">IF($B43="","",MAX(0,IF(OR(الموظفون!$AE43="",الموظفون!$AE43&gt;($E$3-1)),($E$3-1),الموظفون!$AE43)-الموظفون!$H43+1-SUMIFS('سجل الإجازات والحالات'!$AL$6:$AL$505,'سجل الإجازات والحالات'!$B$6:$B$505,$B43))/cfg_DAYS_Y)</f>
        <v/>
      </c>
      <c r="AJ43" s="110" t="str">
        <f aca="false">IF($B43="","",MAX(0,AK43-(SUMIFS('سجل الإجازات والحالات'!$AM$6:$AM$505,'سجل الإجازات والحالات'!$B$6:$B$505,$B43)-SUMIFS('سجل الإجازات والحالات'!$AL$6:$AL$505,'سجل الإجازات والحالات'!$B$6:$B$505,$B43))))</f>
        <v/>
      </c>
      <c r="AK43" s="110" t="str">
        <f aca="false">IF($B43="","",MAX(0,IF(OR(الموظفون!$AE43="",الموظفون!$AE43&gt;$F$3),$F$3,الموظفون!$AE43)-MAX($E$3,الموظفون!$H43)+1))</f>
        <v/>
      </c>
      <c r="AL43" s="131" t="str">
        <f aca="false">IF($B43="","",SUMIFS('سجل الإجازات والحالات'!$AY$6:$AY$505,'سجل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والحالات'!$AA$6:$AA$505,'سجل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والحالات'!$AM$6:$AM$505,'سجل الإجازات والحالات'!$B$6:$B$505,$B44))/cfg_DAYS_Y)</f>
        <v/>
      </c>
      <c r="AI44" s="130" t="str">
        <f aca="false">IF($B44="","",MAX(0,IF(OR(الموظفون!$AE44="",الموظفون!$AE44&gt;($E$3-1)),($E$3-1),الموظفون!$AE44)-الموظفون!$H44+1-SUMIFS('سجل الإجازات والحالات'!$AL$6:$AL$505,'سجل الإجازات والحالات'!$B$6:$B$505,$B44))/cfg_DAYS_Y)</f>
        <v/>
      </c>
      <c r="AJ44" s="57" t="str">
        <f aca="false">IF($B44="","",MAX(0,AK44-(SUMIFS('سجل الإجازات والحالات'!$AM$6:$AM$505,'سجل الإجازات والحالات'!$B$6:$B$505,$B44)-SUMIFS('سجل الإجازات والحالات'!$AL$6:$AL$505,'سجل الإجازات والحالات'!$B$6:$B$505,$B44))))</f>
        <v/>
      </c>
      <c r="AK44" s="57" t="str">
        <f aca="false">IF($B44="","",MAX(0,IF(OR(الموظفون!$AE44="",الموظفون!$AE44&gt;$F$3),$F$3,الموظفون!$AE44)-MAX($E$3,الموظفون!$H44)+1))</f>
        <v/>
      </c>
      <c r="AL44" s="126" t="str">
        <f aca="false">IF($B44="","",SUMIFS('سجل الإجازات والحالات'!$AY$6:$AY$505,'سجل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والحالات'!$AA$6:$AA$505,'سجل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والحالات'!$AM$6:$AM$505,'سجل الإجازات والحالات'!$B$6:$B$505,$B45))/cfg_DAYS_Y)</f>
        <v/>
      </c>
      <c r="AI45" s="135" t="str">
        <f aca="false">IF($B45="","",MAX(0,IF(OR(الموظفون!$AE45="",الموظفون!$AE45&gt;($E$3-1)),($E$3-1),الموظفون!$AE45)-الموظفون!$H45+1-SUMIFS('سجل الإجازات والحالات'!$AL$6:$AL$505,'سجل الإجازات والحالات'!$B$6:$B$505,$B45))/cfg_DAYS_Y)</f>
        <v/>
      </c>
      <c r="AJ45" s="110" t="str">
        <f aca="false">IF($B45="","",MAX(0,AK45-(SUMIFS('سجل الإجازات والحالات'!$AM$6:$AM$505,'سجل الإجازات والحالات'!$B$6:$B$505,$B45)-SUMIFS('سجل الإجازات والحالات'!$AL$6:$AL$505,'سجل الإجازات والحالات'!$B$6:$B$505,$B45))))</f>
        <v/>
      </c>
      <c r="AK45" s="110" t="str">
        <f aca="false">IF($B45="","",MAX(0,IF(OR(الموظفون!$AE45="",الموظفون!$AE45&gt;$F$3),$F$3,الموظفون!$AE45)-MAX($E$3,الموظفون!$H45)+1))</f>
        <v/>
      </c>
      <c r="AL45" s="131" t="str">
        <f aca="false">IF($B45="","",SUMIFS('سجل الإجازات والحالات'!$AY$6:$AY$505,'سجل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والحالات'!$AA$6:$AA$505,'سجل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والحالات'!$AM$6:$AM$505,'سجل الإجازات والحالات'!$B$6:$B$505,$B46))/cfg_DAYS_Y)</f>
        <v/>
      </c>
      <c r="AI46" s="130" t="str">
        <f aca="false">IF($B46="","",MAX(0,IF(OR(الموظفون!$AE46="",الموظفون!$AE46&gt;($E$3-1)),($E$3-1),الموظفون!$AE46)-الموظفون!$H46+1-SUMIFS('سجل الإجازات والحالات'!$AL$6:$AL$505,'سجل الإجازات والحالات'!$B$6:$B$505,$B46))/cfg_DAYS_Y)</f>
        <v/>
      </c>
      <c r="AJ46" s="57" t="str">
        <f aca="false">IF($B46="","",MAX(0,AK46-(SUMIFS('سجل الإجازات والحالات'!$AM$6:$AM$505,'سجل الإجازات والحالات'!$B$6:$B$505,$B46)-SUMIFS('سجل الإجازات والحالات'!$AL$6:$AL$505,'سجل الإجازات والحالات'!$B$6:$B$505,$B46))))</f>
        <v/>
      </c>
      <c r="AK46" s="57" t="str">
        <f aca="false">IF($B46="","",MAX(0,IF(OR(الموظفون!$AE46="",الموظفون!$AE46&gt;$F$3),$F$3,الموظفون!$AE46)-MAX($E$3,الموظفون!$H46)+1))</f>
        <v/>
      </c>
      <c r="AL46" s="126" t="str">
        <f aca="false">IF($B46="","",SUMIFS('سجل الإجازات والحالات'!$AY$6:$AY$505,'سجل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والحالات'!$AA$6:$AA$505,'سجل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والحالات'!$AM$6:$AM$505,'سجل الإجازات والحالات'!$B$6:$B$505,$B47))/cfg_DAYS_Y)</f>
        <v/>
      </c>
      <c r="AI47" s="135" t="str">
        <f aca="false">IF($B47="","",MAX(0,IF(OR(الموظفون!$AE47="",الموظفون!$AE47&gt;($E$3-1)),($E$3-1),الموظفون!$AE47)-الموظفون!$H47+1-SUMIFS('سجل الإجازات والحالات'!$AL$6:$AL$505,'سجل الإجازات والحالات'!$B$6:$B$505,$B47))/cfg_DAYS_Y)</f>
        <v/>
      </c>
      <c r="AJ47" s="110" t="str">
        <f aca="false">IF($B47="","",MAX(0,AK47-(SUMIFS('سجل الإجازات والحالات'!$AM$6:$AM$505,'سجل الإجازات والحالات'!$B$6:$B$505,$B47)-SUMIFS('سجل الإجازات والحالات'!$AL$6:$AL$505,'سجل الإجازات والحالات'!$B$6:$B$505,$B47))))</f>
        <v/>
      </c>
      <c r="AK47" s="110" t="str">
        <f aca="false">IF($B47="","",MAX(0,IF(OR(الموظفون!$AE47="",الموظفون!$AE47&gt;$F$3),$F$3,الموظفون!$AE47)-MAX($E$3,الموظفون!$H47)+1))</f>
        <v/>
      </c>
      <c r="AL47" s="131" t="str">
        <f aca="false">IF($B47="","",SUMIFS('سجل الإجازات والحالات'!$AY$6:$AY$505,'سجل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والحالات'!$AA$6:$AA$505,'سجل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والحالات'!$AM$6:$AM$505,'سجل الإجازات والحالات'!$B$6:$B$505,$B48))/cfg_DAYS_Y)</f>
        <v/>
      </c>
      <c r="AI48" s="130" t="str">
        <f aca="false">IF($B48="","",MAX(0,IF(OR(الموظفون!$AE48="",الموظفون!$AE48&gt;($E$3-1)),($E$3-1),الموظفون!$AE48)-الموظفون!$H48+1-SUMIFS('سجل الإجازات والحالات'!$AL$6:$AL$505,'سجل الإجازات والحالات'!$B$6:$B$505,$B48))/cfg_DAYS_Y)</f>
        <v/>
      </c>
      <c r="AJ48" s="57" t="str">
        <f aca="false">IF($B48="","",MAX(0,AK48-(SUMIFS('سجل الإجازات والحالات'!$AM$6:$AM$505,'سجل الإجازات والحالات'!$B$6:$B$505,$B48)-SUMIFS('سجل الإجازات والحالات'!$AL$6:$AL$505,'سجل الإجازات والحالات'!$B$6:$B$505,$B48))))</f>
        <v/>
      </c>
      <c r="AK48" s="57" t="str">
        <f aca="false">IF($B48="","",MAX(0,IF(OR(الموظفون!$AE48="",الموظفون!$AE48&gt;$F$3),$F$3,الموظفون!$AE48)-MAX($E$3,الموظفون!$H48)+1))</f>
        <v/>
      </c>
      <c r="AL48" s="126" t="str">
        <f aca="false">IF($B48="","",SUMIFS('سجل الإجازات والحالات'!$AY$6:$AY$505,'سجل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والحالات'!$AA$6:$AA$505,'سجل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والحالات'!$AM$6:$AM$505,'سجل الإجازات والحالات'!$B$6:$B$505,$B49))/cfg_DAYS_Y)</f>
        <v/>
      </c>
      <c r="AI49" s="135" t="str">
        <f aca="false">IF($B49="","",MAX(0,IF(OR(الموظفون!$AE49="",الموظفون!$AE49&gt;($E$3-1)),($E$3-1),الموظفون!$AE49)-الموظفون!$H49+1-SUMIFS('سجل الإجازات والحالات'!$AL$6:$AL$505,'سجل الإجازات والحالات'!$B$6:$B$505,$B49))/cfg_DAYS_Y)</f>
        <v/>
      </c>
      <c r="AJ49" s="110" t="str">
        <f aca="false">IF($B49="","",MAX(0,AK49-(SUMIFS('سجل الإجازات والحالات'!$AM$6:$AM$505,'سجل الإجازات والحالات'!$B$6:$B$505,$B49)-SUMIFS('سجل الإجازات والحالات'!$AL$6:$AL$505,'سجل الإجازات والحالات'!$B$6:$B$505,$B49))))</f>
        <v/>
      </c>
      <c r="AK49" s="110" t="str">
        <f aca="false">IF($B49="","",MAX(0,IF(OR(الموظفون!$AE49="",الموظفون!$AE49&gt;$F$3),$F$3,الموظفون!$AE49)-MAX($E$3,الموظفون!$H49)+1))</f>
        <v/>
      </c>
      <c r="AL49" s="131" t="str">
        <f aca="false">IF($B49="","",SUMIFS('سجل الإجازات والحالات'!$AY$6:$AY$505,'سجل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والحالات'!$AA$6:$AA$505,'سجل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والحالات'!$AM$6:$AM$505,'سجل الإجازات والحالات'!$B$6:$B$505,$B50))/cfg_DAYS_Y)</f>
        <v/>
      </c>
      <c r="AI50" s="130" t="str">
        <f aca="false">IF($B50="","",MAX(0,IF(OR(الموظفون!$AE50="",الموظفون!$AE50&gt;($E$3-1)),($E$3-1),الموظفون!$AE50)-الموظفون!$H50+1-SUMIFS('سجل الإجازات والحالات'!$AL$6:$AL$505,'سجل الإجازات والحالات'!$B$6:$B$505,$B50))/cfg_DAYS_Y)</f>
        <v/>
      </c>
      <c r="AJ50" s="57" t="str">
        <f aca="false">IF($B50="","",MAX(0,AK50-(SUMIFS('سجل الإجازات والحالات'!$AM$6:$AM$505,'سجل الإجازات والحالات'!$B$6:$B$505,$B50)-SUMIFS('سجل الإجازات والحالات'!$AL$6:$AL$505,'سجل الإجازات والحالات'!$B$6:$B$505,$B50))))</f>
        <v/>
      </c>
      <c r="AK50" s="57" t="str">
        <f aca="false">IF($B50="","",MAX(0,IF(OR(الموظفون!$AE50="",الموظفون!$AE50&gt;$F$3),$F$3,الموظفون!$AE50)-MAX($E$3,الموظفون!$H50)+1))</f>
        <v/>
      </c>
      <c r="AL50" s="126" t="str">
        <f aca="false">IF($B50="","",SUMIFS('سجل الإجازات والحالات'!$AY$6:$AY$505,'سجل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والحالات'!$AA$6:$AA$505,'سجل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والحالات'!$AM$6:$AM$505,'سجل الإجازات والحالات'!$B$6:$B$505,$B51))/cfg_DAYS_Y)</f>
        <v/>
      </c>
      <c r="AI51" s="135" t="str">
        <f aca="false">IF($B51="","",MAX(0,IF(OR(الموظفون!$AE51="",الموظفون!$AE51&gt;($E$3-1)),($E$3-1),الموظفون!$AE51)-الموظفون!$H51+1-SUMIFS('سجل الإجازات والحالات'!$AL$6:$AL$505,'سجل الإجازات والحالات'!$B$6:$B$505,$B51))/cfg_DAYS_Y)</f>
        <v/>
      </c>
      <c r="AJ51" s="110" t="str">
        <f aca="false">IF($B51="","",MAX(0,AK51-(SUMIFS('سجل الإجازات والحالات'!$AM$6:$AM$505,'سجل الإجازات والحالات'!$B$6:$B$505,$B51)-SUMIFS('سجل الإجازات والحالات'!$AL$6:$AL$505,'سجل الإجازات والحالات'!$B$6:$B$505,$B51))))</f>
        <v/>
      </c>
      <c r="AK51" s="110" t="str">
        <f aca="false">IF($B51="","",MAX(0,IF(OR(الموظفون!$AE51="",الموظفون!$AE51&gt;$F$3),$F$3,الموظفون!$AE51)-MAX($E$3,الموظفون!$H51)+1))</f>
        <v/>
      </c>
      <c r="AL51" s="131" t="str">
        <f aca="false">IF($B51="","",SUMIFS('سجل الإجازات والحالات'!$AY$6:$AY$505,'سجل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والحالات'!$AA$6:$AA$505,'سجل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والحالات'!$AM$6:$AM$505,'سجل الإجازات والحالات'!$B$6:$B$505,$B52))/cfg_DAYS_Y)</f>
        <v/>
      </c>
      <c r="AI52" s="130" t="str">
        <f aca="false">IF($B52="","",MAX(0,IF(OR(الموظفون!$AE52="",الموظفون!$AE52&gt;($E$3-1)),($E$3-1),الموظفون!$AE52)-الموظفون!$H52+1-SUMIFS('سجل الإجازات والحالات'!$AL$6:$AL$505,'سجل الإجازات والحالات'!$B$6:$B$505,$B52))/cfg_DAYS_Y)</f>
        <v/>
      </c>
      <c r="AJ52" s="57" t="str">
        <f aca="false">IF($B52="","",MAX(0,AK52-(SUMIFS('سجل الإجازات والحالات'!$AM$6:$AM$505,'سجل الإجازات والحالات'!$B$6:$B$505,$B52)-SUMIFS('سجل الإجازات والحالات'!$AL$6:$AL$505,'سجل الإجازات والحالات'!$B$6:$B$505,$B52))))</f>
        <v/>
      </c>
      <c r="AK52" s="57" t="str">
        <f aca="false">IF($B52="","",MAX(0,IF(OR(الموظفون!$AE52="",الموظفون!$AE52&gt;$F$3),$F$3,الموظفون!$AE52)-MAX($E$3,الموظفون!$H52)+1))</f>
        <v/>
      </c>
      <c r="AL52" s="126" t="str">
        <f aca="false">IF($B52="","",SUMIFS('سجل الإجازات والحالات'!$AY$6:$AY$505,'سجل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والحالات'!$AA$6:$AA$505,'سجل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والحالات'!$AM$6:$AM$505,'سجل الإجازات والحالات'!$B$6:$B$505,$B53))/cfg_DAYS_Y)</f>
        <v/>
      </c>
      <c r="AI53" s="135" t="str">
        <f aca="false">IF($B53="","",MAX(0,IF(OR(الموظفون!$AE53="",الموظفون!$AE53&gt;($E$3-1)),($E$3-1),الموظفون!$AE53)-الموظفون!$H53+1-SUMIFS('سجل الإجازات والحالات'!$AL$6:$AL$505,'سجل الإجازات والحالات'!$B$6:$B$505,$B53))/cfg_DAYS_Y)</f>
        <v/>
      </c>
      <c r="AJ53" s="110" t="str">
        <f aca="false">IF($B53="","",MAX(0,AK53-(SUMIFS('سجل الإجازات والحالات'!$AM$6:$AM$505,'سجل الإجازات والحالات'!$B$6:$B$505,$B53)-SUMIFS('سجل الإجازات والحالات'!$AL$6:$AL$505,'سجل الإجازات والحالات'!$B$6:$B$505,$B53))))</f>
        <v/>
      </c>
      <c r="AK53" s="110" t="str">
        <f aca="false">IF($B53="","",MAX(0,IF(OR(الموظفون!$AE53="",الموظفون!$AE53&gt;$F$3),$F$3,الموظفون!$AE53)-MAX($E$3,الموظفون!$H53)+1))</f>
        <v/>
      </c>
      <c r="AL53" s="131" t="str">
        <f aca="false">IF($B53="","",SUMIFS('سجل الإجازات والحالات'!$AY$6:$AY$505,'سجل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والحالات'!$AA$6:$AA$505,'سجل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والحالات'!$AM$6:$AM$505,'سجل الإجازات والحالات'!$B$6:$B$505,$B54))/cfg_DAYS_Y)</f>
        <v/>
      </c>
      <c r="AI54" s="130" t="str">
        <f aca="false">IF($B54="","",MAX(0,IF(OR(الموظفون!$AE54="",الموظفون!$AE54&gt;($E$3-1)),($E$3-1),الموظفون!$AE54)-الموظفون!$H54+1-SUMIFS('سجل الإجازات والحالات'!$AL$6:$AL$505,'سجل الإجازات والحالات'!$B$6:$B$505,$B54))/cfg_DAYS_Y)</f>
        <v/>
      </c>
      <c r="AJ54" s="57" t="str">
        <f aca="false">IF($B54="","",MAX(0,AK54-(SUMIFS('سجل الإجازات والحالات'!$AM$6:$AM$505,'سجل الإجازات والحالات'!$B$6:$B$505,$B54)-SUMIFS('سجل الإجازات والحالات'!$AL$6:$AL$505,'سجل الإجازات والحالات'!$B$6:$B$505,$B54))))</f>
        <v/>
      </c>
      <c r="AK54" s="57" t="str">
        <f aca="false">IF($B54="","",MAX(0,IF(OR(الموظفون!$AE54="",الموظفون!$AE54&gt;$F$3),$F$3,الموظفون!$AE54)-MAX($E$3,الموظفون!$H54)+1))</f>
        <v/>
      </c>
      <c r="AL54" s="126" t="str">
        <f aca="false">IF($B54="","",SUMIFS('سجل الإجازات والحالات'!$AY$6:$AY$505,'سجل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والحالات'!$AA$6:$AA$505,'سجل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والحالات'!$AM$6:$AM$505,'سجل الإجازات والحالات'!$B$6:$B$505,$B55))/cfg_DAYS_Y)</f>
        <v/>
      </c>
      <c r="AI55" s="135" t="str">
        <f aca="false">IF($B55="","",MAX(0,IF(OR(الموظفون!$AE55="",الموظفون!$AE55&gt;($E$3-1)),($E$3-1),الموظفون!$AE55)-الموظفون!$H55+1-SUMIFS('سجل الإجازات والحالات'!$AL$6:$AL$505,'سجل الإجازات والحالات'!$B$6:$B$505,$B55))/cfg_DAYS_Y)</f>
        <v/>
      </c>
      <c r="AJ55" s="110" t="str">
        <f aca="false">IF($B55="","",MAX(0,AK55-(SUMIFS('سجل الإجازات والحالات'!$AM$6:$AM$505,'سجل الإجازات والحالات'!$B$6:$B$505,$B55)-SUMIFS('سجل الإجازات والحالات'!$AL$6:$AL$505,'سجل الإجازات والحالات'!$B$6:$B$505,$B55))))</f>
        <v/>
      </c>
      <c r="AK55" s="110" t="str">
        <f aca="false">IF($B55="","",MAX(0,IF(OR(الموظفون!$AE55="",الموظفون!$AE55&gt;$F$3),$F$3,الموظفون!$AE55)-MAX($E$3,الموظفون!$H55)+1))</f>
        <v/>
      </c>
      <c r="AL55" s="131" t="str">
        <f aca="false">IF($B55="","",SUMIFS('سجل الإجازات والحالات'!$AY$6:$AY$505,'سجل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والحالات'!$AA$6:$AA$505,'سجل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والحالات'!$AM$6:$AM$505,'سجل الإجازات والحالات'!$B$6:$B$505,$B56))/cfg_DAYS_Y)</f>
        <v/>
      </c>
      <c r="AI56" s="130" t="str">
        <f aca="false">IF($B56="","",MAX(0,IF(OR(الموظفون!$AE56="",الموظفون!$AE56&gt;($E$3-1)),($E$3-1),الموظفون!$AE56)-الموظفون!$H56+1-SUMIFS('سجل الإجازات والحالات'!$AL$6:$AL$505,'سجل الإجازات والحالات'!$B$6:$B$505,$B56))/cfg_DAYS_Y)</f>
        <v/>
      </c>
      <c r="AJ56" s="57" t="str">
        <f aca="false">IF($B56="","",MAX(0,AK56-(SUMIFS('سجل الإجازات والحالات'!$AM$6:$AM$505,'سجل الإجازات والحالات'!$B$6:$B$505,$B56)-SUMIFS('سجل الإجازات والحالات'!$AL$6:$AL$505,'سجل الإجازات والحالات'!$B$6:$B$505,$B56))))</f>
        <v/>
      </c>
      <c r="AK56" s="57" t="str">
        <f aca="false">IF($B56="","",MAX(0,IF(OR(الموظفون!$AE56="",الموظفون!$AE56&gt;$F$3),$F$3,الموظفون!$AE56)-MAX($E$3,الموظفون!$H56)+1))</f>
        <v/>
      </c>
      <c r="AL56" s="126" t="str">
        <f aca="false">IF($B56="","",SUMIFS('سجل الإجازات والحالات'!$AY$6:$AY$505,'سجل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والحالات'!$AA$6:$AA$505,'سجل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والحالات'!$AM$6:$AM$505,'سجل الإجازات والحالات'!$B$6:$B$505,$B57))/cfg_DAYS_Y)</f>
        <v/>
      </c>
      <c r="AI57" s="135" t="str">
        <f aca="false">IF($B57="","",MAX(0,IF(OR(الموظفون!$AE57="",الموظفون!$AE57&gt;($E$3-1)),($E$3-1),الموظفون!$AE57)-الموظفون!$H57+1-SUMIFS('سجل الإجازات والحالات'!$AL$6:$AL$505,'سجل الإجازات والحالات'!$B$6:$B$505,$B57))/cfg_DAYS_Y)</f>
        <v/>
      </c>
      <c r="AJ57" s="110" t="str">
        <f aca="false">IF($B57="","",MAX(0,AK57-(SUMIFS('سجل الإجازات والحالات'!$AM$6:$AM$505,'سجل الإجازات والحالات'!$B$6:$B$505,$B57)-SUMIFS('سجل الإجازات والحالات'!$AL$6:$AL$505,'سجل الإجازات والحالات'!$B$6:$B$505,$B57))))</f>
        <v/>
      </c>
      <c r="AK57" s="110" t="str">
        <f aca="false">IF($B57="","",MAX(0,IF(OR(الموظفون!$AE57="",الموظفون!$AE57&gt;$F$3),$F$3,الموظفون!$AE57)-MAX($E$3,الموظفون!$H57)+1))</f>
        <v/>
      </c>
      <c r="AL57" s="131" t="str">
        <f aca="false">IF($B57="","",SUMIFS('سجل الإجازات والحالات'!$AY$6:$AY$505,'سجل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والحالات'!$AA$6:$AA$505,'سجل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والحالات'!$AM$6:$AM$505,'سجل الإجازات والحالات'!$B$6:$B$505,$B58))/cfg_DAYS_Y)</f>
        <v/>
      </c>
      <c r="AI58" s="130" t="str">
        <f aca="false">IF($B58="","",MAX(0,IF(OR(الموظفون!$AE58="",الموظفون!$AE58&gt;($E$3-1)),($E$3-1),الموظفون!$AE58)-الموظفون!$H58+1-SUMIFS('سجل الإجازات والحالات'!$AL$6:$AL$505,'سجل الإجازات والحالات'!$B$6:$B$505,$B58))/cfg_DAYS_Y)</f>
        <v/>
      </c>
      <c r="AJ58" s="57" t="str">
        <f aca="false">IF($B58="","",MAX(0,AK58-(SUMIFS('سجل الإجازات والحالات'!$AM$6:$AM$505,'سجل الإجازات والحالات'!$B$6:$B$505,$B58)-SUMIFS('سجل الإجازات والحالات'!$AL$6:$AL$505,'سجل الإجازات والحالات'!$B$6:$B$505,$B58))))</f>
        <v/>
      </c>
      <c r="AK58" s="57" t="str">
        <f aca="false">IF($B58="","",MAX(0,IF(OR(الموظفون!$AE58="",الموظفون!$AE58&gt;$F$3),$F$3,الموظفون!$AE58)-MAX($E$3,الموظفون!$H58)+1))</f>
        <v/>
      </c>
      <c r="AL58" s="126" t="str">
        <f aca="false">IF($B58="","",SUMIFS('سجل الإجازات والحالات'!$AY$6:$AY$505,'سجل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والحالات'!$AA$6:$AA$505,'سجل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والحالات'!$AM$6:$AM$505,'سجل الإجازات والحالات'!$B$6:$B$505,$B59))/cfg_DAYS_Y)</f>
        <v/>
      </c>
      <c r="AI59" s="135" t="str">
        <f aca="false">IF($B59="","",MAX(0,IF(OR(الموظفون!$AE59="",الموظفون!$AE59&gt;($E$3-1)),($E$3-1),الموظفون!$AE59)-الموظفون!$H59+1-SUMIFS('سجل الإجازات والحالات'!$AL$6:$AL$505,'سجل الإجازات والحالات'!$B$6:$B$505,$B59))/cfg_DAYS_Y)</f>
        <v/>
      </c>
      <c r="AJ59" s="110" t="str">
        <f aca="false">IF($B59="","",MAX(0,AK59-(SUMIFS('سجل الإجازات والحالات'!$AM$6:$AM$505,'سجل الإجازات والحالات'!$B$6:$B$505,$B59)-SUMIFS('سجل الإجازات والحالات'!$AL$6:$AL$505,'سجل الإجازات والحالات'!$B$6:$B$505,$B59))))</f>
        <v/>
      </c>
      <c r="AK59" s="110" t="str">
        <f aca="false">IF($B59="","",MAX(0,IF(OR(الموظفون!$AE59="",الموظفون!$AE59&gt;$F$3),$F$3,الموظفون!$AE59)-MAX($E$3,الموظفون!$H59)+1))</f>
        <v/>
      </c>
      <c r="AL59" s="131" t="str">
        <f aca="false">IF($B59="","",SUMIFS('سجل الإجازات والحالات'!$AY$6:$AY$505,'سجل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والحالات'!$AA$6:$AA$505,'سجل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والحالات'!$AM$6:$AM$505,'سجل الإجازات والحالات'!$B$6:$B$505,$B60))/cfg_DAYS_Y)</f>
        <v/>
      </c>
      <c r="AI60" s="130" t="str">
        <f aca="false">IF($B60="","",MAX(0,IF(OR(الموظفون!$AE60="",الموظفون!$AE60&gt;($E$3-1)),($E$3-1),الموظفون!$AE60)-الموظفون!$H60+1-SUMIFS('سجل الإجازات والحالات'!$AL$6:$AL$505,'سجل الإجازات والحالات'!$B$6:$B$505,$B60))/cfg_DAYS_Y)</f>
        <v/>
      </c>
      <c r="AJ60" s="57" t="str">
        <f aca="false">IF($B60="","",MAX(0,AK60-(SUMIFS('سجل الإجازات والحالات'!$AM$6:$AM$505,'سجل الإجازات والحالات'!$B$6:$B$505,$B60)-SUMIFS('سجل الإجازات والحالات'!$AL$6:$AL$505,'سجل الإجازات والحالات'!$B$6:$B$505,$B60))))</f>
        <v/>
      </c>
      <c r="AK60" s="57" t="str">
        <f aca="false">IF($B60="","",MAX(0,IF(OR(الموظفون!$AE60="",الموظفون!$AE60&gt;$F$3),$F$3,الموظفون!$AE60)-MAX($E$3,الموظفون!$H60)+1))</f>
        <v/>
      </c>
      <c r="AL60" s="126" t="str">
        <f aca="false">IF($B60="","",SUMIFS('سجل الإجازات والحالات'!$AY$6:$AY$505,'سجل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والحالات'!$AA$6:$AA$505,'سجل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والحالات'!$AM$6:$AM$505,'سجل الإجازات والحالات'!$B$6:$B$505,$B61))/cfg_DAYS_Y)</f>
        <v/>
      </c>
      <c r="AI61" s="135" t="str">
        <f aca="false">IF($B61="","",MAX(0,IF(OR(الموظفون!$AE61="",الموظفون!$AE61&gt;($E$3-1)),($E$3-1),الموظفون!$AE61)-الموظفون!$H61+1-SUMIFS('سجل الإجازات والحالات'!$AL$6:$AL$505,'سجل الإجازات والحالات'!$B$6:$B$505,$B61))/cfg_DAYS_Y)</f>
        <v/>
      </c>
      <c r="AJ61" s="110" t="str">
        <f aca="false">IF($B61="","",MAX(0,AK61-(SUMIFS('سجل الإجازات والحالات'!$AM$6:$AM$505,'سجل الإجازات والحالات'!$B$6:$B$505,$B61)-SUMIFS('سجل الإجازات والحالات'!$AL$6:$AL$505,'سجل الإجازات والحالات'!$B$6:$B$505,$B61))))</f>
        <v/>
      </c>
      <c r="AK61" s="110" t="str">
        <f aca="false">IF($B61="","",MAX(0,IF(OR(الموظفون!$AE61="",الموظفون!$AE61&gt;$F$3),$F$3,الموظفون!$AE61)-MAX($E$3,الموظفون!$H61)+1))</f>
        <v/>
      </c>
      <c r="AL61" s="131" t="str">
        <f aca="false">IF($B61="","",SUMIFS('سجل الإجازات والحالات'!$AY$6:$AY$505,'سجل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والحالات'!$AA$6:$AA$505,'سجل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والحالات'!$AM$6:$AM$505,'سجل الإجازات والحالات'!$B$6:$B$505,$B62))/cfg_DAYS_Y)</f>
        <v/>
      </c>
      <c r="AI62" s="130" t="str">
        <f aca="false">IF($B62="","",MAX(0,IF(OR(الموظفون!$AE62="",الموظفون!$AE62&gt;($E$3-1)),($E$3-1),الموظفون!$AE62)-الموظفون!$H62+1-SUMIFS('سجل الإجازات والحالات'!$AL$6:$AL$505,'سجل الإجازات والحالات'!$B$6:$B$505,$B62))/cfg_DAYS_Y)</f>
        <v/>
      </c>
      <c r="AJ62" s="57" t="str">
        <f aca="false">IF($B62="","",MAX(0,AK62-(SUMIFS('سجل الإجازات والحالات'!$AM$6:$AM$505,'سجل الإجازات والحالات'!$B$6:$B$505,$B62)-SUMIFS('سجل الإجازات والحالات'!$AL$6:$AL$505,'سجل الإجازات والحالات'!$B$6:$B$505,$B62))))</f>
        <v/>
      </c>
      <c r="AK62" s="57" t="str">
        <f aca="false">IF($B62="","",MAX(0,IF(OR(الموظفون!$AE62="",الموظفون!$AE62&gt;$F$3),$F$3,الموظفون!$AE62)-MAX($E$3,الموظفون!$H62)+1))</f>
        <v/>
      </c>
      <c r="AL62" s="126" t="str">
        <f aca="false">IF($B62="","",SUMIFS('سجل الإجازات والحالات'!$AY$6:$AY$505,'سجل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والحالات'!$AA$6:$AA$505,'سجل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والحالات'!$AM$6:$AM$505,'سجل الإجازات والحالات'!$B$6:$B$505,$B63))/cfg_DAYS_Y)</f>
        <v/>
      </c>
      <c r="AI63" s="135" t="str">
        <f aca="false">IF($B63="","",MAX(0,IF(OR(الموظفون!$AE63="",الموظفون!$AE63&gt;($E$3-1)),($E$3-1),الموظفون!$AE63)-الموظفون!$H63+1-SUMIFS('سجل الإجازات والحالات'!$AL$6:$AL$505,'سجل الإجازات والحالات'!$B$6:$B$505,$B63))/cfg_DAYS_Y)</f>
        <v/>
      </c>
      <c r="AJ63" s="110" t="str">
        <f aca="false">IF($B63="","",MAX(0,AK63-(SUMIFS('سجل الإجازات والحالات'!$AM$6:$AM$505,'سجل الإجازات والحالات'!$B$6:$B$505,$B63)-SUMIFS('سجل الإجازات والحالات'!$AL$6:$AL$505,'سجل الإجازات والحالات'!$B$6:$B$505,$B63))))</f>
        <v/>
      </c>
      <c r="AK63" s="110" t="str">
        <f aca="false">IF($B63="","",MAX(0,IF(OR(الموظفون!$AE63="",الموظفون!$AE63&gt;$F$3),$F$3,الموظفون!$AE63)-MAX($E$3,الموظفون!$H63)+1))</f>
        <v/>
      </c>
      <c r="AL63" s="131" t="str">
        <f aca="false">IF($B63="","",SUMIFS('سجل الإجازات والحالات'!$AY$6:$AY$505,'سجل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والحالات'!$AA$6:$AA$505,'سجل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والحالات'!$AM$6:$AM$505,'سجل الإجازات والحالات'!$B$6:$B$505,$B64))/cfg_DAYS_Y)</f>
        <v/>
      </c>
      <c r="AI64" s="130" t="str">
        <f aca="false">IF($B64="","",MAX(0,IF(OR(الموظفون!$AE64="",الموظفون!$AE64&gt;($E$3-1)),($E$3-1),الموظفون!$AE64)-الموظفون!$H64+1-SUMIFS('سجل الإجازات والحالات'!$AL$6:$AL$505,'سجل الإجازات والحالات'!$B$6:$B$505,$B64))/cfg_DAYS_Y)</f>
        <v/>
      </c>
      <c r="AJ64" s="57" t="str">
        <f aca="false">IF($B64="","",MAX(0,AK64-(SUMIFS('سجل الإجازات والحالات'!$AM$6:$AM$505,'سجل الإجازات والحالات'!$B$6:$B$505,$B64)-SUMIFS('سجل الإجازات والحالات'!$AL$6:$AL$505,'سجل الإجازات والحالات'!$B$6:$B$505,$B64))))</f>
        <v/>
      </c>
      <c r="AK64" s="57" t="str">
        <f aca="false">IF($B64="","",MAX(0,IF(OR(الموظفون!$AE64="",الموظفون!$AE64&gt;$F$3),$F$3,الموظفون!$AE64)-MAX($E$3,الموظفون!$H64)+1))</f>
        <v/>
      </c>
      <c r="AL64" s="126" t="str">
        <f aca="false">IF($B64="","",SUMIFS('سجل الإجازات والحالات'!$AY$6:$AY$505,'سجل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والحالات'!$AA$6:$AA$505,'سجل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والحالات'!$AM$6:$AM$505,'سجل الإجازات والحالات'!$B$6:$B$505,$B65))/cfg_DAYS_Y)</f>
        <v/>
      </c>
      <c r="AI65" s="135" t="str">
        <f aca="false">IF($B65="","",MAX(0,IF(OR(الموظفون!$AE65="",الموظفون!$AE65&gt;($E$3-1)),($E$3-1),الموظفون!$AE65)-الموظفون!$H65+1-SUMIFS('سجل الإجازات والحالات'!$AL$6:$AL$505,'سجل الإجازات والحالات'!$B$6:$B$505,$B65))/cfg_DAYS_Y)</f>
        <v/>
      </c>
      <c r="AJ65" s="110" t="str">
        <f aca="false">IF($B65="","",MAX(0,AK65-(SUMIFS('سجل الإجازات والحالات'!$AM$6:$AM$505,'سجل الإجازات والحالات'!$B$6:$B$505,$B65)-SUMIFS('سجل الإجازات والحالات'!$AL$6:$AL$505,'سجل الإجازات والحالات'!$B$6:$B$505,$B65))))</f>
        <v/>
      </c>
      <c r="AK65" s="110" t="str">
        <f aca="false">IF($B65="","",MAX(0,IF(OR(الموظفون!$AE65="",الموظفون!$AE65&gt;$F$3),$F$3,الموظفون!$AE65)-MAX($E$3,الموظفون!$H65)+1))</f>
        <v/>
      </c>
      <c r="AL65" s="131" t="str">
        <f aca="false">IF($B65="","",SUMIFS('سجل الإجازات والحالات'!$AY$6:$AY$505,'سجل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والحالات'!$AA$6:$AA$505,'سجل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والحالات'!$AM$6:$AM$505,'سجل الإجازات والحالات'!$B$6:$B$505,$B66))/cfg_DAYS_Y)</f>
        <v/>
      </c>
      <c r="AI66" s="130" t="str">
        <f aca="false">IF($B66="","",MAX(0,IF(OR(الموظفون!$AE66="",الموظفون!$AE66&gt;($E$3-1)),($E$3-1),الموظفون!$AE66)-الموظفون!$H66+1-SUMIFS('سجل الإجازات والحالات'!$AL$6:$AL$505,'سجل الإجازات والحالات'!$B$6:$B$505,$B66))/cfg_DAYS_Y)</f>
        <v/>
      </c>
      <c r="AJ66" s="57" t="str">
        <f aca="false">IF($B66="","",MAX(0,AK66-(SUMIFS('سجل الإجازات والحالات'!$AM$6:$AM$505,'سجل الإجازات والحالات'!$B$6:$B$505,$B66)-SUMIFS('سجل الإجازات والحالات'!$AL$6:$AL$505,'سجل الإجازات والحالات'!$B$6:$B$505,$B66))))</f>
        <v/>
      </c>
      <c r="AK66" s="57" t="str">
        <f aca="false">IF($B66="","",MAX(0,IF(OR(الموظفون!$AE66="",الموظفون!$AE66&gt;$F$3),$F$3,الموظفون!$AE66)-MAX($E$3,الموظفون!$H66)+1))</f>
        <v/>
      </c>
      <c r="AL66" s="126" t="str">
        <f aca="false">IF($B66="","",SUMIFS('سجل الإجازات والحالات'!$AY$6:$AY$505,'سجل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والحالات'!$AA$6:$AA$505,'سجل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والحالات'!$AM$6:$AM$505,'سجل الإجازات والحالات'!$B$6:$B$505,$B67))/cfg_DAYS_Y)</f>
        <v/>
      </c>
      <c r="AI67" s="135" t="str">
        <f aca="false">IF($B67="","",MAX(0,IF(OR(الموظفون!$AE67="",الموظفون!$AE67&gt;($E$3-1)),($E$3-1),الموظفون!$AE67)-الموظفون!$H67+1-SUMIFS('سجل الإجازات والحالات'!$AL$6:$AL$505,'سجل الإجازات والحالات'!$B$6:$B$505,$B67))/cfg_DAYS_Y)</f>
        <v/>
      </c>
      <c r="AJ67" s="110" t="str">
        <f aca="false">IF($B67="","",MAX(0,AK67-(SUMIFS('سجل الإجازات والحالات'!$AM$6:$AM$505,'سجل الإجازات والحالات'!$B$6:$B$505,$B67)-SUMIFS('سجل الإجازات والحالات'!$AL$6:$AL$505,'سجل الإجازات والحالات'!$B$6:$B$505,$B67))))</f>
        <v/>
      </c>
      <c r="AK67" s="110" t="str">
        <f aca="false">IF($B67="","",MAX(0,IF(OR(الموظفون!$AE67="",الموظفون!$AE67&gt;$F$3),$F$3,الموظفون!$AE67)-MAX($E$3,الموظفون!$H67)+1))</f>
        <v/>
      </c>
      <c r="AL67" s="131" t="str">
        <f aca="false">IF($B67="","",SUMIFS('سجل الإجازات والحالات'!$AY$6:$AY$505,'سجل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والحالات'!$AA$6:$AA$505,'سجل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والحالات'!$AM$6:$AM$505,'سجل الإجازات والحالات'!$B$6:$B$505,$B68))/cfg_DAYS_Y)</f>
        <v/>
      </c>
      <c r="AI68" s="130" t="str">
        <f aca="false">IF($B68="","",MAX(0,IF(OR(الموظفون!$AE68="",الموظفون!$AE68&gt;($E$3-1)),($E$3-1),الموظفون!$AE68)-الموظفون!$H68+1-SUMIFS('سجل الإجازات والحالات'!$AL$6:$AL$505,'سجل الإجازات والحالات'!$B$6:$B$505,$B68))/cfg_DAYS_Y)</f>
        <v/>
      </c>
      <c r="AJ68" s="57" t="str">
        <f aca="false">IF($B68="","",MAX(0,AK68-(SUMIFS('سجل الإجازات والحالات'!$AM$6:$AM$505,'سجل الإجازات والحالات'!$B$6:$B$505,$B68)-SUMIFS('سجل الإجازات والحالات'!$AL$6:$AL$505,'سجل الإجازات والحالات'!$B$6:$B$505,$B68))))</f>
        <v/>
      </c>
      <c r="AK68" s="57" t="str">
        <f aca="false">IF($B68="","",MAX(0,IF(OR(الموظفون!$AE68="",الموظفون!$AE68&gt;$F$3),$F$3,الموظفون!$AE68)-MAX($E$3,الموظفون!$H68)+1))</f>
        <v/>
      </c>
      <c r="AL68" s="126" t="str">
        <f aca="false">IF($B68="","",SUMIFS('سجل الإجازات والحالات'!$AY$6:$AY$505,'سجل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والحالات'!$AA$6:$AA$505,'سجل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والحالات'!$AM$6:$AM$505,'سجل الإجازات والحالات'!$B$6:$B$505,$B69))/cfg_DAYS_Y)</f>
        <v/>
      </c>
      <c r="AI69" s="135" t="str">
        <f aca="false">IF($B69="","",MAX(0,IF(OR(الموظفون!$AE69="",الموظفون!$AE69&gt;($E$3-1)),($E$3-1),الموظفون!$AE69)-الموظفون!$H69+1-SUMIFS('سجل الإجازات والحالات'!$AL$6:$AL$505,'سجل الإجازات والحالات'!$B$6:$B$505,$B69))/cfg_DAYS_Y)</f>
        <v/>
      </c>
      <c r="AJ69" s="110" t="str">
        <f aca="false">IF($B69="","",MAX(0,AK69-(SUMIFS('سجل الإجازات والحالات'!$AM$6:$AM$505,'سجل الإجازات والحالات'!$B$6:$B$505,$B69)-SUMIFS('سجل الإجازات والحالات'!$AL$6:$AL$505,'سجل الإجازات والحالات'!$B$6:$B$505,$B69))))</f>
        <v/>
      </c>
      <c r="AK69" s="110" t="str">
        <f aca="false">IF($B69="","",MAX(0,IF(OR(الموظفون!$AE69="",الموظفون!$AE69&gt;$F$3),$F$3,الموظفون!$AE69)-MAX($E$3,الموظفون!$H69)+1))</f>
        <v/>
      </c>
      <c r="AL69" s="131" t="str">
        <f aca="false">IF($B69="","",SUMIFS('سجل الإجازات والحالات'!$AY$6:$AY$505,'سجل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والحالات'!$AA$6:$AA$505,'سجل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والحالات'!$AM$6:$AM$505,'سجل الإجازات والحالات'!$B$6:$B$505,$B70))/cfg_DAYS_Y)</f>
        <v/>
      </c>
      <c r="AI70" s="130" t="str">
        <f aca="false">IF($B70="","",MAX(0,IF(OR(الموظفون!$AE70="",الموظفون!$AE70&gt;($E$3-1)),($E$3-1),الموظفون!$AE70)-الموظفون!$H70+1-SUMIFS('سجل الإجازات والحالات'!$AL$6:$AL$505,'سجل الإجازات والحالات'!$B$6:$B$505,$B70))/cfg_DAYS_Y)</f>
        <v/>
      </c>
      <c r="AJ70" s="57" t="str">
        <f aca="false">IF($B70="","",MAX(0,AK70-(SUMIFS('سجل الإجازات والحالات'!$AM$6:$AM$505,'سجل الإجازات والحالات'!$B$6:$B$505,$B70)-SUMIFS('سجل الإجازات والحالات'!$AL$6:$AL$505,'سجل الإجازات والحالات'!$B$6:$B$505,$B70))))</f>
        <v/>
      </c>
      <c r="AK70" s="57" t="str">
        <f aca="false">IF($B70="","",MAX(0,IF(OR(الموظفون!$AE70="",الموظفون!$AE70&gt;$F$3),$F$3,الموظفون!$AE70)-MAX($E$3,الموظفون!$H70)+1))</f>
        <v/>
      </c>
      <c r="AL70" s="126" t="str">
        <f aca="false">IF($B70="","",SUMIFS('سجل الإجازات والحالات'!$AY$6:$AY$505,'سجل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والحالات'!$AA$6:$AA$505,'سجل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والحالات'!$AM$6:$AM$505,'سجل الإجازات والحالات'!$B$6:$B$505,$B71))/cfg_DAYS_Y)</f>
        <v/>
      </c>
      <c r="AI71" s="135" t="str">
        <f aca="false">IF($B71="","",MAX(0,IF(OR(الموظفون!$AE71="",الموظفون!$AE71&gt;($E$3-1)),($E$3-1),الموظفون!$AE71)-الموظفون!$H71+1-SUMIFS('سجل الإجازات والحالات'!$AL$6:$AL$505,'سجل الإجازات والحالات'!$B$6:$B$505,$B71))/cfg_DAYS_Y)</f>
        <v/>
      </c>
      <c r="AJ71" s="110" t="str">
        <f aca="false">IF($B71="","",MAX(0,AK71-(SUMIFS('سجل الإجازات والحالات'!$AM$6:$AM$505,'سجل الإجازات والحالات'!$B$6:$B$505,$B71)-SUMIFS('سجل الإجازات والحالات'!$AL$6:$AL$505,'سجل الإجازات والحالات'!$B$6:$B$505,$B71))))</f>
        <v/>
      </c>
      <c r="AK71" s="110" t="str">
        <f aca="false">IF($B71="","",MAX(0,IF(OR(الموظفون!$AE71="",الموظفون!$AE71&gt;$F$3),$F$3,الموظفون!$AE71)-MAX($E$3,الموظفون!$H71)+1))</f>
        <v/>
      </c>
      <c r="AL71" s="131" t="str">
        <f aca="false">IF($B71="","",SUMIFS('سجل الإجازات والحالات'!$AY$6:$AY$505,'سجل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والحالات'!$AA$6:$AA$505,'سجل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والحالات'!$AM$6:$AM$505,'سجل الإجازات والحالات'!$B$6:$B$505,$B72))/cfg_DAYS_Y)</f>
        <v/>
      </c>
      <c r="AI72" s="130" t="str">
        <f aca="false">IF($B72="","",MAX(0,IF(OR(الموظفون!$AE72="",الموظفون!$AE72&gt;($E$3-1)),($E$3-1),الموظفون!$AE72)-الموظفون!$H72+1-SUMIFS('سجل الإجازات والحالات'!$AL$6:$AL$505,'سجل الإجازات والحالات'!$B$6:$B$505,$B72))/cfg_DAYS_Y)</f>
        <v/>
      </c>
      <c r="AJ72" s="57" t="str">
        <f aca="false">IF($B72="","",MAX(0,AK72-(SUMIFS('سجل الإجازات والحالات'!$AM$6:$AM$505,'سجل الإجازات والحالات'!$B$6:$B$505,$B72)-SUMIFS('سجل الإجازات والحالات'!$AL$6:$AL$505,'سجل الإجازات والحالات'!$B$6:$B$505,$B72))))</f>
        <v/>
      </c>
      <c r="AK72" s="57" t="str">
        <f aca="false">IF($B72="","",MAX(0,IF(OR(الموظفون!$AE72="",الموظفون!$AE72&gt;$F$3),$F$3,الموظفون!$AE72)-MAX($E$3,الموظفون!$H72)+1))</f>
        <v/>
      </c>
      <c r="AL72" s="126" t="str">
        <f aca="false">IF($B72="","",SUMIFS('سجل الإجازات والحالات'!$AY$6:$AY$505,'سجل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والحالات'!$AA$6:$AA$505,'سجل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والحالات'!$AM$6:$AM$505,'سجل الإجازات والحالات'!$B$6:$B$505,$B73))/cfg_DAYS_Y)</f>
        <v/>
      </c>
      <c r="AI73" s="135" t="str">
        <f aca="false">IF($B73="","",MAX(0,IF(OR(الموظفون!$AE73="",الموظفون!$AE73&gt;($E$3-1)),($E$3-1),الموظفون!$AE73)-الموظفون!$H73+1-SUMIFS('سجل الإجازات والحالات'!$AL$6:$AL$505,'سجل الإجازات والحالات'!$B$6:$B$505,$B73))/cfg_DAYS_Y)</f>
        <v/>
      </c>
      <c r="AJ73" s="110" t="str">
        <f aca="false">IF($B73="","",MAX(0,AK73-(SUMIFS('سجل الإجازات والحالات'!$AM$6:$AM$505,'سجل الإجازات والحالات'!$B$6:$B$505,$B73)-SUMIFS('سجل الإجازات والحالات'!$AL$6:$AL$505,'سجل الإجازات والحالات'!$B$6:$B$505,$B73))))</f>
        <v/>
      </c>
      <c r="AK73" s="110" t="str">
        <f aca="false">IF($B73="","",MAX(0,IF(OR(الموظفون!$AE73="",الموظفون!$AE73&gt;$F$3),$F$3,الموظفون!$AE73)-MAX($E$3,الموظفون!$H73)+1))</f>
        <v/>
      </c>
      <c r="AL73" s="131" t="str">
        <f aca="false">IF($B73="","",SUMIFS('سجل الإجازات والحالات'!$AY$6:$AY$505,'سجل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والحالات'!$AA$6:$AA$505,'سجل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والحالات'!$AM$6:$AM$505,'سجل الإجازات والحالات'!$B$6:$B$505,$B74))/cfg_DAYS_Y)</f>
        <v/>
      </c>
      <c r="AI74" s="130" t="str">
        <f aca="false">IF($B74="","",MAX(0,IF(OR(الموظفون!$AE74="",الموظفون!$AE74&gt;($E$3-1)),($E$3-1),الموظفون!$AE74)-الموظفون!$H74+1-SUMIFS('سجل الإجازات والحالات'!$AL$6:$AL$505,'سجل الإجازات والحالات'!$B$6:$B$505,$B74))/cfg_DAYS_Y)</f>
        <v/>
      </c>
      <c r="AJ74" s="57" t="str">
        <f aca="false">IF($B74="","",MAX(0,AK74-(SUMIFS('سجل الإجازات والحالات'!$AM$6:$AM$505,'سجل الإجازات والحالات'!$B$6:$B$505,$B74)-SUMIFS('سجل الإجازات والحالات'!$AL$6:$AL$505,'سجل الإجازات والحالات'!$B$6:$B$505,$B74))))</f>
        <v/>
      </c>
      <c r="AK74" s="57" t="str">
        <f aca="false">IF($B74="","",MAX(0,IF(OR(الموظفون!$AE74="",الموظفون!$AE74&gt;$F$3),$F$3,الموظفون!$AE74)-MAX($E$3,الموظفون!$H74)+1))</f>
        <v/>
      </c>
      <c r="AL74" s="126" t="str">
        <f aca="false">IF($B74="","",SUMIFS('سجل الإجازات والحالات'!$AY$6:$AY$505,'سجل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والحالات'!$AA$6:$AA$505,'سجل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والحالات'!$AM$6:$AM$505,'سجل الإجازات والحالات'!$B$6:$B$505,$B75))/cfg_DAYS_Y)</f>
        <v/>
      </c>
      <c r="AI75" s="135" t="str">
        <f aca="false">IF($B75="","",MAX(0,IF(OR(الموظفون!$AE75="",الموظفون!$AE75&gt;($E$3-1)),($E$3-1),الموظفون!$AE75)-الموظفون!$H75+1-SUMIFS('سجل الإجازات والحالات'!$AL$6:$AL$505,'سجل الإجازات والحالات'!$B$6:$B$505,$B75))/cfg_DAYS_Y)</f>
        <v/>
      </c>
      <c r="AJ75" s="110" t="str">
        <f aca="false">IF($B75="","",MAX(0,AK75-(SUMIFS('سجل الإجازات والحالات'!$AM$6:$AM$505,'سجل الإجازات والحالات'!$B$6:$B$505,$B75)-SUMIFS('سجل الإجازات والحالات'!$AL$6:$AL$505,'سجل الإجازات والحالات'!$B$6:$B$505,$B75))))</f>
        <v/>
      </c>
      <c r="AK75" s="110" t="str">
        <f aca="false">IF($B75="","",MAX(0,IF(OR(الموظفون!$AE75="",الموظفون!$AE75&gt;$F$3),$F$3,الموظفون!$AE75)-MAX($E$3,الموظفون!$H75)+1))</f>
        <v/>
      </c>
      <c r="AL75" s="131" t="str">
        <f aca="false">IF($B75="","",SUMIFS('سجل الإجازات والحالات'!$AY$6:$AY$505,'سجل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والحالات'!$AA$6:$AA$505,'سجل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والحالات'!$AM$6:$AM$505,'سجل الإجازات والحالات'!$B$6:$B$505,$B76))/cfg_DAYS_Y)</f>
        <v/>
      </c>
      <c r="AI76" s="130" t="str">
        <f aca="false">IF($B76="","",MAX(0,IF(OR(الموظفون!$AE76="",الموظفون!$AE76&gt;($E$3-1)),($E$3-1),الموظفون!$AE76)-الموظفون!$H76+1-SUMIFS('سجل الإجازات والحالات'!$AL$6:$AL$505,'سجل الإجازات والحالات'!$B$6:$B$505,$B76))/cfg_DAYS_Y)</f>
        <v/>
      </c>
      <c r="AJ76" s="57" t="str">
        <f aca="false">IF($B76="","",MAX(0,AK76-(SUMIFS('سجل الإجازات والحالات'!$AM$6:$AM$505,'سجل الإجازات والحالات'!$B$6:$B$505,$B76)-SUMIFS('سجل الإجازات والحالات'!$AL$6:$AL$505,'سجل الإجازات والحالات'!$B$6:$B$505,$B76))))</f>
        <v/>
      </c>
      <c r="AK76" s="57" t="str">
        <f aca="false">IF($B76="","",MAX(0,IF(OR(الموظفون!$AE76="",الموظفون!$AE76&gt;$F$3),$F$3,الموظفون!$AE76)-MAX($E$3,الموظفون!$H76)+1))</f>
        <v/>
      </c>
      <c r="AL76" s="126" t="str">
        <f aca="false">IF($B76="","",SUMIFS('سجل الإجازات والحالات'!$AY$6:$AY$505,'سجل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والحالات'!$AA$6:$AA$505,'سجل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والحالات'!$AM$6:$AM$505,'سجل الإجازات والحالات'!$B$6:$B$505,$B77))/cfg_DAYS_Y)</f>
        <v/>
      </c>
      <c r="AI77" s="135" t="str">
        <f aca="false">IF($B77="","",MAX(0,IF(OR(الموظفون!$AE77="",الموظفون!$AE77&gt;($E$3-1)),($E$3-1),الموظفون!$AE77)-الموظفون!$H77+1-SUMIFS('سجل الإجازات والحالات'!$AL$6:$AL$505,'سجل الإجازات والحالات'!$B$6:$B$505,$B77))/cfg_DAYS_Y)</f>
        <v/>
      </c>
      <c r="AJ77" s="110" t="str">
        <f aca="false">IF($B77="","",MAX(0,AK77-(SUMIFS('سجل الإجازات والحالات'!$AM$6:$AM$505,'سجل الإجازات والحالات'!$B$6:$B$505,$B77)-SUMIFS('سجل الإجازات والحالات'!$AL$6:$AL$505,'سجل الإجازات والحالات'!$B$6:$B$505,$B77))))</f>
        <v/>
      </c>
      <c r="AK77" s="110" t="str">
        <f aca="false">IF($B77="","",MAX(0,IF(OR(الموظفون!$AE77="",الموظفون!$AE77&gt;$F$3),$F$3,الموظفون!$AE77)-MAX($E$3,الموظفون!$H77)+1))</f>
        <v/>
      </c>
      <c r="AL77" s="131" t="str">
        <f aca="false">IF($B77="","",SUMIFS('سجل الإجازات والحالات'!$AY$6:$AY$505,'سجل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والحالات'!$AA$6:$AA$505,'سجل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والحالات'!$AM$6:$AM$505,'سجل الإجازات والحالات'!$B$6:$B$505,$B78))/cfg_DAYS_Y)</f>
        <v/>
      </c>
      <c r="AI78" s="130" t="str">
        <f aca="false">IF($B78="","",MAX(0,IF(OR(الموظفون!$AE78="",الموظفون!$AE78&gt;($E$3-1)),($E$3-1),الموظفون!$AE78)-الموظفون!$H78+1-SUMIFS('سجل الإجازات والحالات'!$AL$6:$AL$505,'سجل الإجازات والحالات'!$B$6:$B$505,$B78))/cfg_DAYS_Y)</f>
        <v/>
      </c>
      <c r="AJ78" s="57" t="str">
        <f aca="false">IF($B78="","",MAX(0,AK78-(SUMIFS('سجل الإجازات والحالات'!$AM$6:$AM$505,'سجل الإجازات والحالات'!$B$6:$B$505,$B78)-SUMIFS('سجل الإجازات والحالات'!$AL$6:$AL$505,'سجل الإجازات والحالات'!$B$6:$B$505,$B78))))</f>
        <v/>
      </c>
      <c r="AK78" s="57" t="str">
        <f aca="false">IF($B78="","",MAX(0,IF(OR(الموظفون!$AE78="",الموظفون!$AE78&gt;$F$3),$F$3,الموظفون!$AE78)-MAX($E$3,الموظفون!$H78)+1))</f>
        <v/>
      </c>
      <c r="AL78" s="126" t="str">
        <f aca="false">IF($B78="","",SUMIFS('سجل الإجازات والحالات'!$AY$6:$AY$505,'سجل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والحالات'!$AA$6:$AA$505,'سجل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والحالات'!$AM$6:$AM$505,'سجل الإجازات والحالات'!$B$6:$B$505,$B79))/cfg_DAYS_Y)</f>
        <v/>
      </c>
      <c r="AI79" s="135" t="str">
        <f aca="false">IF($B79="","",MAX(0,IF(OR(الموظفون!$AE79="",الموظفون!$AE79&gt;($E$3-1)),($E$3-1),الموظفون!$AE79)-الموظفون!$H79+1-SUMIFS('سجل الإجازات والحالات'!$AL$6:$AL$505,'سجل الإجازات والحالات'!$B$6:$B$505,$B79))/cfg_DAYS_Y)</f>
        <v/>
      </c>
      <c r="AJ79" s="110" t="str">
        <f aca="false">IF($B79="","",MAX(0,AK79-(SUMIFS('سجل الإجازات والحالات'!$AM$6:$AM$505,'سجل الإجازات والحالات'!$B$6:$B$505,$B79)-SUMIFS('سجل الإجازات والحالات'!$AL$6:$AL$505,'سجل الإجازات والحالات'!$B$6:$B$505,$B79))))</f>
        <v/>
      </c>
      <c r="AK79" s="110" t="str">
        <f aca="false">IF($B79="","",MAX(0,IF(OR(الموظفون!$AE79="",الموظفون!$AE79&gt;$F$3),$F$3,الموظفون!$AE79)-MAX($E$3,الموظفون!$H79)+1))</f>
        <v/>
      </c>
      <c r="AL79" s="131" t="str">
        <f aca="false">IF($B79="","",SUMIFS('سجل الإجازات والحالات'!$AY$6:$AY$505,'سجل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والحالات'!$AA$6:$AA$505,'سجل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والحالات'!$AM$6:$AM$505,'سجل الإجازات والحالات'!$B$6:$B$505,$B80))/cfg_DAYS_Y)</f>
        <v/>
      </c>
      <c r="AI80" s="130" t="str">
        <f aca="false">IF($B80="","",MAX(0,IF(OR(الموظفون!$AE80="",الموظفون!$AE80&gt;($E$3-1)),($E$3-1),الموظفون!$AE80)-الموظفون!$H80+1-SUMIFS('سجل الإجازات والحالات'!$AL$6:$AL$505,'سجل الإجازات والحالات'!$B$6:$B$505,$B80))/cfg_DAYS_Y)</f>
        <v/>
      </c>
      <c r="AJ80" s="57" t="str">
        <f aca="false">IF($B80="","",MAX(0,AK80-(SUMIFS('سجل الإجازات والحالات'!$AM$6:$AM$505,'سجل الإجازات والحالات'!$B$6:$B$505,$B80)-SUMIFS('سجل الإجازات والحالات'!$AL$6:$AL$505,'سجل الإجازات والحالات'!$B$6:$B$505,$B80))))</f>
        <v/>
      </c>
      <c r="AK80" s="57" t="str">
        <f aca="false">IF($B80="","",MAX(0,IF(OR(الموظفون!$AE80="",الموظفون!$AE80&gt;$F$3),$F$3,الموظفون!$AE80)-MAX($E$3,الموظفون!$H80)+1))</f>
        <v/>
      </c>
      <c r="AL80" s="126" t="str">
        <f aca="false">IF($B80="","",SUMIFS('سجل الإجازات والحالات'!$AY$6:$AY$505,'سجل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والحالات'!$AA$6:$AA$505,'سجل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والحالات'!$AM$6:$AM$505,'سجل الإجازات والحالات'!$B$6:$B$505,$B81))/cfg_DAYS_Y)</f>
        <v/>
      </c>
      <c r="AI81" s="135" t="str">
        <f aca="false">IF($B81="","",MAX(0,IF(OR(الموظفون!$AE81="",الموظفون!$AE81&gt;($E$3-1)),($E$3-1),الموظفون!$AE81)-الموظفون!$H81+1-SUMIFS('سجل الإجازات والحالات'!$AL$6:$AL$505,'سجل الإجازات والحالات'!$B$6:$B$505,$B81))/cfg_DAYS_Y)</f>
        <v/>
      </c>
      <c r="AJ81" s="110" t="str">
        <f aca="false">IF($B81="","",MAX(0,AK81-(SUMIFS('سجل الإجازات والحالات'!$AM$6:$AM$505,'سجل الإجازات والحالات'!$B$6:$B$505,$B81)-SUMIFS('سجل الإجازات والحالات'!$AL$6:$AL$505,'سجل الإجازات والحالات'!$B$6:$B$505,$B81))))</f>
        <v/>
      </c>
      <c r="AK81" s="110" t="str">
        <f aca="false">IF($B81="","",MAX(0,IF(OR(الموظفون!$AE81="",الموظفون!$AE81&gt;$F$3),$F$3,الموظفون!$AE81)-MAX($E$3,الموظفون!$H81)+1))</f>
        <v/>
      </c>
      <c r="AL81" s="131" t="str">
        <f aca="false">IF($B81="","",SUMIFS('سجل الإجازات والحالات'!$AY$6:$AY$505,'سجل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والحالات'!$AA$6:$AA$505,'سجل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والحالات'!$AM$6:$AM$505,'سجل الإجازات والحالات'!$B$6:$B$505,$B82))/cfg_DAYS_Y)</f>
        <v/>
      </c>
      <c r="AI82" s="130" t="str">
        <f aca="false">IF($B82="","",MAX(0,IF(OR(الموظفون!$AE82="",الموظفون!$AE82&gt;($E$3-1)),($E$3-1),الموظفون!$AE82)-الموظفون!$H82+1-SUMIFS('سجل الإجازات والحالات'!$AL$6:$AL$505,'سجل الإجازات والحالات'!$B$6:$B$505,$B82))/cfg_DAYS_Y)</f>
        <v/>
      </c>
      <c r="AJ82" s="57" t="str">
        <f aca="false">IF($B82="","",MAX(0,AK82-(SUMIFS('سجل الإجازات والحالات'!$AM$6:$AM$505,'سجل الإجازات والحالات'!$B$6:$B$505,$B82)-SUMIFS('سجل الإجازات والحالات'!$AL$6:$AL$505,'سجل الإجازات والحالات'!$B$6:$B$505,$B82))))</f>
        <v/>
      </c>
      <c r="AK82" s="57" t="str">
        <f aca="false">IF($B82="","",MAX(0,IF(OR(الموظفون!$AE82="",الموظفون!$AE82&gt;$F$3),$F$3,الموظفون!$AE82)-MAX($E$3,الموظفون!$H82)+1))</f>
        <v/>
      </c>
      <c r="AL82" s="126" t="str">
        <f aca="false">IF($B82="","",SUMIFS('سجل الإجازات والحالات'!$AY$6:$AY$505,'سجل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والحالات'!$AA$6:$AA$505,'سجل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والحالات'!$AM$6:$AM$505,'سجل الإجازات والحالات'!$B$6:$B$505,$B83))/cfg_DAYS_Y)</f>
        <v/>
      </c>
      <c r="AI83" s="135" t="str">
        <f aca="false">IF($B83="","",MAX(0,IF(OR(الموظفون!$AE83="",الموظفون!$AE83&gt;($E$3-1)),($E$3-1),الموظفون!$AE83)-الموظفون!$H83+1-SUMIFS('سجل الإجازات والحالات'!$AL$6:$AL$505,'سجل الإجازات والحالات'!$B$6:$B$505,$B83))/cfg_DAYS_Y)</f>
        <v/>
      </c>
      <c r="AJ83" s="110" t="str">
        <f aca="false">IF($B83="","",MAX(0,AK83-(SUMIFS('سجل الإجازات والحالات'!$AM$6:$AM$505,'سجل الإجازات والحالات'!$B$6:$B$505,$B83)-SUMIFS('سجل الإجازات والحالات'!$AL$6:$AL$505,'سجل الإجازات والحالات'!$B$6:$B$505,$B83))))</f>
        <v/>
      </c>
      <c r="AK83" s="110" t="str">
        <f aca="false">IF($B83="","",MAX(0,IF(OR(الموظفون!$AE83="",الموظفون!$AE83&gt;$F$3),$F$3,الموظفون!$AE83)-MAX($E$3,الموظفون!$H83)+1))</f>
        <v/>
      </c>
      <c r="AL83" s="131" t="str">
        <f aca="false">IF($B83="","",SUMIFS('سجل الإجازات والحالات'!$AY$6:$AY$505,'سجل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والحالات'!$AA$6:$AA$505,'سجل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والحالات'!$AM$6:$AM$505,'سجل الإجازات والحالات'!$B$6:$B$505,$B84))/cfg_DAYS_Y)</f>
        <v/>
      </c>
      <c r="AI84" s="130" t="str">
        <f aca="false">IF($B84="","",MAX(0,IF(OR(الموظفون!$AE84="",الموظفون!$AE84&gt;($E$3-1)),($E$3-1),الموظفون!$AE84)-الموظفون!$H84+1-SUMIFS('سجل الإجازات والحالات'!$AL$6:$AL$505,'سجل الإجازات والحالات'!$B$6:$B$505,$B84))/cfg_DAYS_Y)</f>
        <v/>
      </c>
      <c r="AJ84" s="57" t="str">
        <f aca="false">IF($B84="","",MAX(0,AK84-(SUMIFS('سجل الإجازات والحالات'!$AM$6:$AM$505,'سجل الإجازات والحالات'!$B$6:$B$505,$B84)-SUMIFS('سجل الإجازات والحالات'!$AL$6:$AL$505,'سجل الإجازات والحالات'!$B$6:$B$505,$B84))))</f>
        <v/>
      </c>
      <c r="AK84" s="57" t="str">
        <f aca="false">IF($B84="","",MAX(0,IF(OR(الموظفون!$AE84="",الموظفون!$AE84&gt;$F$3),$F$3,الموظفون!$AE84)-MAX($E$3,الموظفون!$H84)+1))</f>
        <v/>
      </c>
      <c r="AL84" s="126" t="str">
        <f aca="false">IF($B84="","",SUMIFS('سجل الإجازات والحالات'!$AY$6:$AY$505,'سجل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والحالات'!$AA$6:$AA$505,'سجل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والحالات'!$AM$6:$AM$505,'سجل الإجازات والحالات'!$B$6:$B$505,$B85))/cfg_DAYS_Y)</f>
        <v/>
      </c>
      <c r="AI85" s="135" t="str">
        <f aca="false">IF($B85="","",MAX(0,IF(OR(الموظفون!$AE85="",الموظفون!$AE85&gt;($E$3-1)),($E$3-1),الموظفون!$AE85)-الموظفون!$H85+1-SUMIFS('سجل الإجازات والحالات'!$AL$6:$AL$505,'سجل الإجازات والحالات'!$B$6:$B$505,$B85))/cfg_DAYS_Y)</f>
        <v/>
      </c>
      <c r="AJ85" s="110" t="str">
        <f aca="false">IF($B85="","",MAX(0,AK85-(SUMIFS('سجل الإجازات والحالات'!$AM$6:$AM$505,'سجل الإجازات والحالات'!$B$6:$B$505,$B85)-SUMIFS('سجل الإجازات والحالات'!$AL$6:$AL$505,'سجل الإجازات والحالات'!$B$6:$B$505,$B85))))</f>
        <v/>
      </c>
      <c r="AK85" s="110" t="str">
        <f aca="false">IF($B85="","",MAX(0,IF(OR(الموظفون!$AE85="",الموظفون!$AE85&gt;$F$3),$F$3,الموظفون!$AE85)-MAX($E$3,الموظفون!$H85)+1))</f>
        <v/>
      </c>
      <c r="AL85" s="131" t="str">
        <f aca="false">IF($B85="","",SUMIFS('سجل الإجازات والحالات'!$AY$6:$AY$505,'سجل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والحالات'!$AA$6:$AA$505,'سجل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والحالات'!$AM$6:$AM$505,'سجل الإجازات والحالات'!$B$6:$B$505,$B86))/cfg_DAYS_Y)</f>
        <v/>
      </c>
      <c r="AI86" s="130" t="str">
        <f aca="false">IF($B86="","",MAX(0,IF(OR(الموظفون!$AE86="",الموظفون!$AE86&gt;($E$3-1)),($E$3-1),الموظفون!$AE86)-الموظفون!$H86+1-SUMIFS('سجل الإجازات والحالات'!$AL$6:$AL$505,'سجل الإجازات والحالات'!$B$6:$B$505,$B86))/cfg_DAYS_Y)</f>
        <v/>
      </c>
      <c r="AJ86" s="57" t="str">
        <f aca="false">IF($B86="","",MAX(0,AK86-(SUMIFS('سجل الإجازات والحالات'!$AM$6:$AM$505,'سجل الإجازات والحالات'!$B$6:$B$505,$B86)-SUMIFS('سجل الإجازات والحالات'!$AL$6:$AL$505,'سجل الإجازات والحالات'!$B$6:$B$505,$B86))))</f>
        <v/>
      </c>
      <c r="AK86" s="57" t="str">
        <f aca="false">IF($B86="","",MAX(0,IF(OR(الموظفون!$AE86="",الموظفون!$AE86&gt;$F$3),$F$3,الموظفون!$AE86)-MAX($E$3,الموظفون!$H86)+1))</f>
        <v/>
      </c>
      <c r="AL86" s="126" t="str">
        <f aca="false">IF($B86="","",SUMIFS('سجل الإجازات والحالات'!$AY$6:$AY$505,'سجل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والحالات'!$AA$6:$AA$505,'سجل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والحالات'!$AM$6:$AM$505,'سجل الإجازات والحالات'!$B$6:$B$505,$B87))/cfg_DAYS_Y)</f>
        <v/>
      </c>
      <c r="AI87" s="135" t="str">
        <f aca="false">IF($B87="","",MAX(0,IF(OR(الموظفون!$AE87="",الموظفون!$AE87&gt;($E$3-1)),($E$3-1),الموظفون!$AE87)-الموظفون!$H87+1-SUMIFS('سجل الإجازات والحالات'!$AL$6:$AL$505,'سجل الإجازات والحالات'!$B$6:$B$505,$B87))/cfg_DAYS_Y)</f>
        <v/>
      </c>
      <c r="AJ87" s="110" t="str">
        <f aca="false">IF($B87="","",MAX(0,AK87-(SUMIFS('سجل الإجازات والحالات'!$AM$6:$AM$505,'سجل الإجازات والحالات'!$B$6:$B$505,$B87)-SUMIFS('سجل الإجازات والحالات'!$AL$6:$AL$505,'سجل الإجازات والحالات'!$B$6:$B$505,$B87))))</f>
        <v/>
      </c>
      <c r="AK87" s="110" t="str">
        <f aca="false">IF($B87="","",MAX(0,IF(OR(الموظفون!$AE87="",الموظفون!$AE87&gt;$F$3),$F$3,الموظفون!$AE87)-MAX($E$3,الموظفون!$H87)+1))</f>
        <v/>
      </c>
      <c r="AL87" s="131" t="str">
        <f aca="false">IF($B87="","",SUMIFS('سجل الإجازات والحالات'!$AY$6:$AY$505,'سجل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والحالات'!$AA$6:$AA$505,'سجل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والحالات'!$AM$6:$AM$505,'سجل الإجازات والحالات'!$B$6:$B$505,$B88))/cfg_DAYS_Y)</f>
        <v/>
      </c>
      <c r="AI88" s="130" t="str">
        <f aca="false">IF($B88="","",MAX(0,IF(OR(الموظفون!$AE88="",الموظفون!$AE88&gt;($E$3-1)),($E$3-1),الموظفون!$AE88)-الموظفون!$H88+1-SUMIFS('سجل الإجازات والحالات'!$AL$6:$AL$505,'سجل الإجازات والحالات'!$B$6:$B$505,$B88))/cfg_DAYS_Y)</f>
        <v/>
      </c>
      <c r="AJ88" s="57" t="str">
        <f aca="false">IF($B88="","",MAX(0,AK88-(SUMIFS('سجل الإجازات والحالات'!$AM$6:$AM$505,'سجل الإجازات والحالات'!$B$6:$B$505,$B88)-SUMIFS('سجل الإجازات والحالات'!$AL$6:$AL$505,'سجل الإجازات والحالات'!$B$6:$B$505,$B88))))</f>
        <v/>
      </c>
      <c r="AK88" s="57" t="str">
        <f aca="false">IF($B88="","",MAX(0,IF(OR(الموظفون!$AE88="",الموظفون!$AE88&gt;$F$3),$F$3,الموظفون!$AE88)-MAX($E$3,الموظفون!$H88)+1))</f>
        <v/>
      </c>
      <c r="AL88" s="126" t="str">
        <f aca="false">IF($B88="","",SUMIFS('سجل الإجازات والحالات'!$AY$6:$AY$505,'سجل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والحالات'!$AA$6:$AA$505,'سجل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والحالات'!$AM$6:$AM$505,'سجل الإجازات والحالات'!$B$6:$B$505,$B89))/cfg_DAYS_Y)</f>
        <v/>
      </c>
      <c r="AI89" s="135" t="str">
        <f aca="false">IF($B89="","",MAX(0,IF(OR(الموظفون!$AE89="",الموظفون!$AE89&gt;($E$3-1)),($E$3-1),الموظفون!$AE89)-الموظفون!$H89+1-SUMIFS('سجل الإجازات والحالات'!$AL$6:$AL$505,'سجل الإجازات والحالات'!$B$6:$B$505,$B89))/cfg_DAYS_Y)</f>
        <v/>
      </c>
      <c r="AJ89" s="110" t="str">
        <f aca="false">IF($B89="","",MAX(0,AK89-(SUMIFS('سجل الإجازات والحالات'!$AM$6:$AM$505,'سجل الإجازات والحالات'!$B$6:$B$505,$B89)-SUMIFS('سجل الإجازات والحالات'!$AL$6:$AL$505,'سجل الإجازات والحالات'!$B$6:$B$505,$B89))))</f>
        <v/>
      </c>
      <c r="AK89" s="110" t="str">
        <f aca="false">IF($B89="","",MAX(0,IF(OR(الموظفون!$AE89="",الموظفون!$AE89&gt;$F$3),$F$3,الموظفون!$AE89)-MAX($E$3,الموظفون!$H89)+1))</f>
        <v/>
      </c>
      <c r="AL89" s="131" t="str">
        <f aca="false">IF($B89="","",SUMIFS('سجل الإجازات والحالات'!$AY$6:$AY$505,'سجل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والحالات'!$AA$6:$AA$505,'سجل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والحالات'!$AM$6:$AM$505,'سجل الإجازات والحالات'!$B$6:$B$505,$B90))/cfg_DAYS_Y)</f>
        <v/>
      </c>
      <c r="AI90" s="130" t="str">
        <f aca="false">IF($B90="","",MAX(0,IF(OR(الموظفون!$AE90="",الموظفون!$AE90&gt;($E$3-1)),($E$3-1),الموظفون!$AE90)-الموظفون!$H90+1-SUMIFS('سجل الإجازات والحالات'!$AL$6:$AL$505,'سجل الإجازات والحالات'!$B$6:$B$505,$B90))/cfg_DAYS_Y)</f>
        <v/>
      </c>
      <c r="AJ90" s="57" t="str">
        <f aca="false">IF($B90="","",MAX(0,AK90-(SUMIFS('سجل الإجازات والحالات'!$AM$6:$AM$505,'سجل الإجازات والحالات'!$B$6:$B$505,$B90)-SUMIFS('سجل الإجازات والحالات'!$AL$6:$AL$505,'سجل الإجازات والحالات'!$B$6:$B$505,$B90))))</f>
        <v/>
      </c>
      <c r="AK90" s="57" t="str">
        <f aca="false">IF($B90="","",MAX(0,IF(OR(الموظفون!$AE90="",الموظفون!$AE90&gt;$F$3),$F$3,الموظفون!$AE90)-MAX($E$3,الموظفون!$H90)+1))</f>
        <v/>
      </c>
      <c r="AL90" s="126" t="str">
        <f aca="false">IF($B90="","",SUMIFS('سجل الإجازات والحالات'!$AY$6:$AY$505,'سجل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والحالات'!$AA$6:$AA$505,'سجل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والحالات'!$AM$6:$AM$505,'سجل الإجازات والحالات'!$B$6:$B$505,$B91))/cfg_DAYS_Y)</f>
        <v/>
      </c>
      <c r="AI91" s="135" t="str">
        <f aca="false">IF($B91="","",MAX(0,IF(OR(الموظفون!$AE91="",الموظفون!$AE91&gt;($E$3-1)),($E$3-1),الموظفون!$AE91)-الموظفون!$H91+1-SUMIFS('سجل الإجازات والحالات'!$AL$6:$AL$505,'سجل الإجازات والحالات'!$B$6:$B$505,$B91))/cfg_DAYS_Y)</f>
        <v/>
      </c>
      <c r="AJ91" s="110" t="str">
        <f aca="false">IF($B91="","",MAX(0,AK91-(SUMIFS('سجل الإجازات والحالات'!$AM$6:$AM$505,'سجل الإجازات والحالات'!$B$6:$B$505,$B91)-SUMIFS('سجل الإجازات والحالات'!$AL$6:$AL$505,'سجل الإجازات والحالات'!$B$6:$B$505,$B91))))</f>
        <v/>
      </c>
      <c r="AK91" s="110" t="str">
        <f aca="false">IF($B91="","",MAX(0,IF(OR(الموظفون!$AE91="",الموظفون!$AE91&gt;$F$3),$F$3,الموظفون!$AE91)-MAX($E$3,الموظفون!$H91)+1))</f>
        <v/>
      </c>
      <c r="AL91" s="131" t="str">
        <f aca="false">IF($B91="","",SUMIFS('سجل الإجازات والحالات'!$AY$6:$AY$505,'سجل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والحالات'!$AA$6:$AA$505,'سجل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والحالات'!$AM$6:$AM$505,'سجل الإجازات والحالات'!$B$6:$B$505,$B92))/cfg_DAYS_Y)</f>
        <v/>
      </c>
      <c r="AI92" s="130" t="str">
        <f aca="false">IF($B92="","",MAX(0,IF(OR(الموظفون!$AE92="",الموظفون!$AE92&gt;($E$3-1)),($E$3-1),الموظفون!$AE92)-الموظفون!$H92+1-SUMIFS('سجل الإجازات والحالات'!$AL$6:$AL$505,'سجل الإجازات والحالات'!$B$6:$B$505,$B92))/cfg_DAYS_Y)</f>
        <v/>
      </c>
      <c r="AJ92" s="57" t="str">
        <f aca="false">IF($B92="","",MAX(0,AK92-(SUMIFS('سجل الإجازات والحالات'!$AM$6:$AM$505,'سجل الإجازات والحالات'!$B$6:$B$505,$B92)-SUMIFS('سجل الإجازات والحالات'!$AL$6:$AL$505,'سجل الإجازات والحالات'!$B$6:$B$505,$B92))))</f>
        <v/>
      </c>
      <c r="AK92" s="57" t="str">
        <f aca="false">IF($B92="","",MAX(0,IF(OR(الموظفون!$AE92="",الموظفون!$AE92&gt;$F$3),$F$3,الموظفون!$AE92)-MAX($E$3,الموظفون!$H92)+1))</f>
        <v/>
      </c>
      <c r="AL92" s="126" t="str">
        <f aca="false">IF($B92="","",SUMIFS('سجل الإجازات والحالات'!$AY$6:$AY$505,'سجل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والحالات'!$AA$6:$AA$505,'سجل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والحالات'!$AM$6:$AM$505,'سجل الإجازات والحالات'!$B$6:$B$505,$B93))/cfg_DAYS_Y)</f>
        <v/>
      </c>
      <c r="AI93" s="135" t="str">
        <f aca="false">IF($B93="","",MAX(0,IF(OR(الموظفون!$AE93="",الموظفون!$AE93&gt;($E$3-1)),($E$3-1),الموظفون!$AE93)-الموظفون!$H93+1-SUMIFS('سجل الإجازات والحالات'!$AL$6:$AL$505,'سجل الإجازات والحالات'!$B$6:$B$505,$B93))/cfg_DAYS_Y)</f>
        <v/>
      </c>
      <c r="AJ93" s="110" t="str">
        <f aca="false">IF($B93="","",MAX(0,AK93-(SUMIFS('سجل الإجازات والحالات'!$AM$6:$AM$505,'سجل الإجازات والحالات'!$B$6:$B$505,$B93)-SUMIFS('سجل الإجازات والحالات'!$AL$6:$AL$505,'سجل الإجازات والحالات'!$B$6:$B$505,$B93))))</f>
        <v/>
      </c>
      <c r="AK93" s="110" t="str">
        <f aca="false">IF($B93="","",MAX(0,IF(OR(الموظفون!$AE93="",الموظفون!$AE93&gt;$F$3),$F$3,الموظفون!$AE93)-MAX($E$3,الموظفون!$H93)+1))</f>
        <v/>
      </c>
      <c r="AL93" s="131" t="str">
        <f aca="false">IF($B93="","",SUMIFS('سجل الإجازات والحالات'!$AY$6:$AY$505,'سجل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والحالات'!$AA$6:$AA$505,'سجل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والحالات'!$AM$6:$AM$505,'سجل الإجازات والحالات'!$B$6:$B$505,$B94))/cfg_DAYS_Y)</f>
        <v/>
      </c>
      <c r="AI94" s="130" t="str">
        <f aca="false">IF($B94="","",MAX(0,IF(OR(الموظفون!$AE94="",الموظفون!$AE94&gt;($E$3-1)),($E$3-1),الموظفون!$AE94)-الموظفون!$H94+1-SUMIFS('سجل الإجازات والحالات'!$AL$6:$AL$505,'سجل الإجازات والحالات'!$B$6:$B$505,$B94))/cfg_DAYS_Y)</f>
        <v/>
      </c>
      <c r="AJ94" s="57" t="str">
        <f aca="false">IF($B94="","",MAX(0,AK94-(SUMIFS('سجل الإجازات والحالات'!$AM$6:$AM$505,'سجل الإجازات والحالات'!$B$6:$B$505,$B94)-SUMIFS('سجل الإجازات والحالات'!$AL$6:$AL$505,'سجل الإجازات والحالات'!$B$6:$B$505,$B94))))</f>
        <v/>
      </c>
      <c r="AK94" s="57" t="str">
        <f aca="false">IF($B94="","",MAX(0,IF(OR(الموظفون!$AE94="",الموظفون!$AE94&gt;$F$3),$F$3,الموظفون!$AE94)-MAX($E$3,الموظفون!$H94)+1))</f>
        <v/>
      </c>
      <c r="AL94" s="126" t="str">
        <f aca="false">IF($B94="","",SUMIFS('سجل الإجازات والحالات'!$AY$6:$AY$505,'سجل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والحالات'!$AA$6:$AA$505,'سجل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والحالات'!$AM$6:$AM$505,'سجل الإجازات والحالات'!$B$6:$B$505,$B95))/cfg_DAYS_Y)</f>
        <v/>
      </c>
      <c r="AI95" s="135" t="str">
        <f aca="false">IF($B95="","",MAX(0,IF(OR(الموظفون!$AE95="",الموظفون!$AE95&gt;($E$3-1)),($E$3-1),الموظفون!$AE95)-الموظفون!$H95+1-SUMIFS('سجل الإجازات والحالات'!$AL$6:$AL$505,'سجل الإجازات والحالات'!$B$6:$B$505,$B95))/cfg_DAYS_Y)</f>
        <v/>
      </c>
      <c r="AJ95" s="110" t="str">
        <f aca="false">IF($B95="","",MAX(0,AK95-(SUMIFS('سجل الإجازات والحالات'!$AM$6:$AM$505,'سجل الإجازات والحالات'!$B$6:$B$505,$B95)-SUMIFS('سجل الإجازات والحالات'!$AL$6:$AL$505,'سجل الإجازات والحالات'!$B$6:$B$505,$B95))))</f>
        <v/>
      </c>
      <c r="AK95" s="110" t="str">
        <f aca="false">IF($B95="","",MAX(0,IF(OR(الموظفون!$AE95="",الموظفون!$AE95&gt;$F$3),$F$3,الموظفون!$AE95)-MAX($E$3,الموظفون!$H95)+1))</f>
        <v/>
      </c>
      <c r="AL95" s="131" t="str">
        <f aca="false">IF($B95="","",SUMIFS('سجل الإجازات والحالات'!$AY$6:$AY$505,'سجل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والحالات'!$AA$6:$AA$505,'سجل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والحالات'!$AM$6:$AM$505,'سجل الإجازات والحالات'!$B$6:$B$505,$B96))/cfg_DAYS_Y)</f>
        <v/>
      </c>
      <c r="AI96" s="130" t="str">
        <f aca="false">IF($B96="","",MAX(0,IF(OR(الموظفون!$AE96="",الموظفون!$AE96&gt;($E$3-1)),($E$3-1),الموظفون!$AE96)-الموظفون!$H96+1-SUMIFS('سجل الإجازات والحالات'!$AL$6:$AL$505,'سجل الإجازات والحالات'!$B$6:$B$505,$B96))/cfg_DAYS_Y)</f>
        <v/>
      </c>
      <c r="AJ96" s="57" t="str">
        <f aca="false">IF($B96="","",MAX(0,AK96-(SUMIFS('سجل الإجازات والحالات'!$AM$6:$AM$505,'سجل الإجازات والحالات'!$B$6:$B$505,$B96)-SUMIFS('سجل الإجازات والحالات'!$AL$6:$AL$505,'سجل الإجازات والحالات'!$B$6:$B$505,$B96))))</f>
        <v/>
      </c>
      <c r="AK96" s="57" t="str">
        <f aca="false">IF($B96="","",MAX(0,IF(OR(الموظفون!$AE96="",الموظفون!$AE96&gt;$F$3),$F$3,الموظفون!$AE96)-MAX($E$3,الموظفون!$H96)+1))</f>
        <v/>
      </c>
      <c r="AL96" s="126" t="str">
        <f aca="false">IF($B96="","",SUMIFS('سجل الإجازات والحالات'!$AY$6:$AY$505,'سجل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والحالات'!$AA$6:$AA$505,'سجل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والحالات'!$AM$6:$AM$505,'سجل الإجازات والحالات'!$B$6:$B$505,$B97))/cfg_DAYS_Y)</f>
        <v/>
      </c>
      <c r="AI97" s="135" t="str">
        <f aca="false">IF($B97="","",MAX(0,IF(OR(الموظفون!$AE97="",الموظفون!$AE97&gt;($E$3-1)),($E$3-1),الموظفون!$AE97)-الموظفون!$H97+1-SUMIFS('سجل الإجازات والحالات'!$AL$6:$AL$505,'سجل الإجازات والحالات'!$B$6:$B$505,$B97))/cfg_DAYS_Y)</f>
        <v/>
      </c>
      <c r="AJ97" s="110" t="str">
        <f aca="false">IF($B97="","",MAX(0,AK97-(SUMIFS('سجل الإجازات والحالات'!$AM$6:$AM$505,'سجل الإجازات والحالات'!$B$6:$B$505,$B97)-SUMIFS('سجل الإجازات والحالات'!$AL$6:$AL$505,'سجل الإجازات والحالات'!$B$6:$B$505,$B97))))</f>
        <v/>
      </c>
      <c r="AK97" s="110" t="str">
        <f aca="false">IF($B97="","",MAX(0,IF(OR(الموظفون!$AE97="",الموظفون!$AE97&gt;$F$3),$F$3,الموظفون!$AE97)-MAX($E$3,الموظفون!$H97)+1))</f>
        <v/>
      </c>
      <c r="AL97" s="131" t="str">
        <f aca="false">IF($B97="","",SUMIFS('سجل الإجازات والحالات'!$AY$6:$AY$505,'سجل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والحالات'!$AA$6:$AA$505,'سجل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والحالات'!$AM$6:$AM$505,'سجل الإجازات والحالات'!$B$6:$B$505,$B98))/cfg_DAYS_Y)</f>
        <v/>
      </c>
      <c r="AI98" s="130" t="str">
        <f aca="false">IF($B98="","",MAX(0,IF(OR(الموظفون!$AE98="",الموظفون!$AE98&gt;($E$3-1)),($E$3-1),الموظفون!$AE98)-الموظفون!$H98+1-SUMIFS('سجل الإجازات والحالات'!$AL$6:$AL$505,'سجل الإجازات والحالات'!$B$6:$B$505,$B98))/cfg_DAYS_Y)</f>
        <v/>
      </c>
      <c r="AJ98" s="57" t="str">
        <f aca="false">IF($B98="","",MAX(0,AK98-(SUMIFS('سجل الإجازات والحالات'!$AM$6:$AM$505,'سجل الإجازات والحالات'!$B$6:$B$505,$B98)-SUMIFS('سجل الإجازات والحالات'!$AL$6:$AL$505,'سجل الإجازات والحالات'!$B$6:$B$505,$B98))))</f>
        <v/>
      </c>
      <c r="AK98" s="57" t="str">
        <f aca="false">IF($B98="","",MAX(0,IF(OR(الموظفون!$AE98="",الموظفون!$AE98&gt;$F$3),$F$3,الموظفون!$AE98)-MAX($E$3,الموظفون!$H98)+1))</f>
        <v/>
      </c>
      <c r="AL98" s="126" t="str">
        <f aca="false">IF($B98="","",SUMIFS('سجل الإجازات والحالات'!$AY$6:$AY$505,'سجل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والحالات'!$AA$6:$AA$505,'سجل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والحالات'!$AM$6:$AM$505,'سجل الإجازات والحالات'!$B$6:$B$505,$B99))/cfg_DAYS_Y)</f>
        <v/>
      </c>
      <c r="AI99" s="135" t="str">
        <f aca="false">IF($B99="","",MAX(0,IF(OR(الموظفون!$AE99="",الموظفون!$AE99&gt;($E$3-1)),($E$3-1),الموظفون!$AE99)-الموظفون!$H99+1-SUMIFS('سجل الإجازات والحالات'!$AL$6:$AL$505,'سجل الإجازات والحالات'!$B$6:$B$505,$B99))/cfg_DAYS_Y)</f>
        <v/>
      </c>
      <c r="AJ99" s="110" t="str">
        <f aca="false">IF($B99="","",MAX(0,AK99-(SUMIFS('سجل الإجازات والحالات'!$AM$6:$AM$505,'سجل الإجازات والحالات'!$B$6:$B$505,$B99)-SUMIFS('سجل الإجازات والحالات'!$AL$6:$AL$505,'سجل الإجازات والحالات'!$B$6:$B$505,$B99))))</f>
        <v/>
      </c>
      <c r="AK99" s="110" t="str">
        <f aca="false">IF($B99="","",MAX(0,IF(OR(الموظفون!$AE99="",الموظفون!$AE99&gt;$F$3),$F$3,الموظفون!$AE99)-MAX($E$3,الموظفون!$H99)+1))</f>
        <v/>
      </c>
      <c r="AL99" s="131" t="str">
        <f aca="false">IF($B99="","",SUMIFS('سجل الإجازات والحالات'!$AY$6:$AY$505,'سجل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والحالات'!$AA$6:$AA$505,'سجل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والحالات'!$AM$6:$AM$505,'سجل الإجازات والحالات'!$B$6:$B$505,$B100))/cfg_DAYS_Y)</f>
        <v/>
      </c>
      <c r="AI100" s="130" t="str">
        <f aca="false">IF($B100="","",MAX(0,IF(OR(الموظفون!$AE100="",الموظفون!$AE100&gt;($E$3-1)),($E$3-1),الموظفون!$AE100)-الموظفون!$H100+1-SUMIFS('سجل الإجازات والحالات'!$AL$6:$AL$505,'سجل الإجازات والحالات'!$B$6:$B$505,$B100))/cfg_DAYS_Y)</f>
        <v/>
      </c>
      <c r="AJ100" s="57" t="str">
        <f aca="false">IF($B100="","",MAX(0,AK100-(SUMIFS('سجل الإجازات والحالات'!$AM$6:$AM$505,'سجل الإجازات والحالات'!$B$6:$B$505,$B100)-SUMIFS('سجل الإجازات والحالات'!$AL$6:$AL$505,'سجل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والحالات'!$AY$6:$AY$505,'سجل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والحالات'!$AA$6:$AA$505,'سجل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والحالات'!$AM$6:$AM$505,'سجل الإجازات والحالات'!$B$6:$B$505,$B101))/cfg_DAYS_Y)</f>
        <v/>
      </c>
      <c r="AI101" s="135" t="str">
        <f aca="false">IF($B101="","",MAX(0,IF(OR(الموظفون!$AE101="",الموظفون!$AE101&gt;($E$3-1)),($E$3-1),الموظفون!$AE101)-الموظفون!$H101+1-SUMIFS('سجل الإجازات والحالات'!$AL$6:$AL$505,'سجل الإجازات والحالات'!$B$6:$B$505,$B101))/cfg_DAYS_Y)</f>
        <v/>
      </c>
      <c r="AJ101" s="110" t="str">
        <f aca="false">IF($B101="","",MAX(0,AK101-(SUMIFS('سجل الإجازات والحالات'!$AM$6:$AM$505,'سجل الإجازات والحالات'!$B$6:$B$505,$B101)-SUMIFS('سجل الإجازات والحالات'!$AL$6:$AL$505,'سجل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والحالات'!$AY$6:$AY$505,'سجل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والحالات'!$AA$6:$AA$505,'سجل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والحالات'!$AM$6:$AM$505,'سجل الإجازات والحالات'!$B$6:$B$505,$B102))/cfg_DAYS_Y)</f>
        <v/>
      </c>
      <c r="AI102" s="130" t="str">
        <f aca="false">IF($B102="","",MAX(0,IF(OR(الموظفون!$AE102="",الموظفون!$AE102&gt;($E$3-1)),($E$3-1),الموظفون!$AE102)-الموظفون!$H102+1-SUMIFS('سجل الإجازات والحالات'!$AL$6:$AL$505,'سجل الإجازات والحالات'!$B$6:$B$505,$B102))/cfg_DAYS_Y)</f>
        <v/>
      </c>
      <c r="AJ102" s="57" t="str">
        <f aca="false">IF($B102="","",MAX(0,AK102-(SUMIFS('سجل الإجازات والحالات'!$AM$6:$AM$505,'سجل الإجازات والحالات'!$B$6:$B$505,$B102)-SUMIFS('سجل الإجازات والحالات'!$AL$6:$AL$505,'سجل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والحالات'!$AY$6:$AY$505,'سجل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والحالات'!$AA$6:$AA$505,'سجل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والحالات'!$AM$6:$AM$505,'سجل الإجازات والحالات'!$B$6:$B$505,$B103))/cfg_DAYS_Y)</f>
        <v/>
      </c>
      <c r="AI103" s="135" t="str">
        <f aca="false">IF($B103="","",MAX(0,IF(OR(الموظفون!$AE103="",الموظفون!$AE103&gt;($E$3-1)),($E$3-1),الموظفون!$AE103)-الموظفون!$H103+1-SUMIFS('سجل الإجازات والحالات'!$AL$6:$AL$505,'سجل الإجازات والحالات'!$B$6:$B$505,$B103))/cfg_DAYS_Y)</f>
        <v/>
      </c>
      <c r="AJ103" s="110" t="str">
        <f aca="false">IF($B103="","",MAX(0,AK103-(SUMIFS('سجل الإجازات والحالات'!$AM$6:$AM$505,'سجل الإجازات والحالات'!$B$6:$B$505,$B103)-SUMIFS('سجل الإجازات والحالات'!$AL$6:$AL$505,'سجل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والحالات'!$AY$6:$AY$505,'سجل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والحالات'!$AA$6:$AA$505,'سجل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والحالات'!$AM$6:$AM$505,'سجل الإجازات والحالات'!$B$6:$B$505,$B104))/cfg_DAYS_Y)</f>
        <v/>
      </c>
      <c r="AI104" s="130" t="str">
        <f aca="false">IF($B104="","",MAX(0,IF(OR(الموظفون!$AE104="",الموظفون!$AE104&gt;($E$3-1)),($E$3-1),الموظفون!$AE104)-الموظفون!$H104+1-SUMIFS('سجل الإجازات والحالات'!$AL$6:$AL$505,'سجل الإجازات والحالات'!$B$6:$B$505,$B104))/cfg_DAYS_Y)</f>
        <v/>
      </c>
      <c r="AJ104" s="57" t="str">
        <f aca="false">IF($B104="","",MAX(0,AK104-(SUMIFS('سجل الإجازات والحالات'!$AM$6:$AM$505,'سجل الإجازات والحالات'!$B$6:$B$505,$B104)-SUMIFS('سجل الإجازات والحالات'!$AL$6:$AL$505,'سجل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والحالات'!$AY$6:$AY$505,'سجل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والحالات'!$AA$6:$AA$505,'سجل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والحالات'!$AM$6:$AM$505,'سجل الإجازات والحالات'!$B$6:$B$505,$B105))/cfg_DAYS_Y)</f>
        <v/>
      </c>
      <c r="AI105" s="135" t="str">
        <f aca="false">IF($B105="","",MAX(0,IF(OR(الموظفون!$AE105="",الموظفون!$AE105&gt;($E$3-1)),($E$3-1),الموظفون!$AE105)-الموظفون!$H105+1-SUMIFS('سجل الإجازات والحالات'!$AL$6:$AL$505,'سجل الإجازات والحالات'!$B$6:$B$505,$B105))/cfg_DAYS_Y)</f>
        <v/>
      </c>
      <c r="AJ105" s="110" t="str">
        <f aca="false">IF($B105="","",MAX(0,AK105-(SUMIFS('سجل الإجازات والحالات'!$AM$6:$AM$505,'سجل الإجازات والحالات'!$B$6:$B$505,$B105)-SUMIFS('سجل الإجازات والحالات'!$AL$6:$AL$505,'سجل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والحالات'!$AY$6:$AY$505,'سجل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والحالات'!$AA$6:$AA$505,'سجل الإجازات والحالات'!$B$6:$B$505,$B105))</f>
        <v/>
      </c>
    </row>
    <row r="106" customFormat="false" ht="24" hidden="false" customHeight="true" outlineLevel="0" collapsed="false">
      <c r="A106" s="103"/>
      <c r="B106" s="103" t="str">
        <f aca="false">COUNTIF(G6:G105,"&gt;0")&amp;" موظف"</f>
        <v>12 موظف</v>
      </c>
      <c r="C106" s="103" t="s">
        <v>127</v>
      </c>
      <c r="D106" s="103"/>
      <c r="E106" s="103"/>
      <c r="F106" s="103" t="str">
        <f aca="false">COUNTIFS(G6:G105,"&gt;0",J6:J105,0)&amp;" بدون راتب"</f>
        <v>1 بدون راتب</v>
      </c>
      <c r="G106" s="103"/>
      <c r="H106" s="136" t="n">
        <f aca="false">SUM(H6:H105)</f>
        <v>0</v>
      </c>
      <c r="I106" s="136" t="n">
        <f aca="false">SUM(I6:I105)</f>
        <v>30</v>
      </c>
      <c r="J106" s="136" t="n">
        <f aca="false">SUM(J6:J105)</f>
        <v>330</v>
      </c>
      <c r="K106" s="103" t="n">
        <f aca="false">SUM(K6:K105)</f>
        <v>135000</v>
      </c>
      <c r="L106" s="103" t="n">
        <f aca="false">SUM(L6:L105)</f>
        <v>33750</v>
      </c>
      <c r="M106" s="103" t="n">
        <f aca="false">SUM(M6:M105)</f>
        <v>13500</v>
      </c>
      <c r="N106" s="103" t="n">
        <f aca="false">SUM(N6:N105)</f>
        <v>10000</v>
      </c>
      <c r="O106" s="136" t="n">
        <f aca="false">SUM(O6:O105)</f>
        <v>0</v>
      </c>
      <c r="P106" s="103" t="n">
        <f aca="false">SUM(P6:P105)</f>
        <v>0</v>
      </c>
      <c r="Q106" s="103" t="n">
        <f aca="false">SUM(Q6:Q105)</f>
        <v>6500</v>
      </c>
      <c r="R106" s="103" t="n">
        <f aca="false">SUM(R6:R105)</f>
        <v>0</v>
      </c>
      <c r="S106" s="103" t="n">
        <f aca="false">SUM(S6:S105)</f>
        <v>8775</v>
      </c>
      <c r="T106" s="103" t="n">
        <f aca="false">SUM(T6:T105)</f>
        <v>207525</v>
      </c>
      <c r="U106" s="103" t="n">
        <f aca="false">SUM(U6:U105)</f>
        <v>12370.3125</v>
      </c>
      <c r="V106" s="103" t="n">
        <f aca="false">SUM(V6:V105)</f>
        <v>0</v>
      </c>
      <c r="W106" s="103" t="n">
        <f aca="false">SUM(W6:W105)</f>
        <v>0</v>
      </c>
      <c r="X106" s="103" t="n">
        <f aca="false">SUM(X6:X105)</f>
        <v>12370.3125</v>
      </c>
      <c r="Y106" s="103" t="n">
        <f aca="false">SUM(Y6:Y105)</f>
        <v>195154.6875</v>
      </c>
      <c r="Z106" s="103" t="n">
        <f aca="false">SUM(Z6:Z105)</f>
        <v>15907.8125</v>
      </c>
      <c r="AA106" s="103" t="n">
        <f aca="false">SUM(AA6:AA105)</f>
        <v>14119.5205479452</v>
      </c>
      <c r="AB106" s="103" t="n">
        <f aca="false">SUM(AB6:AB105)</f>
        <v>14751.9863013699</v>
      </c>
      <c r="AC106" s="103" t="n">
        <f aca="false">SUM(AC6:AC105)</f>
        <v>928.767123287671</v>
      </c>
      <c r="AD106" s="103" t="n">
        <f aca="false">SUM(AD6:AD105)</f>
        <v>4270.83333333333</v>
      </c>
      <c r="AE106" s="103" t="n">
        <f aca="false">SUM(AE6:AE105)</f>
        <v>2800</v>
      </c>
      <c r="AF106" s="103" t="n">
        <f aca="false">SUM(AF6:AF105)</f>
        <v>400</v>
      </c>
      <c r="AG106" s="103" t="n">
        <f aca="false">SUM(AG6:AG105)</f>
        <v>260703.919805936</v>
      </c>
      <c r="AH106" s="103"/>
      <c r="AI106" s="103"/>
      <c r="AJ106" s="103"/>
      <c r="AK106" s="103"/>
      <c r="AL106" s="136" t="n">
        <f aca="false">SUM(AL6:AL105)</f>
        <v>0</v>
      </c>
      <c r="AM106" s="103" t="n">
        <f aca="false">SUM(AM6:AM105)</f>
        <v>8775</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مايو'!A1" display="◀ الشهر السابق"/>
    <hyperlink ref="L3" location="'مسير يوليو'!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يوليو "&amp;cfg_FY</f>
        <v>💵 مسير رواتب شهر يوليو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7</v>
      </c>
      <c r="D3" s="112" t="s">
        <v>434</v>
      </c>
      <c r="E3" s="114" t="n">
        <f aca="false">DATE(cfg_FY,C3,1)</f>
        <v>46204</v>
      </c>
      <c r="F3" s="114" t="n">
        <f aca="false">EOMONTH(E3,0)</f>
        <v>46234</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3210.41095890413</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والحالات'!$AN$6:$AN$505,'سجل الإجازات والحالات'!$B$6:$B$505,$B6))/cfg_DAYS_Y)</f>
        <v>14.5534246575342</v>
      </c>
      <c r="AI6" s="130" t="n">
        <f aca="false">IF($B6="","",MAX(0,IF(OR(الموظفون!$AE6="",الموظفون!$AE6&gt;($E$3-1)),($E$3-1),الموظفون!$AE6)-الموظفون!$H6+1-SUMIFS('سجل الإجازات والحالات'!$AM$6:$AM$505,'سجل الإجازات والحالات'!$B$6:$B$505,$B6))/cfg_DAYS_Y)</f>
        <v>14.4684931506849</v>
      </c>
      <c r="AJ6" s="57" t="n">
        <f aca="false">IF($B6="","",MAX(0,AK6-(SUMIFS('سجل الإجازات والحالات'!$AN$6:$AN$505,'سجل الإجازات والحالات'!$B$6:$B$505,$B6)-SUMIFS('سجل الإجازات والحالات'!$AM$6:$AM$505,'سجل الإجازات والحالات'!$B$6:$B$505,$B6))))</f>
        <v>31</v>
      </c>
      <c r="AK6" s="57" t="n">
        <f aca="false">IF($B6="","",MAX(0,IF(OR(الموظفون!$AE6="",الموظفون!$AE6&gt;$F$3),$F$3,الموظفون!$AE6)-MAX($E$3,الموظفون!$H6)+1))</f>
        <v>31</v>
      </c>
      <c r="AL6" s="126" t="n">
        <f aca="false">IF($B6="","",SUMIFS('سجل الإجازات والحالات'!$AZ$6:$AZ$505,'سجل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والحالات'!$AB$6:$AB$505,'سجل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إجازة سنوية 20 يوم</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والحالات'!$AN$6:$AN$505,'سجل الإجازات والحالات'!$B$6:$B$505,$B7))/cfg_DAYS_Y)</f>
        <v>10.172602739726</v>
      </c>
      <c r="AI7" s="135" t="n">
        <f aca="false">IF($B7="","",MAX(0,IF(OR(الموظفون!$AE7="",الموظفون!$AE7&gt;($E$3-1)),($E$3-1),الموظفون!$AE7)-الموظفون!$H7+1-SUMIFS('سجل الإجازات والحالات'!$AM$6:$AM$505,'سجل الإجازات والحالات'!$B$6:$B$505,$B7))/cfg_DAYS_Y)</f>
        <v>10.0876712328767</v>
      </c>
      <c r="AJ7" s="110" t="n">
        <f aca="false">IF($B7="","",MAX(0,AK7-(SUMIFS('سجل الإجازات والحالات'!$AN$6:$AN$505,'سجل الإجازات والحالات'!$B$6:$B$505,$B7)-SUMIFS('سجل الإجازات والحالات'!$AM$6:$AM$505,'سجل الإجازات والحالات'!$B$6:$B$505,$B7))))</f>
        <v>31</v>
      </c>
      <c r="AK7" s="110" t="n">
        <f aca="false">IF($B7="","",MAX(0,IF(OR(الموظفون!$AE7="",الموظفون!$AE7&gt;$F$3),$F$3,الموظفون!$AE7)-MAX($E$3,الموظفون!$H7)+1))</f>
        <v>31</v>
      </c>
      <c r="AL7" s="131" t="n">
        <f aca="false">IF($B7="","",SUMIFS('سجل الإجازات والحالات'!$AZ$6:$AZ$505,'سجل الإجازات والحالات'!$B$6:$B$505,$B7)+SUMIFS('الحركات الشهرية'!$K$6:$K$1005,'الحركات الشهرية'!$B$6:$B$1005,$B7,'الحركات الشهرية'!$A$6:$A$1005,$C$3))</f>
        <v>20</v>
      </c>
      <c r="AM7" s="101" t="n">
        <f aca="false">IF($B7="","",AL7*الموظفون!$R7/cfg_DAYS_M+S7)</f>
        <v>16200</v>
      </c>
      <c r="AN7" s="131" t="n">
        <f aca="false">IF($B7="","",SUMIFS('سجل الإجازات والحالات'!$AB$6:$AB$505,'سجل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974.589041095885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15326.7351598173</v>
      </c>
      <c r="AH8" s="130" t="n">
        <f aca="false">IF($B8="","",MAX(0,IF(OR(الموظفون!$AE8="",الموظفون!$AE8&gt;$F$3),$F$3,الموظفون!$AE8)-الموظفون!$H8+1-SUMIFS('سجل الإجازات والحالات'!$AN$6:$AN$505,'سجل الإجازات والحالات'!$B$6:$B$505,$B8))/cfg_DAYS_Y)</f>
        <v>7.8958904109589</v>
      </c>
      <c r="AI8" s="130" t="n">
        <f aca="false">IF($B8="","",MAX(0,IF(OR(الموظفون!$AE8="",الموظفون!$AE8&gt;($E$3-1)),($E$3-1),الموظفون!$AE8)-الموظفون!$H8+1-SUMIFS('سجل الإجازات والحالات'!$AM$6:$AM$505,'سجل الإجازات والحالات'!$B$6:$B$505,$B8))/cfg_DAYS_Y)</f>
        <v>7.81095890410959</v>
      </c>
      <c r="AJ8" s="57" t="n">
        <f aca="false">IF($B8="","",MAX(0,AK8-(SUMIFS('سجل الإجازات والحالات'!$AN$6:$AN$505,'سجل الإجازات والحالات'!$B$6:$B$505,$B8)-SUMIFS('سجل الإجازات والحالات'!$AM$6:$AM$505,'سجل الإجازات والحالات'!$B$6:$B$505,$B8))))</f>
        <v>31</v>
      </c>
      <c r="AK8" s="57" t="n">
        <f aca="false">IF($B8="","",MAX(0,IF(OR(الموظفون!$AE8="",الموظفون!$AE8&gt;$F$3),$F$3,الموظفون!$AE8)-MAX($E$3,الموظفون!$H8)+1))</f>
        <v>31</v>
      </c>
      <c r="AL8" s="126" t="n">
        <f aca="false">IF($B8="","",SUMIFS('سجل الإجازات والحالات'!$AZ$6:$AZ$505,'سجل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والحالات'!$AB$6:$AB$505,'سجل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إجازة سنوية 15 يوم</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والحالات'!$AN$6:$AN$505,'سجل الإجازات والحالات'!$B$6:$B$505,$B9))/cfg_DAYS_Y)</f>
        <v>7.5013698630137</v>
      </c>
      <c r="AI9" s="135" t="n">
        <f aca="false">IF($B9="","",MAX(0,IF(OR(الموظفون!$AE9="",الموظفون!$AE9&gt;($E$3-1)),($E$3-1),الموظفون!$AE9)-الموظفون!$H9+1-SUMIFS('سجل الإجازات والحالات'!$AM$6:$AM$505,'سجل الإجازات والحالات'!$B$6:$B$505,$B9))/cfg_DAYS_Y)</f>
        <v>7.41643835616438</v>
      </c>
      <c r="AJ9" s="110" t="n">
        <f aca="false">IF($B9="","",MAX(0,AK9-(SUMIFS('سجل الإجازات والحالات'!$AN$6:$AN$505,'سجل الإجازات والحالات'!$B$6:$B$505,$B9)-SUMIFS('سجل الإجازات والحالات'!$AM$6:$AM$505,'سجل الإجازات والحالات'!$B$6:$B$505,$B9))))</f>
        <v>31</v>
      </c>
      <c r="AK9" s="110" t="n">
        <f aca="false">IF($B9="","",MAX(0,IF(OR(الموظفون!$AE9="",الموظفون!$AE9&gt;$F$3),$F$3,الموظفون!$AE9)-MAX($E$3,الموظفون!$H9)+1))</f>
        <v>31</v>
      </c>
      <c r="AL9" s="131" t="n">
        <f aca="false">IF($B9="","",SUMIFS('سجل الإجازات والحالات'!$AZ$6:$AZ$505,'سجل الإجازات والحالات'!$B$6:$B$505,$B9)+SUMIFS('الحركات الشهرية'!$K$6:$K$1005,'الحركات الشهرية'!$B$6:$B$1005,$B9,'الحركات الشهرية'!$A$6:$A$1005,$C$3))</f>
        <v>15</v>
      </c>
      <c r="AM9" s="101" t="n">
        <f aca="false">IF($B9="","",AL9*الموظفون!$R9/cfg_DAYS_M+S9)</f>
        <v>9450</v>
      </c>
      <c r="AN9" s="131" t="n">
        <f aca="false">IF($B9="","",SUMIFS('سجل الإجازات والحالات'!$AB$6:$AB$505,'سجل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والحالات'!$AN$6:$AN$505,'سجل الإجازات والحالات'!$B$6:$B$505,$B10))/cfg_DAYS_Y)</f>
        <v>6.30684931506849</v>
      </c>
      <c r="AI10" s="130" t="n">
        <f aca="false">IF($B10="","",MAX(0,IF(OR(الموظفون!$AE10="",الموظفون!$AE10&gt;($E$3-1)),($E$3-1),الموظفون!$AE10)-الموظفون!$H10+1-SUMIFS('سجل الإجازات والحالات'!$AM$6:$AM$505,'سجل الإجازات والحالات'!$B$6:$B$505,$B10))/cfg_DAYS_Y)</f>
        <v>6.22191780821918</v>
      </c>
      <c r="AJ10" s="57" t="n">
        <f aca="false">IF($B10="","",MAX(0,AK10-(SUMIFS('سجل الإجازات والحالات'!$AN$6:$AN$505,'سجل الإجازات والحالات'!$B$6:$B$505,$B10)-SUMIFS('سجل الإجازات والحالات'!$AM$6:$AM$505,'سجل الإجازات والحالات'!$B$6:$B$505,$B10))))</f>
        <v>31</v>
      </c>
      <c r="AK10" s="57" t="n">
        <f aca="false">IF($B10="","",MAX(0,IF(OR(الموظفون!$AE10="",الموظفون!$AE10&gt;$F$3),$F$3,الموظفون!$AE10)-MAX($E$3,الموظفون!$H10)+1))</f>
        <v>31</v>
      </c>
      <c r="AL10" s="126" t="n">
        <f aca="false">IF($B10="","",SUMIFS('سجل الإجازات والحالات'!$AZ$6:$AZ$505,'سجل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والحالات'!$AB$6:$AB$505,'سجل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1490.54794520546</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25240.4708904109</v>
      </c>
      <c r="AH11" s="135" t="n">
        <f aca="false">IF($B11="","",MAX(0,IF(OR(الموظفون!$AE11="",الموظفون!$AE11&gt;$F$3),$F$3,الموظفون!$AE11)-الموظفون!$H11+1-SUMIFS('سجل الإجازات والحالات'!$AN$6:$AN$505,'سجل الإجازات والحالات'!$B$6:$B$505,$B11))/cfg_DAYS_Y)</f>
        <v>8.74246575342466</v>
      </c>
      <c r="AI11" s="135" t="n">
        <f aca="false">IF($B11="","",MAX(0,IF(OR(الموظفون!$AE11="",الموظفون!$AE11&gt;($E$3-1)),($E$3-1),الموظفون!$AE11)-الموظفون!$H11+1-SUMIFS('سجل الإجازات والحالات'!$AM$6:$AM$505,'سجل الإجازات والحالات'!$B$6:$B$505,$B11))/cfg_DAYS_Y)</f>
        <v>8.65753424657534</v>
      </c>
      <c r="AJ11" s="110" t="n">
        <f aca="false">IF($B11="","",MAX(0,AK11-(SUMIFS('سجل الإجازات والحالات'!$AN$6:$AN$505,'سجل الإجازات والحالات'!$B$6:$B$505,$B11)-SUMIFS('سجل الإجازات والحالات'!$AM$6:$AM$505,'سجل الإجازات والحالات'!$B$6:$B$505,$B11))))</f>
        <v>31</v>
      </c>
      <c r="AK11" s="110" t="n">
        <f aca="false">IF($B11="","",MAX(0,IF(OR(الموظفون!$AE11="",الموظفون!$AE11&gt;$F$3),$F$3,الموظفون!$AE11)-MAX($E$3,الموظفون!$H11)+1))</f>
        <v>31</v>
      </c>
      <c r="AL11" s="131" t="n">
        <f aca="false">IF($B11="","",SUMIFS('سجل الإجازات والحالات'!$AZ$6:$AZ$505,'سجل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والحالات'!$AB$6:$AB$505,'سجل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1261.23287671232</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20283.8242009132</v>
      </c>
      <c r="AH12" s="130" t="n">
        <f aca="false">IF($B12="","",MAX(0,IF(OR(الموظفون!$AE12="",الموظفون!$AE12&gt;$F$3),$F$3,الموظفون!$AE12)-الموظفون!$H12+1-SUMIFS('سجل الإجازات والحالات'!$AN$6:$AN$505,'سجل الإجازات والحالات'!$B$6:$B$505,$B12))/cfg_DAYS_Y)</f>
        <v>5.53150684931507</v>
      </c>
      <c r="AI12" s="130" t="n">
        <f aca="false">IF($B12="","",MAX(0,IF(OR(الموظفون!$AE12="",الموظفون!$AE12&gt;($E$3-1)),($E$3-1),الموظفون!$AE12)-الموظفون!$H12+1-SUMIFS('سجل الإجازات والحالات'!$AM$6:$AM$505,'سجل الإجازات والحالات'!$B$6:$B$505,$B12))/cfg_DAYS_Y)</f>
        <v>5.44657534246575</v>
      </c>
      <c r="AJ12" s="57" t="n">
        <f aca="false">IF($B12="","",MAX(0,AK12-(SUMIFS('سجل الإجازات والحالات'!$AN$6:$AN$505,'سجل الإجازات والحالات'!$B$6:$B$505,$B12)-SUMIFS('سجل الإجازات والحالات'!$AM$6:$AM$505,'سجل الإجازات والحالات'!$B$6:$B$505,$B12))))</f>
        <v>31</v>
      </c>
      <c r="AK12" s="57" t="n">
        <f aca="false">IF($B12="","",MAX(0,IF(OR(الموظفون!$AE12="",الموظفون!$AE12&gt;$F$3),$F$3,الموظفون!$AE12)-MAX($E$3,الموظفون!$H12)+1))</f>
        <v>31</v>
      </c>
      <c r="AL12" s="126" t="n">
        <f aca="false">IF($B12="","",SUMIFS('سجل الإجازات والحالات'!$AZ$6:$AZ$505,'سجل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والحالات'!$AB$6:$AB$505,'سجل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والحالات'!$AN$6:$AN$505,'سجل الإجازات والحالات'!$B$6:$B$505,$B13))/cfg_DAYS_Y)</f>
        <v>3.42191780821918</v>
      </c>
      <c r="AI13" s="135" t="n">
        <f aca="false">IF($B13="","",MAX(0,IF(OR(الموظفون!$AE13="",الموظفون!$AE13&gt;($E$3-1)),($E$3-1),الموظفون!$AE13)-الموظفون!$H13+1-SUMIFS('سجل الإجازات والحالات'!$AM$6:$AM$505,'سجل الإجازات والحالات'!$B$6:$B$505,$B13))/cfg_DAYS_Y)</f>
        <v>3.33698630136986</v>
      </c>
      <c r="AJ13" s="110" t="n">
        <f aca="false">IF($B13="","",MAX(0,AK13-(SUMIFS('سجل الإجازات والحالات'!$AN$6:$AN$505,'سجل الإجازات والحالات'!$B$6:$B$505,$B13)-SUMIFS('سجل الإجازات والحالات'!$AM$6:$AM$505,'سجل الإجازات والحالات'!$B$6:$B$505,$B13))))</f>
        <v>31</v>
      </c>
      <c r="AK13" s="110" t="n">
        <f aca="false">IF($B13="","",MAX(0,IF(OR(الموظفون!$AE13="",الموظفون!$AE13&gt;$F$3),$F$3,الموظفون!$AE13)-MAX($E$3,الموظفون!$H13)+1))</f>
        <v>31</v>
      </c>
      <c r="AL13" s="131" t="n">
        <f aca="false">IF($B13="","",SUMIFS('سجل الإجازات والحالات'!$AZ$6:$AZ$505,'سجل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والحالات'!$AB$6:$AB$505,'سجل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والحالات'!$AN$6:$AN$505,'سجل الإجازات والحالات'!$B$6:$B$505,$B14))/cfg_DAYS_Y)</f>
        <v>11.9616438356164</v>
      </c>
      <c r="AI14" s="130" t="n">
        <f aca="false">IF($B14="","",MAX(0,IF(OR(الموظفون!$AE14="",الموظفون!$AE14&gt;($E$3-1)),($E$3-1),الموظفون!$AE14)-الموظفون!$H14+1-SUMIFS('سجل الإجازات والحالات'!$AM$6:$AM$505,'سجل الإجازات والحالات'!$B$6:$B$505,$B14))/cfg_DAYS_Y)</f>
        <v>11.8767123287671</v>
      </c>
      <c r="AJ14" s="57" t="n">
        <f aca="false">IF($B14="","",MAX(0,AK14-(SUMIFS('سجل الإجازات والحالات'!$AN$6:$AN$505,'سجل الإجازات والحالات'!$B$6:$B$505,$B14)-SUMIFS('سجل الإجازات والحالات'!$AM$6:$AM$505,'سجل الإجازات والحالات'!$B$6:$B$505,$B14))))</f>
        <v>31</v>
      </c>
      <c r="AK14" s="57" t="n">
        <f aca="false">IF($B14="","",MAX(0,IF(OR(الموظفون!$AE14="",الموظفون!$AE14&gt;$F$3),$F$3,الموظفون!$AE14)-MAX($E$3,الموظفون!$H14)+1))</f>
        <v>31</v>
      </c>
      <c r="AL14" s="126" t="n">
        <f aca="false">IF($B14="","",SUMIFS('سجل الإجازات والحالات'!$AZ$6:$AZ$505,'سجل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والحالات'!$AB$6:$AB$505,'سجل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والحالات'!$AN$6:$AN$505,'سجل الإجازات والحالات'!$B$6:$B$505,$B15))/cfg_DAYS_Y)</f>
        <v>0.295890410958904</v>
      </c>
      <c r="AI15" s="135" t="n">
        <f aca="false">IF($B15="","",MAX(0,IF(OR(الموظفون!$AE15="",الموظفون!$AE15&gt;($E$3-1)),($E$3-1),الموظفون!$AE15)-الموظفون!$H15+1-SUMIFS('سجل الإجازات والحالات'!$AM$6:$AM$505,'سجل الإجازات والحالات'!$B$6:$B$505,$B15))/cfg_DAYS_Y)</f>
        <v>0.210958904109589</v>
      </c>
      <c r="AJ15" s="110" t="n">
        <f aca="false">IF($B15="","",MAX(0,AK15-(SUMIFS('سجل الإجازات والحالات'!$AN$6:$AN$505,'سجل الإجازات والحالات'!$B$6:$B$505,$B15)-SUMIFS('سجل الإجازات والحالات'!$AM$6:$AM$505,'سجل الإجازات والحالات'!$B$6:$B$505,$B15))))</f>
        <v>31</v>
      </c>
      <c r="AK15" s="110" t="n">
        <f aca="false">IF($B15="","",MAX(0,IF(OR(الموظفون!$AE15="",الموظفون!$AE15&gt;$F$3),$F$3,الموظفون!$AE15)-MAX($E$3,الموظفون!$H15)+1))</f>
        <v>31</v>
      </c>
      <c r="AL15" s="131" t="n">
        <f aca="false">IF($B15="","",SUMIFS('سجل الإجازات والحالات'!$AZ$6:$AZ$505,'سجل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والحالات'!$AB$6:$AB$505,'سجل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8297.2602739726</v>
      </c>
      <c r="S16" s="97" t="n">
        <f aca="false">IF($B16="","",SUMIFS('سجل الإجازات والحالات'!$N$6:$N$505,'سجل الإجازات والحالات'!$B$6:$B$505,$B16,'سجل الإجازات والحالات'!$O$6:$O$505,$C$3))</f>
        <v>0</v>
      </c>
      <c r="T16" s="127" t="n">
        <f aca="false">IF($B16="","",SUM(K16:N16)+SUM(P16:S16))</f>
        <v>8297.2602739726</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8297.2602739726</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8297.2602739726</v>
      </c>
      <c r="AH16" s="130" t="n">
        <f aca="false">IF($B16="","",MAX(0,IF(OR(الموظفون!$AE16="",الموظفون!$AE16&gt;$F$3),$F$3,الموظفون!$AE16)-الموظفون!$H16+1-SUMIFS('سجل الإجازات والحالات'!$AN$6:$AN$505,'سجل الإجازات والحالات'!$B$6:$B$505,$B16))/cfg_DAYS_Y)</f>
        <v>7.33972602739726</v>
      </c>
      <c r="AI16" s="130" t="n">
        <f aca="false">IF($B16="","",MAX(0,IF(OR(الموظفون!$AE16="",الموظفون!$AE16&gt;($E$3-1)),($E$3-1),الموظفون!$AE16)-الموظفون!$H16+1-SUMIFS('سجل الإجازات والحالات'!$AM$6:$AM$505,'سجل الإجازات والحالات'!$B$6:$B$505,$B16))/cfg_DAYS_Y)</f>
        <v>7.33972602739726</v>
      </c>
      <c r="AJ16" s="57" t="n">
        <f aca="false">IF($B16="","",MAX(0,AK16-(SUMIFS('سجل الإجازات والحالات'!$AN$6:$AN$505,'سجل الإجازات والحالات'!$B$6:$B$505,$B16)-SUMIFS('سجل الإجازات والحالات'!$AM$6:$AM$505,'سجل الإجازات والحالات'!$B$6:$B$505,$B16))))</f>
        <v>0</v>
      </c>
      <c r="AK16" s="57" t="n">
        <f aca="false">IF($B16="","",MAX(0,IF(OR(الموظفون!$AE16="",الموظفون!$AE16&gt;$F$3),$F$3,الموظفون!$AE16)-MAX($E$3,الموظفون!$H16)+1))</f>
        <v>0</v>
      </c>
      <c r="AL16" s="126" t="n">
        <f aca="false">IF($B16="","",SUMIFS('سجل الإجازات والحالات'!$AZ$6:$AZ$505,'سجل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والحالات'!$AB$6:$AB$505,'سجل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687.945205479448</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والحالات'!$AN$6:$AN$505,'سجل الإجازات والحالات'!$B$6:$B$505,$B17))/cfg_DAYS_Y)</f>
        <v>4.06301369863014</v>
      </c>
      <c r="AI17" s="135" t="n">
        <f aca="false">IF($B17="","",MAX(0,IF(OR(الموظفون!$AE17="",الموظفون!$AE17&gt;($E$3-1)),($E$3-1),الموظفون!$AE17)-الموظفون!$H17+1-SUMIFS('سجل الإجازات والحالات'!$AM$6:$AM$505,'سجل الإجازات والحالات'!$B$6:$B$505,$B17))/cfg_DAYS_Y)</f>
        <v>3.97808219178082</v>
      </c>
      <c r="AJ17" s="110" t="n">
        <f aca="false">IF($B17="","",MAX(0,AK17-(SUMIFS('سجل الإجازات والحالات'!$AN$6:$AN$505,'سجل الإجازات والحالات'!$B$6:$B$505,$B17)-SUMIFS('سجل الإجازات والحالات'!$AM$6:$AM$505,'سجل الإجازات والحالات'!$B$6:$B$505,$B17))))</f>
        <v>31</v>
      </c>
      <c r="AK17" s="110" t="n">
        <f aca="false">IF($B17="","",MAX(0,IF(OR(الموظفون!$AE17="",الموظفون!$AE17&gt;$F$3),$F$3,الموظفون!$AE17)-MAX($E$3,الموظفون!$H17)+1))</f>
        <v>31</v>
      </c>
      <c r="AL17" s="131" t="n">
        <f aca="false">IF($B17="","",SUMIFS('سجل الإجازات والحالات'!$AZ$6:$AZ$505,'سجل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والحالات'!$AB$6:$AB$505,'سجل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والحالات'!$AN$6:$AN$505,'سجل الإجازات والحالات'!$B$6:$B$505,$B18))/cfg_DAYS_Y)</f>
        <v/>
      </c>
      <c r="AI18" s="130" t="str">
        <f aca="false">IF($B18="","",MAX(0,IF(OR(الموظفون!$AE18="",الموظفون!$AE18&gt;($E$3-1)),($E$3-1),الموظفون!$AE18)-الموظفون!$H18+1-SUMIFS('سجل الإجازات والحالات'!$AM$6:$AM$505,'سجل الإجازات والحالات'!$B$6:$B$505,$B18))/cfg_DAYS_Y)</f>
        <v/>
      </c>
      <c r="AJ18" s="57" t="str">
        <f aca="false">IF($B18="","",MAX(0,AK18-(SUMIFS('سجل الإجازات والحالات'!$AN$6:$AN$505,'سجل الإجازات والحالات'!$B$6:$B$505,$B18)-SUMIFS('سجل الإجازات والحالات'!$AM$6:$AM$505,'سجل الإجازات والحالات'!$B$6:$B$505,$B18))))</f>
        <v/>
      </c>
      <c r="AK18" s="57" t="str">
        <f aca="false">IF($B18="","",MAX(0,IF(OR(الموظفون!$AE18="",الموظفون!$AE18&gt;$F$3),$F$3,الموظفون!$AE18)-MAX($E$3,الموظفون!$H18)+1))</f>
        <v/>
      </c>
      <c r="AL18" s="126" t="str">
        <f aca="false">IF($B18="","",SUMIFS('سجل الإجازات والحالات'!$AZ$6:$AZ$505,'سجل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والحالات'!$AB$6:$AB$505,'سجل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والحالات'!$AN$6:$AN$505,'سجل الإجازات والحالات'!$B$6:$B$505,$B19))/cfg_DAYS_Y)</f>
        <v/>
      </c>
      <c r="AI19" s="135" t="str">
        <f aca="false">IF($B19="","",MAX(0,IF(OR(الموظفون!$AE19="",الموظفون!$AE19&gt;($E$3-1)),($E$3-1),الموظفون!$AE19)-الموظفون!$H19+1-SUMIFS('سجل الإجازات والحالات'!$AM$6:$AM$505,'سجل الإجازات والحالات'!$B$6:$B$505,$B19))/cfg_DAYS_Y)</f>
        <v/>
      </c>
      <c r="AJ19" s="110" t="str">
        <f aca="false">IF($B19="","",MAX(0,AK19-(SUMIFS('سجل الإجازات والحالات'!$AN$6:$AN$505,'سجل الإجازات والحالات'!$B$6:$B$505,$B19)-SUMIFS('سجل الإجازات والحالات'!$AM$6:$AM$505,'سجل الإجازات والحالات'!$B$6:$B$505,$B19))))</f>
        <v/>
      </c>
      <c r="AK19" s="110" t="str">
        <f aca="false">IF($B19="","",MAX(0,IF(OR(الموظفون!$AE19="",الموظفون!$AE19&gt;$F$3),$F$3,الموظفون!$AE19)-MAX($E$3,الموظفون!$H19)+1))</f>
        <v/>
      </c>
      <c r="AL19" s="131" t="str">
        <f aca="false">IF($B19="","",SUMIFS('سجل الإجازات والحالات'!$AZ$6:$AZ$505,'سجل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والحالات'!$AB$6:$AB$505,'سجل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والحالات'!$AN$6:$AN$505,'سجل الإجازات والحالات'!$B$6:$B$505,$B20))/cfg_DAYS_Y)</f>
        <v/>
      </c>
      <c r="AI20" s="130" t="str">
        <f aca="false">IF($B20="","",MAX(0,IF(OR(الموظفون!$AE20="",الموظفون!$AE20&gt;($E$3-1)),($E$3-1),الموظفون!$AE20)-الموظفون!$H20+1-SUMIFS('سجل الإجازات والحالات'!$AM$6:$AM$505,'سجل الإجازات والحالات'!$B$6:$B$505,$B20))/cfg_DAYS_Y)</f>
        <v/>
      </c>
      <c r="AJ20" s="57" t="str">
        <f aca="false">IF($B20="","",MAX(0,AK20-(SUMIFS('سجل الإجازات والحالات'!$AN$6:$AN$505,'سجل الإجازات والحالات'!$B$6:$B$505,$B20)-SUMIFS('سجل الإجازات والحالات'!$AM$6:$AM$505,'سجل الإجازات والحالات'!$B$6:$B$505,$B20))))</f>
        <v/>
      </c>
      <c r="AK20" s="57" t="str">
        <f aca="false">IF($B20="","",MAX(0,IF(OR(الموظفون!$AE20="",الموظفون!$AE20&gt;$F$3),$F$3,الموظفون!$AE20)-MAX($E$3,الموظفون!$H20)+1))</f>
        <v/>
      </c>
      <c r="AL20" s="126" t="str">
        <f aca="false">IF($B20="","",SUMIFS('سجل الإجازات والحالات'!$AZ$6:$AZ$505,'سجل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والحالات'!$AB$6:$AB$505,'سجل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والحالات'!$AN$6:$AN$505,'سجل الإجازات والحالات'!$B$6:$B$505,$B21))/cfg_DAYS_Y)</f>
        <v/>
      </c>
      <c r="AI21" s="135" t="str">
        <f aca="false">IF($B21="","",MAX(0,IF(OR(الموظفون!$AE21="",الموظفون!$AE21&gt;($E$3-1)),($E$3-1),الموظفون!$AE21)-الموظفون!$H21+1-SUMIFS('سجل الإجازات والحالات'!$AM$6:$AM$505,'سجل الإجازات والحالات'!$B$6:$B$505,$B21))/cfg_DAYS_Y)</f>
        <v/>
      </c>
      <c r="AJ21" s="110" t="str">
        <f aca="false">IF($B21="","",MAX(0,AK21-(SUMIFS('سجل الإجازات والحالات'!$AN$6:$AN$505,'سجل الإجازات والحالات'!$B$6:$B$505,$B21)-SUMIFS('سجل الإجازات والحالات'!$AM$6:$AM$505,'سجل الإجازات والحالات'!$B$6:$B$505,$B21))))</f>
        <v/>
      </c>
      <c r="AK21" s="110" t="str">
        <f aca="false">IF($B21="","",MAX(0,IF(OR(الموظفون!$AE21="",الموظفون!$AE21&gt;$F$3),$F$3,الموظفون!$AE21)-MAX($E$3,الموظفون!$H21)+1))</f>
        <v/>
      </c>
      <c r="AL21" s="131" t="str">
        <f aca="false">IF($B21="","",SUMIFS('سجل الإجازات والحالات'!$AZ$6:$AZ$505,'سجل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والحالات'!$AB$6:$AB$505,'سجل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والحالات'!$AN$6:$AN$505,'سجل الإجازات والحالات'!$B$6:$B$505,$B22))/cfg_DAYS_Y)</f>
        <v/>
      </c>
      <c r="AI22" s="130" t="str">
        <f aca="false">IF($B22="","",MAX(0,IF(OR(الموظفون!$AE22="",الموظفون!$AE22&gt;($E$3-1)),($E$3-1),الموظفون!$AE22)-الموظفون!$H22+1-SUMIFS('سجل الإجازات والحالات'!$AM$6:$AM$505,'سجل الإجازات والحالات'!$B$6:$B$505,$B22))/cfg_DAYS_Y)</f>
        <v/>
      </c>
      <c r="AJ22" s="57" t="str">
        <f aca="false">IF($B22="","",MAX(0,AK22-(SUMIFS('سجل الإجازات والحالات'!$AN$6:$AN$505,'سجل الإجازات والحالات'!$B$6:$B$505,$B22)-SUMIFS('سجل الإجازات والحالات'!$AM$6:$AM$505,'سجل الإجازات والحالات'!$B$6:$B$505,$B22))))</f>
        <v/>
      </c>
      <c r="AK22" s="57" t="str">
        <f aca="false">IF($B22="","",MAX(0,IF(OR(الموظفون!$AE22="",الموظفون!$AE22&gt;$F$3),$F$3,الموظفون!$AE22)-MAX($E$3,الموظفون!$H22)+1))</f>
        <v/>
      </c>
      <c r="AL22" s="126" t="str">
        <f aca="false">IF($B22="","",SUMIFS('سجل الإجازات والحالات'!$AZ$6:$AZ$505,'سجل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والحالات'!$AB$6:$AB$505,'سجل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والحالات'!$AN$6:$AN$505,'سجل الإجازات والحالات'!$B$6:$B$505,$B23))/cfg_DAYS_Y)</f>
        <v/>
      </c>
      <c r="AI23" s="135" t="str">
        <f aca="false">IF($B23="","",MAX(0,IF(OR(الموظفون!$AE23="",الموظفون!$AE23&gt;($E$3-1)),($E$3-1),الموظفون!$AE23)-الموظفون!$H23+1-SUMIFS('سجل الإجازات والحالات'!$AM$6:$AM$505,'سجل الإجازات والحالات'!$B$6:$B$505,$B23))/cfg_DAYS_Y)</f>
        <v/>
      </c>
      <c r="AJ23" s="110" t="str">
        <f aca="false">IF($B23="","",MAX(0,AK23-(SUMIFS('سجل الإجازات والحالات'!$AN$6:$AN$505,'سجل الإجازات والحالات'!$B$6:$B$505,$B23)-SUMIFS('سجل الإجازات والحالات'!$AM$6:$AM$505,'سجل الإجازات والحالات'!$B$6:$B$505,$B23))))</f>
        <v/>
      </c>
      <c r="AK23" s="110" t="str">
        <f aca="false">IF($B23="","",MAX(0,IF(OR(الموظفون!$AE23="",الموظفون!$AE23&gt;$F$3),$F$3,الموظفون!$AE23)-MAX($E$3,الموظفون!$H23)+1))</f>
        <v/>
      </c>
      <c r="AL23" s="131" t="str">
        <f aca="false">IF($B23="","",SUMIFS('سجل الإجازات والحالات'!$AZ$6:$AZ$505,'سجل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والحالات'!$AB$6:$AB$505,'سجل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والحالات'!$AN$6:$AN$505,'سجل الإجازات والحالات'!$B$6:$B$505,$B24))/cfg_DAYS_Y)</f>
        <v/>
      </c>
      <c r="AI24" s="130" t="str">
        <f aca="false">IF($B24="","",MAX(0,IF(OR(الموظفون!$AE24="",الموظفون!$AE24&gt;($E$3-1)),($E$3-1),الموظفون!$AE24)-الموظفون!$H24+1-SUMIFS('سجل الإجازات والحالات'!$AM$6:$AM$505,'سجل الإجازات والحالات'!$B$6:$B$505,$B24))/cfg_DAYS_Y)</f>
        <v/>
      </c>
      <c r="AJ24" s="57" t="str">
        <f aca="false">IF($B24="","",MAX(0,AK24-(SUMIFS('سجل الإجازات والحالات'!$AN$6:$AN$505,'سجل الإجازات والحالات'!$B$6:$B$505,$B24)-SUMIFS('سجل الإجازات والحالات'!$AM$6:$AM$505,'سجل الإجازات والحالات'!$B$6:$B$505,$B24))))</f>
        <v/>
      </c>
      <c r="AK24" s="57" t="str">
        <f aca="false">IF($B24="","",MAX(0,IF(OR(الموظفون!$AE24="",الموظفون!$AE24&gt;$F$3),$F$3,الموظفون!$AE24)-MAX($E$3,الموظفون!$H24)+1))</f>
        <v/>
      </c>
      <c r="AL24" s="126" t="str">
        <f aca="false">IF($B24="","",SUMIFS('سجل الإجازات والحالات'!$AZ$6:$AZ$505,'سجل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والحالات'!$AB$6:$AB$505,'سجل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والحالات'!$AN$6:$AN$505,'سجل الإجازات والحالات'!$B$6:$B$505,$B25))/cfg_DAYS_Y)</f>
        <v/>
      </c>
      <c r="AI25" s="135" t="str">
        <f aca="false">IF($B25="","",MAX(0,IF(OR(الموظفون!$AE25="",الموظفون!$AE25&gt;($E$3-1)),($E$3-1),الموظفون!$AE25)-الموظفون!$H25+1-SUMIFS('سجل الإجازات والحالات'!$AM$6:$AM$505,'سجل الإجازات والحالات'!$B$6:$B$505,$B25))/cfg_DAYS_Y)</f>
        <v/>
      </c>
      <c r="AJ25" s="110" t="str">
        <f aca="false">IF($B25="","",MAX(0,AK25-(SUMIFS('سجل الإجازات والحالات'!$AN$6:$AN$505,'سجل الإجازات والحالات'!$B$6:$B$505,$B25)-SUMIFS('سجل الإجازات والحالات'!$AM$6:$AM$505,'سجل الإجازات والحالات'!$B$6:$B$505,$B25))))</f>
        <v/>
      </c>
      <c r="AK25" s="110" t="str">
        <f aca="false">IF($B25="","",MAX(0,IF(OR(الموظفون!$AE25="",الموظفون!$AE25&gt;$F$3),$F$3,الموظفون!$AE25)-MAX($E$3,الموظفون!$H25)+1))</f>
        <v/>
      </c>
      <c r="AL25" s="131" t="str">
        <f aca="false">IF($B25="","",SUMIFS('سجل الإجازات والحالات'!$AZ$6:$AZ$505,'سجل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والحالات'!$AB$6:$AB$505,'سجل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والحالات'!$AN$6:$AN$505,'سجل الإجازات والحالات'!$B$6:$B$505,$B26))/cfg_DAYS_Y)</f>
        <v/>
      </c>
      <c r="AI26" s="130" t="str">
        <f aca="false">IF($B26="","",MAX(0,IF(OR(الموظفون!$AE26="",الموظفون!$AE26&gt;($E$3-1)),($E$3-1),الموظفون!$AE26)-الموظفون!$H26+1-SUMIFS('سجل الإجازات والحالات'!$AM$6:$AM$505,'سجل الإجازات والحالات'!$B$6:$B$505,$B26))/cfg_DAYS_Y)</f>
        <v/>
      </c>
      <c r="AJ26" s="57" t="str">
        <f aca="false">IF($B26="","",MAX(0,AK26-(SUMIFS('سجل الإجازات والحالات'!$AN$6:$AN$505,'سجل الإجازات والحالات'!$B$6:$B$505,$B26)-SUMIFS('سجل الإجازات والحالات'!$AM$6:$AM$505,'سجل الإجازات والحالات'!$B$6:$B$505,$B26))))</f>
        <v/>
      </c>
      <c r="AK26" s="57" t="str">
        <f aca="false">IF($B26="","",MAX(0,IF(OR(الموظفون!$AE26="",الموظفون!$AE26&gt;$F$3),$F$3,الموظفون!$AE26)-MAX($E$3,الموظفون!$H26)+1))</f>
        <v/>
      </c>
      <c r="AL26" s="126" t="str">
        <f aca="false">IF($B26="","",SUMIFS('سجل الإجازات والحالات'!$AZ$6:$AZ$505,'سجل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والحالات'!$AB$6:$AB$505,'سجل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والحالات'!$AN$6:$AN$505,'سجل الإجازات والحالات'!$B$6:$B$505,$B27))/cfg_DAYS_Y)</f>
        <v/>
      </c>
      <c r="AI27" s="135" t="str">
        <f aca="false">IF($B27="","",MAX(0,IF(OR(الموظفون!$AE27="",الموظفون!$AE27&gt;($E$3-1)),($E$3-1),الموظفون!$AE27)-الموظفون!$H27+1-SUMIFS('سجل الإجازات والحالات'!$AM$6:$AM$505,'سجل الإجازات والحالات'!$B$6:$B$505,$B27))/cfg_DAYS_Y)</f>
        <v/>
      </c>
      <c r="AJ27" s="110" t="str">
        <f aca="false">IF($B27="","",MAX(0,AK27-(SUMIFS('سجل الإجازات والحالات'!$AN$6:$AN$505,'سجل الإجازات والحالات'!$B$6:$B$505,$B27)-SUMIFS('سجل الإجازات والحالات'!$AM$6:$AM$505,'سجل الإجازات والحالات'!$B$6:$B$505,$B27))))</f>
        <v/>
      </c>
      <c r="AK27" s="110" t="str">
        <f aca="false">IF($B27="","",MAX(0,IF(OR(الموظفون!$AE27="",الموظفون!$AE27&gt;$F$3),$F$3,الموظفون!$AE27)-MAX($E$3,الموظفون!$H27)+1))</f>
        <v/>
      </c>
      <c r="AL27" s="131" t="str">
        <f aca="false">IF($B27="","",SUMIFS('سجل الإجازات والحالات'!$AZ$6:$AZ$505,'سجل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والحالات'!$AB$6:$AB$505,'سجل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والحالات'!$AN$6:$AN$505,'سجل الإجازات والحالات'!$B$6:$B$505,$B28))/cfg_DAYS_Y)</f>
        <v/>
      </c>
      <c r="AI28" s="130" t="str">
        <f aca="false">IF($B28="","",MAX(0,IF(OR(الموظفون!$AE28="",الموظفون!$AE28&gt;($E$3-1)),($E$3-1),الموظفون!$AE28)-الموظفون!$H28+1-SUMIFS('سجل الإجازات والحالات'!$AM$6:$AM$505,'سجل الإجازات والحالات'!$B$6:$B$505,$B28))/cfg_DAYS_Y)</f>
        <v/>
      </c>
      <c r="AJ28" s="57" t="str">
        <f aca="false">IF($B28="","",MAX(0,AK28-(SUMIFS('سجل الإجازات والحالات'!$AN$6:$AN$505,'سجل الإجازات والحالات'!$B$6:$B$505,$B28)-SUMIFS('سجل الإجازات والحالات'!$AM$6:$AM$505,'سجل الإجازات والحالات'!$B$6:$B$505,$B28))))</f>
        <v/>
      </c>
      <c r="AK28" s="57" t="str">
        <f aca="false">IF($B28="","",MAX(0,IF(OR(الموظفون!$AE28="",الموظفون!$AE28&gt;$F$3),$F$3,الموظفون!$AE28)-MAX($E$3,الموظفون!$H28)+1))</f>
        <v/>
      </c>
      <c r="AL28" s="126" t="str">
        <f aca="false">IF($B28="","",SUMIFS('سجل الإجازات والحالات'!$AZ$6:$AZ$505,'سجل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والحالات'!$AB$6:$AB$505,'سجل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والحالات'!$AN$6:$AN$505,'سجل الإجازات والحالات'!$B$6:$B$505,$B29))/cfg_DAYS_Y)</f>
        <v/>
      </c>
      <c r="AI29" s="135" t="str">
        <f aca="false">IF($B29="","",MAX(0,IF(OR(الموظفون!$AE29="",الموظفون!$AE29&gt;($E$3-1)),($E$3-1),الموظفون!$AE29)-الموظفون!$H29+1-SUMIFS('سجل الإجازات والحالات'!$AM$6:$AM$505,'سجل الإجازات والحالات'!$B$6:$B$505,$B29))/cfg_DAYS_Y)</f>
        <v/>
      </c>
      <c r="AJ29" s="110" t="str">
        <f aca="false">IF($B29="","",MAX(0,AK29-(SUMIFS('سجل الإجازات والحالات'!$AN$6:$AN$505,'سجل الإجازات والحالات'!$B$6:$B$505,$B29)-SUMIFS('سجل الإجازات والحالات'!$AM$6:$AM$505,'سجل الإجازات والحالات'!$B$6:$B$505,$B29))))</f>
        <v/>
      </c>
      <c r="AK29" s="110" t="str">
        <f aca="false">IF($B29="","",MAX(0,IF(OR(الموظفون!$AE29="",الموظفون!$AE29&gt;$F$3),$F$3,الموظفون!$AE29)-MAX($E$3,الموظفون!$H29)+1))</f>
        <v/>
      </c>
      <c r="AL29" s="131" t="str">
        <f aca="false">IF($B29="","",SUMIFS('سجل الإجازات والحالات'!$AZ$6:$AZ$505,'سجل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والحالات'!$AB$6:$AB$505,'سجل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والحالات'!$AN$6:$AN$505,'سجل الإجازات والحالات'!$B$6:$B$505,$B30))/cfg_DAYS_Y)</f>
        <v/>
      </c>
      <c r="AI30" s="130" t="str">
        <f aca="false">IF($B30="","",MAX(0,IF(OR(الموظفون!$AE30="",الموظفون!$AE30&gt;($E$3-1)),($E$3-1),الموظفون!$AE30)-الموظفون!$H30+1-SUMIFS('سجل الإجازات والحالات'!$AM$6:$AM$505,'سجل الإجازات والحالات'!$B$6:$B$505,$B30))/cfg_DAYS_Y)</f>
        <v/>
      </c>
      <c r="AJ30" s="57" t="str">
        <f aca="false">IF($B30="","",MAX(0,AK30-(SUMIFS('سجل الإجازات والحالات'!$AN$6:$AN$505,'سجل الإجازات والحالات'!$B$6:$B$505,$B30)-SUMIFS('سجل الإجازات والحالات'!$AM$6:$AM$505,'سجل الإجازات والحالات'!$B$6:$B$505,$B30))))</f>
        <v/>
      </c>
      <c r="AK30" s="57" t="str">
        <f aca="false">IF($B30="","",MAX(0,IF(OR(الموظفون!$AE30="",الموظفون!$AE30&gt;$F$3),$F$3,الموظفون!$AE30)-MAX($E$3,الموظفون!$H30)+1))</f>
        <v/>
      </c>
      <c r="AL30" s="126" t="str">
        <f aca="false">IF($B30="","",SUMIFS('سجل الإجازات والحالات'!$AZ$6:$AZ$505,'سجل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والحالات'!$AB$6:$AB$505,'سجل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والحالات'!$AN$6:$AN$505,'سجل الإجازات والحالات'!$B$6:$B$505,$B31))/cfg_DAYS_Y)</f>
        <v/>
      </c>
      <c r="AI31" s="135" t="str">
        <f aca="false">IF($B31="","",MAX(0,IF(OR(الموظفون!$AE31="",الموظفون!$AE31&gt;($E$3-1)),($E$3-1),الموظفون!$AE31)-الموظفون!$H31+1-SUMIFS('سجل الإجازات والحالات'!$AM$6:$AM$505,'سجل الإجازات والحالات'!$B$6:$B$505,$B31))/cfg_DAYS_Y)</f>
        <v/>
      </c>
      <c r="AJ31" s="110" t="str">
        <f aca="false">IF($B31="","",MAX(0,AK31-(SUMIFS('سجل الإجازات والحالات'!$AN$6:$AN$505,'سجل الإجازات والحالات'!$B$6:$B$505,$B31)-SUMIFS('سجل الإجازات والحالات'!$AM$6:$AM$505,'سجل الإجازات والحالات'!$B$6:$B$505,$B31))))</f>
        <v/>
      </c>
      <c r="AK31" s="110" t="str">
        <f aca="false">IF($B31="","",MAX(0,IF(OR(الموظفون!$AE31="",الموظفون!$AE31&gt;$F$3),$F$3,الموظفون!$AE31)-MAX($E$3,الموظفون!$H31)+1))</f>
        <v/>
      </c>
      <c r="AL31" s="131" t="str">
        <f aca="false">IF($B31="","",SUMIFS('سجل الإجازات والحالات'!$AZ$6:$AZ$505,'سجل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والحالات'!$AB$6:$AB$505,'سجل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والحالات'!$AN$6:$AN$505,'سجل الإجازات والحالات'!$B$6:$B$505,$B32))/cfg_DAYS_Y)</f>
        <v/>
      </c>
      <c r="AI32" s="130" t="str">
        <f aca="false">IF($B32="","",MAX(0,IF(OR(الموظفون!$AE32="",الموظفون!$AE32&gt;($E$3-1)),($E$3-1),الموظفون!$AE32)-الموظفون!$H32+1-SUMIFS('سجل الإجازات والحالات'!$AM$6:$AM$505,'سجل الإجازات والحالات'!$B$6:$B$505,$B32))/cfg_DAYS_Y)</f>
        <v/>
      </c>
      <c r="AJ32" s="57" t="str">
        <f aca="false">IF($B32="","",MAX(0,AK32-(SUMIFS('سجل الإجازات والحالات'!$AN$6:$AN$505,'سجل الإجازات والحالات'!$B$6:$B$505,$B32)-SUMIFS('سجل الإجازات والحالات'!$AM$6:$AM$505,'سجل الإجازات والحالات'!$B$6:$B$505,$B32))))</f>
        <v/>
      </c>
      <c r="AK32" s="57" t="str">
        <f aca="false">IF($B32="","",MAX(0,IF(OR(الموظفون!$AE32="",الموظفون!$AE32&gt;$F$3),$F$3,الموظفون!$AE32)-MAX($E$3,الموظفون!$H32)+1))</f>
        <v/>
      </c>
      <c r="AL32" s="126" t="str">
        <f aca="false">IF($B32="","",SUMIFS('سجل الإجازات والحالات'!$AZ$6:$AZ$505,'سجل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والحالات'!$AB$6:$AB$505,'سجل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والحالات'!$AN$6:$AN$505,'سجل الإجازات والحالات'!$B$6:$B$505,$B33))/cfg_DAYS_Y)</f>
        <v/>
      </c>
      <c r="AI33" s="135" t="str">
        <f aca="false">IF($B33="","",MAX(0,IF(OR(الموظفون!$AE33="",الموظفون!$AE33&gt;($E$3-1)),($E$3-1),الموظفون!$AE33)-الموظفون!$H33+1-SUMIFS('سجل الإجازات والحالات'!$AM$6:$AM$505,'سجل الإجازات والحالات'!$B$6:$B$505,$B33))/cfg_DAYS_Y)</f>
        <v/>
      </c>
      <c r="AJ33" s="110" t="str">
        <f aca="false">IF($B33="","",MAX(0,AK33-(SUMIFS('سجل الإجازات والحالات'!$AN$6:$AN$505,'سجل الإجازات والحالات'!$B$6:$B$505,$B33)-SUMIFS('سجل الإجازات والحالات'!$AM$6:$AM$505,'سجل الإجازات والحالات'!$B$6:$B$505,$B33))))</f>
        <v/>
      </c>
      <c r="AK33" s="110" t="str">
        <f aca="false">IF($B33="","",MAX(0,IF(OR(الموظفون!$AE33="",الموظفون!$AE33&gt;$F$3),$F$3,الموظفون!$AE33)-MAX($E$3,الموظفون!$H33)+1))</f>
        <v/>
      </c>
      <c r="AL33" s="131" t="str">
        <f aca="false">IF($B33="","",SUMIFS('سجل الإجازات والحالات'!$AZ$6:$AZ$505,'سجل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والحالات'!$AB$6:$AB$505,'سجل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والحالات'!$AN$6:$AN$505,'سجل الإجازات والحالات'!$B$6:$B$505,$B34))/cfg_DAYS_Y)</f>
        <v/>
      </c>
      <c r="AI34" s="130" t="str">
        <f aca="false">IF($B34="","",MAX(0,IF(OR(الموظفون!$AE34="",الموظفون!$AE34&gt;($E$3-1)),($E$3-1),الموظفون!$AE34)-الموظفون!$H34+1-SUMIFS('سجل الإجازات والحالات'!$AM$6:$AM$505,'سجل الإجازات والحالات'!$B$6:$B$505,$B34))/cfg_DAYS_Y)</f>
        <v/>
      </c>
      <c r="AJ34" s="57" t="str">
        <f aca="false">IF($B34="","",MAX(0,AK34-(SUMIFS('سجل الإجازات والحالات'!$AN$6:$AN$505,'سجل الإجازات والحالات'!$B$6:$B$505,$B34)-SUMIFS('سجل الإجازات والحالات'!$AM$6:$AM$505,'سجل الإجازات والحالات'!$B$6:$B$505,$B34))))</f>
        <v/>
      </c>
      <c r="AK34" s="57" t="str">
        <f aca="false">IF($B34="","",MAX(0,IF(OR(الموظفون!$AE34="",الموظفون!$AE34&gt;$F$3),$F$3,الموظفون!$AE34)-MAX($E$3,الموظفون!$H34)+1))</f>
        <v/>
      </c>
      <c r="AL34" s="126" t="str">
        <f aca="false">IF($B34="","",SUMIFS('سجل الإجازات والحالات'!$AZ$6:$AZ$505,'سجل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والحالات'!$AB$6:$AB$505,'سجل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والحالات'!$AN$6:$AN$505,'سجل الإجازات والحالات'!$B$6:$B$505,$B35))/cfg_DAYS_Y)</f>
        <v/>
      </c>
      <c r="AI35" s="135" t="str">
        <f aca="false">IF($B35="","",MAX(0,IF(OR(الموظفون!$AE35="",الموظفون!$AE35&gt;($E$3-1)),($E$3-1),الموظفون!$AE35)-الموظفون!$H35+1-SUMIFS('سجل الإجازات والحالات'!$AM$6:$AM$505,'سجل الإجازات والحالات'!$B$6:$B$505,$B35))/cfg_DAYS_Y)</f>
        <v/>
      </c>
      <c r="AJ35" s="110" t="str">
        <f aca="false">IF($B35="","",MAX(0,AK35-(SUMIFS('سجل الإجازات والحالات'!$AN$6:$AN$505,'سجل الإجازات والحالات'!$B$6:$B$505,$B35)-SUMIFS('سجل الإجازات والحالات'!$AM$6:$AM$505,'سجل الإجازات والحالات'!$B$6:$B$505,$B35))))</f>
        <v/>
      </c>
      <c r="AK35" s="110" t="str">
        <f aca="false">IF($B35="","",MAX(0,IF(OR(الموظفون!$AE35="",الموظفون!$AE35&gt;$F$3),$F$3,الموظفون!$AE35)-MAX($E$3,الموظفون!$H35)+1))</f>
        <v/>
      </c>
      <c r="AL35" s="131" t="str">
        <f aca="false">IF($B35="","",SUMIFS('سجل الإجازات والحالات'!$AZ$6:$AZ$505,'سجل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والحالات'!$AB$6:$AB$505,'سجل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والحالات'!$AN$6:$AN$505,'سجل الإجازات والحالات'!$B$6:$B$505,$B36))/cfg_DAYS_Y)</f>
        <v/>
      </c>
      <c r="AI36" s="130" t="str">
        <f aca="false">IF($B36="","",MAX(0,IF(OR(الموظفون!$AE36="",الموظفون!$AE36&gt;($E$3-1)),($E$3-1),الموظفون!$AE36)-الموظفون!$H36+1-SUMIFS('سجل الإجازات والحالات'!$AM$6:$AM$505,'سجل الإجازات والحالات'!$B$6:$B$505,$B36))/cfg_DAYS_Y)</f>
        <v/>
      </c>
      <c r="AJ36" s="57" t="str">
        <f aca="false">IF($B36="","",MAX(0,AK36-(SUMIFS('سجل الإجازات والحالات'!$AN$6:$AN$505,'سجل الإجازات والحالات'!$B$6:$B$505,$B36)-SUMIFS('سجل الإجازات والحالات'!$AM$6:$AM$505,'سجل الإجازات والحالات'!$B$6:$B$505,$B36))))</f>
        <v/>
      </c>
      <c r="AK36" s="57" t="str">
        <f aca="false">IF($B36="","",MAX(0,IF(OR(الموظفون!$AE36="",الموظفون!$AE36&gt;$F$3),$F$3,الموظفون!$AE36)-MAX($E$3,الموظفون!$H36)+1))</f>
        <v/>
      </c>
      <c r="AL36" s="126" t="str">
        <f aca="false">IF($B36="","",SUMIFS('سجل الإجازات والحالات'!$AZ$6:$AZ$505,'سجل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والحالات'!$AB$6:$AB$505,'سجل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والحالات'!$AN$6:$AN$505,'سجل الإجازات والحالات'!$B$6:$B$505,$B37))/cfg_DAYS_Y)</f>
        <v/>
      </c>
      <c r="AI37" s="135" t="str">
        <f aca="false">IF($B37="","",MAX(0,IF(OR(الموظفون!$AE37="",الموظفون!$AE37&gt;($E$3-1)),($E$3-1),الموظفون!$AE37)-الموظفون!$H37+1-SUMIFS('سجل الإجازات والحالات'!$AM$6:$AM$505,'سجل الإجازات والحالات'!$B$6:$B$505,$B37))/cfg_DAYS_Y)</f>
        <v/>
      </c>
      <c r="AJ37" s="110" t="str">
        <f aca="false">IF($B37="","",MAX(0,AK37-(SUMIFS('سجل الإجازات والحالات'!$AN$6:$AN$505,'سجل الإجازات والحالات'!$B$6:$B$505,$B37)-SUMIFS('سجل الإجازات والحالات'!$AM$6:$AM$505,'سجل الإجازات والحالات'!$B$6:$B$505,$B37))))</f>
        <v/>
      </c>
      <c r="AK37" s="110" t="str">
        <f aca="false">IF($B37="","",MAX(0,IF(OR(الموظفون!$AE37="",الموظفون!$AE37&gt;$F$3),$F$3,الموظفون!$AE37)-MAX($E$3,الموظفون!$H37)+1))</f>
        <v/>
      </c>
      <c r="AL37" s="131" t="str">
        <f aca="false">IF($B37="","",SUMIFS('سجل الإجازات والحالات'!$AZ$6:$AZ$505,'سجل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والحالات'!$AB$6:$AB$505,'سجل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والحالات'!$AN$6:$AN$505,'سجل الإجازات والحالات'!$B$6:$B$505,$B38))/cfg_DAYS_Y)</f>
        <v/>
      </c>
      <c r="AI38" s="130" t="str">
        <f aca="false">IF($B38="","",MAX(0,IF(OR(الموظفون!$AE38="",الموظفون!$AE38&gt;($E$3-1)),($E$3-1),الموظفون!$AE38)-الموظفون!$H38+1-SUMIFS('سجل الإجازات والحالات'!$AM$6:$AM$505,'سجل الإجازات والحالات'!$B$6:$B$505,$B38))/cfg_DAYS_Y)</f>
        <v/>
      </c>
      <c r="AJ38" s="57" t="str">
        <f aca="false">IF($B38="","",MAX(0,AK38-(SUMIFS('سجل الإجازات والحالات'!$AN$6:$AN$505,'سجل الإجازات والحالات'!$B$6:$B$505,$B38)-SUMIFS('سجل الإجازات والحالات'!$AM$6:$AM$505,'سجل الإجازات والحالات'!$B$6:$B$505,$B38))))</f>
        <v/>
      </c>
      <c r="AK38" s="57" t="str">
        <f aca="false">IF($B38="","",MAX(0,IF(OR(الموظفون!$AE38="",الموظفون!$AE38&gt;$F$3),$F$3,الموظفون!$AE38)-MAX($E$3,الموظفون!$H38)+1))</f>
        <v/>
      </c>
      <c r="AL38" s="126" t="str">
        <f aca="false">IF($B38="","",SUMIFS('سجل الإجازات والحالات'!$AZ$6:$AZ$505,'سجل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والحالات'!$AB$6:$AB$505,'سجل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والحالات'!$AN$6:$AN$505,'سجل الإجازات والحالات'!$B$6:$B$505,$B39))/cfg_DAYS_Y)</f>
        <v/>
      </c>
      <c r="AI39" s="135" t="str">
        <f aca="false">IF($B39="","",MAX(0,IF(OR(الموظفون!$AE39="",الموظفون!$AE39&gt;($E$3-1)),($E$3-1),الموظفون!$AE39)-الموظفون!$H39+1-SUMIFS('سجل الإجازات والحالات'!$AM$6:$AM$505,'سجل الإجازات والحالات'!$B$6:$B$505,$B39))/cfg_DAYS_Y)</f>
        <v/>
      </c>
      <c r="AJ39" s="110" t="str">
        <f aca="false">IF($B39="","",MAX(0,AK39-(SUMIFS('سجل الإجازات والحالات'!$AN$6:$AN$505,'سجل الإجازات والحالات'!$B$6:$B$505,$B39)-SUMIFS('سجل الإجازات والحالات'!$AM$6:$AM$505,'سجل الإجازات والحالات'!$B$6:$B$505,$B39))))</f>
        <v/>
      </c>
      <c r="AK39" s="110" t="str">
        <f aca="false">IF($B39="","",MAX(0,IF(OR(الموظفون!$AE39="",الموظفون!$AE39&gt;$F$3),$F$3,الموظفون!$AE39)-MAX($E$3,الموظفون!$H39)+1))</f>
        <v/>
      </c>
      <c r="AL39" s="131" t="str">
        <f aca="false">IF($B39="","",SUMIFS('سجل الإجازات والحالات'!$AZ$6:$AZ$505,'سجل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والحالات'!$AB$6:$AB$505,'سجل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والحالات'!$AN$6:$AN$505,'سجل الإجازات والحالات'!$B$6:$B$505,$B40))/cfg_DAYS_Y)</f>
        <v/>
      </c>
      <c r="AI40" s="130" t="str">
        <f aca="false">IF($B40="","",MAX(0,IF(OR(الموظفون!$AE40="",الموظفون!$AE40&gt;($E$3-1)),($E$3-1),الموظفون!$AE40)-الموظفون!$H40+1-SUMIFS('سجل الإجازات والحالات'!$AM$6:$AM$505,'سجل الإجازات والحالات'!$B$6:$B$505,$B40))/cfg_DAYS_Y)</f>
        <v/>
      </c>
      <c r="AJ40" s="57" t="str">
        <f aca="false">IF($B40="","",MAX(0,AK40-(SUMIFS('سجل الإجازات والحالات'!$AN$6:$AN$505,'سجل الإجازات والحالات'!$B$6:$B$505,$B40)-SUMIFS('سجل الإجازات والحالات'!$AM$6:$AM$505,'سجل الإجازات والحالات'!$B$6:$B$505,$B40))))</f>
        <v/>
      </c>
      <c r="AK40" s="57" t="str">
        <f aca="false">IF($B40="","",MAX(0,IF(OR(الموظفون!$AE40="",الموظفون!$AE40&gt;$F$3),$F$3,الموظفون!$AE40)-MAX($E$3,الموظفون!$H40)+1))</f>
        <v/>
      </c>
      <c r="AL40" s="126" t="str">
        <f aca="false">IF($B40="","",SUMIFS('سجل الإجازات والحالات'!$AZ$6:$AZ$505,'سجل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والحالات'!$AB$6:$AB$505,'سجل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والحالات'!$AN$6:$AN$505,'سجل الإجازات والحالات'!$B$6:$B$505,$B41))/cfg_DAYS_Y)</f>
        <v/>
      </c>
      <c r="AI41" s="135" t="str">
        <f aca="false">IF($B41="","",MAX(0,IF(OR(الموظفون!$AE41="",الموظفون!$AE41&gt;($E$3-1)),($E$3-1),الموظفون!$AE41)-الموظفون!$H41+1-SUMIFS('سجل الإجازات والحالات'!$AM$6:$AM$505,'سجل الإجازات والحالات'!$B$6:$B$505,$B41))/cfg_DAYS_Y)</f>
        <v/>
      </c>
      <c r="AJ41" s="110" t="str">
        <f aca="false">IF($B41="","",MAX(0,AK41-(SUMIFS('سجل الإجازات والحالات'!$AN$6:$AN$505,'سجل الإجازات والحالات'!$B$6:$B$505,$B41)-SUMIFS('سجل الإجازات والحالات'!$AM$6:$AM$505,'سجل الإجازات والحالات'!$B$6:$B$505,$B41))))</f>
        <v/>
      </c>
      <c r="AK41" s="110" t="str">
        <f aca="false">IF($B41="","",MAX(0,IF(OR(الموظفون!$AE41="",الموظفون!$AE41&gt;$F$3),$F$3,الموظفون!$AE41)-MAX($E$3,الموظفون!$H41)+1))</f>
        <v/>
      </c>
      <c r="AL41" s="131" t="str">
        <f aca="false">IF($B41="","",SUMIFS('سجل الإجازات والحالات'!$AZ$6:$AZ$505,'سجل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والحالات'!$AB$6:$AB$505,'سجل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والحالات'!$AN$6:$AN$505,'سجل الإجازات والحالات'!$B$6:$B$505,$B42))/cfg_DAYS_Y)</f>
        <v/>
      </c>
      <c r="AI42" s="130" t="str">
        <f aca="false">IF($B42="","",MAX(0,IF(OR(الموظفون!$AE42="",الموظفون!$AE42&gt;($E$3-1)),($E$3-1),الموظفون!$AE42)-الموظفون!$H42+1-SUMIFS('سجل الإجازات والحالات'!$AM$6:$AM$505,'سجل الإجازات والحالات'!$B$6:$B$505,$B42))/cfg_DAYS_Y)</f>
        <v/>
      </c>
      <c r="AJ42" s="57" t="str">
        <f aca="false">IF($B42="","",MAX(0,AK42-(SUMIFS('سجل الإجازات والحالات'!$AN$6:$AN$505,'سجل الإجازات والحالات'!$B$6:$B$505,$B42)-SUMIFS('سجل الإجازات والحالات'!$AM$6:$AM$505,'سجل الإجازات والحالات'!$B$6:$B$505,$B42))))</f>
        <v/>
      </c>
      <c r="AK42" s="57" t="str">
        <f aca="false">IF($B42="","",MAX(0,IF(OR(الموظفون!$AE42="",الموظفون!$AE42&gt;$F$3),$F$3,الموظفون!$AE42)-MAX($E$3,الموظفون!$H42)+1))</f>
        <v/>
      </c>
      <c r="AL42" s="126" t="str">
        <f aca="false">IF($B42="","",SUMIFS('سجل الإجازات والحالات'!$AZ$6:$AZ$505,'سجل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والحالات'!$AB$6:$AB$505,'سجل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والحالات'!$AN$6:$AN$505,'سجل الإجازات والحالات'!$B$6:$B$505,$B43))/cfg_DAYS_Y)</f>
        <v/>
      </c>
      <c r="AI43" s="135" t="str">
        <f aca="false">IF($B43="","",MAX(0,IF(OR(الموظفون!$AE43="",الموظفون!$AE43&gt;($E$3-1)),($E$3-1),الموظفون!$AE43)-الموظفون!$H43+1-SUMIFS('سجل الإجازات والحالات'!$AM$6:$AM$505,'سجل الإجازات والحالات'!$B$6:$B$505,$B43))/cfg_DAYS_Y)</f>
        <v/>
      </c>
      <c r="AJ43" s="110" t="str">
        <f aca="false">IF($B43="","",MAX(0,AK43-(SUMIFS('سجل الإجازات والحالات'!$AN$6:$AN$505,'سجل الإجازات والحالات'!$B$6:$B$505,$B43)-SUMIFS('سجل الإجازات والحالات'!$AM$6:$AM$505,'سجل الإجازات والحالات'!$B$6:$B$505,$B43))))</f>
        <v/>
      </c>
      <c r="AK43" s="110" t="str">
        <f aca="false">IF($B43="","",MAX(0,IF(OR(الموظفون!$AE43="",الموظفون!$AE43&gt;$F$3),$F$3,الموظفون!$AE43)-MAX($E$3,الموظفون!$H43)+1))</f>
        <v/>
      </c>
      <c r="AL43" s="131" t="str">
        <f aca="false">IF($B43="","",SUMIFS('سجل الإجازات والحالات'!$AZ$6:$AZ$505,'سجل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والحالات'!$AB$6:$AB$505,'سجل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والحالات'!$AN$6:$AN$505,'سجل الإجازات والحالات'!$B$6:$B$505,$B44))/cfg_DAYS_Y)</f>
        <v/>
      </c>
      <c r="AI44" s="130" t="str">
        <f aca="false">IF($B44="","",MAX(0,IF(OR(الموظفون!$AE44="",الموظفون!$AE44&gt;($E$3-1)),($E$3-1),الموظفون!$AE44)-الموظفون!$H44+1-SUMIFS('سجل الإجازات والحالات'!$AM$6:$AM$505,'سجل الإجازات والحالات'!$B$6:$B$505,$B44))/cfg_DAYS_Y)</f>
        <v/>
      </c>
      <c r="AJ44" s="57" t="str">
        <f aca="false">IF($B44="","",MAX(0,AK44-(SUMIFS('سجل الإجازات والحالات'!$AN$6:$AN$505,'سجل الإجازات والحالات'!$B$6:$B$505,$B44)-SUMIFS('سجل الإجازات والحالات'!$AM$6:$AM$505,'سجل الإجازات والحالات'!$B$6:$B$505,$B44))))</f>
        <v/>
      </c>
      <c r="AK44" s="57" t="str">
        <f aca="false">IF($B44="","",MAX(0,IF(OR(الموظفون!$AE44="",الموظفون!$AE44&gt;$F$3),$F$3,الموظفون!$AE44)-MAX($E$3,الموظفون!$H44)+1))</f>
        <v/>
      </c>
      <c r="AL44" s="126" t="str">
        <f aca="false">IF($B44="","",SUMIFS('سجل الإجازات والحالات'!$AZ$6:$AZ$505,'سجل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والحالات'!$AB$6:$AB$505,'سجل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والحالات'!$AN$6:$AN$505,'سجل الإجازات والحالات'!$B$6:$B$505,$B45))/cfg_DAYS_Y)</f>
        <v/>
      </c>
      <c r="AI45" s="135" t="str">
        <f aca="false">IF($B45="","",MAX(0,IF(OR(الموظفون!$AE45="",الموظفون!$AE45&gt;($E$3-1)),($E$3-1),الموظفون!$AE45)-الموظفون!$H45+1-SUMIFS('سجل الإجازات والحالات'!$AM$6:$AM$505,'سجل الإجازات والحالات'!$B$6:$B$505,$B45))/cfg_DAYS_Y)</f>
        <v/>
      </c>
      <c r="AJ45" s="110" t="str">
        <f aca="false">IF($B45="","",MAX(0,AK45-(SUMIFS('سجل الإجازات والحالات'!$AN$6:$AN$505,'سجل الإجازات والحالات'!$B$6:$B$505,$B45)-SUMIFS('سجل الإجازات والحالات'!$AM$6:$AM$505,'سجل الإجازات والحالات'!$B$6:$B$505,$B45))))</f>
        <v/>
      </c>
      <c r="AK45" s="110" t="str">
        <f aca="false">IF($B45="","",MAX(0,IF(OR(الموظفون!$AE45="",الموظفون!$AE45&gt;$F$3),$F$3,الموظفون!$AE45)-MAX($E$3,الموظفون!$H45)+1))</f>
        <v/>
      </c>
      <c r="AL45" s="131" t="str">
        <f aca="false">IF($B45="","",SUMIFS('سجل الإجازات والحالات'!$AZ$6:$AZ$505,'سجل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والحالات'!$AB$6:$AB$505,'سجل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والحالات'!$AN$6:$AN$505,'سجل الإجازات والحالات'!$B$6:$B$505,$B46))/cfg_DAYS_Y)</f>
        <v/>
      </c>
      <c r="AI46" s="130" t="str">
        <f aca="false">IF($B46="","",MAX(0,IF(OR(الموظفون!$AE46="",الموظفون!$AE46&gt;($E$3-1)),($E$3-1),الموظفون!$AE46)-الموظفون!$H46+1-SUMIFS('سجل الإجازات والحالات'!$AM$6:$AM$505,'سجل الإجازات والحالات'!$B$6:$B$505,$B46))/cfg_DAYS_Y)</f>
        <v/>
      </c>
      <c r="AJ46" s="57" t="str">
        <f aca="false">IF($B46="","",MAX(0,AK46-(SUMIFS('سجل الإجازات والحالات'!$AN$6:$AN$505,'سجل الإجازات والحالات'!$B$6:$B$505,$B46)-SUMIFS('سجل الإجازات والحالات'!$AM$6:$AM$505,'سجل الإجازات والحالات'!$B$6:$B$505,$B46))))</f>
        <v/>
      </c>
      <c r="AK46" s="57" t="str">
        <f aca="false">IF($B46="","",MAX(0,IF(OR(الموظفون!$AE46="",الموظفون!$AE46&gt;$F$3),$F$3,الموظفون!$AE46)-MAX($E$3,الموظفون!$H46)+1))</f>
        <v/>
      </c>
      <c r="AL46" s="126" t="str">
        <f aca="false">IF($B46="","",SUMIFS('سجل الإجازات والحالات'!$AZ$6:$AZ$505,'سجل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والحالات'!$AB$6:$AB$505,'سجل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والحالات'!$AN$6:$AN$505,'سجل الإجازات والحالات'!$B$6:$B$505,$B47))/cfg_DAYS_Y)</f>
        <v/>
      </c>
      <c r="AI47" s="135" t="str">
        <f aca="false">IF($B47="","",MAX(0,IF(OR(الموظفون!$AE47="",الموظفون!$AE47&gt;($E$3-1)),($E$3-1),الموظفون!$AE47)-الموظفون!$H47+1-SUMIFS('سجل الإجازات والحالات'!$AM$6:$AM$505,'سجل الإجازات والحالات'!$B$6:$B$505,$B47))/cfg_DAYS_Y)</f>
        <v/>
      </c>
      <c r="AJ47" s="110" t="str">
        <f aca="false">IF($B47="","",MAX(0,AK47-(SUMIFS('سجل الإجازات والحالات'!$AN$6:$AN$505,'سجل الإجازات والحالات'!$B$6:$B$505,$B47)-SUMIFS('سجل الإجازات والحالات'!$AM$6:$AM$505,'سجل الإجازات والحالات'!$B$6:$B$505,$B47))))</f>
        <v/>
      </c>
      <c r="AK47" s="110" t="str">
        <f aca="false">IF($B47="","",MAX(0,IF(OR(الموظفون!$AE47="",الموظفون!$AE47&gt;$F$3),$F$3,الموظفون!$AE47)-MAX($E$3,الموظفون!$H47)+1))</f>
        <v/>
      </c>
      <c r="AL47" s="131" t="str">
        <f aca="false">IF($B47="","",SUMIFS('سجل الإجازات والحالات'!$AZ$6:$AZ$505,'سجل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والحالات'!$AB$6:$AB$505,'سجل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والحالات'!$AN$6:$AN$505,'سجل الإجازات والحالات'!$B$6:$B$505,$B48))/cfg_DAYS_Y)</f>
        <v/>
      </c>
      <c r="AI48" s="130" t="str">
        <f aca="false">IF($B48="","",MAX(0,IF(OR(الموظفون!$AE48="",الموظفون!$AE48&gt;($E$3-1)),($E$3-1),الموظفون!$AE48)-الموظفون!$H48+1-SUMIFS('سجل الإجازات والحالات'!$AM$6:$AM$505,'سجل الإجازات والحالات'!$B$6:$B$505,$B48))/cfg_DAYS_Y)</f>
        <v/>
      </c>
      <c r="AJ48" s="57" t="str">
        <f aca="false">IF($B48="","",MAX(0,AK48-(SUMIFS('سجل الإجازات والحالات'!$AN$6:$AN$505,'سجل الإجازات والحالات'!$B$6:$B$505,$B48)-SUMIFS('سجل الإجازات والحالات'!$AM$6:$AM$505,'سجل الإجازات والحالات'!$B$6:$B$505,$B48))))</f>
        <v/>
      </c>
      <c r="AK48" s="57" t="str">
        <f aca="false">IF($B48="","",MAX(0,IF(OR(الموظفون!$AE48="",الموظفون!$AE48&gt;$F$3),$F$3,الموظفون!$AE48)-MAX($E$3,الموظفون!$H48)+1))</f>
        <v/>
      </c>
      <c r="AL48" s="126" t="str">
        <f aca="false">IF($B48="","",SUMIFS('سجل الإجازات والحالات'!$AZ$6:$AZ$505,'سجل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والحالات'!$AB$6:$AB$505,'سجل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والحالات'!$AN$6:$AN$505,'سجل الإجازات والحالات'!$B$6:$B$505,$B49))/cfg_DAYS_Y)</f>
        <v/>
      </c>
      <c r="AI49" s="135" t="str">
        <f aca="false">IF($B49="","",MAX(0,IF(OR(الموظفون!$AE49="",الموظفون!$AE49&gt;($E$3-1)),($E$3-1),الموظفون!$AE49)-الموظفون!$H49+1-SUMIFS('سجل الإجازات والحالات'!$AM$6:$AM$505,'سجل الإجازات والحالات'!$B$6:$B$505,$B49))/cfg_DAYS_Y)</f>
        <v/>
      </c>
      <c r="AJ49" s="110" t="str">
        <f aca="false">IF($B49="","",MAX(0,AK49-(SUMIFS('سجل الإجازات والحالات'!$AN$6:$AN$505,'سجل الإجازات والحالات'!$B$6:$B$505,$B49)-SUMIFS('سجل الإجازات والحالات'!$AM$6:$AM$505,'سجل الإجازات والحالات'!$B$6:$B$505,$B49))))</f>
        <v/>
      </c>
      <c r="AK49" s="110" t="str">
        <f aca="false">IF($B49="","",MAX(0,IF(OR(الموظفون!$AE49="",الموظفون!$AE49&gt;$F$3),$F$3,الموظفون!$AE49)-MAX($E$3,الموظفون!$H49)+1))</f>
        <v/>
      </c>
      <c r="AL49" s="131" t="str">
        <f aca="false">IF($B49="","",SUMIFS('سجل الإجازات والحالات'!$AZ$6:$AZ$505,'سجل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والحالات'!$AB$6:$AB$505,'سجل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والحالات'!$AN$6:$AN$505,'سجل الإجازات والحالات'!$B$6:$B$505,$B50))/cfg_DAYS_Y)</f>
        <v/>
      </c>
      <c r="AI50" s="130" t="str">
        <f aca="false">IF($B50="","",MAX(0,IF(OR(الموظفون!$AE50="",الموظفون!$AE50&gt;($E$3-1)),($E$3-1),الموظفون!$AE50)-الموظفون!$H50+1-SUMIFS('سجل الإجازات والحالات'!$AM$6:$AM$505,'سجل الإجازات والحالات'!$B$6:$B$505,$B50))/cfg_DAYS_Y)</f>
        <v/>
      </c>
      <c r="AJ50" s="57" t="str">
        <f aca="false">IF($B50="","",MAX(0,AK50-(SUMIFS('سجل الإجازات والحالات'!$AN$6:$AN$505,'سجل الإجازات والحالات'!$B$6:$B$505,$B50)-SUMIFS('سجل الإجازات والحالات'!$AM$6:$AM$505,'سجل الإجازات والحالات'!$B$6:$B$505,$B50))))</f>
        <v/>
      </c>
      <c r="AK50" s="57" t="str">
        <f aca="false">IF($B50="","",MAX(0,IF(OR(الموظفون!$AE50="",الموظفون!$AE50&gt;$F$3),$F$3,الموظفون!$AE50)-MAX($E$3,الموظفون!$H50)+1))</f>
        <v/>
      </c>
      <c r="AL50" s="126" t="str">
        <f aca="false">IF($B50="","",SUMIFS('سجل الإجازات والحالات'!$AZ$6:$AZ$505,'سجل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والحالات'!$AB$6:$AB$505,'سجل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والحالات'!$AN$6:$AN$505,'سجل الإجازات والحالات'!$B$6:$B$505,$B51))/cfg_DAYS_Y)</f>
        <v/>
      </c>
      <c r="AI51" s="135" t="str">
        <f aca="false">IF($B51="","",MAX(0,IF(OR(الموظفون!$AE51="",الموظفون!$AE51&gt;($E$3-1)),($E$3-1),الموظفون!$AE51)-الموظفون!$H51+1-SUMIFS('سجل الإجازات والحالات'!$AM$6:$AM$505,'سجل الإجازات والحالات'!$B$6:$B$505,$B51))/cfg_DAYS_Y)</f>
        <v/>
      </c>
      <c r="AJ51" s="110" t="str">
        <f aca="false">IF($B51="","",MAX(0,AK51-(SUMIFS('سجل الإجازات والحالات'!$AN$6:$AN$505,'سجل الإجازات والحالات'!$B$6:$B$505,$B51)-SUMIFS('سجل الإجازات والحالات'!$AM$6:$AM$505,'سجل الإجازات والحالات'!$B$6:$B$505,$B51))))</f>
        <v/>
      </c>
      <c r="AK51" s="110" t="str">
        <f aca="false">IF($B51="","",MAX(0,IF(OR(الموظفون!$AE51="",الموظفون!$AE51&gt;$F$3),$F$3,الموظفون!$AE51)-MAX($E$3,الموظفون!$H51)+1))</f>
        <v/>
      </c>
      <c r="AL51" s="131" t="str">
        <f aca="false">IF($B51="","",SUMIFS('سجل الإجازات والحالات'!$AZ$6:$AZ$505,'سجل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والحالات'!$AB$6:$AB$505,'سجل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والحالات'!$AN$6:$AN$505,'سجل الإجازات والحالات'!$B$6:$B$505,$B52))/cfg_DAYS_Y)</f>
        <v/>
      </c>
      <c r="AI52" s="130" t="str">
        <f aca="false">IF($B52="","",MAX(0,IF(OR(الموظفون!$AE52="",الموظفون!$AE52&gt;($E$3-1)),($E$3-1),الموظفون!$AE52)-الموظفون!$H52+1-SUMIFS('سجل الإجازات والحالات'!$AM$6:$AM$505,'سجل الإجازات والحالات'!$B$6:$B$505,$B52))/cfg_DAYS_Y)</f>
        <v/>
      </c>
      <c r="AJ52" s="57" t="str">
        <f aca="false">IF($B52="","",MAX(0,AK52-(SUMIFS('سجل الإجازات والحالات'!$AN$6:$AN$505,'سجل الإجازات والحالات'!$B$6:$B$505,$B52)-SUMIFS('سجل الإجازات والحالات'!$AM$6:$AM$505,'سجل الإجازات والحالات'!$B$6:$B$505,$B52))))</f>
        <v/>
      </c>
      <c r="AK52" s="57" t="str">
        <f aca="false">IF($B52="","",MAX(0,IF(OR(الموظفون!$AE52="",الموظفون!$AE52&gt;$F$3),$F$3,الموظفون!$AE52)-MAX($E$3,الموظفون!$H52)+1))</f>
        <v/>
      </c>
      <c r="AL52" s="126" t="str">
        <f aca="false">IF($B52="","",SUMIFS('سجل الإجازات والحالات'!$AZ$6:$AZ$505,'سجل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والحالات'!$AB$6:$AB$505,'سجل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والحالات'!$AN$6:$AN$505,'سجل الإجازات والحالات'!$B$6:$B$505,$B53))/cfg_DAYS_Y)</f>
        <v/>
      </c>
      <c r="AI53" s="135" t="str">
        <f aca="false">IF($B53="","",MAX(0,IF(OR(الموظفون!$AE53="",الموظفون!$AE53&gt;($E$3-1)),($E$3-1),الموظفون!$AE53)-الموظفون!$H53+1-SUMIFS('سجل الإجازات والحالات'!$AM$6:$AM$505,'سجل الإجازات والحالات'!$B$6:$B$505,$B53))/cfg_DAYS_Y)</f>
        <v/>
      </c>
      <c r="AJ53" s="110" t="str">
        <f aca="false">IF($B53="","",MAX(0,AK53-(SUMIFS('سجل الإجازات والحالات'!$AN$6:$AN$505,'سجل الإجازات والحالات'!$B$6:$B$505,$B53)-SUMIFS('سجل الإجازات والحالات'!$AM$6:$AM$505,'سجل الإجازات والحالات'!$B$6:$B$505,$B53))))</f>
        <v/>
      </c>
      <c r="AK53" s="110" t="str">
        <f aca="false">IF($B53="","",MAX(0,IF(OR(الموظفون!$AE53="",الموظفون!$AE53&gt;$F$3),$F$3,الموظفون!$AE53)-MAX($E$3,الموظفون!$H53)+1))</f>
        <v/>
      </c>
      <c r="AL53" s="131" t="str">
        <f aca="false">IF($B53="","",SUMIFS('سجل الإجازات والحالات'!$AZ$6:$AZ$505,'سجل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والحالات'!$AB$6:$AB$505,'سجل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والحالات'!$AN$6:$AN$505,'سجل الإجازات والحالات'!$B$6:$B$505,$B54))/cfg_DAYS_Y)</f>
        <v/>
      </c>
      <c r="AI54" s="130" t="str">
        <f aca="false">IF($B54="","",MAX(0,IF(OR(الموظفون!$AE54="",الموظفون!$AE54&gt;($E$3-1)),($E$3-1),الموظفون!$AE54)-الموظفون!$H54+1-SUMIFS('سجل الإجازات والحالات'!$AM$6:$AM$505,'سجل الإجازات والحالات'!$B$6:$B$505,$B54))/cfg_DAYS_Y)</f>
        <v/>
      </c>
      <c r="AJ54" s="57" t="str">
        <f aca="false">IF($B54="","",MAX(0,AK54-(SUMIFS('سجل الإجازات والحالات'!$AN$6:$AN$505,'سجل الإجازات والحالات'!$B$6:$B$505,$B54)-SUMIFS('سجل الإجازات والحالات'!$AM$6:$AM$505,'سجل الإجازات والحالات'!$B$6:$B$505,$B54))))</f>
        <v/>
      </c>
      <c r="AK54" s="57" t="str">
        <f aca="false">IF($B54="","",MAX(0,IF(OR(الموظفون!$AE54="",الموظفون!$AE54&gt;$F$3),$F$3,الموظفون!$AE54)-MAX($E$3,الموظفون!$H54)+1))</f>
        <v/>
      </c>
      <c r="AL54" s="126" t="str">
        <f aca="false">IF($B54="","",SUMIFS('سجل الإجازات والحالات'!$AZ$6:$AZ$505,'سجل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والحالات'!$AB$6:$AB$505,'سجل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والحالات'!$AN$6:$AN$505,'سجل الإجازات والحالات'!$B$6:$B$505,$B55))/cfg_DAYS_Y)</f>
        <v/>
      </c>
      <c r="AI55" s="135" t="str">
        <f aca="false">IF($B55="","",MAX(0,IF(OR(الموظفون!$AE55="",الموظفون!$AE55&gt;($E$3-1)),($E$3-1),الموظفون!$AE55)-الموظفون!$H55+1-SUMIFS('سجل الإجازات والحالات'!$AM$6:$AM$505,'سجل الإجازات والحالات'!$B$6:$B$505,$B55))/cfg_DAYS_Y)</f>
        <v/>
      </c>
      <c r="AJ55" s="110" t="str">
        <f aca="false">IF($B55="","",MAX(0,AK55-(SUMIFS('سجل الإجازات والحالات'!$AN$6:$AN$505,'سجل الإجازات والحالات'!$B$6:$B$505,$B55)-SUMIFS('سجل الإجازات والحالات'!$AM$6:$AM$505,'سجل الإجازات والحالات'!$B$6:$B$505,$B55))))</f>
        <v/>
      </c>
      <c r="AK55" s="110" t="str">
        <f aca="false">IF($B55="","",MAX(0,IF(OR(الموظفون!$AE55="",الموظفون!$AE55&gt;$F$3),$F$3,الموظفون!$AE55)-MAX($E$3,الموظفون!$H55)+1))</f>
        <v/>
      </c>
      <c r="AL55" s="131" t="str">
        <f aca="false">IF($B55="","",SUMIFS('سجل الإجازات والحالات'!$AZ$6:$AZ$505,'سجل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والحالات'!$AB$6:$AB$505,'سجل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والحالات'!$AN$6:$AN$505,'سجل الإجازات والحالات'!$B$6:$B$505,$B56))/cfg_DAYS_Y)</f>
        <v/>
      </c>
      <c r="AI56" s="130" t="str">
        <f aca="false">IF($B56="","",MAX(0,IF(OR(الموظفون!$AE56="",الموظفون!$AE56&gt;($E$3-1)),($E$3-1),الموظفون!$AE56)-الموظفون!$H56+1-SUMIFS('سجل الإجازات والحالات'!$AM$6:$AM$505,'سجل الإجازات والحالات'!$B$6:$B$505,$B56))/cfg_DAYS_Y)</f>
        <v/>
      </c>
      <c r="AJ56" s="57" t="str">
        <f aca="false">IF($B56="","",MAX(0,AK56-(SUMIFS('سجل الإجازات والحالات'!$AN$6:$AN$505,'سجل الإجازات والحالات'!$B$6:$B$505,$B56)-SUMIFS('سجل الإجازات والحالات'!$AM$6:$AM$505,'سجل الإجازات والحالات'!$B$6:$B$505,$B56))))</f>
        <v/>
      </c>
      <c r="AK56" s="57" t="str">
        <f aca="false">IF($B56="","",MAX(0,IF(OR(الموظفون!$AE56="",الموظفون!$AE56&gt;$F$3),$F$3,الموظفون!$AE56)-MAX($E$3,الموظفون!$H56)+1))</f>
        <v/>
      </c>
      <c r="AL56" s="126" t="str">
        <f aca="false">IF($B56="","",SUMIFS('سجل الإجازات والحالات'!$AZ$6:$AZ$505,'سجل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والحالات'!$AB$6:$AB$505,'سجل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والحالات'!$AN$6:$AN$505,'سجل الإجازات والحالات'!$B$6:$B$505,$B57))/cfg_DAYS_Y)</f>
        <v/>
      </c>
      <c r="AI57" s="135" t="str">
        <f aca="false">IF($B57="","",MAX(0,IF(OR(الموظفون!$AE57="",الموظفون!$AE57&gt;($E$3-1)),($E$3-1),الموظفون!$AE57)-الموظفون!$H57+1-SUMIFS('سجل الإجازات والحالات'!$AM$6:$AM$505,'سجل الإجازات والحالات'!$B$6:$B$505,$B57))/cfg_DAYS_Y)</f>
        <v/>
      </c>
      <c r="AJ57" s="110" t="str">
        <f aca="false">IF($B57="","",MAX(0,AK57-(SUMIFS('سجل الإجازات والحالات'!$AN$6:$AN$505,'سجل الإجازات والحالات'!$B$6:$B$505,$B57)-SUMIFS('سجل الإجازات والحالات'!$AM$6:$AM$505,'سجل الإجازات والحالات'!$B$6:$B$505,$B57))))</f>
        <v/>
      </c>
      <c r="AK57" s="110" t="str">
        <f aca="false">IF($B57="","",MAX(0,IF(OR(الموظفون!$AE57="",الموظفون!$AE57&gt;$F$3),$F$3,الموظفون!$AE57)-MAX($E$3,الموظفون!$H57)+1))</f>
        <v/>
      </c>
      <c r="AL57" s="131" t="str">
        <f aca="false">IF($B57="","",SUMIFS('سجل الإجازات والحالات'!$AZ$6:$AZ$505,'سجل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والحالات'!$AB$6:$AB$505,'سجل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والحالات'!$AN$6:$AN$505,'سجل الإجازات والحالات'!$B$6:$B$505,$B58))/cfg_DAYS_Y)</f>
        <v/>
      </c>
      <c r="AI58" s="130" t="str">
        <f aca="false">IF($B58="","",MAX(0,IF(OR(الموظفون!$AE58="",الموظفون!$AE58&gt;($E$3-1)),($E$3-1),الموظفون!$AE58)-الموظفون!$H58+1-SUMIFS('سجل الإجازات والحالات'!$AM$6:$AM$505,'سجل الإجازات والحالات'!$B$6:$B$505,$B58))/cfg_DAYS_Y)</f>
        <v/>
      </c>
      <c r="AJ58" s="57" t="str">
        <f aca="false">IF($B58="","",MAX(0,AK58-(SUMIFS('سجل الإجازات والحالات'!$AN$6:$AN$505,'سجل الإجازات والحالات'!$B$6:$B$505,$B58)-SUMIFS('سجل الإجازات والحالات'!$AM$6:$AM$505,'سجل الإجازات والحالات'!$B$6:$B$505,$B58))))</f>
        <v/>
      </c>
      <c r="AK58" s="57" t="str">
        <f aca="false">IF($B58="","",MAX(0,IF(OR(الموظفون!$AE58="",الموظفون!$AE58&gt;$F$3),$F$3,الموظفون!$AE58)-MAX($E$3,الموظفون!$H58)+1))</f>
        <v/>
      </c>
      <c r="AL58" s="126" t="str">
        <f aca="false">IF($B58="","",SUMIFS('سجل الإجازات والحالات'!$AZ$6:$AZ$505,'سجل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والحالات'!$AB$6:$AB$505,'سجل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والحالات'!$AN$6:$AN$505,'سجل الإجازات والحالات'!$B$6:$B$505,$B59))/cfg_DAYS_Y)</f>
        <v/>
      </c>
      <c r="AI59" s="135" t="str">
        <f aca="false">IF($B59="","",MAX(0,IF(OR(الموظفون!$AE59="",الموظفون!$AE59&gt;($E$3-1)),($E$3-1),الموظفون!$AE59)-الموظفون!$H59+1-SUMIFS('سجل الإجازات والحالات'!$AM$6:$AM$505,'سجل الإجازات والحالات'!$B$6:$B$505,$B59))/cfg_DAYS_Y)</f>
        <v/>
      </c>
      <c r="AJ59" s="110" t="str">
        <f aca="false">IF($B59="","",MAX(0,AK59-(SUMIFS('سجل الإجازات والحالات'!$AN$6:$AN$505,'سجل الإجازات والحالات'!$B$6:$B$505,$B59)-SUMIFS('سجل الإجازات والحالات'!$AM$6:$AM$505,'سجل الإجازات والحالات'!$B$6:$B$505,$B59))))</f>
        <v/>
      </c>
      <c r="AK59" s="110" t="str">
        <f aca="false">IF($B59="","",MAX(0,IF(OR(الموظفون!$AE59="",الموظفون!$AE59&gt;$F$3),$F$3,الموظفون!$AE59)-MAX($E$3,الموظفون!$H59)+1))</f>
        <v/>
      </c>
      <c r="AL59" s="131" t="str">
        <f aca="false">IF($B59="","",SUMIFS('سجل الإجازات والحالات'!$AZ$6:$AZ$505,'سجل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والحالات'!$AB$6:$AB$505,'سجل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والحالات'!$AN$6:$AN$505,'سجل الإجازات والحالات'!$B$6:$B$505,$B60))/cfg_DAYS_Y)</f>
        <v/>
      </c>
      <c r="AI60" s="130" t="str">
        <f aca="false">IF($B60="","",MAX(0,IF(OR(الموظفون!$AE60="",الموظفون!$AE60&gt;($E$3-1)),($E$3-1),الموظفون!$AE60)-الموظفون!$H60+1-SUMIFS('سجل الإجازات والحالات'!$AM$6:$AM$505,'سجل الإجازات والحالات'!$B$6:$B$505,$B60))/cfg_DAYS_Y)</f>
        <v/>
      </c>
      <c r="AJ60" s="57" t="str">
        <f aca="false">IF($B60="","",MAX(0,AK60-(SUMIFS('سجل الإجازات والحالات'!$AN$6:$AN$505,'سجل الإجازات والحالات'!$B$6:$B$505,$B60)-SUMIFS('سجل الإجازات والحالات'!$AM$6:$AM$505,'سجل الإجازات والحالات'!$B$6:$B$505,$B60))))</f>
        <v/>
      </c>
      <c r="AK60" s="57" t="str">
        <f aca="false">IF($B60="","",MAX(0,IF(OR(الموظفون!$AE60="",الموظفون!$AE60&gt;$F$3),$F$3,الموظفون!$AE60)-MAX($E$3,الموظفون!$H60)+1))</f>
        <v/>
      </c>
      <c r="AL60" s="126" t="str">
        <f aca="false">IF($B60="","",SUMIFS('سجل الإجازات والحالات'!$AZ$6:$AZ$505,'سجل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والحالات'!$AB$6:$AB$505,'سجل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والحالات'!$AN$6:$AN$505,'سجل الإجازات والحالات'!$B$6:$B$505,$B61))/cfg_DAYS_Y)</f>
        <v/>
      </c>
      <c r="AI61" s="135" t="str">
        <f aca="false">IF($B61="","",MAX(0,IF(OR(الموظفون!$AE61="",الموظفون!$AE61&gt;($E$3-1)),($E$3-1),الموظفون!$AE61)-الموظفون!$H61+1-SUMIFS('سجل الإجازات والحالات'!$AM$6:$AM$505,'سجل الإجازات والحالات'!$B$6:$B$505,$B61))/cfg_DAYS_Y)</f>
        <v/>
      </c>
      <c r="AJ61" s="110" t="str">
        <f aca="false">IF($B61="","",MAX(0,AK61-(SUMIFS('سجل الإجازات والحالات'!$AN$6:$AN$505,'سجل الإجازات والحالات'!$B$6:$B$505,$B61)-SUMIFS('سجل الإجازات والحالات'!$AM$6:$AM$505,'سجل الإجازات والحالات'!$B$6:$B$505,$B61))))</f>
        <v/>
      </c>
      <c r="AK61" s="110" t="str">
        <f aca="false">IF($B61="","",MAX(0,IF(OR(الموظفون!$AE61="",الموظفون!$AE61&gt;$F$3),$F$3,الموظفون!$AE61)-MAX($E$3,الموظفون!$H61)+1))</f>
        <v/>
      </c>
      <c r="AL61" s="131" t="str">
        <f aca="false">IF($B61="","",SUMIFS('سجل الإجازات والحالات'!$AZ$6:$AZ$505,'سجل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والحالات'!$AB$6:$AB$505,'سجل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والحالات'!$AN$6:$AN$505,'سجل الإجازات والحالات'!$B$6:$B$505,$B62))/cfg_DAYS_Y)</f>
        <v/>
      </c>
      <c r="AI62" s="130" t="str">
        <f aca="false">IF($B62="","",MAX(0,IF(OR(الموظفون!$AE62="",الموظفون!$AE62&gt;($E$3-1)),($E$3-1),الموظفون!$AE62)-الموظفون!$H62+1-SUMIFS('سجل الإجازات والحالات'!$AM$6:$AM$505,'سجل الإجازات والحالات'!$B$6:$B$505,$B62))/cfg_DAYS_Y)</f>
        <v/>
      </c>
      <c r="AJ62" s="57" t="str">
        <f aca="false">IF($B62="","",MAX(0,AK62-(SUMIFS('سجل الإجازات والحالات'!$AN$6:$AN$505,'سجل الإجازات والحالات'!$B$6:$B$505,$B62)-SUMIFS('سجل الإجازات والحالات'!$AM$6:$AM$505,'سجل الإجازات والحالات'!$B$6:$B$505,$B62))))</f>
        <v/>
      </c>
      <c r="AK62" s="57" t="str">
        <f aca="false">IF($B62="","",MAX(0,IF(OR(الموظفون!$AE62="",الموظفون!$AE62&gt;$F$3),$F$3,الموظفون!$AE62)-MAX($E$3,الموظفون!$H62)+1))</f>
        <v/>
      </c>
      <c r="AL62" s="126" t="str">
        <f aca="false">IF($B62="","",SUMIFS('سجل الإجازات والحالات'!$AZ$6:$AZ$505,'سجل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والحالات'!$AB$6:$AB$505,'سجل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والحالات'!$AN$6:$AN$505,'سجل الإجازات والحالات'!$B$6:$B$505,$B63))/cfg_DAYS_Y)</f>
        <v/>
      </c>
      <c r="AI63" s="135" t="str">
        <f aca="false">IF($B63="","",MAX(0,IF(OR(الموظفون!$AE63="",الموظفون!$AE63&gt;($E$3-1)),($E$3-1),الموظفون!$AE63)-الموظفون!$H63+1-SUMIFS('سجل الإجازات والحالات'!$AM$6:$AM$505,'سجل الإجازات والحالات'!$B$6:$B$505,$B63))/cfg_DAYS_Y)</f>
        <v/>
      </c>
      <c r="AJ63" s="110" t="str">
        <f aca="false">IF($B63="","",MAX(0,AK63-(SUMIFS('سجل الإجازات والحالات'!$AN$6:$AN$505,'سجل الإجازات والحالات'!$B$6:$B$505,$B63)-SUMIFS('سجل الإجازات والحالات'!$AM$6:$AM$505,'سجل الإجازات والحالات'!$B$6:$B$505,$B63))))</f>
        <v/>
      </c>
      <c r="AK63" s="110" t="str">
        <f aca="false">IF($B63="","",MAX(0,IF(OR(الموظفون!$AE63="",الموظفون!$AE63&gt;$F$3),$F$3,الموظفون!$AE63)-MAX($E$3,الموظفون!$H63)+1))</f>
        <v/>
      </c>
      <c r="AL63" s="131" t="str">
        <f aca="false">IF($B63="","",SUMIFS('سجل الإجازات والحالات'!$AZ$6:$AZ$505,'سجل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والحالات'!$AB$6:$AB$505,'سجل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والحالات'!$AN$6:$AN$505,'سجل الإجازات والحالات'!$B$6:$B$505,$B64))/cfg_DAYS_Y)</f>
        <v/>
      </c>
      <c r="AI64" s="130" t="str">
        <f aca="false">IF($B64="","",MAX(0,IF(OR(الموظفون!$AE64="",الموظفون!$AE64&gt;($E$3-1)),($E$3-1),الموظفون!$AE64)-الموظفون!$H64+1-SUMIFS('سجل الإجازات والحالات'!$AM$6:$AM$505,'سجل الإجازات والحالات'!$B$6:$B$505,$B64))/cfg_DAYS_Y)</f>
        <v/>
      </c>
      <c r="AJ64" s="57" t="str">
        <f aca="false">IF($B64="","",MAX(0,AK64-(SUMIFS('سجل الإجازات والحالات'!$AN$6:$AN$505,'سجل الإجازات والحالات'!$B$6:$B$505,$B64)-SUMIFS('سجل الإجازات والحالات'!$AM$6:$AM$505,'سجل الإجازات والحالات'!$B$6:$B$505,$B64))))</f>
        <v/>
      </c>
      <c r="AK64" s="57" t="str">
        <f aca="false">IF($B64="","",MAX(0,IF(OR(الموظفون!$AE64="",الموظفون!$AE64&gt;$F$3),$F$3,الموظفون!$AE64)-MAX($E$3,الموظفون!$H64)+1))</f>
        <v/>
      </c>
      <c r="AL64" s="126" t="str">
        <f aca="false">IF($B64="","",SUMIFS('سجل الإجازات والحالات'!$AZ$6:$AZ$505,'سجل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والحالات'!$AB$6:$AB$505,'سجل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والحالات'!$AN$6:$AN$505,'سجل الإجازات والحالات'!$B$6:$B$505,$B65))/cfg_DAYS_Y)</f>
        <v/>
      </c>
      <c r="AI65" s="135" t="str">
        <f aca="false">IF($B65="","",MAX(0,IF(OR(الموظفون!$AE65="",الموظفون!$AE65&gt;($E$3-1)),($E$3-1),الموظفون!$AE65)-الموظفون!$H65+1-SUMIFS('سجل الإجازات والحالات'!$AM$6:$AM$505,'سجل الإجازات والحالات'!$B$6:$B$505,$B65))/cfg_DAYS_Y)</f>
        <v/>
      </c>
      <c r="AJ65" s="110" t="str">
        <f aca="false">IF($B65="","",MAX(0,AK65-(SUMIFS('سجل الإجازات والحالات'!$AN$6:$AN$505,'سجل الإجازات والحالات'!$B$6:$B$505,$B65)-SUMIFS('سجل الإجازات والحالات'!$AM$6:$AM$505,'سجل الإجازات والحالات'!$B$6:$B$505,$B65))))</f>
        <v/>
      </c>
      <c r="AK65" s="110" t="str">
        <f aca="false">IF($B65="","",MAX(0,IF(OR(الموظفون!$AE65="",الموظفون!$AE65&gt;$F$3),$F$3,الموظفون!$AE65)-MAX($E$3,الموظفون!$H65)+1))</f>
        <v/>
      </c>
      <c r="AL65" s="131" t="str">
        <f aca="false">IF($B65="","",SUMIFS('سجل الإجازات والحالات'!$AZ$6:$AZ$505,'سجل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والحالات'!$AB$6:$AB$505,'سجل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والحالات'!$AN$6:$AN$505,'سجل الإجازات والحالات'!$B$6:$B$505,$B66))/cfg_DAYS_Y)</f>
        <v/>
      </c>
      <c r="AI66" s="130" t="str">
        <f aca="false">IF($B66="","",MAX(0,IF(OR(الموظفون!$AE66="",الموظفون!$AE66&gt;($E$3-1)),($E$3-1),الموظفون!$AE66)-الموظفون!$H66+1-SUMIFS('سجل الإجازات والحالات'!$AM$6:$AM$505,'سجل الإجازات والحالات'!$B$6:$B$505,$B66))/cfg_DAYS_Y)</f>
        <v/>
      </c>
      <c r="AJ66" s="57" t="str">
        <f aca="false">IF($B66="","",MAX(0,AK66-(SUMIFS('سجل الإجازات والحالات'!$AN$6:$AN$505,'سجل الإجازات والحالات'!$B$6:$B$505,$B66)-SUMIFS('سجل الإجازات والحالات'!$AM$6:$AM$505,'سجل الإجازات والحالات'!$B$6:$B$505,$B66))))</f>
        <v/>
      </c>
      <c r="AK66" s="57" t="str">
        <f aca="false">IF($B66="","",MAX(0,IF(OR(الموظفون!$AE66="",الموظفون!$AE66&gt;$F$3),$F$3,الموظفون!$AE66)-MAX($E$3,الموظفون!$H66)+1))</f>
        <v/>
      </c>
      <c r="AL66" s="126" t="str">
        <f aca="false">IF($B66="","",SUMIFS('سجل الإجازات والحالات'!$AZ$6:$AZ$505,'سجل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والحالات'!$AB$6:$AB$505,'سجل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والحالات'!$AN$6:$AN$505,'سجل الإجازات والحالات'!$B$6:$B$505,$B67))/cfg_DAYS_Y)</f>
        <v/>
      </c>
      <c r="AI67" s="135" t="str">
        <f aca="false">IF($B67="","",MAX(0,IF(OR(الموظفون!$AE67="",الموظفون!$AE67&gt;($E$3-1)),($E$3-1),الموظفون!$AE67)-الموظفون!$H67+1-SUMIFS('سجل الإجازات والحالات'!$AM$6:$AM$505,'سجل الإجازات والحالات'!$B$6:$B$505,$B67))/cfg_DAYS_Y)</f>
        <v/>
      </c>
      <c r="AJ67" s="110" t="str">
        <f aca="false">IF($B67="","",MAX(0,AK67-(SUMIFS('سجل الإجازات والحالات'!$AN$6:$AN$505,'سجل الإجازات والحالات'!$B$6:$B$505,$B67)-SUMIFS('سجل الإجازات والحالات'!$AM$6:$AM$505,'سجل الإجازات والحالات'!$B$6:$B$505,$B67))))</f>
        <v/>
      </c>
      <c r="AK67" s="110" t="str">
        <f aca="false">IF($B67="","",MAX(0,IF(OR(الموظفون!$AE67="",الموظفون!$AE67&gt;$F$3),$F$3,الموظفون!$AE67)-MAX($E$3,الموظفون!$H67)+1))</f>
        <v/>
      </c>
      <c r="AL67" s="131" t="str">
        <f aca="false">IF($B67="","",SUMIFS('سجل الإجازات والحالات'!$AZ$6:$AZ$505,'سجل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والحالات'!$AB$6:$AB$505,'سجل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والحالات'!$AN$6:$AN$505,'سجل الإجازات والحالات'!$B$6:$B$505,$B68))/cfg_DAYS_Y)</f>
        <v/>
      </c>
      <c r="AI68" s="130" t="str">
        <f aca="false">IF($B68="","",MAX(0,IF(OR(الموظفون!$AE68="",الموظفون!$AE68&gt;($E$3-1)),($E$3-1),الموظفون!$AE68)-الموظفون!$H68+1-SUMIFS('سجل الإجازات والحالات'!$AM$6:$AM$505,'سجل الإجازات والحالات'!$B$6:$B$505,$B68))/cfg_DAYS_Y)</f>
        <v/>
      </c>
      <c r="AJ68" s="57" t="str">
        <f aca="false">IF($B68="","",MAX(0,AK68-(SUMIFS('سجل الإجازات والحالات'!$AN$6:$AN$505,'سجل الإجازات والحالات'!$B$6:$B$505,$B68)-SUMIFS('سجل الإجازات والحالات'!$AM$6:$AM$505,'سجل الإجازات والحالات'!$B$6:$B$505,$B68))))</f>
        <v/>
      </c>
      <c r="AK68" s="57" t="str">
        <f aca="false">IF($B68="","",MAX(0,IF(OR(الموظفون!$AE68="",الموظفون!$AE68&gt;$F$3),$F$3,الموظفون!$AE68)-MAX($E$3,الموظفون!$H68)+1))</f>
        <v/>
      </c>
      <c r="AL68" s="126" t="str">
        <f aca="false">IF($B68="","",SUMIFS('سجل الإجازات والحالات'!$AZ$6:$AZ$505,'سجل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والحالات'!$AB$6:$AB$505,'سجل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والحالات'!$AN$6:$AN$505,'سجل الإجازات والحالات'!$B$6:$B$505,$B69))/cfg_DAYS_Y)</f>
        <v/>
      </c>
      <c r="AI69" s="135" t="str">
        <f aca="false">IF($B69="","",MAX(0,IF(OR(الموظفون!$AE69="",الموظفون!$AE69&gt;($E$3-1)),($E$3-1),الموظفون!$AE69)-الموظفون!$H69+1-SUMIFS('سجل الإجازات والحالات'!$AM$6:$AM$505,'سجل الإجازات والحالات'!$B$6:$B$505,$B69))/cfg_DAYS_Y)</f>
        <v/>
      </c>
      <c r="AJ69" s="110" t="str">
        <f aca="false">IF($B69="","",MAX(0,AK69-(SUMIFS('سجل الإجازات والحالات'!$AN$6:$AN$505,'سجل الإجازات والحالات'!$B$6:$B$505,$B69)-SUMIFS('سجل الإجازات والحالات'!$AM$6:$AM$505,'سجل الإجازات والحالات'!$B$6:$B$505,$B69))))</f>
        <v/>
      </c>
      <c r="AK69" s="110" t="str">
        <f aca="false">IF($B69="","",MAX(0,IF(OR(الموظفون!$AE69="",الموظفون!$AE69&gt;$F$3),$F$3,الموظفون!$AE69)-MAX($E$3,الموظفون!$H69)+1))</f>
        <v/>
      </c>
      <c r="AL69" s="131" t="str">
        <f aca="false">IF($B69="","",SUMIFS('سجل الإجازات والحالات'!$AZ$6:$AZ$505,'سجل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والحالات'!$AB$6:$AB$505,'سجل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والحالات'!$AN$6:$AN$505,'سجل الإجازات والحالات'!$B$6:$B$505,$B70))/cfg_DAYS_Y)</f>
        <v/>
      </c>
      <c r="AI70" s="130" t="str">
        <f aca="false">IF($B70="","",MAX(0,IF(OR(الموظفون!$AE70="",الموظفون!$AE70&gt;($E$3-1)),($E$3-1),الموظفون!$AE70)-الموظفون!$H70+1-SUMIFS('سجل الإجازات والحالات'!$AM$6:$AM$505,'سجل الإجازات والحالات'!$B$6:$B$505,$B70))/cfg_DAYS_Y)</f>
        <v/>
      </c>
      <c r="AJ70" s="57" t="str">
        <f aca="false">IF($B70="","",MAX(0,AK70-(SUMIFS('سجل الإجازات والحالات'!$AN$6:$AN$505,'سجل الإجازات والحالات'!$B$6:$B$505,$B70)-SUMIFS('سجل الإجازات والحالات'!$AM$6:$AM$505,'سجل الإجازات والحالات'!$B$6:$B$505,$B70))))</f>
        <v/>
      </c>
      <c r="AK70" s="57" t="str">
        <f aca="false">IF($B70="","",MAX(0,IF(OR(الموظفون!$AE70="",الموظفون!$AE70&gt;$F$3),$F$3,الموظفون!$AE70)-MAX($E$3,الموظفون!$H70)+1))</f>
        <v/>
      </c>
      <c r="AL70" s="126" t="str">
        <f aca="false">IF($B70="","",SUMIFS('سجل الإجازات والحالات'!$AZ$6:$AZ$505,'سجل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والحالات'!$AB$6:$AB$505,'سجل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والحالات'!$AN$6:$AN$505,'سجل الإجازات والحالات'!$B$6:$B$505,$B71))/cfg_DAYS_Y)</f>
        <v/>
      </c>
      <c r="AI71" s="135" t="str">
        <f aca="false">IF($B71="","",MAX(0,IF(OR(الموظفون!$AE71="",الموظفون!$AE71&gt;($E$3-1)),($E$3-1),الموظفون!$AE71)-الموظفون!$H71+1-SUMIFS('سجل الإجازات والحالات'!$AM$6:$AM$505,'سجل الإجازات والحالات'!$B$6:$B$505,$B71))/cfg_DAYS_Y)</f>
        <v/>
      </c>
      <c r="AJ71" s="110" t="str">
        <f aca="false">IF($B71="","",MAX(0,AK71-(SUMIFS('سجل الإجازات والحالات'!$AN$6:$AN$505,'سجل الإجازات والحالات'!$B$6:$B$505,$B71)-SUMIFS('سجل الإجازات والحالات'!$AM$6:$AM$505,'سجل الإجازات والحالات'!$B$6:$B$505,$B71))))</f>
        <v/>
      </c>
      <c r="AK71" s="110" t="str">
        <f aca="false">IF($B71="","",MAX(0,IF(OR(الموظفون!$AE71="",الموظفون!$AE71&gt;$F$3),$F$3,الموظفون!$AE71)-MAX($E$3,الموظفون!$H71)+1))</f>
        <v/>
      </c>
      <c r="AL71" s="131" t="str">
        <f aca="false">IF($B71="","",SUMIFS('سجل الإجازات والحالات'!$AZ$6:$AZ$505,'سجل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والحالات'!$AB$6:$AB$505,'سجل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والحالات'!$AN$6:$AN$505,'سجل الإجازات والحالات'!$B$6:$B$505,$B72))/cfg_DAYS_Y)</f>
        <v/>
      </c>
      <c r="AI72" s="130" t="str">
        <f aca="false">IF($B72="","",MAX(0,IF(OR(الموظفون!$AE72="",الموظفون!$AE72&gt;($E$3-1)),($E$3-1),الموظفون!$AE72)-الموظفون!$H72+1-SUMIFS('سجل الإجازات والحالات'!$AM$6:$AM$505,'سجل الإجازات والحالات'!$B$6:$B$505,$B72))/cfg_DAYS_Y)</f>
        <v/>
      </c>
      <c r="AJ72" s="57" t="str">
        <f aca="false">IF($B72="","",MAX(0,AK72-(SUMIFS('سجل الإجازات والحالات'!$AN$6:$AN$505,'سجل الإجازات والحالات'!$B$6:$B$505,$B72)-SUMIFS('سجل الإجازات والحالات'!$AM$6:$AM$505,'سجل الإجازات والحالات'!$B$6:$B$505,$B72))))</f>
        <v/>
      </c>
      <c r="AK72" s="57" t="str">
        <f aca="false">IF($B72="","",MAX(0,IF(OR(الموظفون!$AE72="",الموظفون!$AE72&gt;$F$3),$F$3,الموظفون!$AE72)-MAX($E$3,الموظفون!$H72)+1))</f>
        <v/>
      </c>
      <c r="AL72" s="126" t="str">
        <f aca="false">IF($B72="","",SUMIFS('سجل الإجازات والحالات'!$AZ$6:$AZ$505,'سجل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والحالات'!$AB$6:$AB$505,'سجل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والحالات'!$AN$6:$AN$505,'سجل الإجازات والحالات'!$B$6:$B$505,$B73))/cfg_DAYS_Y)</f>
        <v/>
      </c>
      <c r="AI73" s="135" t="str">
        <f aca="false">IF($B73="","",MAX(0,IF(OR(الموظفون!$AE73="",الموظفون!$AE73&gt;($E$3-1)),($E$3-1),الموظفون!$AE73)-الموظفون!$H73+1-SUMIFS('سجل الإجازات والحالات'!$AM$6:$AM$505,'سجل الإجازات والحالات'!$B$6:$B$505,$B73))/cfg_DAYS_Y)</f>
        <v/>
      </c>
      <c r="AJ73" s="110" t="str">
        <f aca="false">IF($B73="","",MAX(0,AK73-(SUMIFS('سجل الإجازات والحالات'!$AN$6:$AN$505,'سجل الإجازات والحالات'!$B$6:$B$505,$B73)-SUMIFS('سجل الإجازات والحالات'!$AM$6:$AM$505,'سجل الإجازات والحالات'!$B$6:$B$505,$B73))))</f>
        <v/>
      </c>
      <c r="AK73" s="110" t="str">
        <f aca="false">IF($B73="","",MAX(0,IF(OR(الموظفون!$AE73="",الموظفون!$AE73&gt;$F$3),$F$3,الموظفون!$AE73)-MAX($E$3,الموظفون!$H73)+1))</f>
        <v/>
      </c>
      <c r="AL73" s="131" t="str">
        <f aca="false">IF($B73="","",SUMIFS('سجل الإجازات والحالات'!$AZ$6:$AZ$505,'سجل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والحالات'!$AB$6:$AB$505,'سجل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والحالات'!$AN$6:$AN$505,'سجل الإجازات والحالات'!$B$6:$B$505,$B74))/cfg_DAYS_Y)</f>
        <v/>
      </c>
      <c r="AI74" s="130" t="str">
        <f aca="false">IF($B74="","",MAX(0,IF(OR(الموظفون!$AE74="",الموظفون!$AE74&gt;($E$3-1)),($E$3-1),الموظفون!$AE74)-الموظفون!$H74+1-SUMIFS('سجل الإجازات والحالات'!$AM$6:$AM$505,'سجل الإجازات والحالات'!$B$6:$B$505,$B74))/cfg_DAYS_Y)</f>
        <v/>
      </c>
      <c r="AJ74" s="57" t="str">
        <f aca="false">IF($B74="","",MAX(0,AK74-(SUMIFS('سجل الإجازات والحالات'!$AN$6:$AN$505,'سجل الإجازات والحالات'!$B$6:$B$505,$B74)-SUMIFS('سجل الإجازات والحالات'!$AM$6:$AM$505,'سجل الإجازات والحالات'!$B$6:$B$505,$B74))))</f>
        <v/>
      </c>
      <c r="AK74" s="57" t="str">
        <f aca="false">IF($B74="","",MAX(0,IF(OR(الموظفون!$AE74="",الموظفون!$AE74&gt;$F$3),$F$3,الموظفون!$AE74)-MAX($E$3,الموظفون!$H74)+1))</f>
        <v/>
      </c>
      <c r="AL74" s="126" t="str">
        <f aca="false">IF($B74="","",SUMIFS('سجل الإجازات والحالات'!$AZ$6:$AZ$505,'سجل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والحالات'!$AB$6:$AB$505,'سجل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والحالات'!$AN$6:$AN$505,'سجل الإجازات والحالات'!$B$6:$B$505,$B75))/cfg_DAYS_Y)</f>
        <v/>
      </c>
      <c r="AI75" s="135" t="str">
        <f aca="false">IF($B75="","",MAX(0,IF(OR(الموظفون!$AE75="",الموظفون!$AE75&gt;($E$3-1)),($E$3-1),الموظفون!$AE75)-الموظفون!$H75+1-SUMIFS('سجل الإجازات والحالات'!$AM$6:$AM$505,'سجل الإجازات والحالات'!$B$6:$B$505,$B75))/cfg_DAYS_Y)</f>
        <v/>
      </c>
      <c r="AJ75" s="110" t="str">
        <f aca="false">IF($B75="","",MAX(0,AK75-(SUMIFS('سجل الإجازات والحالات'!$AN$6:$AN$505,'سجل الإجازات والحالات'!$B$6:$B$505,$B75)-SUMIFS('سجل الإجازات والحالات'!$AM$6:$AM$505,'سجل الإجازات والحالات'!$B$6:$B$505,$B75))))</f>
        <v/>
      </c>
      <c r="AK75" s="110" t="str">
        <f aca="false">IF($B75="","",MAX(0,IF(OR(الموظفون!$AE75="",الموظفون!$AE75&gt;$F$3),$F$3,الموظفون!$AE75)-MAX($E$3,الموظفون!$H75)+1))</f>
        <v/>
      </c>
      <c r="AL75" s="131" t="str">
        <f aca="false">IF($B75="","",SUMIFS('سجل الإجازات والحالات'!$AZ$6:$AZ$505,'سجل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والحالات'!$AB$6:$AB$505,'سجل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والحالات'!$AN$6:$AN$505,'سجل الإجازات والحالات'!$B$6:$B$505,$B76))/cfg_DAYS_Y)</f>
        <v/>
      </c>
      <c r="AI76" s="130" t="str">
        <f aca="false">IF($B76="","",MAX(0,IF(OR(الموظفون!$AE76="",الموظفون!$AE76&gt;($E$3-1)),($E$3-1),الموظفون!$AE76)-الموظفون!$H76+1-SUMIFS('سجل الإجازات والحالات'!$AM$6:$AM$505,'سجل الإجازات والحالات'!$B$6:$B$505,$B76))/cfg_DAYS_Y)</f>
        <v/>
      </c>
      <c r="AJ76" s="57" t="str">
        <f aca="false">IF($B76="","",MAX(0,AK76-(SUMIFS('سجل الإجازات والحالات'!$AN$6:$AN$505,'سجل الإجازات والحالات'!$B$6:$B$505,$B76)-SUMIFS('سجل الإجازات والحالات'!$AM$6:$AM$505,'سجل الإجازات والحالات'!$B$6:$B$505,$B76))))</f>
        <v/>
      </c>
      <c r="AK76" s="57" t="str">
        <f aca="false">IF($B76="","",MAX(0,IF(OR(الموظفون!$AE76="",الموظفون!$AE76&gt;$F$3),$F$3,الموظفون!$AE76)-MAX($E$3,الموظفون!$H76)+1))</f>
        <v/>
      </c>
      <c r="AL76" s="126" t="str">
        <f aca="false">IF($B76="","",SUMIFS('سجل الإجازات والحالات'!$AZ$6:$AZ$505,'سجل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والحالات'!$AB$6:$AB$505,'سجل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والحالات'!$AN$6:$AN$505,'سجل الإجازات والحالات'!$B$6:$B$505,$B77))/cfg_DAYS_Y)</f>
        <v/>
      </c>
      <c r="AI77" s="135" t="str">
        <f aca="false">IF($B77="","",MAX(0,IF(OR(الموظفون!$AE77="",الموظفون!$AE77&gt;($E$3-1)),($E$3-1),الموظفون!$AE77)-الموظفون!$H77+1-SUMIFS('سجل الإجازات والحالات'!$AM$6:$AM$505,'سجل الإجازات والحالات'!$B$6:$B$505,$B77))/cfg_DAYS_Y)</f>
        <v/>
      </c>
      <c r="AJ77" s="110" t="str">
        <f aca="false">IF($B77="","",MAX(0,AK77-(SUMIFS('سجل الإجازات والحالات'!$AN$6:$AN$505,'سجل الإجازات والحالات'!$B$6:$B$505,$B77)-SUMIFS('سجل الإجازات والحالات'!$AM$6:$AM$505,'سجل الإجازات والحالات'!$B$6:$B$505,$B77))))</f>
        <v/>
      </c>
      <c r="AK77" s="110" t="str">
        <f aca="false">IF($B77="","",MAX(0,IF(OR(الموظفون!$AE77="",الموظفون!$AE77&gt;$F$3),$F$3,الموظفون!$AE77)-MAX($E$3,الموظفون!$H77)+1))</f>
        <v/>
      </c>
      <c r="AL77" s="131" t="str">
        <f aca="false">IF($B77="","",SUMIFS('سجل الإجازات والحالات'!$AZ$6:$AZ$505,'سجل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والحالات'!$AB$6:$AB$505,'سجل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والحالات'!$AN$6:$AN$505,'سجل الإجازات والحالات'!$B$6:$B$505,$B78))/cfg_DAYS_Y)</f>
        <v/>
      </c>
      <c r="AI78" s="130" t="str">
        <f aca="false">IF($B78="","",MAX(0,IF(OR(الموظفون!$AE78="",الموظفون!$AE78&gt;($E$3-1)),($E$3-1),الموظفون!$AE78)-الموظفون!$H78+1-SUMIFS('سجل الإجازات والحالات'!$AM$6:$AM$505,'سجل الإجازات والحالات'!$B$6:$B$505,$B78))/cfg_DAYS_Y)</f>
        <v/>
      </c>
      <c r="AJ78" s="57" t="str">
        <f aca="false">IF($B78="","",MAX(0,AK78-(SUMIFS('سجل الإجازات والحالات'!$AN$6:$AN$505,'سجل الإجازات والحالات'!$B$6:$B$505,$B78)-SUMIFS('سجل الإجازات والحالات'!$AM$6:$AM$505,'سجل الإجازات والحالات'!$B$6:$B$505,$B78))))</f>
        <v/>
      </c>
      <c r="AK78" s="57" t="str">
        <f aca="false">IF($B78="","",MAX(0,IF(OR(الموظفون!$AE78="",الموظفون!$AE78&gt;$F$3),$F$3,الموظفون!$AE78)-MAX($E$3,الموظفون!$H78)+1))</f>
        <v/>
      </c>
      <c r="AL78" s="126" t="str">
        <f aca="false">IF($B78="","",SUMIFS('سجل الإجازات والحالات'!$AZ$6:$AZ$505,'سجل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والحالات'!$AB$6:$AB$505,'سجل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والحالات'!$AN$6:$AN$505,'سجل الإجازات والحالات'!$B$6:$B$505,$B79))/cfg_DAYS_Y)</f>
        <v/>
      </c>
      <c r="AI79" s="135" t="str">
        <f aca="false">IF($B79="","",MAX(0,IF(OR(الموظفون!$AE79="",الموظفون!$AE79&gt;($E$3-1)),($E$3-1),الموظفون!$AE79)-الموظفون!$H79+1-SUMIFS('سجل الإجازات والحالات'!$AM$6:$AM$505,'سجل الإجازات والحالات'!$B$6:$B$505,$B79))/cfg_DAYS_Y)</f>
        <v/>
      </c>
      <c r="AJ79" s="110" t="str">
        <f aca="false">IF($B79="","",MAX(0,AK79-(SUMIFS('سجل الإجازات والحالات'!$AN$6:$AN$505,'سجل الإجازات والحالات'!$B$6:$B$505,$B79)-SUMIFS('سجل الإجازات والحالات'!$AM$6:$AM$505,'سجل الإجازات والحالات'!$B$6:$B$505,$B79))))</f>
        <v/>
      </c>
      <c r="AK79" s="110" t="str">
        <f aca="false">IF($B79="","",MAX(0,IF(OR(الموظفون!$AE79="",الموظفون!$AE79&gt;$F$3),$F$3,الموظفون!$AE79)-MAX($E$3,الموظفون!$H79)+1))</f>
        <v/>
      </c>
      <c r="AL79" s="131" t="str">
        <f aca="false">IF($B79="","",SUMIFS('سجل الإجازات والحالات'!$AZ$6:$AZ$505,'سجل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والحالات'!$AB$6:$AB$505,'سجل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والحالات'!$AN$6:$AN$505,'سجل الإجازات والحالات'!$B$6:$B$505,$B80))/cfg_DAYS_Y)</f>
        <v/>
      </c>
      <c r="AI80" s="130" t="str">
        <f aca="false">IF($B80="","",MAX(0,IF(OR(الموظفون!$AE80="",الموظفون!$AE80&gt;($E$3-1)),($E$3-1),الموظفون!$AE80)-الموظفون!$H80+1-SUMIFS('سجل الإجازات والحالات'!$AM$6:$AM$505,'سجل الإجازات والحالات'!$B$6:$B$505,$B80))/cfg_DAYS_Y)</f>
        <v/>
      </c>
      <c r="AJ80" s="57" t="str">
        <f aca="false">IF($B80="","",MAX(0,AK80-(SUMIFS('سجل الإجازات والحالات'!$AN$6:$AN$505,'سجل الإجازات والحالات'!$B$6:$B$505,$B80)-SUMIFS('سجل الإجازات والحالات'!$AM$6:$AM$505,'سجل الإجازات والحالات'!$B$6:$B$505,$B80))))</f>
        <v/>
      </c>
      <c r="AK80" s="57" t="str">
        <f aca="false">IF($B80="","",MAX(0,IF(OR(الموظفون!$AE80="",الموظفون!$AE80&gt;$F$3),$F$3,الموظفون!$AE80)-MAX($E$3,الموظفون!$H80)+1))</f>
        <v/>
      </c>
      <c r="AL80" s="126" t="str">
        <f aca="false">IF($B80="","",SUMIFS('سجل الإجازات والحالات'!$AZ$6:$AZ$505,'سجل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والحالات'!$AB$6:$AB$505,'سجل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والحالات'!$AN$6:$AN$505,'سجل الإجازات والحالات'!$B$6:$B$505,$B81))/cfg_DAYS_Y)</f>
        <v/>
      </c>
      <c r="AI81" s="135" t="str">
        <f aca="false">IF($B81="","",MAX(0,IF(OR(الموظفون!$AE81="",الموظفون!$AE81&gt;($E$3-1)),($E$3-1),الموظفون!$AE81)-الموظفون!$H81+1-SUMIFS('سجل الإجازات والحالات'!$AM$6:$AM$505,'سجل الإجازات والحالات'!$B$6:$B$505,$B81))/cfg_DAYS_Y)</f>
        <v/>
      </c>
      <c r="AJ81" s="110" t="str">
        <f aca="false">IF($B81="","",MAX(0,AK81-(SUMIFS('سجل الإجازات والحالات'!$AN$6:$AN$505,'سجل الإجازات والحالات'!$B$6:$B$505,$B81)-SUMIFS('سجل الإجازات والحالات'!$AM$6:$AM$505,'سجل الإجازات والحالات'!$B$6:$B$505,$B81))))</f>
        <v/>
      </c>
      <c r="AK81" s="110" t="str">
        <f aca="false">IF($B81="","",MAX(0,IF(OR(الموظفون!$AE81="",الموظفون!$AE81&gt;$F$3),$F$3,الموظفون!$AE81)-MAX($E$3,الموظفون!$H81)+1))</f>
        <v/>
      </c>
      <c r="AL81" s="131" t="str">
        <f aca="false">IF($B81="","",SUMIFS('سجل الإجازات والحالات'!$AZ$6:$AZ$505,'سجل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والحالات'!$AB$6:$AB$505,'سجل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والحالات'!$AN$6:$AN$505,'سجل الإجازات والحالات'!$B$6:$B$505,$B82))/cfg_DAYS_Y)</f>
        <v/>
      </c>
      <c r="AI82" s="130" t="str">
        <f aca="false">IF($B82="","",MAX(0,IF(OR(الموظفون!$AE82="",الموظفون!$AE82&gt;($E$3-1)),($E$3-1),الموظفون!$AE82)-الموظفون!$H82+1-SUMIFS('سجل الإجازات والحالات'!$AM$6:$AM$505,'سجل الإجازات والحالات'!$B$6:$B$505,$B82))/cfg_DAYS_Y)</f>
        <v/>
      </c>
      <c r="AJ82" s="57" t="str">
        <f aca="false">IF($B82="","",MAX(0,AK82-(SUMIFS('سجل الإجازات والحالات'!$AN$6:$AN$505,'سجل الإجازات والحالات'!$B$6:$B$505,$B82)-SUMIFS('سجل الإجازات والحالات'!$AM$6:$AM$505,'سجل الإجازات والحالات'!$B$6:$B$505,$B82))))</f>
        <v/>
      </c>
      <c r="AK82" s="57" t="str">
        <f aca="false">IF($B82="","",MAX(0,IF(OR(الموظفون!$AE82="",الموظفون!$AE82&gt;$F$3),$F$3,الموظفون!$AE82)-MAX($E$3,الموظفون!$H82)+1))</f>
        <v/>
      </c>
      <c r="AL82" s="126" t="str">
        <f aca="false">IF($B82="","",SUMIFS('سجل الإجازات والحالات'!$AZ$6:$AZ$505,'سجل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والحالات'!$AB$6:$AB$505,'سجل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والحالات'!$AN$6:$AN$505,'سجل الإجازات والحالات'!$B$6:$B$505,$B83))/cfg_DAYS_Y)</f>
        <v/>
      </c>
      <c r="AI83" s="135" t="str">
        <f aca="false">IF($B83="","",MAX(0,IF(OR(الموظفون!$AE83="",الموظفون!$AE83&gt;($E$3-1)),($E$3-1),الموظفون!$AE83)-الموظفون!$H83+1-SUMIFS('سجل الإجازات والحالات'!$AM$6:$AM$505,'سجل الإجازات والحالات'!$B$6:$B$505,$B83))/cfg_DAYS_Y)</f>
        <v/>
      </c>
      <c r="AJ83" s="110" t="str">
        <f aca="false">IF($B83="","",MAX(0,AK83-(SUMIFS('سجل الإجازات والحالات'!$AN$6:$AN$505,'سجل الإجازات والحالات'!$B$6:$B$505,$B83)-SUMIFS('سجل الإجازات والحالات'!$AM$6:$AM$505,'سجل الإجازات والحالات'!$B$6:$B$505,$B83))))</f>
        <v/>
      </c>
      <c r="AK83" s="110" t="str">
        <f aca="false">IF($B83="","",MAX(0,IF(OR(الموظفون!$AE83="",الموظفون!$AE83&gt;$F$3),$F$3,الموظفون!$AE83)-MAX($E$3,الموظفون!$H83)+1))</f>
        <v/>
      </c>
      <c r="AL83" s="131" t="str">
        <f aca="false">IF($B83="","",SUMIFS('سجل الإجازات والحالات'!$AZ$6:$AZ$505,'سجل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والحالات'!$AB$6:$AB$505,'سجل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والحالات'!$AN$6:$AN$505,'سجل الإجازات والحالات'!$B$6:$B$505,$B84))/cfg_DAYS_Y)</f>
        <v/>
      </c>
      <c r="AI84" s="130" t="str">
        <f aca="false">IF($B84="","",MAX(0,IF(OR(الموظفون!$AE84="",الموظفون!$AE84&gt;($E$3-1)),($E$3-1),الموظفون!$AE84)-الموظفون!$H84+1-SUMIFS('سجل الإجازات والحالات'!$AM$6:$AM$505,'سجل الإجازات والحالات'!$B$6:$B$505,$B84))/cfg_DAYS_Y)</f>
        <v/>
      </c>
      <c r="AJ84" s="57" t="str">
        <f aca="false">IF($B84="","",MAX(0,AK84-(SUMIFS('سجل الإجازات والحالات'!$AN$6:$AN$505,'سجل الإجازات والحالات'!$B$6:$B$505,$B84)-SUMIFS('سجل الإجازات والحالات'!$AM$6:$AM$505,'سجل الإجازات والحالات'!$B$6:$B$505,$B84))))</f>
        <v/>
      </c>
      <c r="AK84" s="57" t="str">
        <f aca="false">IF($B84="","",MAX(0,IF(OR(الموظفون!$AE84="",الموظفون!$AE84&gt;$F$3),$F$3,الموظفون!$AE84)-MAX($E$3,الموظفون!$H84)+1))</f>
        <v/>
      </c>
      <c r="AL84" s="126" t="str">
        <f aca="false">IF($B84="","",SUMIFS('سجل الإجازات والحالات'!$AZ$6:$AZ$505,'سجل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والحالات'!$AB$6:$AB$505,'سجل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والحالات'!$AN$6:$AN$505,'سجل الإجازات والحالات'!$B$6:$B$505,$B85))/cfg_DAYS_Y)</f>
        <v/>
      </c>
      <c r="AI85" s="135" t="str">
        <f aca="false">IF($B85="","",MAX(0,IF(OR(الموظفون!$AE85="",الموظفون!$AE85&gt;($E$3-1)),($E$3-1),الموظفون!$AE85)-الموظفون!$H85+1-SUMIFS('سجل الإجازات والحالات'!$AM$6:$AM$505,'سجل الإجازات والحالات'!$B$6:$B$505,$B85))/cfg_DAYS_Y)</f>
        <v/>
      </c>
      <c r="AJ85" s="110" t="str">
        <f aca="false">IF($B85="","",MAX(0,AK85-(SUMIFS('سجل الإجازات والحالات'!$AN$6:$AN$505,'سجل الإجازات والحالات'!$B$6:$B$505,$B85)-SUMIFS('سجل الإجازات والحالات'!$AM$6:$AM$505,'سجل الإجازات والحالات'!$B$6:$B$505,$B85))))</f>
        <v/>
      </c>
      <c r="AK85" s="110" t="str">
        <f aca="false">IF($B85="","",MAX(0,IF(OR(الموظفون!$AE85="",الموظفون!$AE85&gt;$F$3),$F$3,الموظفون!$AE85)-MAX($E$3,الموظفون!$H85)+1))</f>
        <v/>
      </c>
      <c r="AL85" s="131" t="str">
        <f aca="false">IF($B85="","",SUMIFS('سجل الإجازات والحالات'!$AZ$6:$AZ$505,'سجل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والحالات'!$AB$6:$AB$505,'سجل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والحالات'!$AN$6:$AN$505,'سجل الإجازات والحالات'!$B$6:$B$505,$B86))/cfg_DAYS_Y)</f>
        <v/>
      </c>
      <c r="AI86" s="130" t="str">
        <f aca="false">IF($B86="","",MAX(0,IF(OR(الموظفون!$AE86="",الموظفون!$AE86&gt;($E$3-1)),($E$3-1),الموظفون!$AE86)-الموظفون!$H86+1-SUMIFS('سجل الإجازات والحالات'!$AM$6:$AM$505,'سجل الإجازات والحالات'!$B$6:$B$505,$B86))/cfg_DAYS_Y)</f>
        <v/>
      </c>
      <c r="AJ86" s="57" t="str">
        <f aca="false">IF($B86="","",MAX(0,AK86-(SUMIFS('سجل الإجازات والحالات'!$AN$6:$AN$505,'سجل الإجازات والحالات'!$B$6:$B$505,$B86)-SUMIFS('سجل الإجازات والحالات'!$AM$6:$AM$505,'سجل الإجازات والحالات'!$B$6:$B$505,$B86))))</f>
        <v/>
      </c>
      <c r="AK86" s="57" t="str">
        <f aca="false">IF($B86="","",MAX(0,IF(OR(الموظفون!$AE86="",الموظفون!$AE86&gt;$F$3),$F$3,الموظفون!$AE86)-MAX($E$3,الموظفون!$H86)+1))</f>
        <v/>
      </c>
      <c r="AL86" s="126" t="str">
        <f aca="false">IF($B86="","",SUMIFS('سجل الإجازات والحالات'!$AZ$6:$AZ$505,'سجل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والحالات'!$AB$6:$AB$505,'سجل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والحالات'!$AN$6:$AN$505,'سجل الإجازات والحالات'!$B$6:$B$505,$B87))/cfg_DAYS_Y)</f>
        <v/>
      </c>
      <c r="AI87" s="135" t="str">
        <f aca="false">IF($B87="","",MAX(0,IF(OR(الموظفون!$AE87="",الموظفون!$AE87&gt;($E$3-1)),($E$3-1),الموظفون!$AE87)-الموظفون!$H87+1-SUMIFS('سجل الإجازات والحالات'!$AM$6:$AM$505,'سجل الإجازات والحالات'!$B$6:$B$505,$B87))/cfg_DAYS_Y)</f>
        <v/>
      </c>
      <c r="AJ87" s="110" t="str">
        <f aca="false">IF($B87="","",MAX(0,AK87-(SUMIFS('سجل الإجازات والحالات'!$AN$6:$AN$505,'سجل الإجازات والحالات'!$B$6:$B$505,$B87)-SUMIFS('سجل الإجازات والحالات'!$AM$6:$AM$505,'سجل الإجازات والحالات'!$B$6:$B$505,$B87))))</f>
        <v/>
      </c>
      <c r="AK87" s="110" t="str">
        <f aca="false">IF($B87="","",MAX(0,IF(OR(الموظفون!$AE87="",الموظفون!$AE87&gt;$F$3),$F$3,الموظفون!$AE87)-MAX($E$3,الموظفون!$H87)+1))</f>
        <v/>
      </c>
      <c r="AL87" s="131" t="str">
        <f aca="false">IF($B87="","",SUMIFS('سجل الإجازات والحالات'!$AZ$6:$AZ$505,'سجل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والحالات'!$AB$6:$AB$505,'سجل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والحالات'!$AN$6:$AN$505,'سجل الإجازات والحالات'!$B$6:$B$505,$B88))/cfg_DAYS_Y)</f>
        <v/>
      </c>
      <c r="AI88" s="130" t="str">
        <f aca="false">IF($B88="","",MAX(0,IF(OR(الموظفون!$AE88="",الموظفون!$AE88&gt;($E$3-1)),($E$3-1),الموظفون!$AE88)-الموظفون!$H88+1-SUMIFS('سجل الإجازات والحالات'!$AM$6:$AM$505,'سجل الإجازات والحالات'!$B$6:$B$505,$B88))/cfg_DAYS_Y)</f>
        <v/>
      </c>
      <c r="AJ88" s="57" t="str">
        <f aca="false">IF($B88="","",MAX(0,AK88-(SUMIFS('سجل الإجازات والحالات'!$AN$6:$AN$505,'سجل الإجازات والحالات'!$B$6:$B$505,$B88)-SUMIFS('سجل الإجازات والحالات'!$AM$6:$AM$505,'سجل الإجازات والحالات'!$B$6:$B$505,$B88))))</f>
        <v/>
      </c>
      <c r="AK88" s="57" t="str">
        <f aca="false">IF($B88="","",MAX(0,IF(OR(الموظفون!$AE88="",الموظفون!$AE88&gt;$F$3),$F$3,الموظفون!$AE88)-MAX($E$3,الموظفون!$H88)+1))</f>
        <v/>
      </c>
      <c r="AL88" s="126" t="str">
        <f aca="false">IF($B88="","",SUMIFS('سجل الإجازات والحالات'!$AZ$6:$AZ$505,'سجل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والحالات'!$AB$6:$AB$505,'سجل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والحالات'!$AN$6:$AN$505,'سجل الإجازات والحالات'!$B$6:$B$505,$B89))/cfg_DAYS_Y)</f>
        <v/>
      </c>
      <c r="AI89" s="135" t="str">
        <f aca="false">IF($B89="","",MAX(0,IF(OR(الموظفون!$AE89="",الموظفون!$AE89&gt;($E$3-1)),($E$3-1),الموظفون!$AE89)-الموظفون!$H89+1-SUMIFS('سجل الإجازات والحالات'!$AM$6:$AM$505,'سجل الإجازات والحالات'!$B$6:$B$505,$B89))/cfg_DAYS_Y)</f>
        <v/>
      </c>
      <c r="AJ89" s="110" t="str">
        <f aca="false">IF($B89="","",MAX(0,AK89-(SUMIFS('سجل الإجازات والحالات'!$AN$6:$AN$505,'سجل الإجازات والحالات'!$B$6:$B$505,$B89)-SUMIFS('سجل الإجازات والحالات'!$AM$6:$AM$505,'سجل الإجازات والحالات'!$B$6:$B$505,$B89))))</f>
        <v/>
      </c>
      <c r="AK89" s="110" t="str">
        <f aca="false">IF($B89="","",MAX(0,IF(OR(الموظفون!$AE89="",الموظفون!$AE89&gt;$F$3),$F$3,الموظفون!$AE89)-MAX($E$3,الموظفون!$H89)+1))</f>
        <v/>
      </c>
      <c r="AL89" s="131" t="str">
        <f aca="false">IF($B89="","",SUMIFS('سجل الإجازات والحالات'!$AZ$6:$AZ$505,'سجل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والحالات'!$AB$6:$AB$505,'سجل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والحالات'!$AN$6:$AN$505,'سجل الإجازات والحالات'!$B$6:$B$505,$B90))/cfg_DAYS_Y)</f>
        <v/>
      </c>
      <c r="AI90" s="130" t="str">
        <f aca="false">IF($B90="","",MAX(0,IF(OR(الموظفون!$AE90="",الموظفون!$AE90&gt;($E$3-1)),($E$3-1),الموظفون!$AE90)-الموظفون!$H90+1-SUMIFS('سجل الإجازات والحالات'!$AM$6:$AM$505,'سجل الإجازات والحالات'!$B$6:$B$505,$B90))/cfg_DAYS_Y)</f>
        <v/>
      </c>
      <c r="AJ90" s="57" t="str">
        <f aca="false">IF($B90="","",MAX(0,AK90-(SUMIFS('سجل الإجازات والحالات'!$AN$6:$AN$505,'سجل الإجازات والحالات'!$B$6:$B$505,$B90)-SUMIFS('سجل الإجازات والحالات'!$AM$6:$AM$505,'سجل الإجازات والحالات'!$B$6:$B$505,$B90))))</f>
        <v/>
      </c>
      <c r="AK90" s="57" t="str">
        <f aca="false">IF($B90="","",MAX(0,IF(OR(الموظفون!$AE90="",الموظفون!$AE90&gt;$F$3),$F$3,الموظفون!$AE90)-MAX($E$3,الموظفون!$H90)+1))</f>
        <v/>
      </c>
      <c r="AL90" s="126" t="str">
        <f aca="false">IF($B90="","",SUMIFS('سجل الإجازات والحالات'!$AZ$6:$AZ$505,'سجل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والحالات'!$AB$6:$AB$505,'سجل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والحالات'!$AN$6:$AN$505,'سجل الإجازات والحالات'!$B$6:$B$505,$B91))/cfg_DAYS_Y)</f>
        <v/>
      </c>
      <c r="AI91" s="135" t="str">
        <f aca="false">IF($B91="","",MAX(0,IF(OR(الموظفون!$AE91="",الموظفون!$AE91&gt;($E$3-1)),($E$3-1),الموظفون!$AE91)-الموظفون!$H91+1-SUMIFS('سجل الإجازات والحالات'!$AM$6:$AM$505,'سجل الإجازات والحالات'!$B$6:$B$505,$B91))/cfg_DAYS_Y)</f>
        <v/>
      </c>
      <c r="AJ91" s="110" t="str">
        <f aca="false">IF($B91="","",MAX(0,AK91-(SUMIFS('سجل الإجازات والحالات'!$AN$6:$AN$505,'سجل الإجازات والحالات'!$B$6:$B$505,$B91)-SUMIFS('سجل الإجازات والحالات'!$AM$6:$AM$505,'سجل الإجازات والحالات'!$B$6:$B$505,$B91))))</f>
        <v/>
      </c>
      <c r="AK91" s="110" t="str">
        <f aca="false">IF($B91="","",MAX(0,IF(OR(الموظفون!$AE91="",الموظفون!$AE91&gt;$F$3),$F$3,الموظفون!$AE91)-MAX($E$3,الموظفون!$H91)+1))</f>
        <v/>
      </c>
      <c r="AL91" s="131" t="str">
        <f aca="false">IF($B91="","",SUMIFS('سجل الإجازات والحالات'!$AZ$6:$AZ$505,'سجل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والحالات'!$AB$6:$AB$505,'سجل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والحالات'!$AN$6:$AN$505,'سجل الإجازات والحالات'!$B$6:$B$505,$B92))/cfg_DAYS_Y)</f>
        <v/>
      </c>
      <c r="AI92" s="130" t="str">
        <f aca="false">IF($B92="","",MAX(0,IF(OR(الموظفون!$AE92="",الموظفون!$AE92&gt;($E$3-1)),($E$3-1),الموظفون!$AE92)-الموظفون!$H92+1-SUMIFS('سجل الإجازات والحالات'!$AM$6:$AM$505,'سجل الإجازات والحالات'!$B$6:$B$505,$B92))/cfg_DAYS_Y)</f>
        <v/>
      </c>
      <c r="AJ92" s="57" t="str">
        <f aca="false">IF($B92="","",MAX(0,AK92-(SUMIFS('سجل الإجازات والحالات'!$AN$6:$AN$505,'سجل الإجازات والحالات'!$B$6:$B$505,$B92)-SUMIFS('سجل الإجازات والحالات'!$AM$6:$AM$505,'سجل الإجازات والحالات'!$B$6:$B$505,$B92))))</f>
        <v/>
      </c>
      <c r="AK92" s="57" t="str">
        <f aca="false">IF($B92="","",MAX(0,IF(OR(الموظفون!$AE92="",الموظفون!$AE92&gt;$F$3),$F$3,الموظفون!$AE92)-MAX($E$3,الموظفون!$H92)+1))</f>
        <v/>
      </c>
      <c r="AL92" s="126" t="str">
        <f aca="false">IF($B92="","",SUMIFS('سجل الإجازات والحالات'!$AZ$6:$AZ$505,'سجل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والحالات'!$AB$6:$AB$505,'سجل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والحالات'!$AN$6:$AN$505,'سجل الإجازات والحالات'!$B$6:$B$505,$B93))/cfg_DAYS_Y)</f>
        <v/>
      </c>
      <c r="AI93" s="135" t="str">
        <f aca="false">IF($B93="","",MAX(0,IF(OR(الموظفون!$AE93="",الموظفون!$AE93&gt;($E$3-1)),($E$3-1),الموظفون!$AE93)-الموظفون!$H93+1-SUMIFS('سجل الإجازات والحالات'!$AM$6:$AM$505,'سجل الإجازات والحالات'!$B$6:$B$505,$B93))/cfg_DAYS_Y)</f>
        <v/>
      </c>
      <c r="AJ93" s="110" t="str">
        <f aca="false">IF($B93="","",MAX(0,AK93-(SUMIFS('سجل الإجازات والحالات'!$AN$6:$AN$505,'سجل الإجازات والحالات'!$B$6:$B$505,$B93)-SUMIFS('سجل الإجازات والحالات'!$AM$6:$AM$505,'سجل الإجازات والحالات'!$B$6:$B$505,$B93))))</f>
        <v/>
      </c>
      <c r="AK93" s="110" t="str">
        <f aca="false">IF($B93="","",MAX(0,IF(OR(الموظفون!$AE93="",الموظفون!$AE93&gt;$F$3),$F$3,الموظفون!$AE93)-MAX($E$3,الموظفون!$H93)+1))</f>
        <v/>
      </c>
      <c r="AL93" s="131" t="str">
        <f aca="false">IF($B93="","",SUMIFS('سجل الإجازات والحالات'!$AZ$6:$AZ$505,'سجل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والحالات'!$AB$6:$AB$505,'سجل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والحالات'!$AN$6:$AN$505,'سجل الإجازات والحالات'!$B$6:$B$505,$B94))/cfg_DAYS_Y)</f>
        <v/>
      </c>
      <c r="AI94" s="130" t="str">
        <f aca="false">IF($B94="","",MAX(0,IF(OR(الموظفون!$AE94="",الموظفون!$AE94&gt;($E$3-1)),($E$3-1),الموظفون!$AE94)-الموظفون!$H94+1-SUMIFS('سجل الإجازات والحالات'!$AM$6:$AM$505,'سجل الإجازات والحالات'!$B$6:$B$505,$B94))/cfg_DAYS_Y)</f>
        <v/>
      </c>
      <c r="AJ94" s="57" t="str">
        <f aca="false">IF($B94="","",MAX(0,AK94-(SUMIFS('سجل الإجازات والحالات'!$AN$6:$AN$505,'سجل الإجازات والحالات'!$B$6:$B$505,$B94)-SUMIFS('سجل الإجازات والحالات'!$AM$6:$AM$505,'سجل الإجازات والحالات'!$B$6:$B$505,$B94))))</f>
        <v/>
      </c>
      <c r="AK94" s="57" t="str">
        <f aca="false">IF($B94="","",MAX(0,IF(OR(الموظفون!$AE94="",الموظفون!$AE94&gt;$F$3),$F$3,الموظفون!$AE94)-MAX($E$3,الموظفون!$H94)+1))</f>
        <v/>
      </c>
      <c r="AL94" s="126" t="str">
        <f aca="false">IF($B94="","",SUMIFS('سجل الإجازات والحالات'!$AZ$6:$AZ$505,'سجل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والحالات'!$AB$6:$AB$505,'سجل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والحالات'!$AN$6:$AN$505,'سجل الإجازات والحالات'!$B$6:$B$505,$B95))/cfg_DAYS_Y)</f>
        <v/>
      </c>
      <c r="AI95" s="135" t="str">
        <f aca="false">IF($B95="","",MAX(0,IF(OR(الموظفون!$AE95="",الموظفون!$AE95&gt;($E$3-1)),($E$3-1),الموظفون!$AE95)-الموظفون!$H95+1-SUMIFS('سجل الإجازات والحالات'!$AM$6:$AM$505,'سجل الإجازات والحالات'!$B$6:$B$505,$B95))/cfg_DAYS_Y)</f>
        <v/>
      </c>
      <c r="AJ95" s="110" t="str">
        <f aca="false">IF($B95="","",MAX(0,AK95-(SUMIFS('سجل الإجازات والحالات'!$AN$6:$AN$505,'سجل الإجازات والحالات'!$B$6:$B$505,$B95)-SUMIFS('سجل الإجازات والحالات'!$AM$6:$AM$505,'سجل الإجازات والحالات'!$B$6:$B$505,$B95))))</f>
        <v/>
      </c>
      <c r="AK95" s="110" t="str">
        <f aca="false">IF($B95="","",MAX(0,IF(OR(الموظفون!$AE95="",الموظفون!$AE95&gt;$F$3),$F$3,الموظفون!$AE95)-MAX($E$3,الموظفون!$H95)+1))</f>
        <v/>
      </c>
      <c r="AL95" s="131" t="str">
        <f aca="false">IF($B95="","",SUMIFS('سجل الإجازات والحالات'!$AZ$6:$AZ$505,'سجل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والحالات'!$AB$6:$AB$505,'سجل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والحالات'!$AN$6:$AN$505,'سجل الإجازات والحالات'!$B$6:$B$505,$B96))/cfg_DAYS_Y)</f>
        <v/>
      </c>
      <c r="AI96" s="130" t="str">
        <f aca="false">IF($B96="","",MAX(0,IF(OR(الموظفون!$AE96="",الموظفون!$AE96&gt;($E$3-1)),($E$3-1),الموظفون!$AE96)-الموظفون!$H96+1-SUMIFS('سجل الإجازات والحالات'!$AM$6:$AM$505,'سجل الإجازات والحالات'!$B$6:$B$505,$B96))/cfg_DAYS_Y)</f>
        <v/>
      </c>
      <c r="AJ96" s="57" t="str">
        <f aca="false">IF($B96="","",MAX(0,AK96-(SUMIFS('سجل الإجازات والحالات'!$AN$6:$AN$505,'سجل الإجازات والحالات'!$B$6:$B$505,$B96)-SUMIFS('سجل الإجازات والحالات'!$AM$6:$AM$505,'سجل الإجازات والحالات'!$B$6:$B$505,$B96))))</f>
        <v/>
      </c>
      <c r="AK96" s="57" t="str">
        <f aca="false">IF($B96="","",MAX(0,IF(OR(الموظفون!$AE96="",الموظفون!$AE96&gt;$F$3),$F$3,الموظفون!$AE96)-MAX($E$3,الموظفون!$H96)+1))</f>
        <v/>
      </c>
      <c r="AL96" s="126" t="str">
        <f aca="false">IF($B96="","",SUMIFS('سجل الإجازات والحالات'!$AZ$6:$AZ$505,'سجل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والحالات'!$AB$6:$AB$505,'سجل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والحالات'!$AN$6:$AN$505,'سجل الإجازات والحالات'!$B$6:$B$505,$B97))/cfg_DAYS_Y)</f>
        <v/>
      </c>
      <c r="AI97" s="135" t="str">
        <f aca="false">IF($B97="","",MAX(0,IF(OR(الموظفون!$AE97="",الموظفون!$AE97&gt;($E$3-1)),($E$3-1),الموظفون!$AE97)-الموظفون!$H97+1-SUMIFS('سجل الإجازات والحالات'!$AM$6:$AM$505,'سجل الإجازات والحالات'!$B$6:$B$505,$B97))/cfg_DAYS_Y)</f>
        <v/>
      </c>
      <c r="AJ97" s="110" t="str">
        <f aca="false">IF($B97="","",MAX(0,AK97-(SUMIFS('سجل الإجازات والحالات'!$AN$6:$AN$505,'سجل الإجازات والحالات'!$B$6:$B$505,$B97)-SUMIFS('سجل الإجازات والحالات'!$AM$6:$AM$505,'سجل الإجازات والحالات'!$B$6:$B$505,$B97))))</f>
        <v/>
      </c>
      <c r="AK97" s="110" t="str">
        <f aca="false">IF($B97="","",MAX(0,IF(OR(الموظفون!$AE97="",الموظفون!$AE97&gt;$F$3),$F$3,الموظفون!$AE97)-MAX($E$3,الموظفون!$H97)+1))</f>
        <v/>
      </c>
      <c r="AL97" s="131" t="str">
        <f aca="false">IF($B97="","",SUMIFS('سجل الإجازات والحالات'!$AZ$6:$AZ$505,'سجل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والحالات'!$AB$6:$AB$505,'سجل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والحالات'!$AN$6:$AN$505,'سجل الإجازات والحالات'!$B$6:$B$505,$B98))/cfg_DAYS_Y)</f>
        <v/>
      </c>
      <c r="AI98" s="130" t="str">
        <f aca="false">IF($B98="","",MAX(0,IF(OR(الموظفون!$AE98="",الموظفون!$AE98&gt;($E$3-1)),($E$3-1),الموظفون!$AE98)-الموظفون!$H98+1-SUMIFS('سجل الإجازات والحالات'!$AM$6:$AM$505,'سجل الإجازات والحالات'!$B$6:$B$505,$B98))/cfg_DAYS_Y)</f>
        <v/>
      </c>
      <c r="AJ98" s="57" t="str">
        <f aca="false">IF($B98="","",MAX(0,AK98-(SUMIFS('سجل الإجازات والحالات'!$AN$6:$AN$505,'سجل الإجازات والحالات'!$B$6:$B$505,$B98)-SUMIFS('سجل الإجازات والحالات'!$AM$6:$AM$505,'سجل الإجازات والحالات'!$B$6:$B$505,$B98))))</f>
        <v/>
      </c>
      <c r="AK98" s="57" t="str">
        <f aca="false">IF($B98="","",MAX(0,IF(OR(الموظفون!$AE98="",الموظفون!$AE98&gt;$F$3),$F$3,الموظفون!$AE98)-MAX($E$3,الموظفون!$H98)+1))</f>
        <v/>
      </c>
      <c r="AL98" s="126" t="str">
        <f aca="false">IF($B98="","",SUMIFS('سجل الإجازات والحالات'!$AZ$6:$AZ$505,'سجل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والحالات'!$AB$6:$AB$505,'سجل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والحالات'!$AN$6:$AN$505,'سجل الإجازات والحالات'!$B$6:$B$505,$B99))/cfg_DAYS_Y)</f>
        <v/>
      </c>
      <c r="AI99" s="135" t="str">
        <f aca="false">IF($B99="","",MAX(0,IF(OR(الموظفون!$AE99="",الموظفون!$AE99&gt;($E$3-1)),($E$3-1),الموظفون!$AE99)-الموظفون!$H99+1-SUMIFS('سجل الإجازات والحالات'!$AM$6:$AM$505,'سجل الإجازات والحالات'!$B$6:$B$505,$B99))/cfg_DAYS_Y)</f>
        <v/>
      </c>
      <c r="AJ99" s="110" t="str">
        <f aca="false">IF($B99="","",MAX(0,AK99-(SUMIFS('سجل الإجازات والحالات'!$AN$6:$AN$505,'سجل الإجازات والحالات'!$B$6:$B$505,$B99)-SUMIFS('سجل الإجازات والحالات'!$AM$6:$AM$505,'سجل الإجازات والحالات'!$B$6:$B$505,$B99))))</f>
        <v/>
      </c>
      <c r="AK99" s="110" t="str">
        <f aca="false">IF($B99="","",MAX(0,IF(OR(الموظفون!$AE99="",الموظفون!$AE99&gt;$F$3),$F$3,الموظفون!$AE99)-MAX($E$3,الموظفون!$H99)+1))</f>
        <v/>
      </c>
      <c r="AL99" s="131" t="str">
        <f aca="false">IF($B99="","",SUMIFS('سجل الإجازات والحالات'!$AZ$6:$AZ$505,'سجل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والحالات'!$AB$6:$AB$505,'سجل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والحالات'!$AN$6:$AN$505,'سجل الإجازات والحالات'!$B$6:$B$505,$B100))/cfg_DAYS_Y)</f>
        <v/>
      </c>
      <c r="AI100" s="130" t="str">
        <f aca="false">IF($B100="","",MAX(0,IF(OR(الموظفون!$AE100="",الموظفون!$AE100&gt;($E$3-1)),($E$3-1),الموظفون!$AE100)-الموظفون!$H100+1-SUMIFS('سجل الإجازات والحالات'!$AM$6:$AM$505,'سجل الإجازات والحالات'!$B$6:$B$505,$B100))/cfg_DAYS_Y)</f>
        <v/>
      </c>
      <c r="AJ100" s="57" t="str">
        <f aca="false">IF($B100="","",MAX(0,AK100-(SUMIFS('سجل الإجازات والحالات'!$AN$6:$AN$505,'سجل الإجازات والحالات'!$B$6:$B$505,$B100)-SUMIFS('سجل الإجازات والحالات'!$AM$6:$AM$505,'سجل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والحالات'!$AZ$6:$AZ$505,'سجل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والحالات'!$AB$6:$AB$505,'سجل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والحالات'!$AN$6:$AN$505,'سجل الإجازات والحالات'!$B$6:$B$505,$B101))/cfg_DAYS_Y)</f>
        <v/>
      </c>
      <c r="AI101" s="135" t="str">
        <f aca="false">IF($B101="","",MAX(0,IF(OR(الموظفون!$AE101="",الموظفون!$AE101&gt;($E$3-1)),($E$3-1),الموظفون!$AE101)-الموظفون!$H101+1-SUMIFS('سجل الإجازات والحالات'!$AM$6:$AM$505,'سجل الإجازات والحالات'!$B$6:$B$505,$B101))/cfg_DAYS_Y)</f>
        <v/>
      </c>
      <c r="AJ101" s="110" t="str">
        <f aca="false">IF($B101="","",MAX(0,AK101-(SUMIFS('سجل الإجازات والحالات'!$AN$6:$AN$505,'سجل الإجازات والحالات'!$B$6:$B$505,$B101)-SUMIFS('سجل الإجازات والحالات'!$AM$6:$AM$505,'سجل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والحالات'!$AZ$6:$AZ$505,'سجل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والحالات'!$AB$6:$AB$505,'سجل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والحالات'!$AN$6:$AN$505,'سجل الإجازات والحالات'!$B$6:$B$505,$B102))/cfg_DAYS_Y)</f>
        <v/>
      </c>
      <c r="AI102" s="130" t="str">
        <f aca="false">IF($B102="","",MAX(0,IF(OR(الموظفون!$AE102="",الموظفون!$AE102&gt;($E$3-1)),($E$3-1),الموظفون!$AE102)-الموظفون!$H102+1-SUMIFS('سجل الإجازات والحالات'!$AM$6:$AM$505,'سجل الإجازات والحالات'!$B$6:$B$505,$B102))/cfg_DAYS_Y)</f>
        <v/>
      </c>
      <c r="AJ102" s="57" t="str">
        <f aca="false">IF($B102="","",MAX(0,AK102-(SUMIFS('سجل الإجازات والحالات'!$AN$6:$AN$505,'سجل الإجازات والحالات'!$B$6:$B$505,$B102)-SUMIFS('سجل الإجازات والحالات'!$AM$6:$AM$505,'سجل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والحالات'!$AZ$6:$AZ$505,'سجل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والحالات'!$AB$6:$AB$505,'سجل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والحالات'!$AN$6:$AN$505,'سجل الإجازات والحالات'!$B$6:$B$505,$B103))/cfg_DAYS_Y)</f>
        <v/>
      </c>
      <c r="AI103" s="135" t="str">
        <f aca="false">IF($B103="","",MAX(0,IF(OR(الموظفون!$AE103="",الموظفون!$AE103&gt;($E$3-1)),($E$3-1),الموظفون!$AE103)-الموظفون!$H103+1-SUMIFS('سجل الإجازات والحالات'!$AM$6:$AM$505,'سجل الإجازات والحالات'!$B$6:$B$505,$B103))/cfg_DAYS_Y)</f>
        <v/>
      </c>
      <c r="AJ103" s="110" t="str">
        <f aca="false">IF($B103="","",MAX(0,AK103-(SUMIFS('سجل الإجازات والحالات'!$AN$6:$AN$505,'سجل الإجازات والحالات'!$B$6:$B$505,$B103)-SUMIFS('سجل الإجازات والحالات'!$AM$6:$AM$505,'سجل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والحالات'!$AZ$6:$AZ$505,'سجل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والحالات'!$AB$6:$AB$505,'سجل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والحالات'!$AN$6:$AN$505,'سجل الإجازات والحالات'!$B$6:$B$505,$B104))/cfg_DAYS_Y)</f>
        <v/>
      </c>
      <c r="AI104" s="130" t="str">
        <f aca="false">IF($B104="","",MAX(0,IF(OR(الموظفون!$AE104="",الموظفون!$AE104&gt;($E$3-1)),($E$3-1),الموظفون!$AE104)-الموظفون!$H104+1-SUMIFS('سجل الإجازات والحالات'!$AM$6:$AM$505,'سجل الإجازات والحالات'!$B$6:$B$505,$B104))/cfg_DAYS_Y)</f>
        <v/>
      </c>
      <c r="AJ104" s="57" t="str">
        <f aca="false">IF($B104="","",MAX(0,AK104-(SUMIFS('سجل الإجازات والحالات'!$AN$6:$AN$505,'سجل الإجازات والحالات'!$B$6:$B$505,$B104)-SUMIFS('سجل الإجازات والحالات'!$AM$6:$AM$505,'سجل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والحالات'!$AZ$6:$AZ$505,'سجل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والحالات'!$AB$6:$AB$505,'سجل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والحالات'!$AN$6:$AN$505,'سجل الإجازات والحالات'!$B$6:$B$505,$B105))/cfg_DAYS_Y)</f>
        <v/>
      </c>
      <c r="AI105" s="135" t="str">
        <f aca="false">IF($B105="","",MAX(0,IF(OR(الموظفون!$AE105="",الموظفون!$AE105&gt;($E$3-1)),($E$3-1),الموظفون!$AE105)-الموظفون!$H105+1-SUMIFS('سجل الإجازات والحالات'!$AM$6:$AM$505,'سجل الإجازات والحالات'!$B$6:$B$505,$B105))/cfg_DAYS_Y)</f>
        <v/>
      </c>
      <c r="AJ105" s="110" t="str">
        <f aca="false">IF($B105="","",MAX(0,AK105-(SUMIFS('سجل الإجازات والحالات'!$AN$6:$AN$505,'سجل الإجازات والحالات'!$B$6:$B$505,$B105)-SUMIFS('سجل الإجازات والحالات'!$AM$6:$AM$505,'سجل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والحالات'!$AZ$6:$AZ$505,'سجل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والحالات'!$AB$6:$AB$505,'سجل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330</v>
      </c>
      <c r="K106" s="103" t="n">
        <f aca="false">SUM(K6:K105)</f>
        <v>136500</v>
      </c>
      <c r="L106" s="103" t="n">
        <f aca="false">SUM(L6:L105)</f>
        <v>34125</v>
      </c>
      <c r="M106" s="103" t="n">
        <f aca="false">SUM(M6:M105)</f>
        <v>13650</v>
      </c>
      <c r="N106" s="103" t="n">
        <f aca="false">SUM(N6:N105)</f>
        <v>10300</v>
      </c>
      <c r="O106" s="136" t="n">
        <f aca="false">SUM(O6:O105)</f>
        <v>0</v>
      </c>
      <c r="P106" s="103" t="n">
        <f aca="false">SUM(P6:P105)</f>
        <v>0</v>
      </c>
      <c r="Q106" s="103" t="n">
        <f aca="false">SUM(Q6:Q105)</f>
        <v>0</v>
      </c>
      <c r="R106" s="103" t="n">
        <f aca="false">SUM(R6:R105)</f>
        <v>8297.2602739726</v>
      </c>
      <c r="S106" s="103" t="n">
        <f aca="false">SUM(S6:S105)</f>
        <v>0</v>
      </c>
      <c r="T106" s="103" t="n">
        <f aca="false">SUM(T6:T105)</f>
        <v>202872.260273973</v>
      </c>
      <c r="U106" s="103" t="n">
        <f aca="false">SUM(U6:U105)</f>
        <v>12370.3125</v>
      </c>
      <c r="V106" s="103" t="n">
        <f aca="false">SUM(V6:V105)</f>
        <v>0</v>
      </c>
      <c r="W106" s="103" t="n">
        <f aca="false">SUM(W6:W105)</f>
        <v>0</v>
      </c>
      <c r="X106" s="103" t="n">
        <f aca="false">SUM(X6:X105)</f>
        <v>12370.3125</v>
      </c>
      <c r="Y106" s="103" t="n">
        <f aca="false">SUM(Y6:Y105)</f>
        <v>190501.947773973</v>
      </c>
      <c r="Z106" s="103" t="n">
        <f aca="false">SUM(Z6:Z105)</f>
        <v>15782.8125</v>
      </c>
      <c r="AA106" s="103" t="n">
        <f aca="false">SUM(AA6:AA105)</f>
        <v>14016.8835616438</v>
      </c>
      <c r="AB106" s="103" t="n">
        <f aca="false">SUM(AB6:AB105)</f>
        <v>14670.4315068493</v>
      </c>
      <c r="AC106" s="103" t="n">
        <f aca="false">SUM(AC6:AC105)</f>
        <v>849.315068493151</v>
      </c>
      <c r="AD106" s="103" t="n">
        <f aca="false">SUM(AD6:AD105)</f>
        <v>3416.66666666667</v>
      </c>
      <c r="AE106" s="103" t="n">
        <f aca="false">SUM(AE6:AE105)</f>
        <v>2650</v>
      </c>
      <c r="AF106" s="103" t="n">
        <f aca="false">SUM(AF6:AF105)</f>
        <v>400</v>
      </c>
      <c r="AG106" s="103" t="n">
        <f aca="false">SUM(AG6:AG105)</f>
        <v>254658.369577626</v>
      </c>
      <c r="AH106" s="103"/>
      <c r="AI106" s="103"/>
      <c r="AJ106" s="103"/>
      <c r="AK106" s="103"/>
      <c r="AL106" s="136" t="n">
        <f aca="false">SUM(AL6:AL105)</f>
        <v>35</v>
      </c>
      <c r="AM106" s="103" t="n">
        <f aca="false">SUM(AM6:AM105)</f>
        <v>25650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يونيو'!A1" display="◀ الشهر السابق"/>
    <hyperlink ref="L3" location="'مسير أغسطس'!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أغسطس "&amp;cfg_FY</f>
        <v>💵 مسير رواتب شهر أغسطس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8</v>
      </c>
      <c r="D3" s="112" t="s">
        <v>434</v>
      </c>
      <c r="E3" s="114" t="n">
        <f aca="false">DATE(cfg_FY,C3,1)</f>
        <v>46235</v>
      </c>
      <c r="F3" s="114" t="n">
        <f aca="false">EOMONTH(E3,0)</f>
        <v>46265</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3210.41095890406</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والحالات'!$AO$6:$AO$505,'سجل الإجازات والحالات'!$B$6:$B$505,$B6))/cfg_DAYS_Y)</f>
        <v>14.6383561643836</v>
      </c>
      <c r="AI6" s="130" t="n">
        <f aca="false">IF($B6="","",MAX(0,IF(OR(الموظفون!$AE6="",الموظفون!$AE6&gt;($E$3-1)),($E$3-1),الموظفون!$AE6)-الموظفون!$H6+1-SUMIFS('سجل الإجازات والحالات'!$AN$6:$AN$505,'سجل الإجازات والحالات'!$B$6:$B$505,$B6))/cfg_DAYS_Y)</f>
        <v>14.5534246575342</v>
      </c>
      <c r="AJ6" s="57" t="n">
        <f aca="false">IF($B6="","",MAX(0,AK6-(SUMIFS('سجل الإجازات والحالات'!$AO$6:$AO$505,'سجل الإجازات والحالات'!$B$6:$B$505,$B6)-SUMIFS('سجل الإجازات والحالات'!$AN$6:$AN$505,'سجل الإجازات والحالات'!$B$6:$B$505,$B6))))</f>
        <v>31</v>
      </c>
      <c r="AK6" s="57" t="n">
        <f aca="false">IF($B6="","",MAX(0,IF(OR(الموظفون!$AE6="",الموظفون!$AE6&gt;$F$3),$F$3,الموظفون!$AE6)-MAX($E$3,الموظفون!$H6)+1))</f>
        <v>31</v>
      </c>
      <c r="AL6" s="126" t="n">
        <f aca="false">IF($B6="","",SUMIFS('سجل الإجازات والحالات'!$BA$6:$BA$505,'سجل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والحالات'!$AC$6:$AC$505,'سجل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والحالات'!$AO$6:$AO$505,'سجل الإجازات والحالات'!$B$6:$B$505,$B7))/cfg_DAYS_Y)</f>
        <v>10.2575342465753</v>
      </c>
      <c r="AI7" s="135" t="n">
        <f aca="false">IF($B7="","",MAX(0,IF(OR(الموظفون!$AE7="",الموظفون!$AE7&gt;($E$3-1)),($E$3-1),الموظفون!$AE7)-الموظفون!$H7+1-SUMIFS('سجل الإجازات والحالات'!$AN$6:$AN$505,'سجل الإجازات والحالات'!$B$6:$B$505,$B7))/cfg_DAYS_Y)</f>
        <v>10.172602739726</v>
      </c>
      <c r="AJ7" s="110" t="n">
        <f aca="false">IF($B7="","",MAX(0,AK7-(SUMIFS('سجل الإجازات والحالات'!$AO$6:$AO$505,'سجل الإجازات والحالات'!$B$6:$B$505,$B7)-SUMIFS('سجل الإجازات والحالات'!$AN$6:$AN$505,'سجل الإجازات والحالات'!$B$6:$B$505,$B7))))</f>
        <v>31</v>
      </c>
      <c r="AK7" s="110" t="n">
        <f aca="false">IF($B7="","",MAX(0,IF(OR(الموظفون!$AE7="",الموظفون!$AE7&gt;$F$3),$F$3,الموظفون!$AE7)-MAX($E$3,الموظفون!$H7)+1))</f>
        <v>31</v>
      </c>
      <c r="AL7" s="131" t="n">
        <f aca="false">IF($B7="","",SUMIFS('سجل الإجازات والحالات'!$BA$6:$BA$505,'سجل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والحالات'!$AC$6:$AC$505,'سجل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15326.7351598174</v>
      </c>
      <c r="AH8" s="130" t="n">
        <f aca="false">IF($B8="","",MAX(0,IF(OR(الموظفون!$AE8="",الموظفون!$AE8&gt;$F$3),$F$3,الموظفون!$AE8)-الموظفون!$H8+1-SUMIFS('سجل الإجازات والحالات'!$AO$6:$AO$505,'سجل الإجازات والحالات'!$B$6:$B$505,$B8))/cfg_DAYS_Y)</f>
        <v>7.98082191780822</v>
      </c>
      <c r="AI8" s="130" t="n">
        <f aca="false">IF($B8="","",MAX(0,IF(OR(الموظفون!$AE8="",الموظفون!$AE8&gt;($E$3-1)),($E$3-1),الموظفون!$AE8)-الموظفون!$H8+1-SUMIFS('سجل الإجازات والحالات'!$AN$6:$AN$505,'سجل الإجازات والحالات'!$B$6:$B$505,$B8))/cfg_DAYS_Y)</f>
        <v>7.8958904109589</v>
      </c>
      <c r="AJ8" s="57" t="n">
        <f aca="false">IF($B8="","",MAX(0,AK8-(SUMIFS('سجل الإجازات والحالات'!$AO$6:$AO$505,'سجل الإجازات والحالات'!$B$6:$B$505,$B8)-SUMIFS('سجل الإجازات والحالات'!$AN$6:$AN$505,'سجل الإجازات والحالات'!$B$6:$B$505,$B8))))</f>
        <v>31</v>
      </c>
      <c r="AK8" s="57" t="n">
        <f aca="false">IF($B8="","",MAX(0,IF(OR(الموظفون!$AE8="",الموظفون!$AE8&gt;$F$3),$F$3,الموظفون!$AE8)-MAX($E$3,الموظفون!$H8)+1))</f>
        <v>31</v>
      </c>
      <c r="AL8" s="126" t="n">
        <f aca="false">IF($B8="","",SUMIFS('سجل الإجازات والحالات'!$BA$6:$BA$505,'سجل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والحالات'!$AC$6:$AC$505,'سجل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1605.20547945206</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والحالات'!$AO$6:$AO$505,'سجل الإجازات والحالات'!$B$6:$B$505,$B9))/cfg_DAYS_Y)</f>
        <v>7.58630136986301</v>
      </c>
      <c r="AI9" s="135" t="n">
        <f aca="false">IF($B9="","",MAX(0,IF(OR(الموظفون!$AE9="",الموظفون!$AE9&gt;($E$3-1)),($E$3-1),الموظفون!$AE9)-الموظفون!$H9+1-SUMIFS('سجل الإجازات والحالات'!$AN$6:$AN$505,'سجل الإجازات والحالات'!$B$6:$B$505,$B9))/cfg_DAYS_Y)</f>
        <v>7.5013698630137</v>
      </c>
      <c r="AJ9" s="110" t="n">
        <f aca="false">IF($B9="","",MAX(0,AK9-(SUMIFS('سجل الإجازات والحالات'!$AO$6:$AO$505,'سجل الإجازات والحالات'!$B$6:$B$505,$B9)-SUMIFS('سجل الإجازات والحالات'!$AN$6:$AN$505,'سجل الإجازات والحالات'!$B$6:$B$505,$B9))))</f>
        <v>31</v>
      </c>
      <c r="AK9" s="110" t="n">
        <f aca="false">IF($B9="","",MAX(0,IF(OR(الموظفون!$AE9="",الموظفون!$AE9&gt;$F$3),$F$3,الموظفون!$AE9)-MAX($E$3,الموظفون!$H9)+1))</f>
        <v>31</v>
      </c>
      <c r="AL9" s="131" t="n">
        <f aca="false">IF($B9="","",SUMIFS('سجل الإجازات والحالات'!$BA$6:$BA$505,'سجل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والحالات'!$AC$6:$AC$505,'سجل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راتب إجازة مقدم</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21</v>
      </c>
      <c r="J10" s="126" t="n">
        <f aca="false">IF($B10="","",MAX(0,G10-H10-I10))</f>
        <v>9</v>
      </c>
      <c r="K10" s="97" t="n">
        <f aca="false">IF($B10="","",الموظفون!$L10*$J10/cfg_DAYS_M)</f>
        <v>2700</v>
      </c>
      <c r="L10" s="97" t="n">
        <f aca="false">IF($B10="","",الموظفون!$M10*$J10/cfg_DAYS_M)</f>
        <v>675</v>
      </c>
      <c r="M10" s="97" t="n">
        <f aca="false">IF($B10="","",الموظفون!$N10*$J10/cfg_DAYS_M)</f>
        <v>270</v>
      </c>
      <c r="N10" s="97" t="n">
        <f aca="false">IF($B10="","",الموظفون!$O10*$J10/cfg_DAYS_M)</f>
        <v>210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8505</v>
      </c>
      <c r="T10" s="127" t="n">
        <f aca="false">IF($B10="","",SUM(K10:N10)+SUM(P10:S10))</f>
        <v>12360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12360</v>
      </c>
      <c r="Z10" s="97" t="n">
        <f aca="false">IF($B10="","",الموظفون!$S10*IF(E10="سعودي",cfg_G_SR,cfg_G_NR)*G10/cfg_DAYS_M)</f>
        <v>225</v>
      </c>
      <c r="AA10" s="97" t="n">
        <f aca="false">IF($B10="","",الموظفون!$Q10*(cfg_EOS_R1*(MIN(AH10,cfg_EOS_TH)-MIN(AI10,cfg_EOS_TH))+cfg_EOS_R2*(MAX(AH10-cfg_EOS_TH,0)-MAX(AI10-cfg_EOS_TH,0))))</f>
        <v>1031.91780821918</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15940.8105022831</v>
      </c>
      <c r="AH10" s="130" t="n">
        <f aca="false">IF($B10="","",MAX(0,IF(OR(الموظفون!$AE10="",الموظفون!$AE10&gt;$F$3),$F$3,الموظفون!$AE10)-الموظفون!$H10+1-SUMIFS('سجل الإجازات والحالات'!$AO$6:$AO$505,'سجل الإجازات والحالات'!$B$6:$B$505,$B10))/cfg_DAYS_Y)</f>
        <v>6.39178082191781</v>
      </c>
      <c r="AI10" s="130" t="n">
        <f aca="false">IF($B10="","",MAX(0,IF(OR(الموظفون!$AE10="",الموظفون!$AE10&gt;($E$3-1)),($E$3-1),الموظفون!$AE10)-الموظفون!$H10+1-SUMIFS('سجل الإجازات والحالات'!$AN$6:$AN$505,'سجل الإجازات والحالات'!$B$6:$B$505,$B10))/cfg_DAYS_Y)</f>
        <v>6.30684931506849</v>
      </c>
      <c r="AJ10" s="57" t="n">
        <f aca="false">IF($B10="","",MAX(0,AK10-(SUMIFS('سجل الإجازات والحالات'!$AO$6:$AO$505,'سجل الإجازات والحالات'!$B$6:$B$505,$B10)-SUMIFS('سجل الإجازات والحالات'!$AN$6:$AN$505,'سجل الإجازات والحالات'!$B$6:$B$505,$B10))))</f>
        <v>31</v>
      </c>
      <c r="AK10" s="57" t="n">
        <f aca="false">IF($B10="","",MAX(0,IF(OR(الموظفون!$AE10="",الموظفون!$AE10&gt;$F$3),$F$3,الموظفون!$AE10)-MAX($E$3,الموظفون!$H10)+1))</f>
        <v>31</v>
      </c>
      <c r="AL10" s="126" t="n">
        <f aca="false">IF($B10="","",SUMIFS('سجل الإجازات والحالات'!$BA$6:$BA$505,'سجل الإجازات والحالات'!$B$6:$B$505,$B10)+SUMIFS('الحركات الشهرية'!$K$6:$K$1005,'الحركات الشهرية'!$B$6:$B$1005,$B10,'الحركات الشهرية'!$A$6:$A$1005,$C$3))</f>
        <v>0</v>
      </c>
      <c r="AM10" s="97" t="n">
        <f aca="false">IF($B10="","",AL10*الموظفون!$R10/cfg_DAYS_M+S10)</f>
        <v>8505</v>
      </c>
      <c r="AN10" s="126" t="n">
        <f aca="false">IF($B10="","",SUMIFS('سجل الإجازات والحالات'!$AC$6:$AC$505,'سجل الإجازات والحالات'!$B$6:$B$505,$B10))</f>
        <v>21</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والحالات'!$AO$6:$AO$505,'سجل الإجازات والحالات'!$B$6:$B$505,$B11))/cfg_DAYS_Y)</f>
        <v>8.82739726027397</v>
      </c>
      <c r="AI11" s="135" t="n">
        <f aca="false">IF($B11="","",MAX(0,IF(OR(الموظفون!$AE11="",الموظفون!$AE11&gt;($E$3-1)),($E$3-1),الموظفون!$AE11)-الموظفون!$H11+1-SUMIFS('سجل الإجازات والحالات'!$AN$6:$AN$505,'سجل الإجازات والحالات'!$B$6:$B$505,$B11))/cfg_DAYS_Y)</f>
        <v>8.74246575342466</v>
      </c>
      <c r="AJ11" s="110" t="n">
        <f aca="false">IF($B11="","",MAX(0,AK11-(SUMIFS('سجل الإجازات والحالات'!$AO$6:$AO$505,'سجل الإجازات والحالات'!$B$6:$B$505,$B11)-SUMIFS('سجل الإجازات والحالات'!$AN$6:$AN$505,'سجل الإجازات والحالات'!$B$6:$B$505,$B11))))</f>
        <v>31</v>
      </c>
      <c r="AK11" s="110" t="n">
        <f aca="false">IF($B11="","",MAX(0,IF(OR(الموظفون!$AE11="",الموظفون!$AE11&gt;$F$3),$F$3,الموظفون!$AE11)-MAX($E$3,الموظفون!$H11)+1))</f>
        <v>31</v>
      </c>
      <c r="AL11" s="131" t="n">
        <f aca="false">IF($B11="","",SUMIFS('سجل الإجازات والحالات'!$BA$6:$BA$505,'سجل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والحالات'!$AC$6:$AC$505,'سجل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1261.23287671234</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20283.8242009133</v>
      </c>
      <c r="AH12" s="130" t="n">
        <f aca="false">IF($B12="","",MAX(0,IF(OR(الموظفون!$AE12="",الموظفون!$AE12&gt;$F$3),$F$3,الموظفون!$AE12)-الموظفون!$H12+1-SUMIFS('سجل الإجازات والحالات'!$AO$6:$AO$505,'سجل الإجازات والحالات'!$B$6:$B$505,$B12))/cfg_DAYS_Y)</f>
        <v>5.61643835616438</v>
      </c>
      <c r="AI12" s="130" t="n">
        <f aca="false">IF($B12="","",MAX(0,IF(OR(الموظفون!$AE12="",الموظفون!$AE12&gt;($E$3-1)),($E$3-1),الموظفون!$AE12)-الموظفون!$H12+1-SUMIFS('سجل الإجازات والحالات'!$AN$6:$AN$505,'سجل الإجازات والحالات'!$B$6:$B$505,$B12))/cfg_DAYS_Y)</f>
        <v>5.53150684931507</v>
      </c>
      <c r="AJ12" s="57" t="n">
        <f aca="false">IF($B12="","",MAX(0,AK12-(SUMIFS('سجل الإجازات والحالات'!$AO$6:$AO$505,'سجل الإجازات والحالات'!$B$6:$B$505,$B12)-SUMIFS('سجل الإجازات والحالات'!$AN$6:$AN$505,'سجل الإجازات والحالات'!$B$6:$B$505,$B12))))</f>
        <v>31</v>
      </c>
      <c r="AK12" s="57" t="n">
        <f aca="false">IF($B12="","",MAX(0,IF(OR(الموظفون!$AE12="",الموظفون!$AE12&gt;$F$3),$F$3,الموظفون!$AE12)-MAX($E$3,الموظفون!$H12)+1))</f>
        <v>31</v>
      </c>
      <c r="AL12" s="126" t="n">
        <f aca="false">IF($B12="","",SUMIFS('سجل الإجازات والحالات'!$BA$6:$BA$505,'سجل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والحالات'!$AC$6:$AC$505,'سجل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خصم 3 يوم بدون أجر</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3</v>
      </c>
      <c r="J13" s="131" t="n">
        <f aca="false">IF($B13="","",MAX(0,G13-H13-I13))</f>
        <v>27</v>
      </c>
      <c r="K13" s="101" t="n">
        <f aca="false">IF($B13="","",الموظفون!$L13*$J13/cfg_DAYS_M)</f>
        <v>6750</v>
      </c>
      <c r="L13" s="101" t="n">
        <f aca="false">IF($B13="","",الموظفون!$M13*$J13/cfg_DAYS_M)</f>
        <v>1687.5</v>
      </c>
      <c r="M13" s="101" t="n">
        <f aca="false">IF($B13="","",الموظفون!$N13*$J13/cfg_DAYS_M)</f>
        <v>675</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9112.5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8198.4375</v>
      </c>
      <c r="Z13" s="101" t="n">
        <f aca="false">IF($B13="","",الموظفون!$S13*IF(E13="سعودي",cfg_G_SR,cfg_G_NR)*G13/cfg_DAYS_M)</f>
        <v>1101.5625</v>
      </c>
      <c r="AA13" s="101" t="n">
        <f aca="false">IF($B13="","",الموظفون!$Q13*(cfg_EOS_R1*(MIN(AH13,cfg_EOS_TH)-MIN(AI13,cfg_EOS_TH))+cfg_EOS_R2*(MAX(AH13-cfg_EOS_TH,0)-MAX(AI13-cfg_EOS_TH,0))))</f>
        <v>388.356164383562</v>
      </c>
      <c r="AB13" s="101" t="n">
        <f aca="false">IF($B13="","",IF(الموظفون!$T13&lt;&gt;"",الموظفون!$T13,IF(AH13&gt;=cfg_LV_TH,cfg_LV_D2,cfg_LV_D1))/cfg_DAYS_Y*AJ13*الموظفون!$R13/cfg_DAYS_M)</f>
        <v>543.698630136986</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11346.1172945205</v>
      </c>
      <c r="AH13" s="135" t="n">
        <f aca="false">IF($B13="","",MAX(0,IF(OR(الموظفون!$AE13="",الموظفون!$AE13&gt;$F$3),$F$3,الموظفون!$AE13)-الموظفون!$H13+1-SUMIFS('سجل الإجازات والحالات'!$AO$6:$AO$505,'سجل الإجازات والحالات'!$B$6:$B$505,$B13))/cfg_DAYS_Y)</f>
        <v>3.4986301369863</v>
      </c>
      <c r="AI13" s="135" t="n">
        <f aca="false">IF($B13="","",MAX(0,IF(OR(الموظفون!$AE13="",الموظفون!$AE13&gt;($E$3-1)),($E$3-1),الموظفون!$AE13)-الموظفون!$H13+1-SUMIFS('سجل الإجازات والحالات'!$AN$6:$AN$505,'سجل الإجازات والحالات'!$B$6:$B$505,$B13))/cfg_DAYS_Y)</f>
        <v>3.42191780821918</v>
      </c>
      <c r="AJ13" s="110" t="n">
        <f aca="false">IF($B13="","",MAX(0,AK13-(SUMIFS('سجل الإجازات والحالات'!$AO$6:$AO$505,'سجل الإجازات والحالات'!$B$6:$B$505,$B13)-SUMIFS('سجل الإجازات والحالات'!$AN$6:$AN$505,'سجل الإجازات والحالات'!$B$6:$B$505,$B13))))</f>
        <v>28</v>
      </c>
      <c r="AK13" s="110" t="n">
        <f aca="false">IF($B13="","",MAX(0,IF(OR(الموظفون!$AE13="",الموظفون!$AE13&gt;$F$3),$F$3,الموظفون!$AE13)-MAX($E$3,الموظفون!$H13)+1))</f>
        <v>31</v>
      </c>
      <c r="AL13" s="131" t="n">
        <f aca="false">IF($B13="","",SUMIFS('سجل الإجازات والحالات'!$BA$6:$BA$505,'سجل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والحالات'!$AC$6:$AC$505,'سجل الإجازات والحالات'!$B$6:$B$505,$B13))</f>
        <v>3</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والحالات'!$AO$6:$AO$505,'سجل الإجازات والحالات'!$B$6:$B$505,$B14))/cfg_DAYS_Y)</f>
        <v>12.0465753424658</v>
      </c>
      <c r="AI14" s="130" t="n">
        <f aca="false">IF($B14="","",MAX(0,IF(OR(الموظفون!$AE14="",الموظفون!$AE14&gt;($E$3-1)),($E$3-1),الموظفون!$AE14)-الموظفون!$H14+1-SUMIFS('سجل الإجازات والحالات'!$AN$6:$AN$505,'سجل الإجازات والحالات'!$B$6:$B$505,$B14))/cfg_DAYS_Y)</f>
        <v>11.9616438356164</v>
      </c>
      <c r="AJ14" s="57" t="n">
        <f aca="false">IF($B14="","",MAX(0,AK14-(SUMIFS('سجل الإجازات والحالات'!$AO$6:$AO$505,'سجل الإجازات والحالات'!$B$6:$B$505,$B14)-SUMIFS('سجل الإجازات والحالات'!$AN$6:$AN$505,'سجل الإجازات والحالات'!$B$6:$B$505,$B14))))</f>
        <v>31</v>
      </c>
      <c r="AK14" s="57" t="n">
        <f aca="false">IF($B14="","",MAX(0,IF(OR(الموظفون!$AE14="",الموظفون!$AE14&gt;$F$3),$F$3,الموظفون!$AE14)-MAX($E$3,الموظفون!$H14)+1))</f>
        <v>31</v>
      </c>
      <c r="AL14" s="126" t="n">
        <f aca="false">IF($B14="","",SUMIFS('سجل الإجازات والحالات'!$BA$6:$BA$505,'سجل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والحالات'!$AC$6:$AC$505,'سجل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والحالات'!$AO$6:$AO$505,'سجل الإجازات والحالات'!$B$6:$B$505,$B15))/cfg_DAYS_Y)</f>
        <v>0.380821917808219</v>
      </c>
      <c r="AI15" s="135" t="n">
        <f aca="false">IF($B15="","",MAX(0,IF(OR(الموظفون!$AE15="",الموظفون!$AE15&gt;($E$3-1)),($E$3-1),الموظفون!$AE15)-الموظفون!$H15+1-SUMIFS('سجل الإجازات والحالات'!$AN$6:$AN$505,'سجل الإجازات والحالات'!$B$6:$B$505,$B15))/cfg_DAYS_Y)</f>
        <v>0.295890410958904</v>
      </c>
      <c r="AJ15" s="110" t="n">
        <f aca="false">IF($B15="","",MAX(0,AK15-(SUMIFS('سجل الإجازات والحالات'!$AO$6:$AO$505,'سجل الإجازات والحالات'!$B$6:$B$505,$B15)-SUMIFS('سجل الإجازات والحالات'!$AN$6:$AN$505,'سجل الإجازات والحالات'!$B$6:$B$505,$B15))))</f>
        <v>31</v>
      </c>
      <c r="AK15" s="110" t="n">
        <f aca="false">IF($B15="","",MAX(0,IF(OR(الموظفون!$AE15="",الموظفون!$AE15&gt;$F$3),$F$3,الموظفون!$AE15)-MAX($E$3,الموظفون!$H15)+1))</f>
        <v>31</v>
      </c>
      <c r="AL15" s="131" t="n">
        <f aca="false">IF($B15="","",SUMIFS('سجل الإجازات والحالات'!$BA$6:$BA$505,'سجل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والحالات'!$AC$6:$AC$505,'سجل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والحالات'!$AO$6:$AO$505,'سجل الإجازات والحالات'!$B$6:$B$505,$B16))/cfg_DAYS_Y)</f>
        <v>7.33972602739726</v>
      </c>
      <c r="AI16" s="130" t="n">
        <f aca="false">IF($B16="","",MAX(0,IF(OR(الموظفون!$AE16="",الموظفون!$AE16&gt;($E$3-1)),($E$3-1),الموظفون!$AE16)-الموظفون!$H16+1-SUMIFS('سجل الإجازات والحالات'!$AN$6:$AN$505,'سجل الإجازات والحالات'!$B$6:$B$505,$B16))/cfg_DAYS_Y)</f>
        <v>7.33972602739726</v>
      </c>
      <c r="AJ16" s="57" t="n">
        <f aca="false">IF($B16="","",MAX(0,AK16-(SUMIFS('سجل الإجازات والحالات'!$AO$6:$AO$505,'سجل الإجازات والحالات'!$B$6:$B$505,$B16)-SUMIFS('سجل الإجازات والحالات'!$AN$6:$AN$505,'سجل الإجازات والحالات'!$B$6:$B$505,$B16))))</f>
        <v>0</v>
      </c>
      <c r="AK16" s="57" t="n">
        <f aca="false">IF($B16="","",MAX(0,IF(OR(الموظفون!$AE16="",الموظفون!$AE16&gt;$F$3),$F$3,الموظفون!$AE16)-MAX($E$3,الموظفون!$H16)+1))</f>
        <v>0</v>
      </c>
      <c r="AL16" s="126" t="n">
        <f aca="false">IF($B16="","",SUMIFS('سجل الإجازات والحالات'!$BA$6:$BA$505,'سجل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والحالات'!$AC$6:$AC$505,'سجل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687.945205479456</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والحالات'!$AO$6:$AO$505,'سجل الإجازات والحالات'!$B$6:$B$505,$B17))/cfg_DAYS_Y)</f>
        <v>4.14794520547945</v>
      </c>
      <c r="AI17" s="135" t="n">
        <f aca="false">IF($B17="","",MAX(0,IF(OR(الموظفون!$AE17="",الموظفون!$AE17&gt;($E$3-1)),($E$3-1),الموظفون!$AE17)-الموظفون!$H17+1-SUMIFS('سجل الإجازات والحالات'!$AN$6:$AN$505,'سجل الإجازات والحالات'!$B$6:$B$505,$B17))/cfg_DAYS_Y)</f>
        <v>4.06301369863014</v>
      </c>
      <c r="AJ17" s="110" t="n">
        <f aca="false">IF($B17="","",MAX(0,AK17-(SUMIFS('سجل الإجازات والحالات'!$AO$6:$AO$505,'سجل الإجازات والحالات'!$B$6:$B$505,$B17)-SUMIFS('سجل الإجازات والحالات'!$AN$6:$AN$505,'سجل الإجازات والحالات'!$B$6:$B$505,$B17))))</f>
        <v>31</v>
      </c>
      <c r="AK17" s="110" t="n">
        <f aca="false">IF($B17="","",MAX(0,IF(OR(الموظفون!$AE17="",الموظفون!$AE17&gt;$F$3),$F$3,الموظفون!$AE17)-MAX($E$3,الموظفون!$H17)+1))</f>
        <v>31</v>
      </c>
      <c r="AL17" s="131" t="n">
        <f aca="false">IF($B17="","",SUMIFS('سجل الإجازات والحالات'!$BA$6:$BA$505,'سجل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والحالات'!$AC$6:$AC$505,'سجل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والحالات'!$AO$6:$AO$505,'سجل الإجازات والحالات'!$B$6:$B$505,$B18))/cfg_DAYS_Y)</f>
        <v/>
      </c>
      <c r="AI18" s="130" t="str">
        <f aca="false">IF($B18="","",MAX(0,IF(OR(الموظفون!$AE18="",الموظفون!$AE18&gt;($E$3-1)),($E$3-1),الموظفون!$AE18)-الموظفون!$H18+1-SUMIFS('سجل الإجازات والحالات'!$AN$6:$AN$505,'سجل الإجازات والحالات'!$B$6:$B$505,$B18))/cfg_DAYS_Y)</f>
        <v/>
      </c>
      <c r="AJ18" s="57" t="str">
        <f aca="false">IF($B18="","",MAX(0,AK18-(SUMIFS('سجل الإجازات والحالات'!$AO$6:$AO$505,'سجل الإجازات والحالات'!$B$6:$B$505,$B18)-SUMIFS('سجل الإجازات والحالات'!$AN$6:$AN$505,'سجل الإجازات والحالات'!$B$6:$B$505,$B18))))</f>
        <v/>
      </c>
      <c r="AK18" s="57" t="str">
        <f aca="false">IF($B18="","",MAX(0,IF(OR(الموظفون!$AE18="",الموظفون!$AE18&gt;$F$3),$F$3,الموظفون!$AE18)-MAX($E$3,الموظفون!$H18)+1))</f>
        <v/>
      </c>
      <c r="AL18" s="126" t="str">
        <f aca="false">IF($B18="","",SUMIFS('سجل الإجازات والحالات'!$BA$6:$BA$505,'سجل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والحالات'!$AC$6:$AC$505,'سجل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والحالات'!$AO$6:$AO$505,'سجل الإجازات والحالات'!$B$6:$B$505,$B19))/cfg_DAYS_Y)</f>
        <v/>
      </c>
      <c r="AI19" s="135" t="str">
        <f aca="false">IF($B19="","",MAX(0,IF(OR(الموظفون!$AE19="",الموظفون!$AE19&gt;($E$3-1)),($E$3-1),الموظفون!$AE19)-الموظفون!$H19+1-SUMIFS('سجل الإجازات والحالات'!$AN$6:$AN$505,'سجل الإجازات والحالات'!$B$6:$B$505,$B19))/cfg_DAYS_Y)</f>
        <v/>
      </c>
      <c r="AJ19" s="110" t="str">
        <f aca="false">IF($B19="","",MAX(0,AK19-(SUMIFS('سجل الإجازات والحالات'!$AO$6:$AO$505,'سجل الإجازات والحالات'!$B$6:$B$505,$B19)-SUMIFS('سجل الإجازات والحالات'!$AN$6:$AN$505,'سجل الإجازات والحالات'!$B$6:$B$505,$B19))))</f>
        <v/>
      </c>
      <c r="AK19" s="110" t="str">
        <f aca="false">IF($B19="","",MAX(0,IF(OR(الموظفون!$AE19="",الموظفون!$AE19&gt;$F$3),$F$3,الموظفون!$AE19)-MAX($E$3,الموظفون!$H19)+1))</f>
        <v/>
      </c>
      <c r="AL19" s="131" t="str">
        <f aca="false">IF($B19="","",SUMIFS('سجل الإجازات والحالات'!$BA$6:$BA$505,'سجل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والحالات'!$AC$6:$AC$505,'سجل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والحالات'!$AO$6:$AO$505,'سجل الإجازات والحالات'!$B$6:$B$505,$B20))/cfg_DAYS_Y)</f>
        <v/>
      </c>
      <c r="AI20" s="130" t="str">
        <f aca="false">IF($B20="","",MAX(0,IF(OR(الموظفون!$AE20="",الموظفون!$AE20&gt;($E$3-1)),($E$3-1),الموظفون!$AE20)-الموظفون!$H20+1-SUMIFS('سجل الإجازات والحالات'!$AN$6:$AN$505,'سجل الإجازات والحالات'!$B$6:$B$505,$B20))/cfg_DAYS_Y)</f>
        <v/>
      </c>
      <c r="AJ20" s="57" t="str">
        <f aca="false">IF($B20="","",MAX(0,AK20-(SUMIFS('سجل الإجازات والحالات'!$AO$6:$AO$505,'سجل الإجازات والحالات'!$B$6:$B$505,$B20)-SUMIFS('سجل الإجازات والحالات'!$AN$6:$AN$505,'سجل الإجازات والحالات'!$B$6:$B$505,$B20))))</f>
        <v/>
      </c>
      <c r="AK20" s="57" t="str">
        <f aca="false">IF($B20="","",MAX(0,IF(OR(الموظفون!$AE20="",الموظفون!$AE20&gt;$F$3),$F$3,الموظفون!$AE20)-MAX($E$3,الموظفون!$H20)+1))</f>
        <v/>
      </c>
      <c r="AL20" s="126" t="str">
        <f aca="false">IF($B20="","",SUMIFS('سجل الإجازات والحالات'!$BA$6:$BA$505,'سجل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والحالات'!$AC$6:$AC$505,'سجل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والحالات'!$AO$6:$AO$505,'سجل الإجازات والحالات'!$B$6:$B$505,$B21))/cfg_DAYS_Y)</f>
        <v/>
      </c>
      <c r="AI21" s="135" t="str">
        <f aca="false">IF($B21="","",MAX(0,IF(OR(الموظفون!$AE21="",الموظفون!$AE21&gt;($E$3-1)),($E$3-1),الموظفون!$AE21)-الموظفون!$H21+1-SUMIFS('سجل الإجازات والحالات'!$AN$6:$AN$505,'سجل الإجازات والحالات'!$B$6:$B$505,$B21))/cfg_DAYS_Y)</f>
        <v/>
      </c>
      <c r="AJ21" s="110" t="str">
        <f aca="false">IF($B21="","",MAX(0,AK21-(SUMIFS('سجل الإجازات والحالات'!$AO$6:$AO$505,'سجل الإجازات والحالات'!$B$6:$B$505,$B21)-SUMIFS('سجل الإجازات والحالات'!$AN$6:$AN$505,'سجل الإجازات والحالات'!$B$6:$B$505,$B21))))</f>
        <v/>
      </c>
      <c r="AK21" s="110" t="str">
        <f aca="false">IF($B21="","",MAX(0,IF(OR(الموظفون!$AE21="",الموظفون!$AE21&gt;$F$3),$F$3,الموظفون!$AE21)-MAX($E$3,الموظفون!$H21)+1))</f>
        <v/>
      </c>
      <c r="AL21" s="131" t="str">
        <f aca="false">IF($B21="","",SUMIFS('سجل الإجازات والحالات'!$BA$6:$BA$505,'سجل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والحالات'!$AC$6:$AC$505,'سجل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والحالات'!$AO$6:$AO$505,'سجل الإجازات والحالات'!$B$6:$B$505,$B22))/cfg_DAYS_Y)</f>
        <v/>
      </c>
      <c r="AI22" s="130" t="str">
        <f aca="false">IF($B22="","",MAX(0,IF(OR(الموظفون!$AE22="",الموظفون!$AE22&gt;($E$3-1)),($E$3-1),الموظفون!$AE22)-الموظفون!$H22+1-SUMIFS('سجل الإجازات والحالات'!$AN$6:$AN$505,'سجل الإجازات والحالات'!$B$6:$B$505,$B22))/cfg_DAYS_Y)</f>
        <v/>
      </c>
      <c r="AJ22" s="57" t="str">
        <f aca="false">IF($B22="","",MAX(0,AK22-(SUMIFS('سجل الإجازات والحالات'!$AO$6:$AO$505,'سجل الإجازات والحالات'!$B$6:$B$505,$B22)-SUMIFS('سجل الإجازات والحالات'!$AN$6:$AN$505,'سجل الإجازات والحالات'!$B$6:$B$505,$B22))))</f>
        <v/>
      </c>
      <c r="AK22" s="57" t="str">
        <f aca="false">IF($B22="","",MAX(0,IF(OR(الموظفون!$AE22="",الموظفون!$AE22&gt;$F$3),$F$3,الموظفون!$AE22)-MAX($E$3,الموظفون!$H22)+1))</f>
        <v/>
      </c>
      <c r="AL22" s="126" t="str">
        <f aca="false">IF($B22="","",SUMIFS('سجل الإجازات والحالات'!$BA$6:$BA$505,'سجل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والحالات'!$AC$6:$AC$505,'سجل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والحالات'!$AO$6:$AO$505,'سجل الإجازات والحالات'!$B$6:$B$505,$B23))/cfg_DAYS_Y)</f>
        <v/>
      </c>
      <c r="AI23" s="135" t="str">
        <f aca="false">IF($B23="","",MAX(0,IF(OR(الموظفون!$AE23="",الموظفون!$AE23&gt;($E$3-1)),($E$3-1),الموظفون!$AE23)-الموظفون!$H23+1-SUMIFS('سجل الإجازات والحالات'!$AN$6:$AN$505,'سجل الإجازات والحالات'!$B$6:$B$505,$B23))/cfg_DAYS_Y)</f>
        <v/>
      </c>
      <c r="AJ23" s="110" t="str">
        <f aca="false">IF($B23="","",MAX(0,AK23-(SUMIFS('سجل الإجازات والحالات'!$AO$6:$AO$505,'سجل الإجازات والحالات'!$B$6:$B$505,$B23)-SUMIFS('سجل الإجازات والحالات'!$AN$6:$AN$505,'سجل الإجازات والحالات'!$B$6:$B$505,$B23))))</f>
        <v/>
      </c>
      <c r="AK23" s="110" t="str">
        <f aca="false">IF($B23="","",MAX(0,IF(OR(الموظفون!$AE23="",الموظفون!$AE23&gt;$F$3),$F$3,الموظفون!$AE23)-MAX($E$3,الموظفون!$H23)+1))</f>
        <v/>
      </c>
      <c r="AL23" s="131" t="str">
        <f aca="false">IF($B23="","",SUMIFS('سجل الإجازات والحالات'!$BA$6:$BA$505,'سجل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والحالات'!$AC$6:$AC$505,'سجل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والحالات'!$AO$6:$AO$505,'سجل الإجازات والحالات'!$B$6:$B$505,$B24))/cfg_DAYS_Y)</f>
        <v/>
      </c>
      <c r="AI24" s="130" t="str">
        <f aca="false">IF($B24="","",MAX(0,IF(OR(الموظفون!$AE24="",الموظفون!$AE24&gt;($E$3-1)),($E$3-1),الموظفون!$AE24)-الموظفون!$H24+1-SUMIFS('سجل الإجازات والحالات'!$AN$6:$AN$505,'سجل الإجازات والحالات'!$B$6:$B$505,$B24))/cfg_DAYS_Y)</f>
        <v/>
      </c>
      <c r="AJ24" s="57" t="str">
        <f aca="false">IF($B24="","",MAX(0,AK24-(SUMIFS('سجل الإجازات والحالات'!$AO$6:$AO$505,'سجل الإجازات والحالات'!$B$6:$B$505,$B24)-SUMIFS('سجل الإجازات والحالات'!$AN$6:$AN$505,'سجل الإجازات والحالات'!$B$6:$B$505,$B24))))</f>
        <v/>
      </c>
      <c r="AK24" s="57" t="str">
        <f aca="false">IF($B24="","",MAX(0,IF(OR(الموظفون!$AE24="",الموظفون!$AE24&gt;$F$3),$F$3,الموظفون!$AE24)-MAX($E$3,الموظفون!$H24)+1))</f>
        <v/>
      </c>
      <c r="AL24" s="126" t="str">
        <f aca="false">IF($B24="","",SUMIFS('سجل الإجازات والحالات'!$BA$6:$BA$505,'سجل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والحالات'!$AC$6:$AC$505,'سجل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والحالات'!$AO$6:$AO$505,'سجل الإجازات والحالات'!$B$6:$B$505,$B25))/cfg_DAYS_Y)</f>
        <v/>
      </c>
      <c r="AI25" s="135" t="str">
        <f aca="false">IF($B25="","",MAX(0,IF(OR(الموظفون!$AE25="",الموظفون!$AE25&gt;($E$3-1)),($E$3-1),الموظفون!$AE25)-الموظفون!$H25+1-SUMIFS('سجل الإجازات والحالات'!$AN$6:$AN$505,'سجل الإجازات والحالات'!$B$6:$B$505,$B25))/cfg_DAYS_Y)</f>
        <v/>
      </c>
      <c r="AJ25" s="110" t="str">
        <f aca="false">IF($B25="","",MAX(0,AK25-(SUMIFS('سجل الإجازات والحالات'!$AO$6:$AO$505,'سجل الإجازات والحالات'!$B$6:$B$505,$B25)-SUMIFS('سجل الإجازات والحالات'!$AN$6:$AN$505,'سجل الإجازات والحالات'!$B$6:$B$505,$B25))))</f>
        <v/>
      </c>
      <c r="AK25" s="110" t="str">
        <f aca="false">IF($B25="","",MAX(0,IF(OR(الموظفون!$AE25="",الموظفون!$AE25&gt;$F$3),$F$3,الموظفون!$AE25)-MAX($E$3,الموظفون!$H25)+1))</f>
        <v/>
      </c>
      <c r="AL25" s="131" t="str">
        <f aca="false">IF($B25="","",SUMIFS('سجل الإجازات والحالات'!$BA$6:$BA$505,'سجل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والحالات'!$AC$6:$AC$505,'سجل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والحالات'!$AO$6:$AO$505,'سجل الإجازات والحالات'!$B$6:$B$505,$B26))/cfg_DAYS_Y)</f>
        <v/>
      </c>
      <c r="AI26" s="130" t="str">
        <f aca="false">IF($B26="","",MAX(0,IF(OR(الموظفون!$AE26="",الموظفون!$AE26&gt;($E$3-1)),($E$3-1),الموظفون!$AE26)-الموظفون!$H26+1-SUMIFS('سجل الإجازات والحالات'!$AN$6:$AN$505,'سجل الإجازات والحالات'!$B$6:$B$505,$B26))/cfg_DAYS_Y)</f>
        <v/>
      </c>
      <c r="AJ26" s="57" t="str">
        <f aca="false">IF($B26="","",MAX(0,AK26-(SUMIFS('سجل الإجازات والحالات'!$AO$6:$AO$505,'سجل الإجازات والحالات'!$B$6:$B$505,$B26)-SUMIFS('سجل الإجازات والحالات'!$AN$6:$AN$505,'سجل الإجازات والحالات'!$B$6:$B$505,$B26))))</f>
        <v/>
      </c>
      <c r="AK26" s="57" t="str">
        <f aca="false">IF($B26="","",MAX(0,IF(OR(الموظفون!$AE26="",الموظفون!$AE26&gt;$F$3),$F$3,الموظفون!$AE26)-MAX($E$3,الموظفون!$H26)+1))</f>
        <v/>
      </c>
      <c r="AL26" s="126" t="str">
        <f aca="false">IF($B26="","",SUMIFS('سجل الإجازات والحالات'!$BA$6:$BA$505,'سجل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والحالات'!$AC$6:$AC$505,'سجل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والحالات'!$AO$6:$AO$505,'سجل الإجازات والحالات'!$B$6:$B$505,$B27))/cfg_DAYS_Y)</f>
        <v/>
      </c>
      <c r="AI27" s="135" t="str">
        <f aca="false">IF($B27="","",MAX(0,IF(OR(الموظفون!$AE27="",الموظفون!$AE27&gt;($E$3-1)),($E$3-1),الموظفون!$AE27)-الموظفون!$H27+1-SUMIFS('سجل الإجازات والحالات'!$AN$6:$AN$505,'سجل الإجازات والحالات'!$B$6:$B$505,$B27))/cfg_DAYS_Y)</f>
        <v/>
      </c>
      <c r="AJ27" s="110" t="str">
        <f aca="false">IF($B27="","",MAX(0,AK27-(SUMIFS('سجل الإجازات والحالات'!$AO$6:$AO$505,'سجل الإجازات والحالات'!$B$6:$B$505,$B27)-SUMIFS('سجل الإجازات والحالات'!$AN$6:$AN$505,'سجل الإجازات والحالات'!$B$6:$B$505,$B27))))</f>
        <v/>
      </c>
      <c r="AK27" s="110" t="str">
        <f aca="false">IF($B27="","",MAX(0,IF(OR(الموظفون!$AE27="",الموظفون!$AE27&gt;$F$3),$F$3,الموظفون!$AE27)-MAX($E$3,الموظفون!$H27)+1))</f>
        <v/>
      </c>
      <c r="AL27" s="131" t="str">
        <f aca="false">IF($B27="","",SUMIFS('سجل الإجازات والحالات'!$BA$6:$BA$505,'سجل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والحالات'!$AC$6:$AC$505,'سجل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والحالات'!$AO$6:$AO$505,'سجل الإجازات والحالات'!$B$6:$B$505,$B28))/cfg_DAYS_Y)</f>
        <v/>
      </c>
      <c r="AI28" s="130" t="str">
        <f aca="false">IF($B28="","",MAX(0,IF(OR(الموظفون!$AE28="",الموظفون!$AE28&gt;($E$3-1)),($E$3-1),الموظفون!$AE28)-الموظفون!$H28+1-SUMIFS('سجل الإجازات والحالات'!$AN$6:$AN$505,'سجل الإجازات والحالات'!$B$6:$B$505,$B28))/cfg_DAYS_Y)</f>
        <v/>
      </c>
      <c r="AJ28" s="57" t="str">
        <f aca="false">IF($B28="","",MAX(0,AK28-(SUMIFS('سجل الإجازات والحالات'!$AO$6:$AO$505,'سجل الإجازات والحالات'!$B$6:$B$505,$B28)-SUMIFS('سجل الإجازات والحالات'!$AN$6:$AN$505,'سجل الإجازات والحالات'!$B$6:$B$505,$B28))))</f>
        <v/>
      </c>
      <c r="AK28" s="57" t="str">
        <f aca="false">IF($B28="","",MAX(0,IF(OR(الموظفون!$AE28="",الموظفون!$AE28&gt;$F$3),$F$3,الموظفون!$AE28)-MAX($E$3,الموظفون!$H28)+1))</f>
        <v/>
      </c>
      <c r="AL28" s="126" t="str">
        <f aca="false">IF($B28="","",SUMIFS('سجل الإجازات والحالات'!$BA$6:$BA$505,'سجل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والحالات'!$AC$6:$AC$505,'سجل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والحالات'!$AO$6:$AO$505,'سجل الإجازات والحالات'!$B$6:$B$505,$B29))/cfg_DAYS_Y)</f>
        <v/>
      </c>
      <c r="AI29" s="135" t="str">
        <f aca="false">IF($B29="","",MAX(0,IF(OR(الموظفون!$AE29="",الموظفون!$AE29&gt;($E$3-1)),($E$3-1),الموظفون!$AE29)-الموظفون!$H29+1-SUMIFS('سجل الإجازات والحالات'!$AN$6:$AN$505,'سجل الإجازات والحالات'!$B$6:$B$505,$B29))/cfg_DAYS_Y)</f>
        <v/>
      </c>
      <c r="AJ29" s="110" t="str">
        <f aca="false">IF($B29="","",MAX(0,AK29-(SUMIFS('سجل الإجازات والحالات'!$AO$6:$AO$505,'سجل الإجازات والحالات'!$B$6:$B$505,$B29)-SUMIFS('سجل الإجازات والحالات'!$AN$6:$AN$505,'سجل الإجازات والحالات'!$B$6:$B$505,$B29))))</f>
        <v/>
      </c>
      <c r="AK29" s="110" t="str">
        <f aca="false">IF($B29="","",MAX(0,IF(OR(الموظفون!$AE29="",الموظفون!$AE29&gt;$F$3),$F$3,الموظفون!$AE29)-MAX($E$3,الموظفون!$H29)+1))</f>
        <v/>
      </c>
      <c r="AL29" s="131" t="str">
        <f aca="false">IF($B29="","",SUMIFS('سجل الإجازات والحالات'!$BA$6:$BA$505,'سجل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والحالات'!$AC$6:$AC$505,'سجل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والحالات'!$AO$6:$AO$505,'سجل الإجازات والحالات'!$B$6:$B$505,$B30))/cfg_DAYS_Y)</f>
        <v/>
      </c>
      <c r="AI30" s="130" t="str">
        <f aca="false">IF($B30="","",MAX(0,IF(OR(الموظفون!$AE30="",الموظفون!$AE30&gt;($E$3-1)),($E$3-1),الموظفون!$AE30)-الموظفون!$H30+1-SUMIFS('سجل الإجازات والحالات'!$AN$6:$AN$505,'سجل الإجازات والحالات'!$B$6:$B$505,$B30))/cfg_DAYS_Y)</f>
        <v/>
      </c>
      <c r="AJ30" s="57" t="str">
        <f aca="false">IF($B30="","",MAX(0,AK30-(SUMIFS('سجل الإجازات والحالات'!$AO$6:$AO$505,'سجل الإجازات والحالات'!$B$6:$B$505,$B30)-SUMIFS('سجل الإجازات والحالات'!$AN$6:$AN$505,'سجل الإجازات والحالات'!$B$6:$B$505,$B30))))</f>
        <v/>
      </c>
      <c r="AK30" s="57" t="str">
        <f aca="false">IF($B30="","",MAX(0,IF(OR(الموظفون!$AE30="",الموظفون!$AE30&gt;$F$3),$F$3,الموظفون!$AE30)-MAX($E$3,الموظفون!$H30)+1))</f>
        <v/>
      </c>
      <c r="AL30" s="126" t="str">
        <f aca="false">IF($B30="","",SUMIFS('سجل الإجازات والحالات'!$BA$6:$BA$505,'سجل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والحالات'!$AC$6:$AC$505,'سجل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والحالات'!$AO$6:$AO$505,'سجل الإجازات والحالات'!$B$6:$B$505,$B31))/cfg_DAYS_Y)</f>
        <v/>
      </c>
      <c r="AI31" s="135" t="str">
        <f aca="false">IF($B31="","",MAX(0,IF(OR(الموظفون!$AE31="",الموظفون!$AE31&gt;($E$3-1)),($E$3-1),الموظفون!$AE31)-الموظفون!$H31+1-SUMIFS('سجل الإجازات والحالات'!$AN$6:$AN$505,'سجل الإجازات والحالات'!$B$6:$B$505,$B31))/cfg_DAYS_Y)</f>
        <v/>
      </c>
      <c r="AJ31" s="110" t="str">
        <f aca="false">IF($B31="","",MAX(0,AK31-(SUMIFS('سجل الإجازات والحالات'!$AO$6:$AO$505,'سجل الإجازات والحالات'!$B$6:$B$505,$B31)-SUMIFS('سجل الإجازات والحالات'!$AN$6:$AN$505,'سجل الإجازات والحالات'!$B$6:$B$505,$B31))))</f>
        <v/>
      </c>
      <c r="AK31" s="110" t="str">
        <f aca="false">IF($B31="","",MAX(0,IF(OR(الموظفون!$AE31="",الموظفون!$AE31&gt;$F$3),$F$3,الموظفون!$AE31)-MAX($E$3,الموظفون!$H31)+1))</f>
        <v/>
      </c>
      <c r="AL31" s="131" t="str">
        <f aca="false">IF($B31="","",SUMIFS('سجل الإجازات والحالات'!$BA$6:$BA$505,'سجل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والحالات'!$AC$6:$AC$505,'سجل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والحالات'!$AO$6:$AO$505,'سجل الإجازات والحالات'!$B$6:$B$505,$B32))/cfg_DAYS_Y)</f>
        <v/>
      </c>
      <c r="AI32" s="130" t="str">
        <f aca="false">IF($B32="","",MAX(0,IF(OR(الموظفون!$AE32="",الموظفون!$AE32&gt;($E$3-1)),($E$3-1),الموظفون!$AE32)-الموظفون!$H32+1-SUMIFS('سجل الإجازات والحالات'!$AN$6:$AN$505,'سجل الإجازات والحالات'!$B$6:$B$505,$B32))/cfg_DAYS_Y)</f>
        <v/>
      </c>
      <c r="AJ32" s="57" t="str">
        <f aca="false">IF($B32="","",MAX(0,AK32-(SUMIFS('سجل الإجازات والحالات'!$AO$6:$AO$505,'سجل الإجازات والحالات'!$B$6:$B$505,$B32)-SUMIFS('سجل الإجازات والحالات'!$AN$6:$AN$505,'سجل الإجازات والحالات'!$B$6:$B$505,$B32))))</f>
        <v/>
      </c>
      <c r="AK32" s="57" t="str">
        <f aca="false">IF($B32="","",MAX(0,IF(OR(الموظفون!$AE32="",الموظفون!$AE32&gt;$F$3),$F$3,الموظفون!$AE32)-MAX($E$3,الموظفون!$H32)+1))</f>
        <v/>
      </c>
      <c r="AL32" s="126" t="str">
        <f aca="false">IF($B32="","",SUMIFS('سجل الإجازات والحالات'!$BA$6:$BA$505,'سجل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والحالات'!$AC$6:$AC$505,'سجل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والحالات'!$AO$6:$AO$505,'سجل الإجازات والحالات'!$B$6:$B$505,$B33))/cfg_DAYS_Y)</f>
        <v/>
      </c>
      <c r="AI33" s="135" t="str">
        <f aca="false">IF($B33="","",MAX(0,IF(OR(الموظفون!$AE33="",الموظفون!$AE33&gt;($E$3-1)),($E$3-1),الموظفون!$AE33)-الموظفون!$H33+1-SUMIFS('سجل الإجازات والحالات'!$AN$6:$AN$505,'سجل الإجازات والحالات'!$B$6:$B$505,$B33))/cfg_DAYS_Y)</f>
        <v/>
      </c>
      <c r="AJ33" s="110" t="str">
        <f aca="false">IF($B33="","",MAX(0,AK33-(SUMIFS('سجل الإجازات والحالات'!$AO$6:$AO$505,'سجل الإجازات والحالات'!$B$6:$B$505,$B33)-SUMIFS('سجل الإجازات والحالات'!$AN$6:$AN$505,'سجل الإجازات والحالات'!$B$6:$B$505,$B33))))</f>
        <v/>
      </c>
      <c r="AK33" s="110" t="str">
        <f aca="false">IF($B33="","",MAX(0,IF(OR(الموظفون!$AE33="",الموظفون!$AE33&gt;$F$3),$F$3,الموظفون!$AE33)-MAX($E$3,الموظفون!$H33)+1))</f>
        <v/>
      </c>
      <c r="AL33" s="131" t="str">
        <f aca="false">IF($B33="","",SUMIFS('سجل الإجازات والحالات'!$BA$6:$BA$505,'سجل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والحالات'!$AC$6:$AC$505,'سجل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والحالات'!$AO$6:$AO$505,'سجل الإجازات والحالات'!$B$6:$B$505,$B34))/cfg_DAYS_Y)</f>
        <v/>
      </c>
      <c r="AI34" s="130" t="str">
        <f aca="false">IF($B34="","",MAX(0,IF(OR(الموظفون!$AE34="",الموظفون!$AE34&gt;($E$3-1)),($E$3-1),الموظفون!$AE34)-الموظفون!$H34+1-SUMIFS('سجل الإجازات والحالات'!$AN$6:$AN$505,'سجل الإجازات والحالات'!$B$6:$B$505,$B34))/cfg_DAYS_Y)</f>
        <v/>
      </c>
      <c r="AJ34" s="57" t="str">
        <f aca="false">IF($B34="","",MAX(0,AK34-(SUMIFS('سجل الإجازات والحالات'!$AO$6:$AO$505,'سجل الإجازات والحالات'!$B$6:$B$505,$B34)-SUMIFS('سجل الإجازات والحالات'!$AN$6:$AN$505,'سجل الإجازات والحالات'!$B$6:$B$505,$B34))))</f>
        <v/>
      </c>
      <c r="AK34" s="57" t="str">
        <f aca="false">IF($B34="","",MAX(0,IF(OR(الموظفون!$AE34="",الموظفون!$AE34&gt;$F$3),$F$3,الموظفون!$AE34)-MAX($E$3,الموظفون!$H34)+1))</f>
        <v/>
      </c>
      <c r="AL34" s="126" t="str">
        <f aca="false">IF($B34="","",SUMIFS('سجل الإجازات والحالات'!$BA$6:$BA$505,'سجل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والحالات'!$AC$6:$AC$505,'سجل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والحالات'!$AO$6:$AO$505,'سجل الإجازات والحالات'!$B$6:$B$505,$B35))/cfg_DAYS_Y)</f>
        <v/>
      </c>
      <c r="AI35" s="135" t="str">
        <f aca="false">IF($B35="","",MAX(0,IF(OR(الموظفون!$AE35="",الموظفون!$AE35&gt;($E$3-1)),($E$3-1),الموظفون!$AE35)-الموظفون!$H35+1-SUMIFS('سجل الإجازات والحالات'!$AN$6:$AN$505,'سجل الإجازات والحالات'!$B$6:$B$505,$B35))/cfg_DAYS_Y)</f>
        <v/>
      </c>
      <c r="AJ35" s="110" t="str">
        <f aca="false">IF($B35="","",MAX(0,AK35-(SUMIFS('سجل الإجازات والحالات'!$AO$6:$AO$505,'سجل الإجازات والحالات'!$B$6:$B$505,$B35)-SUMIFS('سجل الإجازات والحالات'!$AN$6:$AN$505,'سجل الإجازات والحالات'!$B$6:$B$505,$B35))))</f>
        <v/>
      </c>
      <c r="AK35" s="110" t="str">
        <f aca="false">IF($B35="","",MAX(0,IF(OR(الموظفون!$AE35="",الموظفون!$AE35&gt;$F$3),$F$3,الموظفون!$AE35)-MAX($E$3,الموظفون!$H35)+1))</f>
        <v/>
      </c>
      <c r="AL35" s="131" t="str">
        <f aca="false">IF($B35="","",SUMIFS('سجل الإجازات والحالات'!$BA$6:$BA$505,'سجل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والحالات'!$AC$6:$AC$505,'سجل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والحالات'!$AO$6:$AO$505,'سجل الإجازات والحالات'!$B$6:$B$505,$B36))/cfg_DAYS_Y)</f>
        <v/>
      </c>
      <c r="AI36" s="130" t="str">
        <f aca="false">IF($B36="","",MAX(0,IF(OR(الموظفون!$AE36="",الموظفون!$AE36&gt;($E$3-1)),($E$3-1),الموظفون!$AE36)-الموظفون!$H36+1-SUMIFS('سجل الإجازات والحالات'!$AN$6:$AN$505,'سجل الإجازات والحالات'!$B$6:$B$505,$B36))/cfg_DAYS_Y)</f>
        <v/>
      </c>
      <c r="AJ36" s="57" t="str">
        <f aca="false">IF($B36="","",MAX(0,AK36-(SUMIFS('سجل الإجازات والحالات'!$AO$6:$AO$505,'سجل الإجازات والحالات'!$B$6:$B$505,$B36)-SUMIFS('سجل الإجازات والحالات'!$AN$6:$AN$505,'سجل الإجازات والحالات'!$B$6:$B$505,$B36))))</f>
        <v/>
      </c>
      <c r="AK36" s="57" t="str">
        <f aca="false">IF($B36="","",MAX(0,IF(OR(الموظفون!$AE36="",الموظفون!$AE36&gt;$F$3),$F$3,الموظفون!$AE36)-MAX($E$3,الموظفون!$H36)+1))</f>
        <v/>
      </c>
      <c r="AL36" s="126" t="str">
        <f aca="false">IF($B36="","",SUMIFS('سجل الإجازات والحالات'!$BA$6:$BA$505,'سجل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والحالات'!$AC$6:$AC$505,'سجل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والحالات'!$AO$6:$AO$505,'سجل الإجازات والحالات'!$B$6:$B$505,$B37))/cfg_DAYS_Y)</f>
        <v/>
      </c>
      <c r="AI37" s="135" t="str">
        <f aca="false">IF($B37="","",MAX(0,IF(OR(الموظفون!$AE37="",الموظفون!$AE37&gt;($E$3-1)),($E$3-1),الموظفون!$AE37)-الموظفون!$H37+1-SUMIFS('سجل الإجازات والحالات'!$AN$6:$AN$505,'سجل الإجازات والحالات'!$B$6:$B$505,$B37))/cfg_DAYS_Y)</f>
        <v/>
      </c>
      <c r="AJ37" s="110" t="str">
        <f aca="false">IF($B37="","",MAX(0,AK37-(SUMIFS('سجل الإجازات والحالات'!$AO$6:$AO$505,'سجل الإجازات والحالات'!$B$6:$B$505,$B37)-SUMIFS('سجل الإجازات والحالات'!$AN$6:$AN$505,'سجل الإجازات والحالات'!$B$6:$B$505,$B37))))</f>
        <v/>
      </c>
      <c r="AK37" s="110" t="str">
        <f aca="false">IF($B37="","",MAX(0,IF(OR(الموظفون!$AE37="",الموظفون!$AE37&gt;$F$3),$F$3,الموظفون!$AE37)-MAX($E$3,الموظفون!$H37)+1))</f>
        <v/>
      </c>
      <c r="AL37" s="131" t="str">
        <f aca="false">IF($B37="","",SUMIFS('سجل الإجازات والحالات'!$BA$6:$BA$505,'سجل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والحالات'!$AC$6:$AC$505,'سجل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والحالات'!$AO$6:$AO$505,'سجل الإجازات والحالات'!$B$6:$B$505,$B38))/cfg_DAYS_Y)</f>
        <v/>
      </c>
      <c r="AI38" s="130" t="str">
        <f aca="false">IF($B38="","",MAX(0,IF(OR(الموظفون!$AE38="",الموظفون!$AE38&gt;($E$3-1)),($E$3-1),الموظفون!$AE38)-الموظفون!$H38+1-SUMIFS('سجل الإجازات والحالات'!$AN$6:$AN$505,'سجل الإجازات والحالات'!$B$6:$B$505,$B38))/cfg_DAYS_Y)</f>
        <v/>
      </c>
      <c r="AJ38" s="57" t="str">
        <f aca="false">IF($B38="","",MAX(0,AK38-(SUMIFS('سجل الإجازات والحالات'!$AO$6:$AO$505,'سجل الإجازات والحالات'!$B$6:$B$505,$B38)-SUMIFS('سجل الإجازات والحالات'!$AN$6:$AN$505,'سجل الإجازات والحالات'!$B$6:$B$505,$B38))))</f>
        <v/>
      </c>
      <c r="AK38" s="57" t="str">
        <f aca="false">IF($B38="","",MAX(0,IF(OR(الموظفون!$AE38="",الموظفون!$AE38&gt;$F$3),$F$3,الموظفون!$AE38)-MAX($E$3,الموظفون!$H38)+1))</f>
        <v/>
      </c>
      <c r="AL38" s="126" t="str">
        <f aca="false">IF($B38="","",SUMIFS('سجل الإجازات والحالات'!$BA$6:$BA$505,'سجل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والحالات'!$AC$6:$AC$505,'سجل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والحالات'!$AO$6:$AO$505,'سجل الإجازات والحالات'!$B$6:$B$505,$B39))/cfg_DAYS_Y)</f>
        <v/>
      </c>
      <c r="AI39" s="135" t="str">
        <f aca="false">IF($B39="","",MAX(0,IF(OR(الموظفون!$AE39="",الموظفون!$AE39&gt;($E$3-1)),($E$3-1),الموظفون!$AE39)-الموظفون!$H39+1-SUMIFS('سجل الإجازات والحالات'!$AN$6:$AN$505,'سجل الإجازات والحالات'!$B$6:$B$505,$B39))/cfg_DAYS_Y)</f>
        <v/>
      </c>
      <c r="AJ39" s="110" t="str">
        <f aca="false">IF($B39="","",MAX(0,AK39-(SUMIFS('سجل الإجازات والحالات'!$AO$6:$AO$505,'سجل الإجازات والحالات'!$B$6:$B$505,$B39)-SUMIFS('سجل الإجازات والحالات'!$AN$6:$AN$505,'سجل الإجازات والحالات'!$B$6:$B$505,$B39))))</f>
        <v/>
      </c>
      <c r="AK39" s="110" t="str">
        <f aca="false">IF($B39="","",MAX(0,IF(OR(الموظفون!$AE39="",الموظفون!$AE39&gt;$F$3),$F$3,الموظفون!$AE39)-MAX($E$3,الموظفون!$H39)+1))</f>
        <v/>
      </c>
      <c r="AL39" s="131" t="str">
        <f aca="false">IF($B39="","",SUMIFS('سجل الإجازات والحالات'!$BA$6:$BA$505,'سجل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والحالات'!$AC$6:$AC$505,'سجل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والحالات'!$AO$6:$AO$505,'سجل الإجازات والحالات'!$B$6:$B$505,$B40))/cfg_DAYS_Y)</f>
        <v/>
      </c>
      <c r="AI40" s="130" t="str">
        <f aca="false">IF($B40="","",MAX(0,IF(OR(الموظفون!$AE40="",الموظفون!$AE40&gt;($E$3-1)),($E$3-1),الموظفون!$AE40)-الموظفون!$H40+1-SUMIFS('سجل الإجازات والحالات'!$AN$6:$AN$505,'سجل الإجازات والحالات'!$B$6:$B$505,$B40))/cfg_DAYS_Y)</f>
        <v/>
      </c>
      <c r="AJ40" s="57" t="str">
        <f aca="false">IF($B40="","",MAX(0,AK40-(SUMIFS('سجل الإجازات والحالات'!$AO$6:$AO$505,'سجل الإجازات والحالات'!$B$6:$B$505,$B40)-SUMIFS('سجل الإجازات والحالات'!$AN$6:$AN$505,'سجل الإجازات والحالات'!$B$6:$B$505,$B40))))</f>
        <v/>
      </c>
      <c r="AK40" s="57" t="str">
        <f aca="false">IF($B40="","",MAX(0,IF(OR(الموظفون!$AE40="",الموظفون!$AE40&gt;$F$3),$F$3,الموظفون!$AE40)-MAX($E$3,الموظفون!$H40)+1))</f>
        <v/>
      </c>
      <c r="AL40" s="126" t="str">
        <f aca="false">IF($B40="","",SUMIFS('سجل الإجازات والحالات'!$BA$6:$BA$505,'سجل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والحالات'!$AC$6:$AC$505,'سجل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والحالات'!$AO$6:$AO$505,'سجل الإجازات والحالات'!$B$6:$B$505,$B41))/cfg_DAYS_Y)</f>
        <v/>
      </c>
      <c r="AI41" s="135" t="str">
        <f aca="false">IF($B41="","",MAX(0,IF(OR(الموظفون!$AE41="",الموظفون!$AE41&gt;($E$3-1)),($E$3-1),الموظفون!$AE41)-الموظفون!$H41+1-SUMIFS('سجل الإجازات والحالات'!$AN$6:$AN$505,'سجل الإجازات والحالات'!$B$6:$B$505,$B41))/cfg_DAYS_Y)</f>
        <v/>
      </c>
      <c r="AJ41" s="110" t="str">
        <f aca="false">IF($B41="","",MAX(0,AK41-(SUMIFS('سجل الإجازات والحالات'!$AO$6:$AO$505,'سجل الإجازات والحالات'!$B$6:$B$505,$B41)-SUMIFS('سجل الإجازات والحالات'!$AN$6:$AN$505,'سجل الإجازات والحالات'!$B$6:$B$505,$B41))))</f>
        <v/>
      </c>
      <c r="AK41" s="110" t="str">
        <f aca="false">IF($B41="","",MAX(0,IF(OR(الموظفون!$AE41="",الموظفون!$AE41&gt;$F$3),$F$3,الموظفون!$AE41)-MAX($E$3,الموظفون!$H41)+1))</f>
        <v/>
      </c>
      <c r="AL41" s="131" t="str">
        <f aca="false">IF($B41="","",SUMIFS('سجل الإجازات والحالات'!$BA$6:$BA$505,'سجل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والحالات'!$AC$6:$AC$505,'سجل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والحالات'!$AO$6:$AO$505,'سجل الإجازات والحالات'!$B$6:$B$505,$B42))/cfg_DAYS_Y)</f>
        <v/>
      </c>
      <c r="AI42" s="130" t="str">
        <f aca="false">IF($B42="","",MAX(0,IF(OR(الموظفون!$AE42="",الموظفون!$AE42&gt;($E$3-1)),($E$3-1),الموظفون!$AE42)-الموظفون!$H42+1-SUMIFS('سجل الإجازات والحالات'!$AN$6:$AN$505,'سجل الإجازات والحالات'!$B$6:$B$505,$B42))/cfg_DAYS_Y)</f>
        <v/>
      </c>
      <c r="AJ42" s="57" t="str">
        <f aca="false">IF($B42="","",MAX(0,AK42-(SUMIFS('سجل الإجازات والحالات'!$AO$6:$AO$505,'سجل الإجازات والحالات'!$B$6:$B$505,$B42)-SUMIFS('سجل الإجازات والحالات'!$AN$6:$AN$505,'سجل الإجازات والحالات'!$B$6:$B$505,$B42))))</f>
        <v/>
      </c>
      <c r="AK42" s="57" t="str">
        <f aca="false">IF($B42="","",MAX(0,IF(OR(الموظفون!$AE42="",الموظفون!$AE42&gt;$F$3),$F$3,الموظفون!$AE42)-MAX($E$3,الموظفون!$H42)+1))</f>
        <v/>
      </c>
      <c r="AL42" s="126" t="str">
        <f aca="false">IF($B42="","",SUMIFS('سجل الإجازات والحالات'!$BA$6:$BA$505,'سجل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والحالات'!$AC$6:$AC$505,'سجل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والحالات'!$AO$6:$AO$505,'سجل الإجازات والحالات'!$B$6:$B$505,$B43))/cfg_DAYS_Y)</f>
        <v/>
      </c>
      <c r="AI43" s="135" t="str">
        <f aca="false">IF($B43="","",MAX(0,IF(OR(الموظفون!$AE43="",الموظفون!$AE43&gt;($E$3-1)),($E$3-1),الموظفون!$AE43)-الموظفون!$H43+1-SUMIFS('سجل الإجازات والحالات'!$AN$6:$AN$505,'سجل الإجازات والحالات'!$B$6:$B$505,$B43))/cfg_DAYS_Y)</f>
        <v/>
      </c>
      <c r="AJ43" s="110" t="str">
        <f aca="false">IF($B43="","",MAX(0,AK43-(SUMIFS('سجل الإجازات والحالات'!$AO$6:$AO$505,'سجل الإجازات والحالات'!$B$6:$B$505,$B43)-SUMIFS('سجل الإجازات والحالات'!$AN$6:$AN$505,'سجل الإجازات والحالات'!$B$6:$B$505,$B43))))</f>
        <v/>
      </c>
      <c r="AK43" s="110" t="str">
        <f aca="false">IF($B43="","",MAX(0,IF(OR(الموظفون!$AE43="",الموظفون!$AE43&gt;$F$3),$F$3,الموظفون!$AE43)-MAX($E$3,الموظفون!$H43)+1))</f>
        <v/>
      </c>
      <c r="AL43" s="131" t="str">
        <f aca="false">IF($B43="","",SUMIFS('سجل الإجازات والحالات'!$BA$6:$BA$505,'سجل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والحالات'!$AC$6:$AC$505,'سجل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والحالات'!$AO$6:$AO$505,'سجل الإجازات والحالات'!$B$6:$B$505,$B44))/cfg_DAYS_Y)</f>
        <v/>
      </c>
      <c r="AI44" s="130" t="str">
        <f aca="false">IF($B44="","",MAX(0,IF(OR(الموظفون!$AE44="",الموظفون!$AE44&gt;($E$3-1)),($E$3-1),الموظفون!$AE44)-الموظفون!$H44+1-SUMIFS('سجل الإجازات والحالات'!$AN$6:$AN$505,'سجل الإجازات والحالات'!$B$6:$B$505,$B44))/cfg_DAYS_Y)</f>
        <v/>
      </c>
      <c r="AJ44" s="57" t="str">
        <f aca="false">IF($B44="","",MAX(0,AK44-(SUMIFS('سجل الإجازات والحالات'!$AO$6:$AO$505,'سجل الإجازات والحالات'!$B$6:$B$505,$B44)-SUMIFS('سجل الإجازات والحالات'!$AN$6:$AN$505,'سجل الإجازات والحالات'!$B$6:$B$505,$B44))))</f>
        <v/>
      </c>
      <c r="AK44" s="57" t="str">
        <f aca="false">IF($B44="","",MAX(0,IF(OR(الموظفون!$AE44="",الموظفون!$AE44&gt;$F$3),$F$3,الموظفون!$AE44)-MAX($E$3,الموظفون!$H44)+1))</f>
        <v/>
      </c>
      <c r="AL44" s="126" t="str">
        <f aca="false">IF($B44="","",SUMIFS('سجل الإجازات والحالات'!$BA$6:$BA$505,'سجل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والحالات'!$AC$6:$AC$505,'سجل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والحالات'!$AO$6:$AO$505,'سجل الإجازات والحالات'!$B$6:$B$505,$B45))/cfg_DAYS_Y)</f>
        <v/>
      </c>
      <c r="AI45" s="135" t="str">
        <f aca="false">IF($B45="","",MAX(0,IF(OR(الموظفون!$AE45="",الموظفون!$AE45&gt;($E$3-1)),($E$3-1),الموظفون!$AE45)-الموظفون!$H45+1-SUMIFS('سجل الإجازات والحالات'!$AN$6:$AN$505,'سجل الإجازات والحالات'!$B$6:$B$505,$B45))/cfg_DAYS_Y)</f>
        <v/>
      </c>
      <c r="AJ45" s="110" t="str">
        <f aca="false">IF($B45="","",MAX(0,AK45-(SUMIFS('سجل الإجازات والحالات'!$AO$6:$AO$505,'سجل الإجازات والحالات'!$B$6:$B$505,$B45)-SUMIFS('سجل الإجازات والحالات'!$AN$6:$AN$505,'سجل الإجازات والحالات'!$B$6:$B$505,$B45))))</f>
        <v/>
      </c>
      <c r="AK45" s="110" t="str">
        <f aca="false">IF($B45="","",MAX(0,IF(OR(الموظفون!$AE45="",الموظفون!$AE45&gt;$F$3),$F$3,الموظفون!$AE45)-MAX($E$3,الموظفون!$H45)+1))</f>
        <v/>
      </c>
      <c r="AL45" s="131" t="str">
        <f aca="false">IF($B45="","",SUMIFS('سجل الإجازات والحالات'!$BA$6:$BA$505,'سجل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والحالات'!$AC$6:$AC$505,'سجل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والحالات'!$AO$6:$AO$505,'سجل الإجازات والحالات'!$B$6:$B$505,$B46))/cfg_DAYS_Y)</f>
        <v/>
      </c>
      <c r="AI46" s="130" t="str">
        <f aca="false">IF($B46="","",MAX(0,IF(OR(الموظفون!$AE46="",الموظفون!$AE46&gt;($E$3-1)),($E$3-1),الموظفون!$AE46)-الموظفون!$H46+1-SUMIFS('سجل الإجازات والحالات'!$AN$6:$AN$505,'سجل الإجازات والحالات'!$B$6:$B$505,$B46))/cfg_DAYS_Y)</f>
        <v/>
      </c>
      <c r="AJ46" s="57" t="str">
        <f aca="false">IF($B46="","",MAX(0,AK46-(SUMIFS('سجل الإجازات والحالات'!$AO$6:$AO$505,'سجل الإجازات والحالات'!$B$6:$B$505,$B46)-SUMIFS('سجل الإجازات والحالات'!$AN$6:$AN$505,'سجل الإجازات والحالات'!$B$6:$B$505,$B46))))</f>
        <v/>
      </c>
      <c r="AK46" s="57" t="str">
        <f aca="false">IF($B46="","",MAX(0,IF(OR(الموظفون!$AE46="",الموظفون!$AE46&gt;$F$3),$F$3,الموظفون!$AE46)-MAX($E$3,الموظفون!$H46)+1))</f>
        <v/>
      </c>
      <c r="AL46" s="126" t="str">
        <f aca="false">IF($B46="","",SUMIFS('سجل الإجازات والحالات'!$BA$6:$BA$505,'سجل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والحالات'!$AC$6:$AC$505,'سجل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والحالات'!$AO$6:$AO$505,'سجل الإجازات والحالات'!$B$6:$B$505,$B47))/cfg_DAYS_Y)</f>
        <v/>
      </c>
      <c r="AI47" s="135" t="str">
        <f aca="false">IF($B47="","",MAX(0,IF(OR(الموظفون!$AE47="",الموظفون!$AE47&gt;($E$3-1)),($E$3-1),الموظفون!$AE47)-الموظفون!$H47+1-SUMIFS('سجل الإجازات والحالات'!$AN$6:$AN$505,'سجل الإجازات والحالات'!$B$6:$B$505,$B47))/cfg_DAYS_Y)</f>
        <v/>
      </c>
      <c r="AJ47" s="110" t="str">
        <f aca="false">IF($B47="","",MAX(0,AK47-(SUMIFS('سجل الإجازات والحالات'!$AO$6:$AO$505,'سجل الإجازات والحالات'!$B$6:$B$505,$B47)-SUMIFS('سجل الإجازات والحالات'!$AN$6:$AN$505,'سجل الإجازات والحالات'!$B$6:$B$505,$B47))))</f>
        <v/>
      </c>
      <c r="AK47" s="110" t="str">
        <f aca="false">IF($B47="","",MAX(0,IF(OR(الموظفون!$AE47="",الموظفون!$AE47&gt;$F$3),$F$3,الموظفون!$AE47)-MAX($E$3,الموظفون!$H47)+1))</f>
        <v/>
      </c>
      <c r="AL47" s="131" t="str">
        <f aca="false">IF($B47="","",SUMIFS('سجل الإجازات والحالات'!$BA$6:$BA$505,'سجل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والحالات'!$AC$6:$AC$505,'سجل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والحالات'!$AO$6:$AO$505,'سجل الإجازات والحالات'!$B$6:$B$505,$B48))/cfg_DAYS_Y)</f>
        <v/>
      </c>
      <c r="AI48" s="130" t="str">
        <f aca="false">IF($B48="","",MAX(0,IF(OR(الموظفون!$AE48="",الموظفون!$AE48&gt;($E$3-1)),($E$3-1),الموظفون!$AE48)-الموظفون!$H48+1-SUMIFS('سجل الإجازات والحالات'!$AN$6:$AN$505,'سجل الإجازات والحالات'!$B$6:$B$505,$B48))/cfg_DAYS_Y)</f>
        <v/>
      </c>
      <c r="AJ48" s="57" t="str">
        <f aca="false">IF($B48="","",MAX(0,AK48-(SUMIFS('سجل الإجازات والحالات'!$AO$6:$AO$505,'سجل الإجازات والحالات'!$B$6:$B$505,$B48)-SUMIFS('سجل الإجازات والحالات'!$AN$6:$AN$505,'سجل الإجازات والحالات'!$B$6:$B$505,$B48))))</f>
        <v/>
      </c>
      <c r="AK48" s="57" t="str">
        <f aca="false">IF($B48="","",MAX(0,IF(OR(الموظفون!$AE48="",الموظفون!$AE48&gt;$F$3),$F$3,الموظفون!$AE48)-MAX($E$3,الموظفون!$H48)+1))</f>
        <v/>
      </c>
      <c r="AL48" s="126" t="str">
        <f aca="false">IF($B48="","",SUMIFS('سجل الإجازات والحالات'!$BA$6:$BA$505,'سجل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والحالات'!$AC$6:$AC$505,'سجل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والحالات'!$AO$6:$AO$505,'سجل الإجازات والحالات'!$B$6:$B$505,$B49))/cfg_DAYS_Y)</f>
        <v/>
      </c>
      <c r="AI49" s="135" t="str">
        <f aca="false">IF($B49="","",MAX(0,IF(OR(الموظفون!$AE49="",الموظفون!$AE49&gt;($E$3-1)),($E$3-1),الموظفون!$AE49)-الموظفون!$H49+1-SUMIFS('سجل الإجازات والحالات'!$AN$6:$AN$505,'سجل الإجازات والحالات'!$B$6:$B$505,$B49))/cfg_DAYS_Y)</f>
        <v/>
      </c>
      <c r="AJ49" s="110" t="str">
        <f aca="false">IF($B49="","",MAX(0,AK49-(SUMIFS('سجل الإجازات والحالات'!$AO$6:$AO$505,'سجل الإجازات والحالات'!$B$6:$B$505,$B49)-SUMIFS('سجل الإجازات والحالات'!$AN$6:$AN$505,'سجل الإجازات والحالات'!$B$6:$B$505,$B49))))</f>
        <v/>
      </c>
      <c r="AK49" s="110" t="str">
        <f aca="false">IF($B49="","",MAX(0,IF(OR(الموظفون!$AE49="",الموظفون!$AE49&gt;$F$3),$F$3,الموظفون!$AE49)-MAX($E$3,الموظفون!$H49)+1))</f>
        <v/>
      </c>
      <c r="AL49" s="131" t="str">
        <f aca="false">IF($B49="","",SUMIFS('سجل الإجازات والحالات'!$BA$6:$BA$505,'سجل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والحالات'!$AC$6:$AC$505,'سجل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والحالات'!$AO$6:$AO$505,'سجل الإجازات والحالات'!$B$6:$B$505,$B50))/cfg_DAYS_Y)</f>
        <v/>
      </c>
      <c r="AI50" s="130" t="str">
        <f aca="false">IF($B50="","",MAX(0,IF(OR(الموظفون!$AE50="",الموظفون!$AE50&gt;($E$3-1)),($E$3-1),الموظفون!$AE50)-الموظفون!$H50+1-SUMIFS('سجل الإجازات والحالات'!$AN$6:$AN$505,'سجل الإجازات والحالات'!$B$6:$B$505,$B50))/cfg_DAYS_Y)</f>
        <v/>
      </c>
      <c r="AJ50" s="57" t="str">
        <f aca="false">IF($B50="","",MAX(0,AK50-(SUMIFS('سجل الإجازات والحالات'!$AO$6:$AO$505,'سجل الإجازات والحالات'!$B$6:$B$505,$B50)-SUMIFS('سجل الإجازات والحالات'!$AN$6:$AN$505,'سجل الإجازات والحالات'!$B$6:$B$505,$B50))))</f>
        <v/>
      </c>
      <c r="AK50" s="57" t="str">
        <f aca="false">IF($B50="","",MAX(0,IF(OR(الموظفون!$AE50="",الموظفون!$AE50&gt;$F$3),$F$3,الموظفون!$AE50)-MAX($E$3,الموظفون!$H50)+1))</f>
        <v/>
      </c>
      <c r="AL50" s="126" t="str">
        <f aca="false">IF($B50="","",SUMIFS('سجل الإجازات والحالات'!$BA$6:$BA$505,'سجل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والحالات'!$AC$6:$AC$505,'سجل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والحالات'!$AO$6:$AO$505,'سجل الإجازات والحالات'!$B$6:$B$505,$B51))/cfg_DAYS_Y)</f>
        <v/>
      </c>
      <c r="AI51" s="135" t="str">
        <f aca="false">IF($B51="","",MAX(0,IF(OR(الموظفون!$AE51="",الموظفون!$AE51&gt;($E$3-1)),($E$3-1),الموظفون!$AE51)-الموظفون!$H51+1-SUMIFS('سجل الإجازات والحالات'!$AN$6:$AN$505,'سجل الإجازات والحالات'!$B$6:$B$505,$B51))/cfg_DAYS_Y)</f>
        <v/>
      </c>
      <c r="AJ51" s="110" t="str">
        <f aca="false">IF($B51="","",MAX(0,AK51-(SUMIFS('سجل الإجازات والحالات'!$AO$6:$AO$505,'سجل الإجازات والحالات'!$B$6:$B$505,$B51)-SUMIFS('سجل الإجازات والحالات'!$AN$6:$AN$505,'سجل الإجازات والحالات'!$B$6:$B$505,$B51))))</f>
        <v/>
      </c>
      <c r="AK51" s="110" t="str">
        <f aca="false">IF($B51="","",MAX(0,IF(OR(الموظفون!$AE51="",الموظفون!$AE51&gt;$F$3),$F$3,الموظفون!$AE51)-MAX($E$3,الموظفون!$H51)+1))</f>
        <v/>
      </c>
      <c r="AL51" s="131" t="str">
        <f aca="false">IF($B51="","",SUMIFS('سجل الإجازات والحالات'!$BA$6:$BA$505,'سجل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والحالات'!$AC$6:$AC$505,'سجل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والحالات'!$AO$6:$AO$505,'سجل الإجازات والحالات'!$B$6:$B$505,$B52))/cfg_DAYS_Y)</f>
        <v/>
      </c>
      <c r="AI52" s="130" t="str">
        <f aca="false">IF($B52="","",MAX(0,IF(OR(الموظفون!$AE52="",الموظفون!$AE52&gt;($E$3-1)),($E$3-1),الموظفون!$AE52)-الموظفون!$H52+1-SUMIFS('سجل الإجازات والحالات'!$AN$6:$AN$505,'سجل الإجازات والحالات'!$B$6:$B$505,$B52))/cfg_DAYS_Y)</f>
        <v/>
      </c>
      <c r="AJ52" s="57" t="str">
        <f aca="false">IF($B52="","",MAX(0,AK52-(SUMIFS('سجل الإجازات والحالات'!$AO$6:$AO$505,'سجل الإجازات والحالات'!$B$6:$B$505,$B52)-SUMIFS('سجل الإجازات والحالات'!$AN$6:$AN$505,'سجل الإجازات والحالات'!$B$6:$B$505,$B52))))</f>
        <v/>
      </c>
      <c r="AK52" s="57" t="str">
        <f aca="false">IF($B52="","",MAX(0,IF(OR(الموظفون!$AE52="",الموظفون!$AE52&gt;$F$3),$F$3,الموظفون!$AE52)-MAX($E$3,الموظفون!$H52)+1))</f>
        <v/>
      </c>
      <c r="AL52" s="126" t="str">
        <f aca="false">IF($B52="","",SUMIFS('سجل الإجازات والحالات'!$BA$6:$BA$505,'سجل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والحالات'!$AC$6:$AC$505,'سجل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والحالات'!$AO$6:$AO$505,'سجل الإجازات والحالات'!$B$6:$B$505,$B53))/cfg_DAYS_Y)</f>
        <v/>
      </c>
      <c r="AI53" s="135" t="str">
        <f aca="false">IF($B53="","",MAX(0,IF(OR(الموظفون!$AE53="",الموظفون!$AE53&gt;($E$3-1)),($E$3-1),الموظفون!$AE53)-الموظفون!$H53+1-SUMIFS('سجل الإجازات والحالات'!$AN$6:$AN$505,'سجل الإجازات والحالات'!$B$6:$B$505,$B53))/cfg_DAYS_Y)</f>
        <v/>
      </c>
      <c r="AJ53" s="110" t="str">
        <f aca="false">IF($B53="","",MAX(0,AK53-(SUMIFS('سجل الإجازات والحالات'!$AO$6:$AO$505,'سجل الإجازات والحالات'!$B$6:$B$505,$B53)-SUMIFS('سجل الإجازات والحالات'!$AN$6:$AN$505,'سجل الإجازات والحالات'!$B$6:$B$505,$B53))))</f>
        <v/>
      </c>
      <c r="AK53" s="110" t="str">
        <f aca="false">IF($B53="","",MAX(0,IF(OR(الموظفون!$AE53="",الموظفون!$AE53&gt;$F$3),$F$3,الموظفون!$AE53)-MAX($E$3,الموظفون!$H53)+1))</f>
        <v/>
      </c>
      <c r="AL53" s="131" t="str">
        <f aca="false">IF($B53="","",SUMIFS('سجل الإجازات والحالات'!$BA$6:$BA$505,'سجل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والحالات'!$AC$6:$AC$505,'سجل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والحالات'!$AO$6:$AO$505,'سجل الإجازات والحالات'!$B$6:$B$505,$B54))/cfg_DAYS_Y)</f>
        <v/>
      </c>
      <c r="AI54" s="130" t="str">
        <f aca="false">IF($B54="","",MAX(0,IF(OR(الموظفون!$AE54="",الموظفون!$AE54&gt;($E$3-1)),($E$3-1),الموظفون!$AE54)-الموظفون!$H54+1-SUMIFS('سجل الإجازات والحالات'!$AN$6:$AN$505,'سجل الإجازات والحالات'!$B$6:$B$505,$B54))/cfg_DAYS_Y)</f>
        <v/>
      </c>
      <c r="AJ54" s="57" t="str">
        <f aca="false">IF($B54="","",MAX(0,AK54-(SUMIFS('سجل الإجازات والحالات'!$AO$6:$AO$505,'سجل الإجازات والحالات'!$B$6:$B$505,$B54)-SUMIFS('سجل الإجازات والحالات'!$AN$6:$AN$505,'سجل الإجازات والحالات'!$B$6:$B$505,$B54))))</f>
        <v/>
      </c>
      <c r="AK54" s="57" t="str">
        <f aca="false">IF($B54="","",MAX(0,IF(OR(الموظفون!$AE54="",الموظفون!$AE54&gt;$F$3),$F$3,الموظفون!$AE54)-MAX($E$3,الموظفون!$H54)+1))</f>
        <v/>
      </c>
      <c r="AL54" s="126" t="str">
        <f aca="false">IF($B54="","",SUMIFS('سجل الإجازات والحالات'!$BA$6:$BA$505,'سجل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والحالات'!$AC$6:$AC$505,'سجل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والحالات'!$AO$6:$AO$505,'سجل الإجازات والحالات'!$B$6:$B$505,$B55))/cfg_DAYS_Y)</f>
        <v/>
      </c>
      <c r="AI55" s="135" t="str">
        <f aca="false">IF($B55="","",MAX(0,IF(OR(الموظفون!$AE55="",الموظفون!$AE55&gt;($E$3-1)),($E$3-1),الموظفون!$AE55)-الموظفون!$H55+1-SUMIFS('سجل الإجازات والحالات'!$AN$6:$AN$505,'سجل الإجازات والحالات'!$B$6:$B$505,$B55))/cfg_DAYS_Y)</f>
        <v/>
      </c>
      <c r="AJ55" s="110" t="str">
        <f aca="false">IF($B55="","",MAX(0,AK55-(SUMIFS('سجل الإجازات والحالات'!$AO$6:$AO$505,'سجل الإجازات والحالات'!$B$6:$B$505,$B55)-SUMIFS('سجل الإجازات والحالات'!$AN$6:$AN$505,'سجل الإجازات والحالات'!$B$6:$B$505,$B55))))</f>
        <v/>
      </c>
      <c r="AK55" s="110" t="str">
        <f aca="false">IF($B55="","",MAX(0,IF(OR(الموظفون!$AE55="",الموظفون!$AE55&gt;$F$3),$F$3,الموظفون!$AE55)-MAX($E$3,الموظفون!$H55)+1))</f>
        <v/>
      </c>
      <c r="AL55" s="131" t="str">
        <f aca="false">IF($B55="","",SUMIFS('سجل الإجازات والحالات'!$BA$6:$BA$505,'سجل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والحالات'!$AC$6:$AC$505,'سجل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والحالات'!$AO$6:$AO$505,'سجل الإجازات والحالات'!$B$6:$B$505,$B56))/cfg_DAYS_Y)</f>
        <v/>
      </c>
      <c r="AI56" s="130" t="str">
        <f aca="false">IF($B56="","",MAX(0,IF(OR(الموظفون!$AE56="",الموظفون!$AE56&gt;($E$3-1)),($E$3-1),الموظفون!$AE56)-الموظفون!$H56+1-SUMIFS('سجل الإجازات والحالات'!$AN$6:$AN$505,'سجل الإجازات والحالات'!$B$6:$B$505,$B56))/cfg_DAYS_Y)</f>
        <v/>
      </c>
      <c r="AJ56" s="57" t="str">
        <f aca="false">IF($B56="","",MAX(0,AK56-(SUMIFS('سجل الإجازات والحالات'!$AO$6:$AO$505,'سجل الإجازات والحالات'!$B$6:$B$505,$B56)-SUMIFS('سجل الإجازات والحالات'!$AN$6:$AN$505,'سجل الإجازات والحالات'!$B$6:$B$505,$B56))))</f>
        <v/>
      </c>
      <c r="AK56" s="57" t="str">
        <f aca="false">IF($B56="","",MAX(0,IF(OR(الموظفون!$AE56="",الموظفون!$AE56&gt;$F$3),$F$3,الموظفون!$AE56)-MAX($E$3,الموظفون!$H56)+1))</f>
        <v/>
      </c>
      <c r="AL56" s="126" t="str">
        <f aca="false">IF($B56="","",SUMIFS('سجل الإجازات والحالات'!$BA$6:$BA$505,'سجل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والحالات'!$AC$6:$AC$505,'سجل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والحالات'!$AO$6:$AO$505,'سجل الإجازات والحالات'!$B$6:$B$505,$B57))/cfg_DAYS_Y)</f>
        <v/>
      </c>
      <c r="AI57" s="135" t="str">
        <f aca="false">IF($B57="","",MAX(0,IF(OR(الموظفون!$AE57="",الموظفون!$AE57&gt;($E$3-1)),($E$3-1),الموظفون!$AE57)-الموظفون!$H57+1-SUMIFS('سجل الإجازات والحالات'!$AN$6:$AN$505,'سجل الإجازات والحالات'!$B$6:$B$505,$B57))/cfg_DAYS_Y)</f>
        <v/>
      </c>
      <c r="AJ57" s="110" t="str">
        <f aca="false">IF($B57="","",MAX(0,AK57-(SUMIFS('سجل الإجازات والحالات'!$AO$6:$AO$505,'سجل الإجازات والحالات'!$B$6:$B$505,$B57)-SUMIFS('سجل الإجازات والحالات'!$AN$6:$AN$505,'سجل الإجازات والحالات'!$B$6:$B$505,$B57))))</f>
        <v/>
      </c>
      <c r="AK57" s="110" t="str">
        <f aca="false">IF($B57="","",MAX(0,IF(OR(الموظفون!$AE57="",الموظفون!$AE57&gt;$F$3),$F$3,الموظفون!$AE57)-MAX($E$3,الموظفون!$H57)+1))</f>
        <v/>
      </c>
      <c r="AL57" s="131" t="str">
        <f aca="false">IF($B57="","",SUMIFS('سجل الإجازات والحالات'!$BA$6:$BA$505,'سجل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والحالات'!$AC$6:$AC$505,'سجل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والحالات'!$AO$6:$AO$505,'سجل الإجازات والحالات'!$B$6:$B$505,$B58))/cfg_DAYS_Y)</f>
        <v/>
      </c>
      <c r="AI58" s="130" t="str">
        <f aca="false">IF($B58="","",MAX(0,IF(OR(الموظفون!$AE58="",الموظفون!$AE58&gt;($E$3-1)),($E$3-1),الموظفون!$AE58)-الموظفون!$H58+1-SUMIFS('سجل الإجازات والحالات'!$AN$6:$AN$505,'سجل الإجازات والحالات'!$B$6:$B$505,$B58))/cfg_DAYS_Y)</f>
        <v/>
      </c>
      <c r="AJ58" s="57" t="str">
        <f aca="false">IF($B58="","",MAX(0,AK58-(SUMIFS('سجل الإجازات والحالات'!$AO$6:$AO$505,'سجل الإجازات والحالات'!$B$6:$B$505,$B58)-SUMIFS('سجل الإجازات والحالات'!$AN$6:$AN$505,'سجل الإجازات والحالات'!$B$6:$B$505,$B58))))</f>
        <v/>
      </c>
      <c r="AK58" s="57" t="str">
        <f aca="false">IF($B58="","",MAX(0,IF(OR(الموظفون!$AE58="",الموظفون!$AE58&gt;$F$3),$F$3,الموظفون!$AE58)-MAX($E$3,الموظفون!$H58)+1))</f>
        <v/>
      </c>
      <c r="AL58" s="126" t="str">
        <f aca="false">IF($B58="","",SUMIFS('سجل الإجازات والحالات'!$BA$6:$BA$505,'سجل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والحالات'!$AC$6:$AC$505,'سجل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والحالات'!$AO$6:$AO$505,'سجل الإجازات والحالات'!$B$6:$B$505,$B59))/cfg_DAYS_Y)</f>
        <v/>
      </c>
      <c r="AI59" s="135" t="str">
        <f aca="false">IF($B59="","",MAX(0,IF(OR(الموظفون!$AE59="",الموظفون!$AE59&gt;($E$3-1)),($E$3-1),الموظفون!$AE59)-الموظفون!$H59+1-SUMIFS('سجل الإجازات والحالات'!$AN$6:$AN$505,'سجل الإجازات والحالات'!$B$6:$B$505,$B59))/cfg_DAYS_Y)</f>
        <v/>
      </c>
      <c r="AJ59" s="110" t="str">
        <f aca="false">IF($B59="","",MAX(0,AK59-(SUMIFS('سجل الإجازات والحالات'!$AO$6:$AO$505,'سجل الإجازات والحالات'!$B$6:$B$505,$B59)-SUMIFS('سجل الإجازات والحالات'!$AN$6:$AN$505,'سجل الإجازات والحالات'!$B$6:$B$505,$B59))))</f>
        <v/>
      </c>
      <c r="AK59" s="110" t="str">
        <f aca="false">IF($B59="","",MAX(0,IF(OR(الموظفون!$AE59="",الموظفون!$AE59&gt;$F$3),$F$3,الموظفون!$AE59)-MAX($E$3,الموظفون!$H59)+1))</f>
        <v/>
      </c>
      <c r="AL59" s="131" t="str">
        <f aca="false">IF($B59="","",SUMIFS('سجل الإجازات والحالات'!$BA$6:$BA$505,'سجل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والحالات'!$AC$6:$AC$505,'سجل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والحالات'!$AO$6:$AO$505,'سجل الإجازات والحالات'!$B$6:$B$505,$B60))/cfg_DAYS_Y)</f>
        <v/>
      </c>
      <c r="AI60" s="130" t="str">
        <f aca="false">IF($B60="","",MAX(0,IF(OR(الموظفون!$AE60="",الموظفون!$AE60&gt;($E$3-1)),($E$3-1),الموظفون!$AE60)-الموظفون!$H60+1-SUMIFS('سجل الإجازات والحالات'!$AN$6:$AN$505,'سجل الإجازات والحالات'!$B$6:$B$505,$B60))/cfg_DAYS_Y)</f>
        <v/>
      </c>
      <c r="AJ60" s="57" t="str">
        <f aca="false">IF($B60="","",MAX(0,AK60-(SUMIFS('سجل الإجازات والحالات'!$AO$6:$AO$505,'سجل الإجازات والحالات'!$B$6:$B$505,$B60)-SUMIFS('سجل الإجازات والحالات'!$AN$6:$AN$505,'سجل الإجازات والحالات'!$B$6:$B$505,$B60))))</f>
        <v/>
      </c>
      <c r="AK60" s="57" t="str">
        <f aca="false">IF($B60="","",MAX(0,IF(OR(الموظفون!$AE60="",الموظفون!$AE60&gt;$F$3),$F$3,الموظفون!$AE60)-MAX($E$3,الموظفون!$H60)+1))</f>
        <v/>
      </c>
      <c r="AL60" s="126" t="str">
        <f aca="false">IF($B60="","",SUMIFS('سجل الإجازات والحالات'!$BA$6:$BA$505,'سجل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والحالات'!$AC$6:$AC$505,'سجل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والحالات'!$AO$6:$AO$505,'سجل الإجازات والحالات'!$B$6:$B$505,$B61))/cfg_DAYS_Y)</f>
        <v/>
      </c>
      <c r="AI61" s="135" t="str">
        <f aca="false">IF($B61="","",MAX(0,IF(OR(الموظفون!$AE61="",الموظفون!$AE61&gt;($E$3-1)),($E$3-1),الموظفون!$AE61)-الموظفون!$H61+1-SUMIFS('سجل الإجازات والحالات'!$AN$6:$AN$505,'سجل الإجازات والحالات'!$B$6:$B$505,$B61))/cfg_DAYS_Y)</f>
        <v/>
      </c>
      <c r="AJ61" s="110" t="str">
        <f aca="false">IF($B61="","",MAX(0,AK61-(SUMIFS('سجل الإجازات والحالات'!$AO$6:$AO$505,'سجل الإجازات والحالات'!$B$6:$B$505,$B61)-SUMIFS('سجل الإجازات والحالات'!$AN$6:$AN$505,'سجل الإجازات والحالات'!$B$6:$B$505,$B61))))</f>
        <v/>
      </c>
      <c r="AK61" s="110" t="str">
        <f aca="false">IF($B61="","",MAX(0,IF(OR(الموظفون!$AE61="",الموظفون!$AE61&gt;$F$3),$F$3,الموظفون!$AE61)-MAX($E$3,الموظفون!$H61)+1))</f>
        <v/>
      </c>
      <c r="AL61" s="131" t="str">
        <f aca="false">IF($B61="","",SUMIFS('سجل الإجازات والحالات'!$BA$6:$BA$505,'سجل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والحالات'!$AC$6:$AC$505,'سجل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والحالات'!$AO$6:$AO$505,'سجل الإجازات والحالات'!$B$6:$B$505,$B62))/cfg_DAYS_Y)</f>
        <v/>
      </c>
      <c r="AI62" s="130" t="str">
        <f aca="false">IF($B62="","",MAX(0,IF(OR(الموظفون!$AE62="",الموظفون!$AE62&gt;($E$3-1)),($E$3-1),الموظفون!$AE62)-الموظفون!$H62+1-SUMIFS('سجل الإجازات والحالات'!$AN$6:$AN$505,'سجل الإجازات والحالات'!$B$6:$B$505,$B62))/cfg_DAYS_Y)</f>
        <v/>
      </c>
      <c r="AJ62" s="57" t="str">
        <f aca="false">IF($B62="","",MAX(0,AK62-(SUMIFS('سجل الإجازات والحالات'!$AO$6:$AO$505,'سجل الإجازات والحالات'!$B$6:$B$505,$B62)-SUMIFS('سجل الإجازات والحالات'!$AN$6:$AN$505,'سجل الإجازات والحالات'!$B$6:$B$505,$B62))))</f>
        <v/>
      </c>
      <c r="AK62" s="57" t="str">
        <f aca="false">IF($B62="","",MAX(0,IF(OR(الموظفون!$AE62="",الموظفون!$AE62&gt;$F$3),$F$3,الموظفون!$AE62)-MAX($E$3,الموظفون!$H62)+1))</f>
        <v/>
      </c>
      <c r="AL62" s="126" t="str">
        <f aca="false">IF($B62="","",SUMIFS('سجل الإجازات والحالات'!$BA$6:$BA$505,'سجل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والحالات'!$AC$6:$AC$505,'سجل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والحالات'!$AO$6:$AO$505,'سجل الإجازات والحالات'!$B$6:$B$505,$B63))/cfg_DAYS_Y)</f>
        <v/>
      </c>
      <c r="AI63" s="135" t="str">
        <f aca="false">IF($B63="","",MAX(0,IF(OR(الموظفون!$AE63="",الموظفون!$AE63&gt;($E$3-1)),($E$3-1),الموظفون!$AE63)-الموظفون!$H63+1-SUMIFS('سجل الإجازات والحالات'!$AN$6:$AN$505,'سجل الإجازات والحالات'!$B$6:$B$505,$B63))/cfg_DAYS_Y)</f>
        <v/>
      </c>
      <c r="AJ63" s="110" t="str">
        <f aca="false">IF($B63="","",MAX(0,AK63-(SUMIFS('سجل الإجازات والحالات'!$AO$6:$AO$505,'سجل الإجازات والحالات'!$B$6:$B$505,$B63)-SUMIFS('سجل الإجازات والحالات'!$AN$6:$AN$505,'سجل الإجازات والحالات'!$B$6:$B$505,$B63))))</f>
        <v/>
      </c>
      <c r="AK63" s="110" t="str">
        <f aca="false">IF($B63="","",MAX(0,IF(OR(الموظفون!$AE63="",الموظفون!$AE63&gt;$F$3),$F$3,الموظفون!$AE63)-MAX($E$3,الموظفون!$H63)+1))</f>
        <v/>
      </c>
      <c r="AL63" s="131" t="str">
        <f aca="false">IF($B63="","",SUMIFS('سجل الإجازات والحالات'!$BA$6:$BA$505,'سجل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والحالات'!$AC$6:$AC$505,'سجل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والحالات'!$AO$6:$AO$505,'سجل الإجازات والحالات'!$B$6:$B$505,$B64))/cfg_DAYS_Y)</f>
        <v/>
      </c>
      <c r="AI64" s="130" t="str">
        <f aca="false">IF($B64="","",MAX(0,IF(OR(الموظفون!$AE64="",الموظفون!$AE64&gt;($E$3-1)),($E$3-1),الموظفون!$AE64)-الموظفون!$H64+1-SUMIFS('سجل الإجازات والحالات'!$AN$6:$AN$505,'سجل الإجازات والحالات'!$B$6:$B$505,$B64))/cfg_DAYS_Y)</f>
        <v/>
      </c>
      <c r="AJ64" s="57" t="str">
        <f aca="false">IF($B64="","",MAX(0,AK64-(SUMIFS('سجل الإجازات والحالات'!$AO$6:$AO$505,'سجل الإجازات والحالات'!$B$6:$B$505,$B64)-SUMIFS('سجل الإجازات والحالات'!$AN$6:$AN$505,'سجل الإجازات والحالات'!$B$6:$B$505,$B64))))</f>
        <v/>
      </c>
      <c r="AK64" s="57" t="str">
        <f aca="false">IF($B64="","",MAX(0,IF(OR(الموظفون!$AE64="",الموظفون!$AE64&gt;$F$3),$F$3,الموظفون!$AE64)-MAX($E$3,الموظفون!$H64)+1))</f>
        <v/>
      </c>
      <c r="AL64" s="126" t="str">
        <f aca="false">IF($B64="","",SUMIFS('سجل الإجازات والحالات'!$BA$6:$BA$505,'سجل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والحالات'!$AC$6:$AC$505,'سجل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والحالات'!$AO$6:$AO$505,'سجل الإجازات والحالات'!$B$6:$B$505,$B65))/cfg_DAYS_Y)</f>
        <v/>
      </c>
      <c r="AI65" s="135" t="str">
        <f aca="false">IF($B65="","",MAX(0,IF(OR(الموظفون!$AE65="",الموظفون!$AE65&gt;($E$3-1)),($E$3-1),الموظفون!$AE65)-الموظفون!$H65+1-SUMIFS('سجل الإجازات والحالات'!$AN$6:$AN$505,'سجل الإجازات والحالات'!$B$6:$B$505,$B65))/cfg_DAYS_Y)</f>
        <v/>
      </c>
      <c r="AJ65" s="110" t="str">
        <f aca="false">IF($B65="","",MAX(0,AK65-(SUMIFS('سجل الإجازات والحالات'!$AO$6:$AO$505,'سجل الإجازات والحالات'!$B$6:$B$505,$B65)-SUMIFS('سجل الإجازات والحالات'!$AN$6:$AN$505,'سجل الإجازات والحالات'!$B$6:$B$505,$B65))))</f>
        <v/>
      </c>
      <c r="AK65" s="110" t="str">
        <f aca="false">IF($B65="","",MAX(0,IF(OR(الموظفون!$AE65="",الموظفون!$AE65&gt;$F$3),$F$3,الموظفون!$AE65)-MAX($E$3,الموظفون!$H65)+1))</f>
        <v/>
      </c>
      <c r="AL65" s="131" t="str">
        <f aca="false">IF($B65="","",SUMIFS('سجل الإجازات والحالات'!$BA$6:$BA$505,'سجل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والحالات'!$AC$6:$AC$505,'سجل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والحالات'!$AO$6:$AO$505,'سجل الإجازات والحالات'!$B$6:$B$505,$B66))/cfg_DAYS_Y)</f>
        <v/>
      </c>
      <c r="AI66" s="130" t="str">
        <f aca="false">IF($B66="","",MAX(0,IF(OR(الموظفون!$AE66="",الموظفون!$AE66&gt;($E$3-1)),($E$3-1),الموظفون!$AE66)-الموظفون!$H66+1-SUMIFS('سجل الإجازات والحالات'!$AN$6:$AN$505,'سجل الإجازات والحالات'!$B$6:$B$505,$B66))/cfg_DAYS_Y)</f>
        <v/>
      </c>
      <c r="AJ66" s="57" t="str">
        <f aca="false">IF($B66="","",MAX(0,AK66-(SUMIFS('سجل الإجازات والحالات'!$AO$6:$AO$505,'سجل الإجازات والحالات'!$B$6:$B$505,$B66)-SUMIFS('سجل الإجازات والحالات'!$AN$6:$AN$505,'سجل الإجازات والحالات'!$B$6:$B$505,$B66))))</f>
        <v/>
      </c>
      <c r="AK66" s="57" t="str">
        <f aca="false">IF($B66="","",MAX(0,IF(OR(الموظفون!$AE66="",الموظفون!$AE66&gt;$F$3),$F$3,الموظفون!$AE66)-MAX($E$3,الموظفون!$H66)+1))</f>
        <v/>
      </c>
      <c r="AL66" s="126" t="str">
        <f aca="false">IF($B66="","",SUMIFS('سجل الإجازات والحالات'!$BA$6:$BA$505,'سجل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والحالات'!$AC$6:$AC$505,'سجل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والحالات'!$AO$6:$AO$505,'سجل الإجازات والحالات'!$B$6:$B$505,$B67))/cfg_DAYS_Y)</f>
        <v/>
      </c>
      <c r="AI67" s="135" t="str">
        <f aca="false">IF($B67="","",MAX(0,IF(OR(الموظفون!$AE67="",الموظفون!$AE67&gt;($E$3-1)),($E$3-1),الموظفون!$AE67)-الموظفون!$H67+1-SUMIFS('سجل الإجازات والحالات'!$AN$6:$AN$505,'سجل الإجازات والحالات'!$B$6:$B$505,$B67))/cfg_DAYS_Y)</f>
        <v/>
      </c>
      <c r="AJ67" s="110" t="str">
        <f aca="false">IF($B67="","",MAX(0,AK67-(SUMIFS('سجل الإجازات والحالات'!$AO$6:$AO$505,'سجل الإجازات والحالات'!$B$6:$B$505,$B67)-SUMIFS('سجل الإجازات والحالات'!$AN$6:$AN$505,'سجل الإجازات والحالات'!$B$6:$B$505,$B67))))</f>
        <v/>
      </c>
      <c r="AK67" s="110" t="str">
        <f aca="false">IF($B67="","",MAX(0,IF(OR(الموظفون!$AE67="",الموظفون!$AE67&gt;$F$3),$F$3,الموظفون!$AE67)-MAX($E$3,الموظفون!$H67)+1))</f>
        <v/>
      </c>
      <c r="AL67" s="131" t="str">
        <f aca="false">IF($B67="","",SUMIFS('سجل الإجازات والحالات'!$BA$6:$BA$505,'سجل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والحالات'!$AC$6:$AC$505,'سجل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والحالات'!$AO$6:$AO$505,'سجل الإجازات والحالات'!$B$6:$B$505,$B68))/cfg_DAYS_Y)</f>
        <v/>
      </c>
      <c r="AI68" s="130" t="str">
        <f aca="false">IF($B68="","",MAX(0,IF(OR(الموظفون!$AE68="",الموظفون!$AE68&gt;($E$3-1)),($E$3-1),الموظفون!$AE68)-الموظفون!$H68+1-SUMIFS('سجل الإجازات والحالات'!$AN$6:$AN$505,'سجل الإجازات والحالات'!$B$6:$B$505,$B68))/cfg_DAYS_Y)</f>
        <v/>
      </c>
      <c r="AJ68" s="57" t="str">
        <f aca="false">IF($B68="","",MAX(0,AK68-(SUMIFS('سجل الإجازات والحالات'!$AO$6:$AO$505,'سجل الإجازات والحالات'!$B$6:$B$505,$B68)-SUMIFS('سجل الإجازات والحالات'!$AN$6:$AN$505,'سجل الإجازات والحالات'!$B$6:$B$505,$B68))))</f>
        <v/>
      </c>
      <c r="AK68" s="57" t="str">
        <f aca="false">IF($B68="","",MAX(0,IF(OR(الموظفون!$AE68="",الموظفون!$AE68&gt;$F$3),$F$3,الموظفون!$AE68)-MAX($E$3,الموظفون!$H68)+1))</f>
        <v/>
      </c>
      <c r="AL68" s="126" t="str">
        <f aca="false">IF($B68="","",SUMIFS('سجل الإجازات والحالات'!$BA$6:$BA$505,'سجل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والحالات'!$AC$6:$AC$505,'سجل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والحالات'!$AO$6:$AO$505,'سجل الإجازات والحالات'!$B$6:$B$505,$B69))/cfg_DAYS_Y)</f>
        <v/>
      </c>
      <c r="AI69" s="135" t="str">
        <f aca="false">IF($B69="","",MAX(0,IF(OR(الموظفون!$AE69="",الموظفون!$AE69&gt;($E$3-1)),($E$3-1),الموظفون!$AE69)-الموظفون!$H69+1-SUMIFS('سجل الإجازات والحالات'!$AN$6:$AN$505,'سجل الإجازات والحالات'!$B$6:$B$505,$B69))/cfg_DAYS_Y)</f>
        <v/>
      </c>
      <c r="AJ69" s="110" t="str">
        <f aca="false">IF($B69="","",MAX(0,AK69-(SUMIFS('سجل الإجازات والحالات'!$AO$6:$AO$505,'سجل الإجازات والحالات'!$B$6:$B$505,$B69)-SUMIFS('سجل الإجازات والحالات'!$AN$6:$AN$505,'سجل الإجازات والحالات'!$B$6:$B$505,$B69))))</f>
        <v/>
      </c>
      <c r="AK69" s="110" t="str">
        <f aca="false">IF($B69="","",MAX(0,IF(OR(الموظفون!$AE69="",الموظفون!$AE69&gt;$F$3),$F$3,الموظفون!$AE69)-MAX($E$3,الموظفون!$H69)+1))</f>
        <v/>
      </c>
      <c r="AL69" s="131" t="str">
        <f aca="false">IF($B69="","",SUMIFS('سجل الإجازات والحالات'!$BA$6:$BA$505,'سجل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والحالات'!$AC$6:$AC$505,'سجل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والحالات'!$AO$6:$AO$505,'سجل الإجازات والحالات'!$B$6:$B$505,$B70))/cfg_DAYS_Y)</f>
        <v/>
      </c>
      <c r="AI70" s="130" t="str">
        <f aca="false">IF($B70="","",MAX(0,IF(OR(الموظفون!$AE70="",الموظفون!$AE70&gt;($E$3-1)),($E$3-1),الموظفون!$AE70)-الموظفون!$H70+1-SUMIFS('سجل الإجازات والحالات'!$AN$6:$AN$505,'سجل الإجازات والحالات'!$B$6:$B$505,$B70))/cfg_DAYS_Y)</f>
        <v/>
      </c>
      <c r="AJ70" s="57" t="str">
        <f aca="false">IF($B70="","",MAX(0,AK70-(SUMIFS('سجل الإجازات والحالات'!$AO$6:$AO$505,'سجل الإجازات والحالات'!$B$6:$B$505,$B70)-SUMIFS('سجل الإجازات والحالات'!$AN$6:$AN$505,'سجل الإجازات والحالات'!$B$6:$B$505,$B70))))</f>
        <v/>
      </c>
      <c r="AK70" s="57" t="str">
        <f aca="false">IF($B70="","",MAX(0,IF(OR(الموظفون!$AE70="",الموظفون!$AE70&gt;$F$3),$F$3,الموظفون!$AE70)-MAX($E$3,الموظفون!$H70)+1))</f>
        <v/>
      </c>
      <c r="AL70" s="126" t="str">
        <f aca="false">IF($B70="","",SUMIFS('سجل الإجازات والحالات'!$BA$6:$BA$505,'سجل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والحالات'!$AC$6:$AC$505,'سجل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والحالات'!$AO$6:$AO$505,'سجل الإجازات والحالات'!$B$6:$B$505,$B71))/cfg_DAYS_Y)</f>
        <v/>
      </c>
      <c r="AI71" s="135" t="str">
        <f aca="false">IF($B71="","",MAX(0,IF(OR(الموظفون!$AE71="",الموظفون!$AE71&gt;($E$3-1)),($E$3-1),الموظفون!$AE71)-الموظفون!$H71+1-SUMIFS('سجل الإجازات والحالات'!$AN$6:$AN$505,'سجل الإجازات والحالات'!$B$6:$B$505,$B71))/cfg_DAYS_Y)</f>
        <v/>
      </c>
      <c r="AJ71" s="110" t="str">
        <f aca="false">IF($B71="","",MAX(0,AK71-(SUMIFS('سجل الإجازات والحالات'!$AO$6:$AO$505,'سجل الإجازات والحالات'!$B$6:$B$505,$B71)-SUMIFS('سجل الإجازات والحالات'!$AN$6:$AN$505,'سجل الإجازات والحالات'!$B$6:$B$505,$B71))))</f>
        <v/>
      </c>
      <c r="AK71" s="110" t="str">
        <f aca="false">IF($B71="","",MAX(0,IF(OR(الموظفون!$AE71="",الموظفون!$AE71&gt;$F$3),$F$3,الموظفون!$AE71)-MAX($E$3,الموظفون!$H71)+1))</f>
        <v/>
      </c>
      <c r="AL71" s="131" t="str">
        <f aca="false">IF($B71="","",SUMIFS('سجل الإجازات والحالات'!$BA$6:$BA$505,'سجل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والحالات'!$AC$6:$AC$505,'سجل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والحالات'!$AO$6:$AO$505,'سجل الإجازات والحالات'!$B$6:$B$505,$B72))/cfg_DAYS_Y)</f>
        <v/>
      </c>
      <c r="AI72" s="130" t="str">
        <f aca="false">IF($B72="","",MAX(0,IF(OR(الموظفون!$AE72="",الموظفون!$AE72&gt;($E$3-1)),($E$3-1),الموظفون!$AE72)-الموظفون!$H72+1-SUMIFS('سجل الإجازات والحالات'!$AN$6:$AN$505,'سجل الإجازات والحالات'!$B$6:$B$505,$B72))/cfg_DAYS_Y)</f>
        <v/>
      </c>
      <c r="AJ72" s="57" t="str">
        <f aca="false">IF($B72="","",MAX(0,AK72-(SUMIFS('سجل الإجازات والحالات'!$AO$6:$AO$505,'سجل الإجازات والحالات'!$B$6:$B$505,$B72)-SUMIFS('سجل الإجازات والحالات'!$AN$6:$AN$505,'سجل الإجازات والحالات'!$B$6:$B$505,$B72))))</f>
        <v/>
      </c>
      <c r="AK72" s="57" t="str">
        <f aca="false">IF($B72="","",MAX(0,IF(OR(الموظفون!$AE72="",الموظفون!$AE72&gt;$F$3),$F$3,الموظفون!$AE72)-MAX($E$3,الموظفون!$H72)+1))</f>
        <v/>
      </c>
      <c r="AL72" s="126" t="str">
        <f aca="false">IF($B72="","",SUMIFS('سجل الإجازات والحالات'!$BA$6:$BA$505,'سجل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والحالات'!$AC$6:$AC$505,'سجل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والحالات'!$AO$6:$AO$505,'سجل الإجازات والحالات'!$B$6:$B$505,$B73))/cfg_DAYS_Y)</f>
        <v/>
      </c>
      <c r="AI73" s="135" t="str">
        <f aca="false">IF($B73="","",MAX(0,IF(OR(الموظفون!$AE73="",الموظفون!$AE73&gt;($E$3-1)),($E$3-1),الموظفون!$AE73)-الموظفون!$H73+1-SUMIFS('سجل الإجازات والحالات'!$AN$6:$AN$505,'سجل الإجازات والحالات'!$B$6:$B$505,$B73))/cfg_DAYS_Y)</f>
        <v/>
      </c>
      <c r="AJ73" s="110" t="str">
        <f aca="false">IF($B73="","",MAX(0,AK73-(SUMIFS('سجل الإجازات والحالات'!$AO$6:$AO$505,'سجل الإجازات والحالات'!$B$6:$B$505,$B73)-SUMIFS('سجل الإجازات والحالات'!$AN$6:$AN$505,'سجل الإجازات والحالات'!$B$6:$B$505,$B73))))</f>
        <v/>
      </c>
      <c r="AK73" s="110" t="str">
        <f aca="false">IF($B73="","",MAX(0,IF(OR(الموظفون!$AE73="",الموظفون!$AE73&gt;$F$3),$F$3,الموظفون!$AE73)-MAX($E$3,الموظفون!$H73)+1))</f>
        <v/>
      </c>
      <c r="AL73" s="131" t="str">
        <f aca="false">IF($B73="","",SUMIFS('سجل الإجازات والحالات'!$BA$6:$BA$505,'سجل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والحالات'!$AC$6:$AC$505,'سجل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والحالات'!$AO$6:$AO$505,'سجل الإجازات والحالات'!$B$6:$B$505,$B74))/cfg_DAYS_Y)</f>
        <v/>
      </c>
      <c r="AI74" s="130" t="str">
        <f aca="false">IF($B74="","",MAX(0,IF(OR(الموظفون!$AE74="",الموظفون!$AE74&gt;($E$3-1)),($E$3-1),الموظفون!$AE74)-الموظفون!$H74+1-SUMIFS('سجل الإجازات والحالات'!$AN$6:$AN$505,'سجل الإجازات والحالات'!$B$6:$B$505,$B74))/cfg_DAYS_Y)</f>
        <v/>
      </c>
      <c r="AJ74" s="57" t="str">
        <f aca="false">IF($B74="","",MAX(0,AK74-(SUMIFS('سجل الإجازات والحالات'!$AO$6:$AO$505,'سجل الإجازات والحالات'!$B$6:$B$505,$B74)-SUMIFS('سجل الإجازات والحالات'!$AN$6:$AN$505,'سجل الإجازات والحالات'!$B$6:$B$505,$B74))))</f>
        <v/>
      </c>
      <c r="AK74" s="57" t="str">
        <f aca="false">IF($B74="","",MAX(0,IF(OR(الموظفون!$AE74="",الموظفون!$AE74&gt;$F$3),$F$3,الموظفون!$AE74)-MAX($E$3,الموظفون!$H74)+1))</f>
        <v/>
      </c>
      <c r="AL74" s="126" t="str">
        <f aca="false">IF($B74="","",SUMIFS('سجل الإجازات والحالات'!$BA$6:$BA$505,'سجل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والحالات'!$AC$6:$AC$505,'سجل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والحالات'!$AO$6:$AO$505,'سجل الإجازات والحالات'!$B$6:$B$505,$B75))/cfg_DAYS_Y)</f>
        <v/>
      </c>
      <c r="AI75" s="135" t="str">
        <f aca="false">IF($B75="","",MAX(0,IF(OR(الموظفون!$AE75="",الموظفون!$AE75&gt;($E$3-1)),($E$3-1),الموظفون!$AE75)-الموظفون!$H75+1-SUMIFS('سجل الإجازات والحالات'!$AN$6:$AN$505,'سجل الإجازات والحالات'!$B$6:$B$505,$B75))/cfg_DAYS_Y)</f>
        <v/>
      </c>
      <c r="AJ75" s="110" t="str">
        <f aca="false">IF($B75="","",MAX(0,AK75-(SUMIFS('سجل الإجازات والحالات'!$AO$6:$AO$505,'سجل الإجازات والحالات'!$B$6:$B$505,$B75)-SUMIFS('سجل الإجازات والحالات'!$AN$6:$AN$505,'سجل الإجازات والحالات'!$B$6:$B$505,$B75))))</f>
        <v/>
      </c>
      <c r="AK75" s="110" t="str">
        <f aca="false">IF($B75="","",MAX(0,IF(OR(الموظفون!$AE75="",الموظفون!$AE75&gt;$F$3),$F$3,الموظفون!$AE75)-MAX($E$3,الموظفون!$H75)+1))</f>
        <v/>
      </c>
      <c r="AL75" s="131" t="str">
        <f aca="false">IF($B75="","",SUMIFS('سجل الإجازات والحالات'!$BA$6:$BA$505,'سجل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والحالات'!$AC$6:$AC$505,'سجل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والحالات'!$AO$6:$AO$505,'سجل الإجازات والحالات'!$B$6:$B$505,$B76))/cfg_DAYS_Y)</f>
        <v/>
      </c>
      <c r="AI76" s="130" t="str">
        <f aca="false">IF($B76="","",MAX(0,IF(OR(الموظفون!$AE76="",الموظفون!$AE76&gt;($E$3-1)),($E$3-1),الموظفون!$AE76)-الموظفون!$H76+1-SUMIFS('سجل الإجازات والحالات'!$AN$6:$AN$505,'سجل الإجازات والحالات'!$B$6:$B$505,$B76))/cfg_DAYS_Y)</f>
        <v/>
      </c>
      <c r="AJ76" s="57" t="str">
        <f aca="false">IF($B76="","",MAX(0,AK76-(SUMIFS('سجل الإجازات والحالات'!$AO$6:$AO$505,'سجل الإجازات والحالات'!$B$6:$B$505,$B76)-SUMIFS('سجل الإجازات والحالات'!$AN$6:$AN$505,'سجل الإجازات والحالات'!$B$6:$B$505,$B76))))</f>
        <v/>
      </c>
      <c r="AK76" s="57" t="str">
        <f aca="false">IF($B76="","",MAX(0,IF(OR(الموظفون!$AE76="",الموظفون!$AE76&gt;$F$3),$F$3,الموظفون!$AE76)-MAX($E$3,الموظفون!$H76)+1))</f>
        <v/>
      </c>
      <c r="AL76" s="126" t="str">
        <f aca="false">IF($B76="","",SUMIFS('سجل الإجازات والحالات'!$BA$6:$BA$505,'سجل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والحالات'!$AC$6:$AC$505,'سجل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والحالات'!$AO$6:$AO$505,'سجل الإجازات والحالات'!$B$6:$B$505,$B77))/cfg_DAYS_Y)</f>
        <v/>
      </c>
      <c r="AI77" s="135" t="str">
        <f aca="false">IF($B77="","",MAX(0,IF(OR(الموظفون!$AE77="",الموظفون!$AE77&gt;($E$3-1)),($E$3-1),الموظفون!$AE77)-الموظفون!$H77+1-SUMIFS('سجل الإجازات والحالات'!$AN$6:$AN$505,'سجل الإجازات والحالات'!$B$6:$B$505,$B77))/cfg_DAYS_Y)</f>
        <v/>
      </c>
      <c r="AJ77" s="110" t="str">
        <f aca="false">IF($B77="","",MAX(0,AK77-(SUMIFS('سجل الإجازات والحالات'!$AO$6:$AO$505,'سجل الإجازات والحالات'!$B$6:$B$505,$B77)-SUMIFS('سجل الإجازات والحالات'!$AN$6:$AN$505,'سجل الإجازات والحالات'!$B$6:$B$505,$B77))))</f>
        <v/>
      </c>
      <c r="AK77" s="110" t="str">
        <f aca="false">IF($B77="","",MAX(0,IF(OR(الموظفون!$AE77="",الموظفون!$AE77&gt;$F$3),$F$3,الموظفون!$AE77)-MAX($E$3,الموظفون!$H77)+1))</f>
        <v/>
      </c>
      <c r="AL77" s="131" t="str">
        <f aca="false">IF($B77="","",SUMIFS('سجل الإجازات والحالات'!$BA$6:$BA$505,'سجل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والحالات'!$AC$6:$AC$505,'سجل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والحالات'!$AO$6:$AO$505,'سجل الإجازات والحالات'!$B$6:$B$505,$B78))/cfg_DAYS_Y)</f>
        <v/>
      </c>
      <c r="AI78" s="130" t="str">
        <f aca="false">IF($B78="","",MAX(0,IF(OR(الموظفون!$AE78="",الموظفون!$AE78&gt;($E$3-1)),($E$3-1),الموظفون!$AE78)-الموظفون!$H78+1-SUMIFS('سجل الإجازات والحالات'!$AN$6:$AN$505,'سجل الإجازات والحالات'!$B$6:$B$505,$B78))/cfg_DAYS_Y)</f>
        <v/>
      </c>
      <c r="AJ78" s="57" t="str">
        <f aca="false">IF($B78="","",MAX(0,AK78-(SUMIFS('سجل الإجازات والحالات'!$AO$6:$AO$505,'سجل الإجازات والحالات'!$B$6:$B$505,$B78)-SUMIFS('سجل الإجازات والحالات'!$AN$6:$AN$505,'سجل الإجازات والحالات'!$B$6:$B$505,$B78))))</f>
        <v/>
      </c>
      <c r="AK78" s="57" t="str">
        <f aca="false">IF($B78="","",MAX(0,IF(OR(الموظفون!$AE78="",الموظفون!$AE78&gt;$F$3),$F$3,الموظفون!$AE78)-MAX($E$3,الموظفون!$H78)+1))</f>
        <v/>
      </c>
      <c r="AL78" s="126" t="str">
        <f aca="false">IF($B78="","",SUMIFS('سجل الإجازات والحالات'!$BA$6:$BA$505,'سجل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والحالات'!$AC$6:$AC$505,'سجل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والحالات'!$AO$6:$AO$505,'سجل الإجازات والحالات'!$B$6:$B$505,$B79))/cfg_DAYS_Y)</f>
        <v/>
      </c>
      <c r="AI79" s="135" t="str">
        <f aca="false">IF($B79="","",MAX(0,IF(OR(الموظفون!$AE79="",الموظفون!$AE79&gt;($E$3-1)),($E$3-1),الموظفون!$AE79)-الموظفون!$H79+1-SUMIFS('سجل الإجازات والحالات'!$AN$6:$AN$505,'سجل الإجازات والحالات'!$B$6:$B$505,$B79))/cfg_DAYS_Y)</f>
        <v/>
      </c>
      <c r="AJ79" s="110" t="str">
        <f aca="false">IF($B79="","",MAX(0,AK79-(SUMIFS('سجل الإجازات والحالات'!$AO$6:$AO$505,'سجل الإجازات والحالات'!$B$6:$B$505,$B79)-SUMIFS('سجل الإجازات والحالات'!$AN$6:$AN$505,'سجل الإجازات والحالات'!$B$6:$B$505,$B79))))</f>
        <v/>
      </c>
      <c r="AK79" s="110" t="str">
        <f aca="false">IF($B79="","",MAX(0,IF(OR(الموظفون!$AE79="",الموظفون!$AE79&gt;$F$3),$F$3,الموظفون!$AE79)-MAX($E$3,الموظفون!$H79)+1))</f>
        <v/>
      </c>
      <c r="AL79" s="131" t="str">
        <f aca="false">IF($B79="","",SUMIFS('سجل الإجازات والحالات'!$BA$6:$BA$505,'سجل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والحالات'!$AC$6:$AC$505,'سجل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والحالات'!$AO$6:$AO$505,'سجل الإجازات والحالات'!$B$6:$B$505,$B80))/cfg_DAYS_Y)</f>
        <v/>
      </c>
      <c r="AI80" s="130" t="str">
        <f aca="false">IF($B80="","",MAX(0,IF(OR(الموظفون!$AE80="",الموظفون!$AE80&gt;($E$3-1)),($E$3-1),الموظفون!$AE80)-الموظفون!$H80+1-SUMIFS('سجل الإجازات والحالات'!$AN$6:$AN$505,'سجل الإجازات والحالات'!$B$6:$B$505,$B80))/cfg_DAYS_Y)</f>
        <v/>
      </c>
      <c r="AJ80" s="57" t="str">
        <f aca="false">IF($B80="","",MAX(0,AK80-(SUMIFS('سجل الإجازات والحالات'!$AO$6:$AO$505,'سجل الإجازات والحالات'!$B$6:$B$505,$B80)-SUMIFS('سجل الإجازات والحالات'!$AN$6:$AN$505,'سجل الإجازات والحالات'!$B$6:$B$505,$B80))))</f>
        <v/>
      </c>
      <c r="AK80" s="57" t="str">
        <f aca="false">IF($B80="","",MAX(0,IF(OR(الموظفون!$AE80="",الموظفون!$AE80&gt;$F$3),$F$3,الموظفون!$AE80)-MAX($E$3,الموظفون!$H80)+1))</f>
        <v/>
      </c>
      <c r="AL80" s="126" t="str">
        <f aca="false">IF($B80="","",SUMIFS('سجل الإجازات والحالات'!$BA$6:$BA$505,'سجل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والحالات'!$AC$6:$AC$505,'سجل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والحالات'!$AO$6:$AO$505,'سجل الإجازات والحالات'!$B$6:$B$505,$B81))/cfg_DAYS_Y)</f>
        <v/>
      </c>
      <c r="AI81" s="135" t="str">
        <f aca="false">IF($B81="","",MAX(0,IF(OR(الموظفون!$AE81="",الموظفون!$AE81&gt;($E$3-1)),($E$3-1),الموظفون!$AE81)-الموظفون!$H81+1-SUMIFS('سجل الإجازات والحالات'!$AN$6:$AN$505,'سجل الإجازات والحالات'!$B$6:$B$505,$B81))/cfg_DAYS_Y)</f>
        <v/>
      </c>
      <c r="AJ81" s="110" t="str">
        <f aca="false">IF($B81="","",MAX(0,AK81-(SUMIFS('سجل الإجازات والحالات'!$AO$6:$AO$505,'سجل الإجازات والحالات'!$B$6:$B$505,$B81)-SUMIFS('سجل الإجازات والحالات'!$AN$6:$AN$505,'سجل الإجازات والحالات'!$B$6:$B$505,$B81))))</f>
        <v/>
      </c>
      <c r="AK81" s="110" t="str">
        <f aca="false">IF($B81="","",MAX(0,IF(OR(الموظفون!$AE81="",الموظفون!$AE81&gt;$F$3),$F$3,الموظفون!$AE81)-MAX($E$3,الموظفون!$H81)+1))</f>
        <v/>
      </c>
      <c r="AL81" s="131" t="str">
        <f aca="false">IF($B81="","",SUMIFS('سجل الإجازات والحالات'!$BA$6:$BA$505,'سجل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والحالات'!$AC$6:$AC$505,'سجل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والحالات'!$AO$6:$AO$505,'سجل الإجازات والحالات'!$B$6:$B$505,$B82))/cfg_DAYS_Y)</f>
        <v/>
      </c>
      <c r="AI82" s="130" t="str">
        <f aca="false">IF($B82="","",MAX(0,IF(OR(الموظفون!$AE82="",الموظفون!$AE82&gt;($E$3-1)),($E$3-1),الموظفون!$AE82)-الموظفون!$H82+1-SUMIFS('سجل الإجازات والحالات'!$AN$6:$AN$505,'سجل الإجازات والحالات'!$B$6:$B$505,$B82))/cfg_DAYS_Y)</f>
        <v/>
      </c>
      <c r="AJ82" s="57" t="str">
        <f aca="false">IF($B82="","",MAX(0,AK82-(SUMIFS('سجل الإجازات والحالات'!$AO$6:$AO$505,'سجل الإجازات والحالات'!$B$6:$B$505,$B82)-SUMIFS('سجل الإجازات والحالات'!$AN$6:$AN$505,'سجل الإجازات والحالات'!$B$6:$B$505,$B82))))</f>
        <v/>
      </c>
      <c r="AK82" s="57" t="str">
        <f aca="false">IF($B82="","",MAX(0,IF(OR(الموظفون!$AE82="",الموظفون!$AE82&gt;$F$3),$F$3,الموظفون!$AE82)-MAX($E$3,الموظفون!$H82)+1))</f>
        <v/>
      </c>
      <c r="AL82" s="126" t="str">
        <f aca="false">IF($B82="","",SUMIFS('سجل الإجازات والحالات'!$BA$6:$BA$505,'سجل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والحالات'!$AC$6:$AC$505,'سجل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والحالات'!$AO$6:$AO$505,'سجل الإجازات والحالات'!$B$6:$B$505,$B83))/cfg_DAYS_Y)</f>
        <v/>
      </c>
      <c r="AI83" s="135" t="str">
        <f aca="false">IF($B83="","",MAX(0,IF(OR(الموظفون!$AE83="",الموظفون!$AE83&gt;($E$3-1)),($E$3-1),الموظفون!$AE83)-الموظفون!$H83+1-SUMIFS('سجل الإجازات والحالات'!$AN$6:$AN$505,'سجل الإجازات والحالات'!$B$6:$B$505,$B83))/cfg_DAYS_Y)</f>
        <v/>
      </c>
      <c r="AJ83" s="110" t="str">
        <f aca="false">IF($B83="","",MAX(0,AK83-(SUMIFS('سجل الإجازات والحالات'!$AO$6:$AO$505,'سجل الإجازات والحالات'!$B$6:$B$505,$B83)-SUMIFS('سجل الإجازات والحالات'!$AN$6:$AN$505,'سجل الإجازات والحالات'!$B$6:$B$505,$B83))))</f>
        <v/>
      </c>
      <c r="AK83" s="110" t="str">
        <f aca="false">IF($B83="","",MAX(0,IF(OR(الموظفون!$AE83="",الموظفون!$AE83&gt;$F$3),$F$3,الموظفون!$AE83)-MAX($E$3,الموظفون!$H83)+1))</f>
        <v/>
      </c>
      <c r="AL83" s="131" t="str">
        <f aca="false">IF($B83="","",SUMIFS('سجل الإجازات والحالات'!$BA$6:$BA$505,'سجل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والحالات'!$AC$6:$AC$505,'سجل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والحالات'!$AO$6:$AO$505,'سجل الإجازات والحالات'!$B$6:$B$505,$B84))/cfg_DAYS_Y)</f>
        <v/>
      </c>
      <c r="AI84" s="130" t="str">
        <f aca="false">IF($B84="","",MAX(0,IF(OR(الموظفون!$AE84="",الموظفون!$AE84&gt;($E$3-1)),($E$3-1),الموظفون!$AE84)-الموظفون!$H84+1-SUMIFS('سجل الإجازات والحالات'!$AN$6:$AN$505,'سجل الإجازات والحالات'!$B$6:$B$505,$B84))/cfg_DAYS_Y)</f>
        <v/>
      </c>
      <c r="AJ84" s="57" t="str">
        <f aca="false">IF($B84="","",MAX(0,AK84-(SUMIFS('سجل الإجازات والحالات'!$AO$6:$AO$505,'سجل الإجازات والحالات'!$B$6:$B$505,$B84)-SUMIFS('سجل الإجازات والحالات'!$AN$6:$AN$505,'سجل الإجازات والحالات'!$B$6:$B$505,$B84))))</f>
        <v/>
      </c>
      <c r="AK84" s="57" t="str">
        <f aca="false">IF($B84="","",MAX(0,IF(OR(الموظفون!$AE84="",الموظفون!$AE84&gt;$F$3),$F$3,الموظفون!$AE84)-MAX($E$3,الموظفون!$H84)+1))</f>
        <v/>
      </c>
      <c r="AL84" s="126" t="str">
        <f aca="false">IF($B84="","",SUMIFS('سجل الإجازات والحالات'!$BA$6:$BA$505,'سجل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والحالات'!$AC$6:$AC$505,'سجل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والحالات'!$AO$6:$AO$505,'سجل الإجازات والحالات'!$B$6:$B$505,$B85))/cfg_DAYS_Y)</f>
        <v/>
      </c>
      <c r="AI85" s="135" t="str">
        <f aca="false">IF($B85="","",MAX(0,IF(OR(الموظفون!$AE85="",الموظفون!$AE85&gt;($E$3-1)),($E$3-1),الموظفون!$AE85)-الموظفون!$H85+1-SUMIFS('سجل الإجازات والحالات'!$AN$6:$AN$505,'سجل الإجازات والحالات'!$B$6:$B$505,$B85))/cfg_DAYS_Y)</f>
        <v/>
      </c>
      <c r="AJ85" s="110" t="str">
        <f aca="false">IF($B85="","",MAX(0,AK85-(SUMIFS('سجل الإجازات والحالات'!$AO$6:$AO$505,'سجل الإجازات والحالات'!$B$6:$B$505,$B85)-SUMIFS('سجل الإجازات والحالات'!$AN$6:$AN$505,'سجل الإجازات والحالات'!$B$6:$B$505,$B85))))</f>
        <v/>
      </c>
      <c r="AK85" s="110" t="str">
        <f aca="false">IF($B85="","",MAX(0,IF(OR(الموظفون!$AE85="",الموظفون!$AE85&gt;$F$3),$F$3,الموظفون!$AE85)-MAX($E$3,الموظفون!$H85)+1))</f>
        <v/>
      </c>
      <c r="AL85" s="131" t="str">
        <f aca="false">IF($B85="","",SUMIFS('سجل الإجازات والحالات'!$BA$6:$BA$505,'سجل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والحالات'!$AC$6:$AC$505,'سجل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والحالات'!$AO$6:$AO$505,'سجل الإجازات والحالات'!$B$6:$B$505,$B86))/cfg_DAYS_Y)</f>
        <v/>
      </c>
      <c r="AI86" s="130" t="str">
        <f aca="false">IF($B86="","",MAX(0,IF(OR(الموظفون!$AE86="",الموظفون!$AE86&gt;($E$3-1)),($E$3-1),الموظفون!$AE86)-الموظفون!$H86+1-SUMIFS('سجل الإجازات والحالات'!$AN$6:$AN$505,'سجل الإجازات والحالات'!$B$6:$B$505,$B86))/cfg_DAYS_Y)</f>
        <v/>
      </c>
      <c r="AJ86" s="57" t="str">
        <f aca="false">IF($B86="","",MAX(0,AK86-(SUMIFS('سجل الإجازات والحالات'!$AO$6:$AO$505,'سجل الإجازات والحالات'!$B$6:$B$505,$B86)-SUMIFS('سجل الإجازات والحالات'!$AN$6:$AN$505,'سجل الإجازات والحالات'!$B$6:$B$505,$B86))))</f>
        <v/>
      </c>
      <c r="AK86" s="57" t="str">
        <f aca="false">IF($B86="","",MAX(0,IF(OR(الموظفون!$AE86="",الموظفون!$AE86&gt;$F$3),$F$3,الموظفون!$AE86)-MAX($E$3,الموظفون!$H86)+1))</f>
        <v/>
      </c>
      <c r="AL86" s="126" t="str">
        <f aca="false">IF($B86="","",SUMIFS('سجل الإجازات والحالات'!$BA$6:$BA$505,'سجل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والحالات'!$AC$6:$AC$505,'سجل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والحالات'!$AO$6:$AO$505,'سجل الإجازات والحالات'!$B$6:$B$505,$B87))/cfg_DAYS_Y)</f>
        <v/>
      </c>
      <c r="AI87" s="135" t="str">
        <f aca="false">IF($B87="","",MAX(0,IF(OR(الموظفون!$AE87="",الموظفون!$AE87&gt;($E$3-1)),($E$3-1),الموظفون!$AE87)-الموظفون!$H87+1-SUMIFS('سجل الإجازات والحالات'!$AN$6:$AN$505,'سجل الإجازات والحالات'!$B$6:$B$505,$B87))/cfg_DAYS_Y)</f>
        <v/>
      </c>
      <c r="AJ87" s="110" t="str">
        <f aca="false">IF($B87="","",MAX(0,AK87-(SUMIFS('سجل الإجازات والحالات'!$AO$6:$AO$505,'سجل الإجازات والحالات'!$B$6:$B$505,$B87)-SUMIFS('سجل الإجازات والحالات'!$AN$6:$AN$505,'سجل الإجازات والحالات'!$B$6:$B$505,$B87))))</f>
        <v/>
      </c>
      <c r="AK87" s="110" t="str">
        <f aca="false">IF($B87="","",MAX(0,IF(OR(الموظفون!$AE87="",الموظفون!$AE87&gt;$F$3),$F$3,الموظفون!$AE87)-MAX($E$3,الموظفون!$H87)+1))</f>
        <v/>
      </c>
      <c r="AL87" s="131" t="str">
        <f aca="false">IF($B87="","",SUMIFS('سجل الإجازات والحالات'!$BA$6:$BA$505,'سجل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والحالات'!$AC$6:$AC$505,'سجل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والحالات'!$AO$6:$AO$505,'سجل الإجازات والحالات'!$B$6:$B$505,$B88))/cfg_DAYS_Y)</f>
        <v/>
      </c>
      <c r="AI88" s="130" t="str">
        <f aca="false">IF($B88="","",MAX(0,IF(OR(الموظفون!$AE88="",الموظفون!$AE88&gt;($E$3-1)),($E$3-1),الموظفون!$AE88)-الموظفون!$H88+1-SUMIFS('سجل الإجازات والحالات'!$AN$6:$AN$505,'سجل الإجازات والحالات'!$B$6:$B$505,$B88))/cfg_DAYS_Y)</f>
        <v/>
      </c>
      <c r="AJ88" s="57" t="str">
        <f aca="false">IF($B88="","",MAX(0,AK88-(SUMIFS('سجل الإجازات والحالات'!$AO$6:$AO$505,'سجل الإجازات والحالات'!$B$6:$B$505,$B88)-SUMIFS('سجل الإجازات والحالات'!$AN$6:$AN$505,'سجل الإجازات والحالات'!$B$6:$B$505,$B88))))</f>
        <v/>
      </c>
      <c r="AK88" s="57" t="str">
        <f aca="false">IF($B88="","",MAX(0,IF(OR(الموظفون!$AE88="",الموظفون!$AE88&gt;$F$3),$F$3,الموظفون!$AE88)-MAX($E$3,الموظفون!$H88)+1))</f>
        <v/>
      </c>
      <c r="AL88" s="126" t="str">
        <f aca="false">IF($B88="","",SUMIFS('سجل الإجازات والحالات'!$BA$6:$BA$505,'سجل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والحالات'!$AC$6:$AC$505,'سجل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والحالات'!$AO$6:$AO$505,'سجل الإجازات والحالات'!$B$6:$B$505,$B89))/cfg_DAYS_Y)</f>
        <v/>
      </c>
      <c r="AI89" s="135" t="str">
        <f aca="false">IF($B89="","",MAX(0,IF(OR(الموظفون!$AE89="",الموظفون!$AE89&gt;($E$3-1)),($E$3-1),الموظفون!$AE89)-الموظفون!$H89+1-SUMIFS('سجل الإجازات والحالات'!$AN$6:$AN$505,'سجل الإجازات والحالات'!$B$6:$B$505,$B89))/cfg_DAYS_Y)</f>
        <v/>
      </c>
      <c r="AJ89" s="110" t="str">
        <f aca="false">IF($B89="","",MAX(0,AK89-(SUMIFS('سجل الإجازات والحالات'!$AO$6:$AO$505,'سجل الإجازات والحالات'!$B$6:$B$505,$B89)-SUMIFS('سجل الإجازات والحالات'!$AN$6:$AN$505,'سجل الإجازات والحالات'!$B$6:$B$505,$B89))))</f>
        <v/>
      </c>
      <c r="AK89" s="110" t="str">
        <f aca="false">IF($B89="","",MAX(0,IF(OR(الموظفون!$AE89="",الموظفون!$AE89&gt;$F$3),$F$3,الموظفون!$AE89)-MAX($E$3,الموظفون!$H89)+1))</f>
        <v/>
      </c>
      <c r="AL89" s="131" t="str">
        <f aca="false">IF($B89="","",SUMIFS('سجل الإجازات والحالات'!$BA$6:$BA$505,'سجل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والحالات'!$AC$6:$AC$505,'سجل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والحالات'!$AO$6:$AO$505,'سجل الإجازات والحالات'!$B$6:$B$505,$B90))/cfg_DAYS_Y)</f>
        <v/>
      </c>
      <c r="AI90" s="130" t="str">
        <f aca="false">IF($B90="","",MAX(0,IF(OR(الموظفون!$AE90="",الموظفون!$AE90&gt;($E$3-1)),($E$3-1),الموظفون!$AE90)-الموظفون!$H90+1-SUMIFS('سجل الإجازات والحالات'!$AN$6:$AN$505,'سجل الإجازات والحالات'!$B$6:$B$505,$B90))/cfg_DAYS_Y)</f>
        <v/>
      </c>
      <c r="AJ90" s="57" t="str">
        <f aca="false">IF($B90="","",MAX(0,AK90-(SUMIFS('سجل الإجازات والحالات'!$AO$6:$AO$505,'سجل الإجازات والحالات'!$B$6:$B$505,$B90)-SUMIFS('سجل الإجازات والحالات'!$AN$6:$AN$505,'سجل الإجازات والحالات'!$B$6:$B$505,$B90))))</f>
        <v/>
      </c>
      <c r="AK90" s="57" t="str">
        <f aca="false">IF($B90="","",MAX(0,IF(OR(الموظفون!$AE90="",الموظفون!$AE90&gt;$F$3),$F$3,الموظفون!$AE90)-MAX($E$3,الموظفون!$H90)+1))</f>
        <v/>
      </c>
      <c r="AL90" s="126" t="str">
        <f aca="false">IF($B90="","",SUMIFS('سجل الإجازات والحالات'!$BA$6:$BA$505,'سجل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والحالات'!$AC$6:$AC$505,'سجل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والحالات'!$AO$6:$AO$505,'سجل الإجازات والحالات'!$B$6:$B$505,$B91))/cfg_DAYS_Y)</f>
        <v/>
      </c>
      <c r="AI91" s="135" t="str">
        <f aca="false">IF($B91="","",MAX(0,IF(OR(الموظفون!$AE91="",الموظفون!$AE91&gt;($E$3-1)),($E$3-1),الموظفون!$AE91)-الموظفون!$H91+1-SUMIFS('سجل الإجازات والحالات'!$AN$6:$AN$505,'سجل الإجازات والحالات'!$B$6:$B$505,$B91))/cfg_DAYS_Y)</f>
        <v/>
      </c>
      <c r="AJ91" s="110" t="str">
        <f aca="false">IF($B91="","",MAX(0,AK91-(SUMIFS('سجل الإجازات والحالات'!$AO$6:$AO$505,'سجل الإجازات والحالات'!$B$6:$B$505,$B91)-SUMIFS('سجل الإجازات والحالات'!$AN$6:$AN$505,'سجل الإجازات والحالات'!$B$6:$B$505,$B91))))</f>
        <v/>
      </c>
      <c r="AK91" s="110" t="str">
        <f aca="false">IF($B91="","",MAX(0,IF(OR(الموظفون!$AE91="",الموظفون!$AE91&gt;$F$3),$F$3,الموظفون!$AE91)-MAX($E$3,الموظفون!$H91)+1))</f>
        <v/>
      </c>
      <c r="AL91" s="131" t="str">
        <f aca="false">IF($B91="","",SUMIFS('سجل الإجازات والحالات'!$BA$6:$BA$505,'سجل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والحالات'!$AC$6:$AC$505,'سجل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والحالات'!$AO$6:$AO$505,'سجل الإجازات والحالات'!$B$6:$B$505,$B92))/cfg_DAYS_Y)</f>
        <v/>
      </c>
      <c r="AI92" s="130" t="str">
        <f aca="false">IF($B92="","",MAX(0,IF(OR(الموظفون!$AE92="",الموظفون!$AE92&gt;($E$3-1)),($E$3-1),الموظفون!$AE92)-الموظفون!$H92+1-SUMIFS('سجل الإجازات والحالات'!$AN$6:$AN$505,'سجل الإجازات والحالات'!$B$6:$B$505,$B92))/cfg_DAYS_Y)</f>
        <v/>
      </c>
      <c r="AJ92" s="57" t="str">
        <f aca="false">IF($B92="","",MAX(0,AK92-(SUMIFS('سجل الإجازات والحالات'!$AO$6:$AO$505,'سجل الإجازات والحالات'!$B$6:$B$505,$B92)-SUMIFS('سجل الإجازات والحالات'!$AN$6:$AN$505,'سجل الإجازات والحالات'!$B$6:$B$505,$B92))))</f>
        <v/>
      </c>
      <c r="AK92" s="57" t="str">
        <f aca="false">IF($B92="","",MAX(0,IF(OR(الموظفون!$AE92="",الموظفون!$AE92&gt;$F$3),$F$3,الموظفون!$AE92)-MAX($E$3,الموظفون!$H92)+1))</f>
        <v/>
      </c>
      <c r="AL92" s="126" t="str">
        <f aca="false">IF($B92="","",SUMIFS('سجل الإجازات والحالات'!$BA$6:$BA$505,'سجل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والحالات'!$AC$6:$AC$505,'سجل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والحالات'!$AO$6:$AO$505,'سجل الإجازات والحالات'!$B$6:$B$505,$B93))/cfg_DAYS_Y)</f>
        <v/>
      </c>
      <c r="AI93" s="135" t="str">
        <f aca="false">IF($B93="","",MAX(0,IF(OR(الموظفون!$AE93="",الموظفون!$AE93&gt;($E$3-1)),($E$3-1),الموظفون!$AE93)-الموظفون!$H93+1-SUMIFS('سجل الإجازات والحالات'!$AN$6:$AN$505,'سجل الإجازات والحالات'!$B$6:$B$505,$B93))/cfg_DAYS_Y)</f>
        <v/>
      </c>
      <c r="AJ93" s="110" t="str">
        <f aca="false">IF($B93="","",MAX(0,AK93-(SUMIFS('سجل الإجازات والحالات'!$AO$6:$AO$505,'سجل الإجازات والحالات'!$B$6:$B$505,$B93)-SUMIFS('سجل الإجازات والحالات'!$AN$6:$AN$505,'سجل الإجازات والحالات'!$B$6:$B$505,$B93))))</f>
        <v/>
      </c>
      <c r="AK93" s="110" t="str">
        <f aca="false">IF($B93="","",MAX(0,IF(OR(الموظفون!$AE93="",الموظفون!$AE93&gt;$F$3),$F$3,الموظفون!$AE93)-MAX($E$3,الموظفون!$H93)+1))</f>
        <v/>
      </c>
      <c r="AL93" s="131" t="str">
        <f aca="false">IF($B93="","",SUMIFS('سجل الإجازات والحالات'!$BA$6:$BA$505,'سجل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والحالات'!$AC$6:$AC$505,'سجل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والحالات'!$AO$6:$AO$505,'سجل الإجازات والحالات'!$B$6:$B$505,$B94))/cfg_DAYS_Y)</f>
        <v/>
      </c>
      <c r="AI94" s="130" t="str">
        <f aca="false">IF($B94="","",MAX(0,IF(OR(الموظفون!$AE94="",الموظفون!$AE94&gt;($E$3-1)),($E$3-1),الموظفون!$AE94)-الموظفون!$H94+1-SUMIFS('سجل الإجازات والحالات'!$AN$6:$AN$505,'سجل الإجازات والحالات'!$B$6:$B$505,$B94))/cfg_DAYS_Y)</f>
        <v/>
      </c>
      <c r="AJ94" s="57" t="str">
        <f aca="false">IF($B94="","",MAX(0,AK94-(SUMIFS('سجل الإجازات والحالات'!$AO$6:$AO$505,'سجل الإجازات والحالات'!$B$6:$B$505,$B94)-SUMIFS('سجل الإجازات والحالات'!$AN$6:$AN$505,'سجل الإجازات والحالات'!$B$6:$B$505,$B94))))</f>
        <v/>
      </c>
      <c r="AK94" s="57" t="str">
        <f aca="false">IF($B94="","",MAX(0,IF(OR(الموظفون!$AE94="",الموظفون!$AE94&gt;$F$3),$F$3,الموظفون!$AE94)-MAX($E$3,الموظفون!$H94)+1))</f>
        <v/>
      </c>
      <c r="AL94" s="126" t="str">
        <f aca="false">IF($B94="","",SUMIFS('سجل الإجازات والحالات'!$BA$6:$BA$505,'سجل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والحالات'!$AC$6:$AC$505,'سجل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والحالات'!$AO$6:$AO$505,'سجل الإجازات والحالات'!$B$6:$B$505,$B95))/cfg_DAYS_Y)</f>
        <v/>
      </c>
      <c r="AI95" s="135" t="str">
        <f aca="false">IF($B95="","",MAX(0,IF(OR(الموظفون!$AE95="",الموظفون!$AE95&gt;($E$3-1)),($E$3-1),الموظفون!$AE95)-الموظفون!$H95+1-SUMIFS('سجل الإجازات والحالات'!$AN$6:$AN$505,'سجل الإجازات والحالات'!$B$6:$B$505,$B95))/cfg_DAYS_Y)</f>
        <v/>
      </c>
      <c r="AJ95" s="110" t="str">
        <f aca="false">IF($B95="","",MAX(0,AK95-(SUMIFS('سجل الإجازات والحالات'!$AO$6:$AO$505,'سجل الإجازات والحالات'!$B$6:$B$505,$B95)-SUMIFS('سجل الإجازات والحالات'!$AN$6:$AN$505,'سجل الإجازات والحالات'!$B$6:$B$505,$B95))))</f>
        <v/>
      </c>
      <c r="AK95" s="110" t="str">
        <f aca="false">IF($B95="","",MAX(0,IF(OR(الموظفون!$AE95="",الموظفون!$AE95&gt;$F$3),$F$3,الموظفون!$AE95)-MAX($E$3,الموظفون!$H95)+1))</f>
        <v/>
      </c>
      <c r="AL95" s="131" t="str">
        <f aca="false">IF($B95="","",SUMIFS('سجل الإجازات والحالات'!$BA$6:$BA$505,'سجل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والحالات'!$AC$6:$AC$505,'سجل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والحالات'!$AO$6:$AO$505,'سجل الإجازات والحالات'!$B$6:$B$505,$B96))/cfg_DAYS_Y)</f>
        <v/>
      </c>
      <c r="AI96" s="130" t="str">
        <f aca="false">IF($B96="","",MAX(0,IF(OR(الموظفون!$AE96="",الموظفون!$AE96&gt;($E$3-1)),($E$3-1),الموظفون!$AE96)-الموظفون!$H96+1-SUMIFS('سجل الإجازات والحالات'!$AN$6:$AN$505,'سجل الإجازات والحالات'!$B$6:$B$505,$B96))/cfg_DAYS_Y)</f>
        <v/>
      </c>
      <c r="AJ96" s="57" t="str">
        <f aca="false">IF($B96="","",MAX(0,AK96-(SUMIFS('سجل الإجازات والحالات'!$AO$6:$AO$505,'سجل الإجازات والحالات'!$B$6:$B$505,$B96)-SUMIFS('سجل الإجازات والحالات'!$AN$6:$AN$505,'سجل الإجازات والحالات'!$B$6:$B$505,$B96))))</f>
        <v/>
      </c>
      <c r="AK96" s="57" t="str">
        <f aca="false">IF($B96="","",MAX(0,IF(OR(الموظفون!$AE96="",الموظفون!$AE96&gt;$F$3),$F$3,الموظفون!$AE96)-MAX($E$3,الموظفون!$H96)+1))</f>
        <v/>
      </c>
      <c r="AL96" s="126" t="str">
        <f aca="false">IF($B96="","",SUMIFS('سجل الإجازات والحالات'!$BA$6:$BA$505,'سجل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والحالات'!$AC$6:$AC$505,'سجل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والحالات'!$AO$6:$AO$505,'سجل الإجازات والحالات'!$B$6:$B$505,$B97))/cfg_DAYS_Y)</f>
        <v/>
      </c>
      <c r="AI97" s="135" t="str">
        <f aca="false">IF($B97="","",MAX(0,IF(OR(الموظفون!$AE97="",الموظفون!$AE97&gt;($E$3-1)),($E$3-1),الموظفون!$AE97)-الموظفون!$H97+1-SUMIFS('سجل الإجازات والحالات'!$AN$6:$AN$505,'سجل الإجازات والحالات'!$B$6:$B$505,$B97))/cfg_DAYS_Y)</f>
        <v/>
      </c>
      <c r="AJ97" s="110" t="str">
        <f aca="false">IF($B97="","",MAX(0,AK97-(SUMIFS('سجل الإجازات والحالات'!$AO$6:$AO$505,'سجل الإجازات والحالات'!$B$6:$B$505,$B97)-SUMIFS('سجل الإجازات والحالات'!$AN$6:$AN$505,'سجل الإجازات والحالات'!$B$6:$B$505,$B97))))</f>
        <v/>
      </c>
      <c r="AK97" s="110" t="str">
        <f aca="false">IF($B97="","",MAX(0,IF(OR(الموظفون!$AE97="",الموظفون!$AE97&gt;$F$3),$F$3,الموظفون!$AE97)-MAX($E$3,الموظفون!$H97)+1))</f>
        <v/>
      </c>
      <c r="AL97" s="131" t="str">
        <f aca="false">IF($B97="","",SUMIFS('سجل الإجازات والحالات'!$BA$6:$BA$505,'سجل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والحالات'!$AC$6:$AC$505,'سجل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والحالات'!$AO$6:$AO$505,'سجل الإجازات والحالات'!$B$6:$B$505,$B98))/cfg_DAYS_Y)</f>
        <v/>
      </c>
      <c r="AI98" s="130" t="str">
        <f aca="false">IF($B98="","",MAX(0,IF(OR(الموظفون!$AE98="",الموظفون!$AE98&gt;($E$3-1)),($E$3-1),الموظفون!$AE98)-الموظفون!$H98+1-SUMIFS('سجل الإجازات والحالات'!$AN$6:$AN$505,'سجل الإجازات والحالات'!$B$6:$B$505,$B98))/cfg_DAYS_Y)</f>
        <v/>
      </c>
      <c r="AJ98" s="57" t="str">
        <f aca="false">IF($B98="","",MAX(0,AK98-(SUMIFS('سجل الإجازات والحالات'!$AO$6:$AO$505,'سجل الإجازات والحالات'!$B$6:$B$505,$B98)-SUMIFS('سجل الإجازات والحالات'!$AN$6:$AN$505,'سجل الإجازات والحالات'!$B$6:$B$505,$B98))))</f>
        <v/>
      </c>
      <c r="AK98" s="57" t="str">
        <f aca="false">IF($B98="","",MAX(0,IF(OR(الموظفون!$AE98="",الموظفون!$AE98&gt;$F$3),$F$3,الموظفون!$AE98)-MAX($E$3,الموظفون!$H98)+1))</f>
        <v/>
      </c>
      <c r="AL98" s="126" t="str">
        <f aca="false">IF($B98="","",SUMIFS('سجل الإجازات والحالات'!$BA$6:$BA$505,'سجل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والحالات'!$AC$6:$AC$505,'سجل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والحالات'!$AO$6:$AO$505,'سجل الإجازات والحالات'!$B$6:$B$505,$B99))/cfg_DAYS_Y)</f>
        <v/>
      </c>
      <c r="AI99" s="135" t="str">
        <f aca="false">IF($B99="","",MAX(0,IF(OR(الموظفون!$AE99="",الموظفون!$AE99&gt;($E$3-1)),($E$3-1),الموظفون!$AE99)-الموظفون!$H99+1-SUMIFS('سجل الإجازات والحالات'!$AN$6:$AN$505,'سجل الإجازات والحالات'!$B$6:$B$505,$B99))/cfg_DAYS_Y)</f>
        <v/>
      </c>
      <c r="AJ99" s="110" t="str">
        <f aca="false">IF($B99="","",MAX(0,AK99-(SUMIFS('سجل الإجازات والحالات'!$AO$6:$AO$505,'سجل الإجازات والحالات'!$B$6:$B$505,$B99)-SUMIFS('سجل الإجازات والحالات'!$AN$6:$AN$505,'سجل الإجازات والحالات'!$B$6:$B$505,$B99))))</f>
        <v/>
      </c>
      <c r="AK99" s="110" t="str">
        <f aca="false">IF($B99="","",MAX(0,IF(OR(الموظفون!$AE99="",الموظفون!$AE99&gt;$F$3),$F$3,الموظفون!$AE99)-MAX($E$3,الموظفون!$H99)+1))</f>
        <v/>
      </c>
      <c r="AL99" s="131" t="str">
        <f aca="false">IF($B99="","",SUMIFS('سجل الإجازات والحالات'!$BA$6:$BA$505,'سجل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والحالات'!$AC$6:$AC$505,'سجل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والحالات'!$AO$6:$AO$505,'سجل الإجازات والحالات'!$B$6:$B$505,$B100))/cfg_DAYS_Y)</f>
        <v/>
      </c>
      <c r="AI100" s="130" t="str">
        <f aca="false">IF($B100="","",MAX(0,IF(OR(الموظفون!$AE100="",الموظفون!$AE100&gt;($E$3-1)),($E$3-1),الموظفون!$AE100)-الموظفون!$H100+1-SUMIFS('سجل الإجازات والحالات'!$AN$6:$AN$505,'سجل الإجازات والحالات'!$B$6:$B$505,$B100))/cfg_DAYS_Y)</f>
        <v/>
      </c>
      <c r="AJ100" s="57" t="str">
        <f aca="false">IF($B100="","",MAX(0,AK100-(SUMIFS('سجل الإجازات والحالات'!$AO$6:$AO$505,'سجل الإجازات والحالات'!$B$6:$B$505,$B100)-SUMIFS('سجل الإجازات والحالات'!$AN$6:$AN$505,'سجل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والحالات'!$BA$6:$BA$505,'سجل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والحالات'!$AC$6:$AC$505,'سجل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والحالات'!$AO$6:$AO$505,'سجل الإجازات والحالات'!$B$6:$B$505,$B101))/cfg_DAYS_Y)</f>
        <v/>
      </c>
      <c r="AI101" s="135" t="str">
        <f aca="false">IF($B101="","",MAX(0,IF(OR(الموظفون!$AE101="",الموظفون!$AE101&gt;($E$3-1)),($E$3-1),الموظفون!$AE101)-الموظفون!$H101+1-SUMIFS('سجل الإجازات والحالات'!$AN$6:$AN$505,'سجل الإجازات والحالات'!$B$6:$B$505,$B101))/cfg_DAYS_Y)</f>
        <v/>
      </c>
      <c r="AJ101" s="110" t="str">
        <f aca="false">IF($B101="","",MAX(0,AK101-(SUMIFS('سجل الإجازات والحالات'!$AO$6:$AO$505,'سجل الإجازات والحالات'!$B$6:$B$505,$B101)-SUMIFS('سجل الإجازات والحالات'!$AN$6:$AN$505,'سجل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والحالات'!$BA$6:$BA$505,'سجل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والحالات'!$AC$6:$AC$505,'سجل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والحالات'!$AO$6:$AO$505,'سجل الإجازات والحالات'!$B$6:$B$505,$B102))/cfg_DAYS_Y)</f>
        <v/>
      </c>
      <c r="AI102" s="130" t="str">
        <f aca="false">IF($B102="","",MAX(0,IF(OR(الموظفون!$AE102="",الموظفون!$AE102&gt;($E$3-1)),($E$3-1),الموظفون!$AE102)-الموظفون!$H102+1-SUMIFS('سجل الإجازات والحالات'!$AN$6:$AN$505,'سجل الإجازات والحالات'!$B$6:$B$505,$B102))/cfg_DAYS_Y)</f>
        <v/>
      </c>
      <c r="AJ102" s="57" t="str">
        <f aca="false">IF($B102="","",MAX(0,AK102-(SUMIFS('سجل الإجازات والحالات'!$AO$6:$AO$505,'سجل الإجازات والحالات'!$B$6:$B$505,$B102)-SUMIFS('سجل الإجازات والحالات'!$AN$6:$AN$505,'سجل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والحالات'!$BA$6:$BA$505,'سجل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والحالات'!$AC$6:$AC$505,'سجل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والحالات'!$AO$6:$AO$505,'سجل الإجازات والحالات'!$B$6:$B$505,$B103))/cfg_DAYS_Y)</f>
        <v/>
      </c>
      <c r="AI103" s="135" t="str">
        <f aca="false">IF($B103="","",MAX(0,IF(OR(الموظفون!$AE103="",الموظفون!$AE103&gt;($E$3-1)),($E$3-1),الموظفون!$AE103)-الموظفون!$H103+1-SUMIFS('سجل الإجازات والحالات'!$AN$6:$AN$505,'سجل الإجازات والحالات'!$B$6:$B$505,$B103))/cfg_DAYS_Y)</f>
        <v/>
      </c>
      <c r="AJ103" s="110" t="str">
        <f aca="false">IF($B103="","",MAX(0,AK103-(SUMIFS('سجل الإجازات والحالات'!$AO$6:$AO$505,'سجل الإجازات والحالات'!$B$6:$B$505,$B103)-SUMIFS('سجل الإجازات والحالات'!$AN$6:$AN$505,'سجل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والحالات'!$BA$6:$BA$505,'سجل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والحالات'!$AC$6:$AC$505,'سجل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والحالات'!$AO$6:$AO$505,'سجل الإجازات والحالات'!$B$6:$B$505,$B104))/cfg_DAYS_Y)</f>
        <v/>
      </c>
      <c r="AI104" s="130" t="str">
        <f aca="false">IF($B104="","",MAX(0,IF(OR(الموظفون!$AE104="",الموظفون!$AE104&gt;($E$3-1)),($E$3-1),الموظفون!$AE104)-الموظفون!$H104+1-SUMIFS('سجل الإجازات والحالات'!$AN$6:$AN$505,'سجل الإجازات والحالات'!$B$6:$B$505,$B104))/cfg_DAYS_Y)</f>
        <v/>
      </c>
      <c r="AJ104" s="57" t="str">
        <f aca="false">IF($B104="","",MAX(0,AK104-(SUMIFS('سجل الإجازات والحالات'!$AO$6:$AO$505,'سجل الإجازات والحالات'!$B$6:$B$505,$B104)-SUMIFS('سجل الإجازات والحالات'!$AN$6:$AN$505,'سجل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والحالات'!$BA$6:$BA$505,'سجل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والحالات'!$AC$6:$AC$505,'سجل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والحالات'!$AO$6:$AO$505,'سجل الإجازات والحالات'!$B$6:$B$505,$B105))/cfg_DAYS_Y)</f>
        <v/>
      </c>
      <c r="AI105" s="135" t="str">
        <f aca="false">IF($B105="","",MAX(0,IF(OR(الموظفون!$AE105="",الموظفون!$AE105&gt;($E$3-1)),($E$3-1),الموظفون!$AE105)-الموظفون!$H105+1-SUMIFS('سجل الإجازات والحالات'!$AN$6:$AN$505,'سجل الإجازات والحالات'!$B$6:$B$505,$B105))/cfg_DAYS_Y)</f>
        <v/>
      </c>
      <c r="AJ105" s="110" t="str">
        <f aca="false">IF($B105="","",MAX(0,AK105-(SUMIFS('سجل الإجازات والحالات'!$AO$6:$AO$505,'سجل الإجازات والحالات'!$B$6:$B$505,$B105)-SUMIFS('سجل الإجازات والحالات'!$AN$6:$AN$505,'سجل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والحالات'!$BA$6:$BA$505,'سجل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والحالات'!$AC$6:$AC$505,'سجل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24</v>
      </c>
      <c r="J106" s="136" t="n">
        <f aca="false">SUM(J6:J105)</f>
        <v>306</v>
      </c>
      <c r="K106" s="103" t="n">
        <f aca="false">SUM(K6:K105)</f>
        <v>129450</v>
      </c>
      <c r="L106" s="103" t="n">
        <f aca="false">SUM(L6:L105)</f>
        <v>32362.5</v>
      </c>
      <c r="M106" s="103" t="n">
        <f aca="false">SUM(M6:M105)</f>
        <v>12945</v>
      </c>
      <c r="N106" s="103" t="n">
        <f aca="false">SUM(N6:N105)</f>
        <v>9810</v>
      </c>
      <c r="O106" s="136" t="n">
        <f aca="false">SUM(O6:O105)</f>
        <v>0</v>
      </c>
      <c r="P106" s="103" t="n">
        <f aca="false">SUM(P6:P105)</f>
        <v>0</v>
      </c>
      <c r="Q106" s="103" t="n">
        <f aca="false">SUM(Q6:Q105)</f>
        <v>0</v>
      </c>
      <c r="R106" s="103" t="n">
        <f aca="false">SUM(R6:R105)</f>
        <v>0</v>
      </c>
      <c r="S106" s="103" t="n">
        <f aca="false">SUM(S6:S105)</f>
        <v>8505</v>
      </c>
      <c r="T106" s="103" t="n">
        <f aca="false">SUM(T6:T105)</f>
        <v>193072.5</v>
      </c>
      <c r="U106" s="103" t="n">
        <f aca="false">SUM(U6:U105)</f>
        <v>12370.3125</v>
      </c>
      <c r="V106" s="103" t="n">
        <f aca="false">SUM(V6:V105)</f>
        <v>0</v>
      </c>
      <c r="W106" s="103" t="n">
        <f aca="false">SUM(W6:W105)</f>
        <v>0</v>
      </c>
      <c r="X106" s="103" t="n">
        <f aca="false">SUM(X6:X105)</f>
        <v>12370.3125</v>
      </c>
      <c r="Y106" s="103" t="n">
        <f aca="false">SUM(Y6:Y105)</f>
        <v>180702.1875</v>
      </c>
      <c r="Z106" s="103" t="n">
        <f aca="false">SUM(Z6:Z105)</f>
        <v>15782.8125</v>
      </c>
      <c r="AA106" s="103" t="n">
        <f aca="false">SUM(AA6:AA105)</f>
        <v>13975.2739726027</v>
      </c>
      <c r="AB106" s="103" t="n">
        <f aca="false">SUM(AB6:AB105)</f>
        <v>14612.1780821918</v>
      </c>
      <c r="AC106" s="103" t="n">
        <f aca="false">SUM(AC6:AC105)</f>
        <v>849.315068493151</v>
      </c>
      <c r="AD106" s="103" t="n">
        <f aca="false">SUM(AD6:AD105)</f>
        <v>3416.66666666667</v>
      </c>
      <c r="AE106" s="103" t="n">
        <f aca="false">SUM(AE6:AE105)</f>
        <v>2650</v>
      </c>
      <c r="AF106" s="103" t="n">
        <f aca="false">SUM(AF6:AF105)</f>
        <v>400</v>
      </c>
      <c r="AG106" s="103" t="n">
        <f aca="false">SUM(AG6:AG105)</f>
        <v>244758.746289954</v>
      </c>
      <c r="AH106" s="103"/>
      <c r="AI106" s="103"/>
      <c r="AJ106" s="103"/>
      <c r="AK106" s="103"/>
      <c r="AL106" s="136" t="n">
        <f aca="false">SUM(AL6:AL105)</f>
        <v>0</v>
      </c>
      <c r="AM106" s="103" t="n">
        <f aca="false">SUM(AM6:AM105)</f>
        <v>8505</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يوليو'!A1" display="◀ الشهر السابق"/>
    <hyperlink ref="L3" location="'مسير سبتمب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سبتمبر "&amp;cfg_FY</f>
        <v>💵 مسير رواتب شهر سبتمبر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9</v>
      </c>
      <c r="D3" s="112" t="s">
        <v>434</v>
      </c>
      <c r="E3" s="114" t="n">
        <f aca="false">DATE(cfg_FY,C3,1)</f>
        <v>46266</v>
      </c>
      <c r="F3" s="114" t="n">
        <f aca="false">EOMONTH(E3,0)</f>
        <v>46295</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3106.84931506854</v>
      </c>
      <c r="AB6" s="97" t="n">
        <f aca="false">IF($B6="","",IF(الموظفون!$T6&lt;&gt;"",الموظفون!$T6,IF(AH6&gt;=cfg_LV_TH,cfg_LV_D2,cfg_LV_D1))/cfg_DAYS_Y*AJ6*الموظفون!$R6/cfg_DAYS_M)</f>
        <v>3106.84931506849</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51526.198630137</v>
      </c>
      <c r="AH6" s="130" t="n">
        <f aca="false">IF($B6="","",MAX(0,IF(OR(الموظفون!$AE6="",الموظفون!$AE6&gt;$F$3),$F$3,الموظفون!$AE6)-الموظفون!$H6+1-SUMIFS('سجل الإجازات والحالات'!$AP$6:$AP$505,'سجل الإجازات والحالات'!$B$6:$B$505,$B6))/cfg_DAYS_Y)</f>
        <v>14.7205479452055</v>
      </c>
      <c r="AI6" s="130" t="n">
        <f aca="false">IF($B6="","",MAX(0,IF(OR(الموظفون!$AE6="",الموظفون!$AE6&gt;($E$3-1)),($E$3-1),الموظفون!$AE6)-الموظفون!$H6+1-SUMIFS('سجل الإجازات والحالات'!$AO$6:$AO$505,'سجل الإجازات والحالات'!$B$6:$B$505,$B6))/cfg_DAYS_Y)</f>
        <v>14.6383561643836</v>
      </c>
      <c r="AJ6" s="57" t="n">
        <f aca="false">IF($B6="","",MAX(0,AK6-(SUMIFS('سجل الإجازات والحالات'!$AP$6:$AP$505,'سجل الإجازات والحالات'!$B$6:$B$505,$B6)-SUMIFS('سجل الإجازات والحالات'!$AO$6:$AO$505,'سجل الإجازات والحالات'!$B$6:$B$505,$B6))))</f>
        <v>30</v>
      </c>
      <c r="AK6" s="57" t="n">
        <f aca="false">IF($B6="","",MAX(0,IF(OR(الموظفون!$AE6="",الموظفون!$AE6&gt;$F$3),$F$3,الموظفون!$AE6)-MAX($E$3,الموظفون!$H6)+1))</f>
        <v>30</v>
      </c>
      <c r="AL6" s="126" t="n">
        <f aca="false">IF($B6="","",SUMIFS('سجل الإجازات والحالات'!$BB$6:$BB$505,'سجل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والحالات'!$AD$6:$AD$505,'سجل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1997.26027397259</v>
      </c>
      <c r="AB7" s="101" t="n">
        <f aca="false">IF($B7="","",IF(الموظفون!$T7&lt;&gt;"",الموظفون!$T7,IF(AH7&gt;=cfg_LV_TH,cfg_LV_D2,cfg_LV_D1))/cfg_DAYS_Y*AJ7*الموظفون!$R7/cfg_DAYS_M)</f>
        <v>1997.2602739726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32238.2705479452</v>
      </c>
      <c r="AH7" s="135" t="n">
        <f aca="false">IF($B7="","",MAX(0,IF(OR(الموظفون!$AE7="",الموظفون!$AE7&gt;$F$3),$F$3,الموظفون!$AE7)-الموظفون!$H7+1-SUMIFS('سجل الإجازات والحالات'!$AP$6:$AP$505,'سجل الإجازات والحالات'!$B$6:$B$505,$B7))/cfg_DAYS_Y)</f>
        <v>10.3397260273973</v>
      </c>
      <c r="AI7" s="135" t="n">
        <f aca="false">IF($B7="","",MAX(0,IF(OR(الموظفون!$AE7="",الموظفون!$AE7&gt;($E$3-1)),($E$3-1),الموظفون!$AE7)-الموظفون!$H7+1-SUMIFS('سجل الإجازات والحالات'!$AO$6:$AO$505,'سجل الإجازات والحالات'!$B$6:$B$505,$B7))/cfg_DAYS_Y)</f>
        <v>10.2575342465753</v>
      </c>
      <c r="AJ7" s="110" t="n">
        <f aca="false">IF($B7="","",MAX(0,AK7-(SUMIFS('سجل الإجازات والحالات'!$AP$6:$AP$505,'سجل الإجازات والحالات'!$B$6:$B$505,$B7)-SUMIFS('سجل الإجازات والحالات'!$AO$6:$AO$505,'سجل الإجازات والحالات'!$B$6:$B$505,$B7))))</f>
        <v>30</v>
      </c>
      <c r="AK7" s="110" t="n">
        <f aca="false">IF($B7="","",MAX(0,IF(OR(الموظفون!$AE7="",الموظفون!$AE7&gt;$F$3),$F$3,الموظفون!$AE7)-MAX($E$3,الموظفون!$H7)+1))</f>
        <v>30</v>
      </c>
      <c r="AL7" s="131" t="n">
        <f aca="false">IF($B7="","",SUMIFS('سجل الإجازات والحالات'!$BB$6:$BB$505,'سجل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والحالات'!$AD$6:$AD$505,'سجل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943.150684931501</v>
      </c>
      <c r="AB8" s="97" t="n">
        <f aca="false">IF($B8="","",IF(الموظفون!$T8&lt;&gt;"",الموظفون!$T8,IF(AH8&gt;=cfg_LV_TH,cfg_LV_D2,cfg_LV_D1))/cfg_DAYS_Y*AJ8*الموظفون!$R8/cfg_DAYS_M)</f>
        <v>943.150684931507</v>
      </c>
      <c r="AC8" s="97" t="n">
        <f aca="false">IF($B8="","",IF(AND(الموظفون!$U8="نعم",N(الموظفون!$W8)&gt;0),الموظفون!$V8/الموظفون!$W8*12/cfg_DAYS_Y*AJ8,0))</f>
        <v>131.506849315068</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15259.4748858447</v>
      </c>
      <c r="AH8" s="130" t="n">
        <f aca="false">IF($B8="","",MAX(0,IF(OR(الموظفون!$AE8="",الموظفون!$AE8&gt;$F$3),$F$3,الموظفون!$AE8)-الموظفون!$H8+1-SUMIFS('سجل الإجازات والحالات'!$AP$6:$AP$505,'سجل الإجازات والحالات'!$B$6:$B$505,$B8))/cfg_DAYS_Y)</f>
        <v>8.06301369863014</v>
      </c>
      <c r="AI8" s="130" t="n">
        <f aca="false">IF($B8="","",MAX(0,IF(OR(الموظفون!$AE8="",الموظفون!$AE8&gt;($E$3-1)),($E$3-1),الموظفون!$AE8)-الموظفون!$H8+1-SUMIFS('سجل الإجازات والحالات'!$AO$6:$AO$505,'سجل الإجازات والحالات'!$B$6:$B$505,$B8))/cfg_DAYS_Y)</f>
        <v>7.98082191780822</v>
      </c>
      <c r="AJ8" s="57" t="n">
        <f aca="false">IF($B8="","",MAX(0,AK8-(SUMIFS('سجل الإجازات والحالات'!$AP$6:$AP$505,'سجل الإجازات والحالات'!$B$6:$B$505,$B8)-SUMIFS('سجل الإجازات والحالات'!$AO$6:$AO$505,'سجل الإجازات والحالات'!$B$6:$B$505,$B8))))</f>
        <v>30</v>
      </c>
      <c r="AK8" s="57" t="n">
        <f aca="false">IF($B8="","",MAX(0,IF(OR(الموظفون!$AE8="",الموظفون!$AE8&gt;$F$3),$F$3,الموظفون!$AE8)-MAX($E$3,الموظفون!$H8)+1))</f>
        <v>30</v>
      </c>
      <c r="AL8" s="126" t="n">
        <f aca="false">IF($B8="","",SUMIFS('سجل الإجازات والحالات'!$BB$6:$BB$505,'سجل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والحالات'!$AD$6:$AD$505,'سجل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1553.42465753425</v>
      </c>
      <c r="AB9" s="101" t="n">
        <f aca="false">IF($B9="","",IF(الموظفون!$T9&lt;&gt;"",الموظفون!$T9,IF(AH9&gt;=cfg_LV_TH,cfg_LV_D2,cfg_LV_D1))/cfg_DAYS_Y*AJ9*الموظفون!$R9/cfg_DAYS_M)</f>
        <v>1553.42465753425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24363.0993150685</v>
      </c>
      <c r="AH9" s="135" t="n">
        <f aca="false">IF($B9="","",MAX(0,IF(OR(الموظفون!$AE9="",الموظفون!$AE9&gt;$F$3),$F$3,الموظفون!$AE9)-الموظفون!$H9+1-SUMIFS('سجل الإجازات والحالات'!$AP$6:$AP$505,'سجل الإجازات والحالات'!$B$6:$B$505,$B9))/cfg_DAYS_Y)</f>
        <v>7.66849315068493</v>
      </c>
      <c r="AI9" s="135" t="n">
        <f aca="false">IF($B9="","",MAX(0,IF(OR(الموظفون!$AE9="",الموظفون!$AE9&gt;($E$3-1)),($E$3-1),الموظفون!$AE9)-الموظفون!$H9+1-SUMIFS('سجل الإجازات والحالات'!$AO$6:$AO$505,'سجل الإجازات والحالات'!$B$6:$B$505,$B9))/cfg_DAYS_Y)</f>
        <v>7.58630136986301</v>
      </c>
      <c r="AJ9" s="110" t="n">
        <f aca="false">IF($B9="","",MAX(0,AK9-(SUMIFS('سجل الإجازات والحالات'!$AP$6:$AP$505,'سجل الإجازات والحالات'!$B$6:$B$505,$B9)-SUMIFS('سجل الإجازات والحالات'!$AO$6:$AO$505,'سجل الإجازات والحالات'!$B$6:$B$505,$B9))))</f>
        <v>30</v>
      </c>
      <c r="AK9" s="110" t="n">
        <f aca="false">IF($B9="","",MAX(0,IF(OR(الموظفون!$AE9="",الموظفون!$AE9&gt;$F$3),$F$3,الموظفون!$AE9)-MAX($E$3,الموظفون!$H9)+1))</f>
        <v>30</v>
      </c>
      <c r="AL9" s="131" t="n">
        <f aca="false">IF($B9="","",SUMIFS('سجل الإجازات والحالات'!$BB$6:$BB$505,'سجل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والحالات'!$AD$6:$AD$505,'سجل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998.630136986305</v>
      </c>
      <c r="AB10" s="97" t="n">
        <f aca="false">IF($B10="","",IF(الموظفون!$T10&lt;&gt;"",الموظفون!$T10,IF(AH10&gt;=cfg_LV_TH,cfg_LV_D2,cfg_LV_D1))/cfg_DAYS_Y*AJ10*الموظفون!$R10/cfg_DAYS_M)</f>
        <v>998.630136986301</v>
      </c>
      <c r="AC10" s="97" t="n">
        <f aca="false">IF($B10="","",IF(AND(الموظفون!$U10="نعم",N(الموظفون!$W10)&gt;0),الموظفون!$V10/الموظفون!$W10*12/cfg_DAYS_Y*AJ10,0))</f>
        <v>230.13698630137</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16356.5639269406</v>
      </c>
      <c r="AH10" s="130" t="n">
        <f aca="false">IF($B10="","",MAX(0,IF(OR(الموظفون!$AE10="",الموظفون!$AE10&gt;$F$3),$F$3,الموظفون!$AE10)-الموظفون!$H10+1-SUMIFS('سجل الإجازات والحالات'!$AP$6:$AP$505,'سجل الإجازات والحالات'!$B$6:$B$505,$B10))/cfg_DAYS_Y)</f>
        <v>6.47397260273973</v>
      </c>
      <c r="AI10" s="130" t="n">
        <f aca="false">IF($B10="","",MAX(0,IF(OR(الموظفون!$AE10="",الموظفون!$AE10&gt;($E$3-1)),($E$3-1),الموظفون!$AE10)-الموظفون!$H10+1-SUMIFS('سجل الإجازات والحالات'!$AO$6:$AO$505,'سجل الإجازات والحالات'!$B$6:$B$505,$B10))/cfg_DAYS_Y)</f>
        <v>6.39178082191781</v>
      </c>
      <c r="AJ10" s="57" t="n">
        <f aca="false">IF($B10="","",MAX(0,AK10-(SUMIFS('سجل الإجازات والحالات'!$AP$6:$AP$505,'سجل الإجازات والحالات'!$B$6:$B$505,$B10)-SUMIFS('سجل الإجازات والحالات'!$AO$6:$AO$505,'سجل الإجازات والحالات'!$B$6:$B$505,$B10))))</f>
        <v>30</v>
      </c>
      <c r="AK10" s="57" t="n">
        <f aca="false">IF($B10="","",MAX(0,IF(OR(الموظفون!$AE10="",الموظفون!$AE10&gt;$F$3),$F$3,الموظفون!$AE10)-MAX($E$3,الموظفون!$H10)+1))</f>
        <v>30</v>
      </c>
      <c r="AL10" s="126" t="n">
        <f aca="false">IF($B10="","",SUMIFS('سجل الإجازات والحالات'!$BB$6:$BB$505,'سجل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والحالات'!$AD$6:$AD$505,'سجل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خصم 11 يوم بدون أجر</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11</v>
      </c>
      <c r="J11" s="131" t="n">
        <f aca="false">IF($B11="","",MAX(0,G11-H11-I11))</f>
        <v>19</v>
      </c>
      <c r="K11" s="101" t="n">
        <f aca="false">IF($B11="","",الموظفون!$L11*$J11/cfg_DAYS_M)</f>
        <v>8233.33333333333</v>
      </c>
      <c r="L11" s="101" t="n">
        <f aca="false">IF($B11="","",الموظفون!$M11*$J11/cfg_DAYS_M)</f>
        <v>2058.33333333333</v>
      </c>
      <c r="M11" s="101" t="n">
        <f aca="false">IF($B11="","",الموظفون!$N11*$J11/cfg_DAYS_M)</f>
        <v>823.333333333333</v>
      </c>
      <c r="N11" s="101" t="n">
        <f aca="false">IF($B11="","",الموظفون!$O11*$J11/cfg_DAYS_M)</f>
        <v>1583.33333333333</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12698.3333333333</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250</v>
      </c>
      <c r="X11" s="101" t="n">
        <f aca="false">IF($B11="","",SUM(U11:W11))</f>
        <v>1834.375</v>
      </c>
      <c r="Y11" s="133" t="n">
        <f aca="false">IF($B11="","",T11-X11)</f>
        <v>10863.9583333333</v>
      </c>
      <c r="Z11" s="101" t="n">
        <f aca="false">IF($B11="","",الموظفون!$S11*IF(E11="سعودي",cfg_G_SR,cfg_G_NR)*G11/cfg_DAYS_M)</f>
        <v>1909.375</v>
      </c>
      <c r="AA11" s="101" t="n">
        <f aca="false">IF($B11="","",الموظفون!$Q11*(cfg_EOS_R1*(MIN(AH11,cfg_EOS_TH)-MIN(AI11,cfg_EOS_TH))+cfg_EOS_R2*(MAX(AH11-cfg_EOS_TH,0)-MAX(AI11-cfg_EOS_TH,0))))</f>
        <v>913.561643835603</v>
      </c>
      <c r="AB11" s="101" t="n">
        <f aca="false">IF($B11="","",IF(الموظفون!$T11&lt;&gt;"",الموظفون!$T11,IF(AH11&gt;=cfg_LV_TH,cfg_LV_D2,cfg_LV_D1))/cfg_DAYS_Y*AJ11*الموظفون!$R11/cfg_DAYS_M)</f>
        <v>913.561643835617</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16734.8316210046</v>
      </c>
      <c r="AH11" s="135" t="n">
        <f aca="false">IF($B11="","",MAX(0,IF(OR(الموظفون!$AE11="",الموظفون!$AE11&gt;$F$3),$F$3,الموظفون!$AE11)-الموظفون!$H11+1-SUMIFS('سجل الإجازات والحالات'!$AP$6:$AP$505,'سجل الإجازات والحالات'!$B$6:$B$505,$B11))/cfg_DAYS_Y)</f>
        <v>8.87945205479452</v>
      </c>
      <c r="AI11" s="135" t="n">
        <f aca="false">IF($B11="","",MAX(0,IF(OR(الموظفون!$AE11="",الموظفون!$AE11&gt;($E$3-1)),($E$3-1),الموظفون!$AE11)-الموظفون!$H11+1-SUMIFS('سجل الإجازات والحالات'!$AO$6:$AO$505,'سجل الإجازات والحالات'!$B$6:$B$505,$B11))/cfg_DAYS_Y)</f>
        <v>8.82739726027397</v>
      </c>
      <c r="AJ11" s="110" t="n">
        <f aca="false">IF($B11="","",MAX(0,AK11-(SUMIFS('سجل الإجازات والحالات'!$AP$6:$AP$505,'سجل الإجازات والحالات'!$B$6:$B$505,$B11)-SUMIFS('سجل الإجازات والحالات'!$AO$6:$AO$505,'سجل الإجازات والحالات'!$B$6:$B$505,$B11))))</f>
        <v>19</v>
      </c>
      <c r="AK11" s="110" t="n">
        <f aca="false">IF($B11="","",MAX(0,IF(OR(الموظفون!$AE11="",الموظفون!$AE11&gt;$F$3),$F$3,الموظفون!$AE11)-MAX($E$3,الموظفون!$H11)+1))</f>
        <v>30</v>
      </c>
      <c r="AL11" s="131" t="n">
        <f aca="false">IF($B11="","",SUMIFS('سجل الإجازات والحالات'!$BB$6:$BB$505,'سجل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والحالات'!$AD$6:$AD$505,'سجل الإجازات والحالات'!$B$6:$B$505,$B11))</f>
        <v>11</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1220.54794520547</v>
      </c>
      <c r="AB12" s="97" t="n">
        <f aca="false">IF($B12="","",IF(الموظفون!$T12&lt;&gt;"",الموظفون!$T12,IF(AH12&gt;=cfg_LV_TH,cfg_LV_D2,cfg_LV_D1))/cfg_DAYS_Y*AJ12*الموظفون!$R12/cfg_DAYS_M)</f>
        <v>1220.54794520548</v>
      </c>
      <c r="AC12" s="97" t="n">
        <f aca="false">IF($B12="","",IF(AND(الموظفون!$U12="نعم",N(الموظفون!$W12)&gt;0),الموظفون!$V12/الموظفون!$W12*12/cfg_DAYS_Y*AJ12,0))</f>
        <v>369.86301369863</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20190.1255707762</v>
      </c>
      <c r="AH12" s="130" t="n">
        <f aca="false">IF($B12="","",MAX(0,IF(OR(الموظفون!$AE12="",الموظفون!$AE12&gt;$F$3),$F$3,الموظفون!$AE12)-الموظفون!$H12+1-SUMIFS('سجل الإجازات والحالات'!$AP$6:$AP$505,'سجل الإجازات والحالات'!$B$6:$B$505,$B12))/cfg_DAYS_Y)</f>
        <v>5.6986301369863</v>
      </c>
      <c r="AI12" s="130" t="n">
        <f aca="false">IF($B12="","",MAX(0,IF(OR(الموظفون!$AE12="",الموظفون!$AE12&gt;($E$3-1)),($E$3-1),الموظفون!$AE12)-الموظفون!$H12+1-SUMIFS('سجل الإجازات والحالات'!$AO$6:$AO$505,'سجل الإجازات والحالات'!$B$6:$B$505,$B12))/cfg_DAYS_Y)</f>
        <v>5.61643835616438</v>
      </c>
      <c r="AJ12" s="57" t="n">
        <f aca="false">IF($B12="","",MAX(0,AK12-(SUMIFS('سجل الإجازات والحالات'!$AP$6:$AP$505,'سجل الإجازات والحالات'!$B$6:$B$505,$B12)-SUMIFS('سجل الإجازات والحالات'!$AO$6:$AO$505,'سجل الإجازات والحالات'!$B$6:$B$505,$B12))))</f>
        <v>30</v>
      </c>
      <c r="AK12" s="57" t="n">
        <f aca="false">IF($B12="","",MAX(0,IF(OR(الموظفون!$AE12="",الموظفون!$AE12&gt;$F$3),$F$3,الموظفون!$AE12)-MAX($E$3,الموظفون!$H12)+1))</f>
        <v>30</v>
      </c>
      <c r="AL12" s="126" t="n">
        <f aca="false">IF($B12="","",SUMIFS('سجل الإجازات والحالات'!$BB$6:$BB$505,'سجل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والحالات'!$AD$6:$AD$505,'سجل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416.095890410958</v>
      </c>
      <c r="AB13" s="101" t="n">
        <f aca="false">IF($B13="","",IF(الموظفون!$T13&lt;&gt;"",الموظفون!$T13,IF(AH13&gt;=cfg_LV_TH,cfg_LV_D2,cfg_LV_D1))/cfg_DAYS_Y*AJ13*الموظفون!$R13/cfg_DAYS_M)</f>
        <v>582.534246575342</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12425.1926369863</v>
      </c>
      <c r="AH13" s="135" t="n">
        <f aca="false">IF($B13="","",MAX(0,IF(OR(الموظفون!$AE13="",الموظفون!$AE13&gt;$F$3),$F$3,الموظفون!$AE13)-الموظفون!$H13+1-SUMIFS('سجل الإجازات والحالات'!$AP$6:$AP$505,'سجل الإجازات والحالات'!$B$6:$B$505,$B13))/cfg_DAYS_Y)</f>
        <v>3.58082191780822</v>
      </c>
      <c r="AI13" s="135" t="n">
        <f aca="false">IF($B13="","",MAX(0,IF(OR(الموظفون!$AE13="",الموظفون!$AE13&gt;($E$3-1)),($E$3-1),الموظفون!$AE13)-الموظفون!$H13+1-SUMIFS('سجل الإجازات والحالات'!$AO$6:$AO$505,'سجل الإجازات والحالات'!$B$6:$B$505,$B13))/cfg_DAYS_Y)</f>
        <v>3.4986301369863</v>
      </c>
      <c r="AJ13" s="110" t="n">
        <f aca="false">IF($B13="","",MAX(0,AK13-(SUMIFS('سجل الإجازات والحالات'!$AP$6:$AP$505,'سجل الإجازات والحالات'!$B$6:$B$505,$B13)-SUMIFS('سجل الإجازات والحالات'!$AO$6:$AO$505,'سجل الإجازات والحالات'!$B$6:$B$505,$B13))))</f>
        <v>30</v>
      </c>
      <c r="AK13" s="110" t="n">
        <f aca="false">IF($B13="","",MAX(0,IF(OR(الموظفون!$AE13="",الموظفون!$AE13&gt;$F$3),$F$3,الموظفون!$AE13)-MAX($E$3,الموظفون!$H13)+1))</f>
        <v>30</v>
      </c>
      <c r="AL13" s="131" t="n">
        <f aca="false">IF($B13="","",SUMIFS('سجل الإجازات والحالات'!$BB$6:$BB$505,'سجل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والحالات'!$AD$6:$AD$505,'سجل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721.232876712324</v>
      </c>
      <c r="AB14" s="97" t="n">
        <f aca="false">IF($B14="","",IF(الموظفون!$T14&lt;&gt;"",الموظفون!$T14,IF(AH14&gt;=cfg_LV_TH,cfg_LV_D2,cfg_LV_D1))/cfg_DAYS_Y*AJ14*الموظفون!$R14/cfg_DAYS_M)</f>
        <v>721.232876712329</v>
      </c>
      <c r="AC14" s="97" t="n">
        <f aca="false">IF($B14="","",IF(AND(الموظفون!$U14="نعم",N(الموظفون!$W14)&gt;0),الموظفون!$V14/الموظفون!$W14*12/cfg_DAYS_Y*AJ14,0))</f>
        <v>90.4109589041096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11774.5433789954</v>
      </c>
      <c r="AH14" s="130" t="n">
        <f aca="false">IF($B14="","",MAX(0,IF(OR(الموظفون!$AE14="",الموظفون!$AE14&gt;$F$3),$F$3,الموظفون!$AE14)-الموظفون!$H14+1-SUMIFS('سجل الإجازات والحالات'!$AP$6:$AP$505,'سجل الإجازات والحالات'!$B$6:$B$505,$B14))/cfg_DAYS_Y)</f>
        <v>12.1287671232877</v>
      </c>
      <c r="AI14" s="130" t="n">
        <f aca="false">IF($B14="","",MAX(0,IF(OR(الموظفون!$AE14="",الموظفون!$AE14&gt;($E$3-1)),($E$3-1),الموظفون!$AE14)-الموظفون!$H14+1-SUMIFS('سجل الإجازات والحالات'!$AO$6:$AO$505,'سجل الإجازات والحالات'!$B$6:$B$505,$B14))/cfg_DAYS_Y)</f>
        <v>12.0465753424658</v>
      </c>
      <c r="AJ14" s="57" t="n">
        <f aca="false">IF($B14="","",MAX(0,AK14-(SUMIFS('سجل الإجازات والحالات'!$AP$6:$AP$505,'سجل الإجازات والحالات'!$B$6:$B$505,$B14)-SUMIFS('سجل الإجازات والحالات'!$AO$6:$AO$505,'سجل الإجازات والحالات'!$B$6:$B$505,$B14))))</f>
        <v>30</v>
      </c>
      <c r="AK14" s="57" t="n">
        <f aca="false">IF($B14="","",MAX(0,IF(OR(الموظفون!$AE14="",الموظفون!$AE14&gt;$F$3),$F$3,الموظفون!$AE14)-MAX($E$3,الموظفون!$H14)+1))</f>
        <v>30</v>
      </c>
      <c r="AL14" s="126" t="n">
        <f aca="false">IF($B14="","",SUMIFS('سجل الإجازات والحالات'!$BB$6:$BB$505,'سجل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والحالات'!$AD$6:$AD$505,'سجل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6</v>
      </c>
      <c r="P15" s="101" t="n">
        <f aca="false">IF($B15="","",O15*(الموظفون!$P15+الموظفون!$L15*cfg_OT_P)/cfg_DAYS_M/cfg_HRS)</f>
        <v>416.25</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1500</v>
      </c>
      <c r="S15" s="101" t="n">
        <f aca="false">IF($B15="","",SUMIFS('سجل الإجازات والحالات'!$N$6:$N$505,'سجل الإجازات والحالات'!$B$6:$B$505,$B15,'سجل الإجازات والحالات'!$O$6:$O$505,$C$3))</f>
        <v>0</v>
      </c>
      <c r="T15" s="132" t="n">
        <f aca="false">IF($B15="","",SUM(K15:N15)+SUM(P15:S15))</f>
        <v>14066.25</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12969.375</v>
      </c>
      <c r="Z15" s="101" t="n">
        <f aca="false">IF($B15="","",الموظفون!$S15*IF(E15="سعودي",cfg_G_SR,cfg_G_NR)*G15/cfg_DAYS_M)</f>
        <v>1321.875</v>
      </c>
      <c r="AA15" s="101" t="n">
        <f aca="false">IF($B15="","",الموظفون!$Q15*(cfg_EOS_R1*(MIN(AH15,cfg_EOS_TH)-MIN(AI15,cfg_EOS_TH))+cfg_EOS_R2*(MAX(AH15-cfg_EOS_TH,0)-MAX(AI15-cfg_EOS_TH,0))))</f>
        <v>499.315068493151</v>
      </c>
      <c r="AB15" s="101" t="n">
        <f aca="false">IF($B15="","",IF(الموظفون!$T15&lt;&gt;"",الموظفون!$T15,IF(AH15&gt;=cfg_LV_TH,cfg_LV_D2,cfg_LV_D1))/cfg_DAYS_Y*AJ15*الموظفون!$R15/cfg_DAYS_M)</f>
        <v>699.041095890411</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16786.4811643836</v>
      </c>
      <c r="AH15" s="135" t="n">
        <f aca="false">IF($B15="","",MAX(0,IF(OR(الموظفون!$AE15="",الموظفون!$AE15&gt;$F$3),$F$3,الموظفون!$AE15)-الموظفون!$H15+1-SUMIFS('سجل الإجازات والحالات'!$AP$6:$AP$505,'سجل الإجازات والحالات'!$B$6:$B$505,$B15))/cfg_DAYS_Y)</f>
        <v>0.463013698630137</v>
      </c>
      <c r="AI15" s="135" t="n">
        <f aca="false">IF($B15="","",MAX(0,IF(OR(الموظفون!$AE15="",الموظفون!$AE15&gt;($E$3-1)),($E$3-1),الموظفون!$AE15)-الموظفون!$H15+1-SUMIFS('سجل الإجازات والحالات'!$AO$6:$AO$505,'سجل الإجازات والحالات'!$B$6:$B$505,$B15))/cfg_DAYS_Y)</f>
        <v>0.380821917808219</v>
      </c>
      <c r="AJ15" s="110" t="n">
        <f aca="false">IF($B15="","",MAX(0,AK15-(SUMIFS('سجل الإجازات والحالات'!$AP$6:$AP$505,'سجل الإجازات والحالات'!$B$6:$B$505,$B15)-SUMIFS('سجل الإجازات والحالات'!$AO$6:$AO$505,'سجل الإجازات والحالات'!$B$6:$B$505,$B15))))</f>
        <v>30</v>
      </c>
      <c r="AK15" s="110" t="n">
        <f aca="false">IF($B15="","",MAX(0,IF(OR(الموظفون!$AE15="",الموظفون!$AE15&gt;$F$3),$F$3,الموظفون!$AE15)-MAX($E$3,الموظفون!$H15)+1))</f>
        <v>30</v>
      </c>
      <c r="AL15" s="131" t="n">
        <f aca="false">IF($B15="","",SUMIFS('سجل الإجازات والحالات'!$BB$6:$BB$505,'سجل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والحالات'!$AD$6:$AD$505,'سجل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والحالات'!$AP$6:$AP$505,'سجل الإجازات والحالات'!$B$6:$B$505,$B16))/cfg_DAYS_Y)</f>
        <v>7.33972602739726</v>
      </c>
      <c r="AI16" s="130" t="n">
        <f aca="false">IF($B16="","",MAX(0,IF(OR(الموظفون!$AE16="",الموظفون!$AE16&gt;($E$3-1)),($E$3-1),الموظفون!$AE16)-الموظفون!$H16+1-SUMIFS('سجل الإجازات والحالات'!$AO$6:$AO$505,'سجل الإجازات والحالات'!$B$6:$B$505,$B16))/cfg_DAYS_Y)</f>
        <v>7.33972602739726</v>
      </c>
      <c r="AJ16" s="57" t="n">
        <f aca="false">IF($B16="","",MAX(0,AK16-(SUMIFS('سجل الإجازات والحالات'!$AP$6:$AP$505,'سجل الإجازات والحالات'!$B$6:$B$505,$B16)-SUMIFS('سجل الإجازات والحالات'!$AO$6:$AO$505,'سجل الإجازات والحالات'!$B$6:$B$505,$B16))))</f>
        <v>0</v>
      </c>
      <c r="AK16" s="57" t="n">
        <f aca="false">IF($B16="","",MAX(0,IF(OR(الموظفون!$AE16="",الموظفون!$AE16&gt;$F$3),$F$3,الموظفون!$AE16)-MAX($E$3,الموظفون!$H16)+1))</f>
        <v>0</v>
      </c>
      <c r="AL16" s="126" t="n">
        <f aca="false">IF($B16="","",SUMIFS('سجل الإجازات والحالات'!$BB$6:$BB$505,'سجل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والحالات'!$AD$6:$AD$505,'سجل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خصم 2.5 يوم بدون أجر</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2.5</v>
      </c>
      <c r="J17" s="131" t="n">
        <f aca="false">IF($B17="","",MAX(0,G17-H17-I17))</f>
        <v>27.5</v>
      </c>
      <c r="K17" s="101" t="n">
        <f aca="false">IF($B17="","",الموظفون!$L17*$J17/cfg_DAYS_M)</f>
        <v>11000</v>
      </c>
      <c r="L17" s="101" t="n">
        <f aca="false">IF($B17="","",الموظفون!$M17*$J17/cfg_DAYS_M)</f>
        <v>2750</v>
      </c>
      <c r="M17" s="101" t="n">
        <f aca="false">IF($B17="","",الموظفون!$N17*$J17/cfg_DAYS_M)</f>
        <v>1100</v>
      </c>
      <c r="N17" s="101" t="n">
        <f aca="false">IF($B17="","",الموظفون!$O17*$J17/cfg_DAYS_M)</f>
        <v>1375</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16225</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14762.5</v>
      </c>
      <c r="Z17" s="101" t="n">
        <f aca="false">IF($B17="","",الموظفون!$S17*IF(E17="سعودي",cfg_G_SR,cfg_G_NR)*G17/cfg_DAYS_M)</f>
        <v>1762.5</v>
      </c>
      <c r="AA17" s="101" t="n">
        <f aca="false">IF($B17="","",الموظفون!$Q17*(cfg_EOS_R1*(MIN(AH17,cfg_EOS_TH)-MIN(AI17,cfg_EOS_TH))+cfg_EOS_R2*(MAX(AH17-cfg_EOS_TH,0)-MAX(AI17-cfg_EOS_TH,0))))</f>
        <v>665.753424657537</v>
      </c>
      <c r="AB17" s="101" t="n">
        <f aca="false">IF($B17="","",IF(الموظفون!$T17&lt;&gt;"",الموظفون!$T17,IF(AH17&gt;=cfg_LV_TH,cfg_LV_D2,cfg_LV_D1))/cfg_DAYS_Y*AJ17*الموظفون!$R17/cfg_DAYS_M)</f>
        <v>932.054794520548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19785.3082191781</v>
      </c>
      <c r="AH17" s="135" t="n">
        <f aca="false">IF($B17="","",MAX(0,IF(OR(الموظفون!$AE17="",الموظفون!$AE17&gt;$F$3),$F$3,الموظفون!$AE17)-الموظفون!$H17+1-SUMIFS('سجل الإجازات والحالات'!$AP$6:$AP$505,'سجل الإجازات والحالات'!$B$6:$B$505,$B17))/cfg_DAYS_Y)</f>
        <v>4.23013698630137</v>
      </c>
      <c r="AI17" s="135" t="n">
        <f aca="false">IF($B17="","",MAX(0,IF(OR(الموظفون!$AE17="",الموظفون!$AE17&gt;($E$3-1)),($E$3-1),الموظفون!$AE17)-الموظفون!$H17+1-SUMIFS('سجل الإجازات والحالات'!$AO$6:$AO$505,'سجل الإجازات والحالات'!$B$6:$B$505,$B17))/cfg_DAYS_Y)</f>
        <v>4.14794520547945</v>
      </c>
      <c r="AJ17" s="110" t="n">
        <f aca="false">IF($B17="","",MAX(0,AK17-(SUMIFS('سجل الإجازات والحالات'!$AP$6:$AP$505,'سجل الإجازات والحالات'!$B$6:$B$505,$B17)-SUMIFS('سجل الإجازات والحالات'!$AO$6:$AO$505,'سجل الإجازات والحالات'!$B$6:$B$505,$B17))))</f>
        <v>30</v>
      </c>
      <c r="AK17" s="110" t="n">
        <f aca="false">IF($B17="","",MAX(0,IF(OR(الموظفون!$AE17="",الموظفون!$AE17&gt;$F$3),$F$3,الموظفون!$AE17)-MAX($E$3,الموظفون!$H17)+1))</f>
        <v>30</v>
      </c>
      <c r="AL17" s="131" t="n">
        <f aca="false">IF($B17="","",SUMIFS('سجل الإجازات والحالات'!$BB$6:$BB$505,'سجل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والحالات'!$AD$6:$AD$505,'سجل الإجازات والحالات'!$B$6:$B$505,$B17))</f>
        <v>2.5</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والحالات'!$AP$6:$AP$505,'سجل الإجازات والحالات'!$B$6:$B$505,$B18))/cfg_DAYS_Y)</f>
        <v/>
      </c>
      <c r="AI18" s="130" t="str">
        <f aca="false">IF($B18="","",MAX(0,IF(OR(الموظفون!$AE18="",الموظفون!$AE18&gt;($E$3-1)),($E$3-1),الموظفون!$AE18)-الموظفون!$H18+1-SUMIFS('سجل الإجازات والحالات'!$AO$6:$AO$505,'سجل الإجازات والحالات'!$B$6:$B$505,$B18))/cfg_DAYS_Y)</f>
        <v/>
      </c>
      <c r="AJ18" s="57" t="str">
        <f aca="false">IF($B18="","",MAX(0,AK18-(SUMIFS('سجل الإجازات والحالات'!$AP$6:$AP$505,'سجل الإجازات والحالات'!$B$6:$B$505,$B18)-SUMIFS('سجل الإجازات والحالات'!$AO$6:$AO$505,'سجل الإجازات والحالات'!$B$6:$B$505,$B18))))</f>
        <v/>
      </c>
      <c r="AK18" s="57" t="str">
        <f aca="false">IF($B18="","",MAX(0,IF(OR(الموظفون!$AE18="",الموظفون!$AE18&gt;$F$3),$F$3,الموظفون!$AE18)-MAX($E$3,الموظفون!$H18)+1))</f>
        <v/>
      </c>
      <c r="AL18" s="126" t="str">
        <f aca="false">IF($B18="","",SUMIFS('سجل الإجازات والحالات'!$BB$6:$BB$505,'سجل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والحالات'!$AD$6:$AD$505,'سجل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والحالات'!$AP$6:$AP$505,'سجل الإجازات والحالات'!$B$6:$B$505,$B19))/cfg_DAYS_Y)</f>
        <v/>
      </c>
      <c r="AI19" s="135" t="str">
        <f aca="false">IF($B19="","",MAX(0,IF(OR(الموظفون!$AE19="",الموظفون!$AE19&gt;($E$3-1)),($E$3-1),الموظفون!$AE19)-الموظفون!$H19+1-SUMIFS('سجل الإجازات والحالات'!$AO$6:$AO$505,'سجل الإجازات والحالات'!$B$6:$B$505,$B19))/cfg_DAYS_Y)</f>
        <v/>
      </c>
      <c r="AJ19" s="110" t="str">
        <f aca="false">IF($B19="","",MAX(0,AK19-(SUMIFS('سجل الإجازات والحالات'!$AP$6:$AP$505,'سجل الإجازات والحالات'!$B$6:$B$505,$B19)-SUMIFS('سجل الإجازات والحالات'!$AO$6:$AO$505,'سجل الإجازات والحالات'!$B$6:$B$505,$B19))))</f>
        <v/>
      </c>
      <c r="AK19" s="110" t="str">
        <f aca="false">IF($B19="","",MAX(0,IF(OR(الموظفون!$AE19="",الموظفون!$AE19&gt;$F$3),$F$3,الموظفون!$AE19)-MAX($E$3,الموظفون!$H19)+1))</f>
        <v/>
      </c>
      <c r="AL19" s="131" t="str">
        <f aca="false">IF($B19="","",SUMIFS('سجل الإجازات والحالات'!$BB$6:$BB$505,'سجل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والحالات'!$AD$6:$AD$505,'سجل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والحالات'!$AP$6:$AP$505,'سجل الإجازات والحالات'!$B$6:$B$505,$B20))/cfg_DAYS_Y)</f>
        <v/>
      </c>
      <c r="AI20" s="130" t="str">
        <f aca="false">IF($B20="","",MAX(0,IF(OR(الموظفون!$AE20="",الموظفون!$AE20&gt;($E$3-1)),($E$3-1),الموظفون!$AE20)-الموظفون!$H20+1-SUMIFS('سجل الإجازات والحالات'!$AO$6:$AO$505,'سجل الإجازات والحالات'!$B$6:$B$505,$B20))/cfg_DAYS_Y)</f>
        <v/>
      </c>
      <c r="AJ20" s="57" t="str">
        <f aca="false">IF($B20="","",MAX(0,AK20-(SUMIFS('سجل الإجازات والحالات'!$AP$6:$AP$505,'سجل الإجازات والحالات'!$B$6:$B$505,$B20)-SUMIFS('سجل الإجازات والحالات'!$AO$6:$AO$505,'سجل الإجازات والحالات'!$B$6:$B$505,$B20))))</f>
        <v/>
      </c>
      <c r="AK20" s="57" t="str">
        <f aca="false">IF($B20="","",MAX(0,IF(OR(الموظفون!$AE20="",الموظفون!$AE20&gt;$F$3),$F$3,الموظفون!$AE20)-MAX($E$3,الموظفون!$H20)+1))</f>
        <v/>
      </c>
      <c r="AL20" s="126" t="str">
        <f aca="false">IF($B20="","",SUMIFS('سجل الإجازات والحالات'!$BB$6:$BB$505,'سجل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والحالات'!$AD$6:$AD$505,'سجل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والحالات'!$AP$6:$AP$505,'سجل الإجازات والحالات'!$B$6:$B$505,$B21))/cfg_DAYS_Y)</f>
        <v/>
      </c>
      <c r="AI21" s="135" t="str">
        <f aca="false">IF($B21="","",MAX(0,IF(OR(الموظفون!$AE21="",الموظفون!$AE21&gt;($E$3-1)),($E$3-1),الموظفون!$AE21)-الموظفون!$H21+1-SUMIFS('سجل الإجازات والحالات'!$AO$6:$AO$505,'سجل الإجازات والحالات'!$B$6:$B$505,$B21))/cfg_DAYS_Y)</f>
        <v/>
      </c>
      <c r="AJ21" s="110" t="str">
        <f aca="false">IF($B21="","",MAX(0,AK21-(SUMIFS('سجل الإجازات والحالات'!$AP$6:$AP$505,'سجل الإجازات والحالات'!$B$6:$B$505,$B21)-SUMIFS('سجل الإجازات والحالات'!$AO$6:$AO$505,'سجل الإجازات والحالات'!$B$6:$B$505,$B21))))</f>
        <v/>
      </c>
      <c r="AK21" s="110" t="str">
        <f aca="false">IF($B21="","",MAX(0,IF(OR(الموظفون!$AE21="",الموظفون!$AE21&gt;$F$3),$F$3,الموظفون!$AE21)-MAX($E$3,الموظفون!$H21)+1))</f>
        <v/>
      </c>
      <c r="AL21" s="131" t="str">
        <f aca="false">IF($B21="","",SUMIFS('سجل الإجازات والحالات'!$BB$6:$BB$505,'سجل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والحالات'!$AD$6:$AD$505,'سجل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والحالات'!$AP$6:$AP$505,'سجل الإجازات والحالات'!$B$6:$B$505,$B22))/cfg_DAYS_Y)</f>
        <v/>
      </c>
      <c r="AI22" s="130" t="str">
        <f aca="false">IF($B22="","",MAX(0,IF(OR(الموظفون!$AE22="",الموظفون!$AE22&gt;($E$3-1)),($E$3-1),الموظفون!$AE22)-الموظفون!$H22+1-SUMIFS('سجل الإجازات والحالات'!$AO$6:$AO$505,'سجل الإجازات والحالات'!$B$6:$B$505,$B22))/cfg_DAYS_Y)</f>
        <v/>
      </c>
      <c r="AJ22" s="57" t="str">
        <f aca="false">IF($B22="","",MAX(0,AK22-(SUMIFS('سجل الإجازات والحالات'!$AP$6:$AP$505,'سجل الإجازات والحالات'!$B$6:$B$505,$B22)-SUMIFS('سجل الإجازات والحالات'!$AO$6:$AO$505,'سجل الإجازات والحالات'!$B$6:$B$505,$B22))))</f>
        <v/>
      </c>
      <c r="AK22" s="57" t="str">
        <f aca="false">IF($B22="","",MAX(0,IF(OR(الموظفون!$AE22="",الموظفون!$AE22&gt;$F$3),$F$3,الموظفون!$AE22)-MAX($E$3,الموظفون!$H22)+1))</f>
        <v/>
      </c>
      <c r="AL22" s="126" t="str">
        <f aca="false">IF($B22="","",SUMIFS('سجل الإجازات والحالات'!$BB$6:$BB$505,'سجل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والحالات'!$AD$6:$AD$505,'سجل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والحالات'!$AP$6:$AP$505,'سجل الإجازات والحالات'!$B$6:$B$505,$B23))/cfg_DAYS_Y)</f>
        <v/>
      </c>
      <c r="AI23" s="135" t="str">
        <f aca="false">IF($B23="","",MAX(0,IF(OR(الموظفون!$AE23="",الموظفون!$AE23&gt;($E$3-1)),($E$3-1),الموظفون!$AE23)-الموظفون!$H23+1-SUMIFS('سجل الإجازات والحالات'!$AO$6:$AO$505,'سجل الإجازات والحالات'!$B$6:$B$505,$B23))/cfg_DAYS_Y)</f>
        <v/>
      </c>
      <c r="AJ23" s="110" t="str">
        <f aca="false">IF($B23="","",MAX(0,AK23-(SUMIFS('سجل الإجازات والحالات'!$AP$6:$AP$505,'سجل الإجازات والحالات'!$B$6:$B$505,$B23)-SUMIFS('سجل الإجازات والحالات'!$AO$6:$AO$505,'سجل الإجازات والحالات'!$B$6:$B$505,$B23))))</f>
        <v/>
      </c>
      <c r="AK23" s="110" t="str">
        <f aca="false">IF($B23="","",MAX(0,IF(OR(الموظفون!$AE23="",الموظفون!$AE23&gt;$F$3),$F$3,الموظفون!$AE23)-MAX($E$3,الموظفون!$H23)+1))</f>
        <v/>
      </c>
      <c r="AL23" s="131" t="str">
        <f aca="false">IF($B23="","",SUMIFS('سجل الإجازات والحالات'!$BB$6:$BB$505,'سجل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والحالات'!$AD$6:$AD$505,'سجل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والحالات'!$AP$6:$AP$505,'سجل الإجازات والحالات'!$B$6:$B$505,$B24))/cfg_DAYS_Y)</f>
        <v/>
      </c>
      <c r="AI24" s="130" t="str">
        <f aca="false">IF($B24="","",MAX(0,IF(OR(الموظفون!$AE24="",الموظفون!$AE24&gt;($E$3-1)),($E$3-1),الموظفون!$AE24)-الموظفون!$H24+1-SUMIFS('سجل الإجازات والحالات'!$AO$6:$AO$505,'سجل الإجازات والحالات'!$B$6:$B$505,$B24))/cfg_DAYS_Y)</f>
        <v/>
      </c>
      <c r="AJ24" s="57" t="str">
        <f aca="false">IF($B24="","",MAX(0,AK24-(SUMIFS('سجل الإجازات والحالات'!$AP$6:$AP$505,'سجل الإجازات والحالات'!$B$6:$B$505,$B24)-SUMIFS('سجل الإجازات والحالات'!$AO$6:$AO$505,'سجل الإجازات والحالات'!$B$6:$B$505,$B24))))</f>
        <v/>
      </c>
      <c r="AK24" s="57" t="str">
        <f aca="false">IF($B24="","",MAX(0,IF(OR(الموظفون!$AE24="",الموظفون!$AE24&gt;$F$3),$F$3,الموظفون!$AE24)-MAX($E$3,الموظفون!$H24)+1))</f>
        <v/>
      </c>
      <c r="AL24" s="126" t="str">
        <f aca="false">IF($B24="","",SUMIFS('سجل الإجازات والحالات'!$BB$6:$BB$505,'سجل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والحالات'!$AD$6:$AD$505,'سجل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والحالات'!$AP$6:$AP$505,'سجل الإجازات والحالات'!$B$6:$B$505,$B25))/cfg_DAYS_Y)</f>
        <v/>
      </c>
      <c r="AI25" s="135" t="str">
        <f aca="false">IF($B25="","",MAX(0,IF(OR(الموظفون!$AE25="",الموظفون!$AE25&gt;($E$3-1)),($E$3-1),الموظفون!$AE25)-الموظفون!$H25+1-SUMIFS('سجل الإجازات والحالات'!$AO$6:$AO$505,'سجل الإجازات والحالات'!$B$6:$B$505,$B25))/cfg_DAYS_Y)</f>
        <v/>
      </c>
      <c r="AJ25" s="110" t="str">
        <f aca="false">IF($B25="","",MAX(0,AK25-(SUMIFS('سجل الإجازات والحالات'!$AP$6:$AP$505,'سجل الإجازات والحالات'!$B$6:$B$505,$B25)-SUMIFS('سجل الإجازات والحالات'!$AO$6:$AO$505,'سجل الإجازات والحالات'!$B$6:$B$505,$B25))))</f>
        <v/>
      </c>
      <c r="AK25" s="110" t="str">
        <f aca="false">IF($B25="","",MAX(0,IF(OR(الموظفون!$AE25="",الموظفون!$AE25&gt;$F$3),$F$3,الموظفون!$AE25)-MAX($E$3,الموظفون!$H25)+1))</f>
        <v/>
      </c>
      <c r="AL25" s="131" t="str">
        <f aca="false">IF($B25="","",SUMIFS('سجل الإجازات والحالات'!$BB$6:$BB$505,'سجل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والحالات'!$AD$6:$AD$505,'سجل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والحالات'!$AP$6:$AP$505,'سجل الإجازات والحالات'!$B$6:$B$505,$B26))/cfg_DAYS_Y)</f>
        <v/>
      </c>
      <c r="AI26" s="130" t="str">
        <f aca="false">IF($B26="","",MAX(0,IF(OR(الموظفون!$AE26="",الموظفون!$AE26&gt;($E$3-1)),($E$3-1),الموظفون!$AE26)-الموظفون!$H26+1-SUMIFS('سجل الإجازات والحالات'!$AO$6:$AO$505,'سجل الإجازات والحالات'!$B$6:$B$505,$B26))/cfg_DAYS_Y)</f>
        <v/>
      </c>
      <c r="AJ26" s="57" t="str">
        <f aca="false">IF($B26="","",MAX(0,AK26-(SUMIFS('سجل الإجازات والحالات'!$AP$6:$AP$505,'سجل الإجازات والحالات'!$B$6:$B$505,$B26)-SUMIFS('سجل الإجازات والحالات'!$AO$6:$AO$505,'سجل الإجازات والحالات'!$B$6:$B$505,$B26))))</f>
        <v/>
      </c>
      <c r="AK26" s="57" t="str">
        <f aca="false">IF($B26="","",MAX(0,IF(OR(الموظفون!$AE26="",الموظفون!$AE26&gt;$F$3),$F$3,الموظفون!$AE26)-MAX($E$3,الموظفون!$H26)+1))</f>
        <v/>
      </c>
      <c r="AL26" s="126" t="str">
        <f aca="false">IF($B26="","",SUMIFS('سجل الإجازات والحالات'!$BB$6:$BB$505,'سجل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والحالات'!$AD$6:$AD$505,'سجل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والحالات'!$AP$6:$AP$505,'سجل الإجازات والحالات'!$B$6:$B$505,$B27))/cfg_DAYS_Y)</f>
        <v/>
      </c>
      <c r="AI27" s="135" t="str">
        <f aca="false">IF($B27="","",MAX(0,IF(OR(الموظفون!$AE27="",الموظفون!$AE27&gt;($E$3-1)),($E$3-1),الموظفون!$AE27)-الموظفون!$H27+1-SUMIFS('سجل الإجازات والحالات'!$AO$6:$AO$505,'سجل الإجازات والحالات'!$B$6:$B$505,$B27))/cfg_DAYS_Y)</f>
        <v/>
      </c>
      <c r="AJ27" s="110" t="str">
        <f aca="false">IF($B27="","",MAX(0,AK27-(SUMIFS('سجل الإجازات والحالات'!$AP$6:$AP$505,'سجل الإجازات والحالات'!$B$6:$B$505,$B27)-SUMIFS('سجل الإجازات والحالات'!$AO$6:$AO$505,'سجل الإجازات والحالات'!$B$6:$B$505,$B27))))</f>
        <v/>
      </c>
      <c r="AK27" s="110" t="str">
        <f aca="false">IF($B27="","",MAX(0,IF(OR(الموظفون!$AE27="",الموظفون!$AE27&gt;$F$3),$F$3,الموظفون!$AE27)-MAX($E$3,الموظفون!$H27)+1))</f>
        <v/>
      </c>
      <c r="AL27" s="131" t="str">
        <f aca="false">IF($B27="","",SUMIFS('سجل الإجازات والحالات'!$BB$6:$BB$505,'سجل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والحالات'!$AD$6:$AD$505,'سجل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والحالات'!$AP$6:$AP$505,'سجل الإجازات والحالات'!$B$6:$B$505,$B28))/cfg_DAYS_Y)</f>
        <v/>
      </c>
      <c r="AI28" s="130" t="str">
        <f aca="false">IF($B28="","",MAX(0,IF(OR(الموظفون!$AE28="",الموظفون!$AE28&gt;($E$3-1)),($E$3-1),الموظفون!$AE28)-الموظفون!$H28+1-SUMIFS('سجل الإجازات والحالات'!$AO$6:$AO$505,'سجل الإجازات والحالات'!$B$6:$B$505,$B28))/cfg_DAYS_Y)</f>
        <v/>
      </c>
      <c r="AJ28" s="57" t="str">
        <f aca="false">IF($B28="","",MAX(0,AK28-(SUMIFS('سجل الإجازات والحالات'!$AP$6:$AP$505,'سجل الإجازات والحالات'!$B$6:$B$505,$B28)-SUMIFS('سجل الإجازات والحالات'!$AO$6:$AO$505,'سجل الإجازات والحالات'!$B$6:$B$505,$B28))))</f>
        <v/>
      </c>
      <c r="AK28" s="57" t="str">
        <f aca="false">IF($B28="","",MAX(0,IF(OR(الموظفون!$AE28="",الموظفون!$AE28&gt;$F$3),$F$3,الموظفون!$AE28)-MAX($E$3,الموظفون!$H28)+1))</f>
        <v/>
      </c>
      <c r="AL28" s="126" t="str">
        <f aca="false">IF($B28="","",SUMIFS('سجل الإجازات والحالات'!$BB$6:$BB$505,'سجل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والحالات'!$AD$6:$AD$505,'سجل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والحالات'!$AP$6:$AP$505,'سجل الإجازات والحالات'!$B$6:$B$505,$B29))/cfg_DAYS_Y)</f>
        <v/>
      </c>
      <c r="AI29" s="135" t="str">
        <f aca="false">IF($B29="","",MAX(0,IF(OR(الموظفون!$AE29="",الموظفون!$AE29&gt;($E$3-1)),($E$3-1),الموظفون!$AE29)-الموظفون!$H29+1-SUMIFS('سجل الإجازات والحالات'!$AO$6:$AO$505,'سجل الإجازات والحالات'!$B$6:$B$505,$B29))/cfg_DAYS_Y)</f>
        <v/>
      </c>
      <c r="AJ29" s="110" t="str">
        <f aca="false">IF($B29="","",MAX(0,AK29-(SUMIFS('سجل الإجازات والحالات'!$AP$6:$AP$505,'سجل الإجازات والحالات'!$B$6:$B$505,$B29)-SUMIFS('سجل الإجازات والحالات'!$AO$6:$AO$505,'سجل الإجازات والحالات'!$B$6:$B$505,$B29))))</f>
        <v/>
      </c>
      <c r="AK29" s="110" t="str">
        <f aca="false">IF($B29="","",MAX(0,IF(OR(الموظفون!$AE29="",الموظفون!$AE29&gt;$F$3),$F$3,الموظفون!$AE29)-MAX($E$3,الموظفون!$H29)+1))</f>
        <v/>
      </c>
      <c r="AL29" s="131" t="str">
        <f aca="false">IF($B29="","",SUMIFS('سجل الإجازات والحالات'!$BB$6:$BB$505,'سجل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والحالات'!$AD$6:$AD$505,'سجل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والحالات'!$AP$6:$AP$505,'سجل الإجازات والحالات'!$B$6:$B$505,$B30))/cfg_DAYS_Y)</f>
        <v/>
      </c>
      <c r="AI30" s="130" t="str">
        <f aca="false">IF($B30="","",MAX(0,IF(OR(الموظفون!$AE30="",الموظفون!$AE30&gt;($E$3-1)),($E$3-1),الموظفون!$AE30)-الموظفون!$H30+1-SUMIFS('سجل الإجازات والحالات'!$AO$6:$AO$505,'سجل الإجازات والحالات'!$B$6:$B$505,$B30))/cfg_DAYS_Y)</f>
        <v/>
      </c>
      <c r="AJ30" s="57" t="str">
        <f aca="false">IF($B30="","",MAX(0,AK30-(SUMIFS('سجل الإجازات والحالات'!$AP$6:$AP$505,'سجل الإجازات والحالات'!$B$6:$B$505,$B30)-SUMIFS('سجل الإجازات والحالات'!$AO$6:$AO$505,'سجل الإجازات والحالات'!$B$6:$B$505,$B30))))</f>
        <v/>
      </c>
      <c r="AK30" s="57" t="str">
        <f aca="false">IF($B30="","",MAX(0,IF(OR(الموظفون!$AE30="",الموظفون!$AE30&gt;$F$3),$F$3,الموظفون!$AE30)-MAX($E$3,الموظفون!$H30)+1))</f>
        <v/>
      </c>
      <c r="AL30" s="126" t="str">
        <f aca="false">IF($B30="","",SUMIFS('سجل الإجازات والحالات'!$BB$6:$BB$505,'سجل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والحالات'!$AD$6:$AD$505,'سجل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والحالات'!$AP$6:$AP$505,'سجل الإجازات والحالات'!$B$6:$B$505,$B31))/cfg_DAYS_Y)</f>
        <v/>
      </c>
      <c r="AI31" s="135" t="str">
        <f aca="false">IF($B31="","",MAX(0,IF(OR(الموظفون!$AE31="",الموظفون!$AE31&gt;($E$3-1)),($E$3-1),الموظفون!$AE31)-الموظفون!$H31+1-SUMIFS('سجل الإجازات والحالات'!$AO$6:$AO$505,'سجل الإجازات والحالات'!$B$6:$B$505,$B31))/cfg_DAYS_Y)</f>
        <v/>
      </c>
      <c r="AJ31" s="110" t="str">
        <f aca="false">IF($B31="","",MAX(0,AK31-(SUMIFS('سجل الإجازات والحالات'!$AP$6:$AP$505,'سجل الإجازات والحالات'!$B$6:$B$505,$B31)-SUMIFS('سجل الإجازات والحالات'!$AO$6:$AO$505,'سجل الإجازات والحالات'!$B$6:$B$505,$B31))))</f>
        <v/>
      </c>
      <c r="AK31" s="110" t="str">
        <f aca="false">IF($B31="","",MAX(0,IF(OR(الموظفون!$AE31="",الموظفون!$AE31&gt;$F$3),$F$3,الموظفون!$AE31)-MAX($E$3,الموظفون!$H31)+1))</f>
        <v/>
      </c>
      <c r="AL31" s="131" t="str">
        <f aca="false">IF($B31="","",SUMIFS('سجل الإجازات والحالات'!$BB$6:$BB$505,'سجل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والحالات'!$AD$6:$AD$505,'سجل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والحالات'!$AP$6:$AP$505,'سجل الإجازات والحالات'!$B$6:$B$505,$B32))/cfg_DAYS_Y)</f>
        <v/>
      </c>
      <c r="AI32" s="130" t="str">
        <f aca="false">IF($B32="","",MAX(0,IF(OR(الموظفون!$AE32="",الموظفون!$AE32&gt;($E$3-1)),($E$3-1),الموظفون!$AE32)-الموظفون!$H32+1-SUMIFS('سجل الإجازات والحالات'!$AO$6:$AO$505,'سجل الإجازات والحالات'!$B$6:$B$505,$B32))/cfg_DAYS_Y)</f>
        <v/>
      </c>
      <c r="AJ32" s="57" t="str">
        <f aca="false">IF($B32="","",MAX(0,AK32-(SUMIFS('سجل الإجازات والحالات'!$AP$6:$AP$505,'سجل الإجازات والحالات'!$B$6:$B$505,$B32)-SUMIFS('سجل الإجازات والحالات'!$AO$6:$AO$505,'سجل الإجازات والحالات'!$B$6:$B$505,$B32))))</f>
        <v/>
      </c>
      <c r="AK32" s="57" t="str">
        <f aca="false">IF($B32="","",MAX(0,IF(OR(الموظفون!$AE32="",الموظفون!$AE32&gt;$F$3),$F$3,الموظفون!$AE32)-MAX($E$3,الموظفون!$H32)+1))</f>
        <v/>
      </c>
      <c r="AL32" s="126" t="str">
        <f aca="false">IF($B32="","",SUMIFS('سجل الإجازات والحالات'!$BB$6:$BB$505,'سجل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والحالات'!$AD$6:$AD$505,'سجل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والحالات'!$AP$6:$AP$505,'سجل الإجازات والحالات'!$B$6:$B$505,$B33))/cfg_DAYS_Y)</f>
        <v/>
      </c>
      <c r="AI33" s="135" t="str">
        <f aca="false">IF($B33="","",MAX(0,IF(OR(الموظفون!$AE33="",الموظفون!$AE33&gt;($E$3-1)),($E$3-1),الموظفون!$AE33)-الموظفون!$H33+1-SUMIFS('سجل الإجازات والحالات'!$AO$6:$AO$505,'سجل الإجازات والحالات'!$B$6:$B$505,$B33))/cfg_DAYS_Y)</f>
        <v/>
      </c>
      <c r="AJ33" s="110" t="str">
        <f aca="false">IF($B33="","",MAX(0,AK33-(SUMIFS('سجل الإجازات والحالات'!$AP$6:$AP$505,'سجل الإجازات والحالات'!$B$6:$B$505,$B33)-SUMIFS('سجل الإجازات والحالات'!$AO$6:$AO$505,'سجل الإجازات والحالات'!$B$6:$B$505,$B33))))</f>
        <v/>
      </c>
      <c r="AK33" s="110" t="str">
        <f aca="false">IF($B33="","",MAX(0,IF(OR(الموظفون!$AE33="",الموظفون!$AE33&gt;$F$3),$F$3,الموظفون!$AE33)-MAX($E$3,الموظفون!$H33)+1))</f>
        <v/>
      </c>
      <c r="AL33" s="131" t="str">
        <f aca="false">IF($B33="","",SUMIFS('سجل الإجازات والحالات'!$BB$6:$BB$505,'سجل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والحالات'!$AD$6:$AD$505,'سجل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والحالات'!$AP$6:$AP$505,'سجل الإجازات والحالات'!$B$6:$B$505,$B34))/cfg_DAYS_Y)</f>
        <v/>
      </c>
      <c r="AI34" s="130" t="str">
        <f aca="false">IF($B34="","",MAX(0,IF(OR(الموظفون!$AE34="",الموظفون!$AE34&gt;($E$3-1)),($E$3-1),الموظفون!$AE34)-الموظفون!$H34+1-SUMIFS('سجل الإجازات والحالات'!$AO$6:$AO$505,'سجل الإجازات والحالات'!$B$6:$B$505,$B34))/cfg_DAYS_Y)</f>
        <v/>
      </c>
      <c r="AJ34" s="57" t="str">
        <f aca="false">IF($B34="","",MAX(0,AK34-(SUMIFS('سجل الإجازات والحالات'!$AP$6:$AP$505,'سجل الإجازات والحالات'!$B$6:$B$505,$B34)-SUMIFS('سجل الإجازات والحالات'!$AO$6:$AO$505,'سجل الإجازات والحالات'!$B$6:$B$505,$B34))))</f>
        <v/>
      </c>
      <c r="AK34" s="57" t="str">
        <f aca="false">IF($B34="","",MAX(0,IF(OR(الموظفون!$AE34="",الموظفون!$AE34&gt;$F$3),$F$3,الموظفون!$AE34)-MAX($E$3,الموظفون!$H34)+1))</f>
        <v/>
      </c>
      <c r="AL34" s="126" t="str">
        <f aca="false">IF($B34="","",SUMIFS('سجل الإجازات والحالات'!$BB$6:$BB$505,'سجل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والحالات'!$AD$6:$AD$505,'سجل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والحالات'!$AP$6:$AP$505,'سجل الإجازات والحالات'!$B$6:$B$505,$B35))/cfg_DAYS_Y)</f>
        <v/>
      </c>
      <c r="AI35" s="135" t="str">
        <f aca="false">IF($B35="","",MAX(0,IF(OR(الموظفون!$AE35="",الموظفون!$AE35&gt;($E$3-1)),($E$3-1),الموظفون!$AE35)-الموظفون!$H35+1-SUMIFS('سجل الإجازات والحالات'!$AO$6:$AO$505,'سجل الإجازات والحالات'!$B$6:$B$505,$B35))/cfg_DAYS_Y)</f>
        <v/>
      </c>
      <c r="AJ35" s="110" t="str">
        <f aca="false">IF($B35="","",MAX(0,AK35-(SUMIFS('سجل الإجازات والحالات'!$AP$6:$AP$505,'سجل الإجازات والحالات'!$B$6:$B$505,$B35)-SUMIFS('سجل الإجازات والحالات'!$AO$6:$AO$505,'سجل الإجازات والحالات'!$B$6:$B$505,$B35))))</f>
        <v/>
      </c>
      <c r="AK35" s="110" t="str">
        <f aca="false">IF($B35="","",MAX(0,IF(OR(الموظفون!$AE35="",الموظفون!$AE35&gt;$F$3),$F$3,الموظفون!$AE35)-MAX($E$3,الموظفون!$H35)+1))</f>
        <v/>
      </c>
      <c r="AL35" s="131" t="str">
        <f aca="false">IF($B35="","",SUMIFS('سجل الإجازات والحالات'!$BB$6:$BB$505,'سجل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والحالات'!$AD$6:$AD$505,'سجل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والحالات'!$AP$6:$AP$505,'سجل الإجازات والحالات'!$B$6:$B$505,$B36))/cfg_DAYS_Y)</f>
        <v/>
      </c>
      <c r="AI36" s="130" t="str">
        <f aca="false">IF($B36="","",MAX(0,IF(OR(الموظفون!$AE36="",الموظفون!$AE36&gt;($E$3-1)),($E$3-1),الموظفون!$AE36)-الموظفون!$H36+1-SUMIFS('سجل الإجازات والحالات'!$AO$6:$AO$505,'سجل الإجازات والحالات'!$B$6:$B$505,$B36))/cfg_DAYS_Y)</f>
        <v/>
      </c>
      <c r="AJ36" s="57" t="str">
        <f aca="false">IF($B36="","",MAX(0,AK36-(SUMIFS('سجل الإجازات والحالات'!$AP$6:$AP$505,'سجل الإجازات والحالات'!$B$6:$B$505,$B36)-SUMIFS('سجل الإجازات والحالات'!$AO$6:$AO$505,'سجل الإجازات والحالات'!$B$6:$B$505,$B36))))</f>
        <v/>
      </c>
      <c r="AK36" s="57" t="str">
        <f aca="false">IF($B36="","",MAX(0,IF(OR(الموظفون!$AE36="",الموظفون!$AE36&gt;$F$3),$F$3,الموظفون!$AE36)-MAX($E$3,الموظفون!$H36)+1))</f>
        <v/>
      </c>
      <c r="AL36" s="126" t="str">
        <f aca="false">IF($B36="","",SUMIFS('سجل الإجازات والحالات'!$BB$6:$BB$505,'سجل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والحالات'!$AD$6:$AD$505,'سجل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والحالات'!$AP$6:$AP$505,'سجل الإجازات والحالات'!$B$6:$B$505,$B37))/cfg_DAYS_Y)</f>
        <v/>
      </c>
      <c r="AI37" s="135" t="str">
        <f aca="false">IF($B37="","",MAX(0,IF(OR(الموظفون!$AE37="",الموظفون!$AE37&gt;($E$3-1)),($E$3-1),الموظفون!$AE37)-الموظفون!$H37+1-SUMIFS('سجل الإجازات والحالات'!$AO$6:$AO$505,'سجل الإجازات والحالات'!$B$6:$B$505,$B37))/cfg_DAYS_Y)</f>
        <v/>
      </c>
      <c r="AJ37" s="110" t="str">
        <f aca="false">IF($B37="","",MAX(0,AK37-(SUMIFS('سجل الإجازات والحالات'!$AP$6:$AP$505,'سجل الإجازات والحالات'!$B$6:$B$505,$B37)-SUMIFS('سجل الإجازات والحالات'!$AO$6:$AO$505,'سجل الإجازات والحالات'!$B$6:$B$505,$B37))))</f>
        <v/>
      </c>
      <c r="AK37" s="110" t="str">
        <f aca="false">IF($B37="","",MAX(0,IF(OR(الموظفون!$AE37="",الموظفون!$AE37&gt;$F$3),$F$3,الموظفون!$AE37)-MAX($E$3,الموظفون!$H37)+1))</f>
        <v/>
      </c>
      <c r="AL37" s="131" t="str">
        <f aca="false">IF($B37="","",SUMIFS('سجل الإجازات والحالات'!$BB$6:$BB$505,'سجل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والحالات'!$AD$6:$AD$505,'سجل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والحالات'!$AP$6:$AP$505,'سجل الإجازات والحالات'!$B$6:$B$505,$B38))/cfg_DAYS_Y)</f>
        <v/>
      </c>
      <c r="AI38" s="130" t="str">
        <f aca="false">IF($B38="","",MAX(0,IF(OR(الموظفون!$AE38="",الموظفون!$AE38&gt;($E$3-1)),($E$3-1),الموظفون!$AE38)-الموظفون!$H38+1-SUMIFS('سجل الإجازات والحالات'!$AO$6:$AO$505,'سجل الإجازات والحالات'!$B$6:$B$505,$B38))/cfg_DAYS_Y)</f>
        <v/>
      </c>
      <c r="AJ38" s="57" t="str">
        <f aca="false">IF($B38="","",MAX(0,AK38-(SUMIFS('سجل الإجازات والحالات'!$AP$6:$AP$505,'سجل الإجازات والحالات'!$B$6:$B$505,$B38)-SUMIFS('سجل الإجازات والحالات'!$AO$6:$AO$505,'سجل الإجازات والحالات'!$B$6:$B$505,$B38))))</f>
        <v/>
      </c>
      <c r="AK38" s="57" t="str">
        <f aca="false">IF($B38="","",MAX(0,IF(OR(الموظفون!$AE38="",الموظفون!$AE38&gt;$F$3),$F$3,الموظفون!$AE38)-MAX($E$3,الموظفون!$H38)+1))</f>
        <v/>
      </c>
      <c r="AL38" s="126" t="str">
        <f aca="false">IF($B38="","",SUMIFS('سجل الإجازات والحالات'!$BB$6:$BB$505,'سجل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والحالات'!$AD$6:$AD$505,'سجل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والحالات'!$AP$6:$AP$505,'سجل الإجازات والحالات'!$B$6:$B$505,$B39))/cfg_DAYS_Y)</f>
        <v/>
      </c>
      <c r="AI39" s="135" t="str">
        <f aca="false">IF($B39="","",MAX(0,IF(OR(الموظفون!$AE39="",الموظفون!$AE39&gt;($E$3-1)),($E$3-1),الموظفون!$AE39)-الموظفون!$H39+1-SUMIFS('سجل الإجازات والحالات'!$AO$6:$AO$505,'سجل الإجازات والحالات'!$B$6:$B$505,$B39))/cfg_DAYS_Y)</f>
        <v/>
      </c>
      <c r="AJ39" s="110" t="str">
        <f aca="false">IF($B39="","",MAX(0,AK39-(SUMIFS('سجل الإجازات والحالات'!$AP$6:$AP$505,'سجل الإجازات والحالات'!$B$6:$B$505,$B39)-SUMIFS('سجل الإجازات والحالات'!$AO$6:$AO$505,'سجل الإجازات والحالات'!$B$6:$B$505,$B39))))</f>
        <v/>
      </c>
      <c r="AK39" s="110" t="str">
        <f aca="false">IF($B39="","",MAX(0,IF(OR(الموظفون!$AE39="",الموظفون!$AE39&gt;$F$3),$F$3,الموظفون!$AE39)-MAX($E$3,الموظفون!$H39)+1))</f>
        <v/>
      </c>
      <c r="AL39" s="131" t="str">
        <f aca="false">IF($B39="","",SUMIFS('سجل الإجازات والحالات'!$BB$6:$BB$505,'سجل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والحالات'!$AD$6:$AD$505,'سجل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والحالات'!$AP$6:$AP$505,'سجل الإجازات والحالات'!$B$6:$B$505,$B40))/cfg_DAYS_Y)</f>
        <v/>
      </c>
      <c r="AI40" s="130" t="str">
        <f aca="false">IF($B40="","",MAX(0,IF(OR(الموظفون!$AE40="",الموظفون!$AE40&gt;($E$3-1)),($E$3-1),الموظفون!$AE40)-الموظفون!$H40+1-SUMIFS('سجل الإجازات والحالات'!$AO$6:$AO$505,'سجل الإجازات والحالات'!$B$6:$B$505,$B40))/cfg_DAYS_Y)</f>
        <v/>
      </c>
      <c r="AJ40" s="57" t="str">
        <f aca="false">IF($B40="","",MAX(0,AK40-(SUMIFS('سجل الإجازات والحالات'!$AP$6:$AP$505,'سجل الإجازات والحالات'!$B$6:$B$505,$B40)-SUMIFS('سجل الإجازات والحالات'!$AO$6:$AO$505,'سجل الإجازات والحالات'!$B$6:$B$505,$B40))))</f>
        <v/>
      </c>
      <c r="AK40" s="57" t="str">
        <f aca="false">IF($B40="","",MAX(0,IF(OR(الموظفون!$AE40="",الموظفون!$AE40&gt;$F$3),$F$3,الموظفون!$AE40)-MAX($E$3,الموظفون!$H40)+1))</f>
        <v/>
      </c>
      <c r="AL40" s="126" t="str">
        <f aca="false">IF($B40="","",SUMIFS('سجل الإجازات والحالات'!$BB$6:$BB$505,'سجل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والحالات'!$AD$6:$AD$505,'سجل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والحالات'!$AP$6:$AP$505,'سجل الإجازات والحالات'!$B$6:$B$505,$B41))/cfg_DAYS_Y)</f>
        <v/>
      </c>
      <c r="AI41" s="135" t="str">
        <f aca="false">IF($B41="","",MAX(0,IF(OR(الموظفون!$AE41="",الموظفون!$AE41&gt;($E$3-1)),($E$3-1),الموظفون!$AE41)-الموظفون!$H41+1-SUMIFS('سجل الإجازات والحالات'!$AO$6:$AO$505,'سجل الإجازات والحالات'!$B$6:$B$505,$B41))/cfg_DAYS_Y)</f>
        <v/>
      </c>
      <c r="AJ41" s="110" t="str">
        <f aca="false">IF($B41="","",MAX(0,AK41-(SUMIFS('سجل الإجازات والحالات'!$AP$6:$AP$505,'سجل الإجازات والحالات'!$B$6:$B$505,$B41)-SUMIFS('سجل الإجازات والحالات'!$AO$6:$AO$505,'سجل الإجازات والحالات'!$B$6:$B$505,$B41))))</f>
        <v/>
      </c>
      <c r="AK41" s="110" t="str">
        <f aca="false">IF($B41="","",MAX(0,IF(OR(الموظفون!$AE41="",الموظفون!$AE41&gt;$F$3),$F$3,الموظفون!$AE41)-MAX($E$3,الموظفون!$H41)+1))</f>
        <v/>
      </c>
      <c r="AL41" s="131" t="str">
        <f aca="false">IF($B41="","",SUMIFS('سجل الإجازات والحالات'!$BB$6:$BB$505,'سجل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والحالات'!$AD$6:$AD$505,'سجل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والحالات'!$AP$6:$AP$505,'سجل الإجازات والحالات'!$B$6:$B$505,$B42))/cfg_DAYS_Y)</f>
        <v/>
      </c>
      <c r="AI42" s="130" t="str">
        <f aca="false">IF($B42="","",MAX(0,IF(OR(الموظفون!$AE42="",الموظفون!$AE42&gt;($E$3-1)),($E$3-1),الموظفون!$AE42)-الموظفون!$H42+1-SUMIFS('سجل الإجازات والحالات'!$AO$6:$AO$505,'سجل الإجازات والحالات'!$B$6:$B$505,$B42))/cfg_DAYS_Y)</f>
        <v/>
      </c>
      <c r="AJ42" s="57" t="str">
        <f aca="false">IF($B42="","",MAX(0,AK42-(SUMIFS('سجل الإجازات والحالات'!$AP$6:$AP$505,'سجل الإجازات والحالات'!$B$6:$B$505,$B42)-SUMIFS('سجل الإجازات والحالات'!$AO$6:$AO$505,'سجل الإجازات والحالات'!$B$6:$B$505,$B42))))</f>
        <v/>
      </c>
      <c r="AK42" s="57" t="str">
        <f aca="false">IF($B42="","",MAX(0,IF(OR(الموظفون!$AE42="",الموظفون!$AE42&gt;$F$3),$F$3,الموظفون!$AE42)-MAX($E$3,الموظفون!$H42)+1))</f>
        <v/>
      </c>
      <c r="AL42" s="126" t="str">
        <f aca="false">IF($B42="","",SUMIFS('سجل الإجازات والحالات'!$BB$6:$BB$505,'سجل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والحالات'!$AD$6:$AD$505,'سجل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والحالات'!$AP$6:$AP$505,'سجل الإجازات والحالات'!$B$6:$B$505,$B43))/cfg_DAYS_Y)</f>
        <v/>
      </c>
      <c r="AI43" s="135" t="str">
        <f aca="false">IF($B43="","",MAX(0,IF(OR(الموظفون!$AE43="",الموظفون!$AE43&gt;($E$3-1)),($E$3-1),الموظفون!$AE43)-الموظفون!$H43+1-SUMIFS('سجل الإجازات والحالات'!$AO$6:$AO$505,'سجل الإجازات والحالات'!$B$6:$B$505,$B43))/cfg_DAYS_Y)</f>
        <v/>
      </c>
      <c r="AJ43" s="110" t="str">
        <f aca="false">IF($B43="","",MAX(0,AK43-(SUMIFS('سجل الإجازات والحالات'!$AP$6:$AP$505,'سجل الإجازات والحالات'!$B$6:$B$505,$B43)-SUMIFS('سجل الإجازات والحالات'!$AO$6:$AO$505,'سجل الإجازات والحالات'!$B$6:$B$505,$B43))))</f>
        <v/>
      </c>
      <c r="AK43" s="110" t="str">
        <f aca="false">IF($B43="","",MAX(0,IF(OR(الموظفون!$AE43="",الموظفون!$AE43&gt;$F$3),$F$3,الموظفون!$AE43)-MAX($E$3,الموظفون!$H43)+1))</f>
        <v/>
      </c>
      <c r="AL43" s="131" t="str">
        <f aca="false">IF($B43="","",SUMIFS('سجل الإجازات والحالات'!$BB$6:$BB$505,'سجل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والحالات'!$AD$6:$AD$505,'سجل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والحالات'!$AP$6:$AP$505,'سجل الإجازات والحالات'!$B$6:$B$505,$B44))/cfg_DAYS_Y)</f>
        <v/>
      </c>
      <c r="AI44" s="130" t="str">
        <f aca="false">IF($B44="","",MAX(0,IF(OR(الموظفون!$AE44="",الموظفون!$AE44&gt;($E$3-1)),($E$3-1),الموظفون!$AE44)-الموظفون!$H44+1-SUMIFS('سجل الإجازات والحالات'!$AO$6:$AO$505,'سجل الإجازات والحالات'!$B$6:$B$505,$B44))/cfg_DAYS_Y)</f>
        <v/>
      </c>
      <c r="AJ44" s="57" t="str">
        <f aca="false">IF($B44="","",MAX(0,AK44-(SUMIFS('سجل الإجازات والحالات'!$AP$6:$AP$505,'سجل الإجازات والحالات'!$B$6:$B$505,$B44)-SUMIFS('سجل الإجازات والحالات'!$AO$6:$AO$505,'سجل الإجازات والحالات'!$B$6:$B$505,$B44))))</f>
        <v/>
      </c>
      <c r="AK44" s="57" t="str">
        <f aca="false">IF($B44="","",MAX(0,IF(OR(الموظفون!$AE44="",الموظفون!$AE44&gt;$F$3),$F$3,الموظفون!$AE44)-MAX($E$3,الموظفون!$H44)+1))</f>
        <v/>
      </c>
      <c r="AL44" s="126" t="str">
        <f aca="false">IF($B44="","",SUMIFS('سجل الإجازات والحالات'!$BB$6:$BB$505,'سجل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والحالات'!$AD$6:$AD$505,'سجل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والحالات'!$AP$6:$AP$505,'سجل الإجازات والحالات'!$B$6:$B$505,$B45))/cfg_DAYS_Y)</f>
        <v/>
      </c>
      <c r="AI45" s="135" t="str">
        <f aca="false">IF($B45="","",MAX(0,IF(OR(الموظفون!$AE45="",الموظفون!$AE45&gt;($E$3-1)),($E$3-1),الموظفون!$AE45)-الموظفون!$H45+1-SUMIFS('سجل الإجازات والحالات'!$AO$6:$AO$505,'سجل الإجازات والحالات'!$B$6:$B$505,$B45))/cfg_DAYS_Y)</f>
        <v/>
      </c>
      <c r="AJ45" s="110" t="str">
        <f aca="false">IF($B45="","",MAX(0,AK45-(SUMIFS('سجل الإجازات والحالات'!$AP$6:$AP$505,'سجل الإجازات والحالات'!$B$6:$B$505,$B45)-SUMIFS('سجل الإجازات والحالات'!$AO$6:$AO$505,'سجل الإجازات والحالات'!$B$6:$B$505,$B45))))</f>
        <v/>
      </c>
      <c r="AK45" s="110" t="str">
        <f aca="false">IF($B45="","",MAX(0,IF(OR(الموظفون!$AE45="",الموظفون!$AE45&gt;$F$3),$F$3,الموظفون!$AE45)-MAX($E$3,الموظفون!$H45)+1))</f>
        <v/>
      </c>
      <c r="AL45" s="131" t="str">
        <f aca="false">IF($B45="","",SUMIFS('سجل الإجازات والحالات'!$BB$6:$BB$505,'سجل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والحالات'!$AD$6:$AD$505,'سجل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والحالات'!$AP$6:$AP$505,'سجل الإجازات والحالات'!$B$6:$B$505,$B46))/cfg_DAYS_Y)</f>
        <v/>
      </c>
      <c r="AI46" s="130" t="str">
        <f aca="false">IF($B46="","",MAX(0,IF(OR(الموظفون!$AE46="",الموظفون!$AE46&gt;($E$3-1)),($E$3-1),الموظفون!$AE46)-الموظفون!$H46+1-SUMIFS('سجل الإجازات والحالات'!$AO$6:$AO$505,'سجل الإجازات والحالات'!$B$6:$B$505,$B46))/cfg_DAYS_Y)</f>
        <v/>
      </c>
      <c r="AJ46" s="57" t="str">
        <f aca="false">IF($B46="","",MAX(0,AK46-(SUMIFS('سجل الإجازات والحالات'!$AP$6:$AP$505,'سجل الإجازات والحالات'!$B$6:$B$505,$B46)-SUMIFS('سجل الإجازات والحالات'!$AO$6:$AO$505,'سجل الإجازات والحالات'!$B$6:$B$505,$B46))))</f>
        <v/>
      </c>
      <c r="AK46" s="57" t="str">
        <f aca="false">IF($B46="","",MAX(0,IF(OR(الموظفون!$AE46="",الموظفون!$AE46&gt;$F$3),$F$3,الموظفون!$AE46)-MAX($E$3,الموظفون!$H46)+1))</f>
        <v/>
      </c>
      <c r="AL46" s="126" t="str">
        <f aca="false">IF($B46="","",SUMIFS('سجل الإجازات والحالات'!$BB$6:$BB$505,'سجل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والحالات'!$AD$6:$AD$505,'سجل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والحالات'!$AP$6:$AP$505,'سجل الإجازات والحالات'!$B$6:$B$505,$B47))/cfg_DAYS_Y)</f>
        <v/>
      </c>
      <c r="AI47" s="135" t="str">
        <f aca="false">IF($B47="","",MAX(0,IF(OR(الموظفون!$AE47="",الموظفون!$AE47&gt;($E$3-1)),($E$3-1),الموظفون!$AE47)-الموظفون!$H47+1-SUMIFS('سجل الإجازات والحالات'!$AO$6:$AO$505,'سجل الإجازات والحالات'!$B$6:$B$505,$B47))/cfg_DAYS_Y)</f>
        <v/>
      </c>
      <c r="AJ47" s="110" t="str">
        <f aca="false">IF($B47="","",MAX(0,AK47-(SUMIFS('سجل الإجازات والحالات'!$AP$6:$AP$505,'سجل الإجازات والحالات'!$B$6:$B$505,$B47)-SUMIFS('سجل الإجازات والحالات'!$AO$6:$AO$505,'سجل الإجازات والحالات'!$B$6:$B$505,$B47))))</f>
        <v/>
      </c>
      <c r="AK47" s="110" t="str">
        <f aca="false">IF($B47="","",MAX(0,IF(OR(الموظفون!$AE47="",الموظفون!$AE47&gt;$F$3),$F$3,الموظفون!$AE47)-MAX($E$3,الموظفون!$H47)+1))</f>
        <v/>
      </c>
      <c r="AL47" s="131" t="str">
        <f aca="false">IF($B47="","",SUMIFS('سجل الإجازات والحالات'!$BB$6:$BB$505,'سجل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والحالات'!$AD$6:$AD$505,'سجل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والحالات'!$AP$6:$AP$505,'سجل الإجازات والحالات'!$B$6:$B$505,$B48))/cfg_DAYS_Y)</f>
        <v/>
      </c>
      <c r="AI48" s="130" t="str">
        <f aca="false">IF($B48="","",MAX(0,IF(OR(الموظفون!$AE48="",الموظفون!$AE48&gt;($E$3-1)),($E$3-1),الموظفون!$AE48)-الموظفون!$H48+1-SUMIFS('سجل الإجازات والحالات'!$AO$6:$AO$505,'سجل الإجازات والحالات'!$B$6:$B$505,$B48))/cfg_DAYS_Y)</f>
        <v/>
      </c>
      <c r="AJ48" s="57" t="str">
        <f aca="false">IF($B48="","",MAX(0,AK48-(SUMIFS('سجل الإجازات والحالات'!$AP$6:$AP$505,'سجل الإجازات والحالات'!$B$6:$B$505,$B48)-SUMIFS('سجل الإجازات والحالات'!$AO$6:$AO$505,'سجل الإجازات والحالات'!$B$6:$B$505,$B48))))</f>
        <v/>
      </c>
      <c r="AK48" s="57" t="str">
        <f aca="false">IF($B48="","",MAX(0,IF(OR(الموظفون!$AE48="",الموظفون!$AE48&gt;$F$3),$F$3,الموظفون!$AE48)-MAX($E$3,الموظفون!$H48)+1))</f>
        <v/>
      </c>
      <c r="AL48" s="126" t="str">
        <f aca="false">IF($B48="","",SUMIFS('سجل الإجازات والحالات'!$BB$6:$BB$505,'سجل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والحالات'!$AD$6:$AD$505,'سجل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والحالات'!$AP$6:$AP$505,'سجل الإجازات والحالات'!$B$6:$B$505,$B49))/cfg_DAYS_Y)</f>
        <v/>
      </c>
      <c r="AI49" s="135" t="str">
        <f aca="false">IF($B49="","",MAX(0,IF(OR(الموظفون!$AE49="",الموظفون!$AE49&gt;($E$3-1)),($E$3-1),الموظفون!$AE49)-الموظفون!$H49+1-SUMIFS('سجل الإجازات والحالات'!$AO$6:$AO$505,'سجل الإجازات والحالات'!$B$6:$B$505,$B49))/cfg_DAYS_Y)</f>
        <v/>
      </c>
      <c r="AJ49" s="110" t="str">
        <f aca="false">IF($B49="","",MAX(0,AK49-(SUMIFS('سجل الإجازات والحالات'!$AP$6:$AP$505,'سجل الإجازات والحالات'!$B$6:$B$505,$B49)-SUMIFS('سجل الإجازات والحالات'!$AO$6:$AO$505,'سجل الإجازات والحالات'!$B$6:$B$505,$B49))))</f>
        <v/>
      </c>
      <c r="AK49" s="110" t="str">
        <f aca="false">IF($B49="","",MAX(0,IF(OR(الموظفون!$AE49="",الموظفون!$AE49&gt;$F$3),$F$3,الموظفون!$AE49)-MAX($E$3,الموظفون!$H49)+1))</f>
        <v/>
      </c>
      <c r="AL49" s="131" t="str">
        <f aca="false">IF($B49="","",SUMIFS('سجل الإجازات والحالات'!$BB$6:$BB$505,'سجل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والحالات'!$AD$6:$AD$505,'سجل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والحالات'!$AP$6:$AP$505,'سجل الإجازات والحالات'!$B$6:$B$505,$B50))/cfg_DAYS_Y)</f>
        <v/>
      </c>
      <c r="AI50" s="130" t="str">
        <f aca="false">IF($B50="","",MAX(0,IF(OR(الموظفون!$AE50="",الموظفون!$AE50&gt;($E$3-1)),($E$3-1),الموظفون!$AE50)-الموظفون!$H50+1-SUMIFS('سجل الإجازات والحالات'!$AO$6:$AO$505,'سجل الإجازات والحالات'!$B$6:$B$505,$B50))/cfg_DAYS_Y)</f>
        <v/>
      </c>
      <c r="AJ50" s="57" t="str">
        <f aca="false">IF($B50="","",MAX(0,AK50-(SUMIFS('سجل الإجازات والحالات'!$AP$6:$AP$505,'سجل الإجازات والحالات'!$B$6:$B$505,$B50)-SUMIFS('سجل الإجازات والحالات'!$AO$6:$AO$505,'سجل الإجازات والحالات'!$B$6:$B$505,$B50))))</f>
        <v/>
      </c>
      <c r="AK50" s="57" t="str">
        <f aca="false">IF($B50="","",MAX(0,IF(OR(الموظفون!$AE50="",الموظفون!$AE50&gt;$F$3),$F$3,الموظفون!$AE50)-MAX($E$3,الموظفون!$H50)+1))</f>
        <v/>
      </c>
      <c r="AL50" s="126" t="str">
        <f aca="false">IF($B50="","",SUMIFS('سجل الإجازات والحالات'!$BB$6:$BB$505,'سجل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والحالات'!$AD$6:$AD$505,'سجل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والحالات'!$AP$6:$AP$505,'سجل الإجازات والحالات'!$B$6:$B$505,$B51))/cfg_DAYS_Y)</f>
        <v/>
      </c>
      <c r="AI51" s="135" t="str">
        <f aca="false">IF($B51="","",MAX(0,IF(OR(الموظفون!$AE51="",الموظفون!$AE51&gt;($E$3-1)),($E$3-1),الموظفون!$AE51)-الموظفون!$H51+1-SUMIFS('سجل الإجازات والحالات'!$AO$6:$AO$505,'سجل الإجازات والحالات'!$B$6:$B$505,$B51))/cfg_DAYS_Y)</f>
        <v/>
      </c>
      <c r="AJ51" s="110" t="str">
        <f aca="false">IF($B51="","",MAX(0,AK51-(SUMIFS('سجل الإجازات والحالات'!$AP$6:$AP$505,'سجل الإجازات والحالات'!$B$6:$B$505,$B51)-SUMIFS('سجل الإجازات والحالات'!$AO$6:$AO$505,'سجل الإجازات والحالات'!$B$6:$B$505,$B51))))</f>
        <v/>
      </c>
      <c r="AK51" s="110" t="str">
        <f aca="false">IF($B51="","",MAX(0,IF(OR(الموظفون!$AE51="",الموظفون!$AE51&gt;$F$3),$F$3,الموظفون!$AE51)-MAX($E$3,الموظفون!$H51)+1))</f>
        <v/>
      </c>
      <c r="AL51" s="131" t="str">
        <f aca="false">IF($B51="","",SUMIFS('سجل الإجازات والحالات'!$BB$6:$BB$505,'سجل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والحالات'!$AD$6:$AD$505,'سجل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والحالات'!$AP$6:$AP$505,'سجل الإجازات والحالات'!$B$6:$B$505,$B52))/cfg_DAYS_Y)</f>
        <v/>
      </c>
      <c r="AI52" s="130" t="str">
        <f aca="false">IF($B52="","",MAX(0,IF(OR(الموظفون!$AE52="",الموظفون!$AE52&gt;($E$3-1)),($E$3-1),الموظفون!$AE52)-الموظفون!$H52+1-SUMIFS('سجل الإجازات والحالات'!$AO$6:$AO$505,'سجل الإجازات والحالات'!$B$6:$B$505,$B52))/cfg_DAYS_Y)</f>
        <v/>
      </c>
      <c r="AJ52" s="57" t="str">
        <f aca="false">IF($B52="","",MAX(0,AK52-(SUMIFS('سجل الإجازات والحالات'!$AP$6:$AP$505,'سجل الإجازات والحالات'!$B$6:$B$505,$B52)-SUMIFS('سجل الإجازات والحالات'!$AO$6:$AO$505,'سجل الإجازات والحالات'!$B$6:$B$505,$B52))))</f>
        <v/>
      </c>
      <c r="AK52" s="57" t="str">
        <f aca="false">IF($B52="","",MAX(0,IF(OR(الموظفون!$AE52="",الموظفون!$AE52&gt;$F$3),$F$3,الموظفون!$AE52)-MAX($E$3,الموظفون!$H52)+1))</f>
        <v/>
      </c>
      <c r="AL52" s="126" t="str">
        <f aca="false">IF($B52="","",SUMIFS('سجل الإجازات والحالات'!$BB$6:$BB$505,'سجل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والحالات'!$AD$6:$AD$505,'سجل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والحالات'!$AP$6:$AP$505,'سجل الإجازات والحالات'!$B$6:$B$505,$B53))/cfg_DAYS_Y)</f>
        <v/>
      </c>
      <c r="AI53" s="135" t="str">
        <f aca="false">IF($B53="","",MAX(0,IF(OR(الموظفون!$AE53="",الموظفون!$AE53&gt;($E$3-1)),($E$3-1),الموظفون!$AE53)-الموظفون!$H53+1-SUMIFS('سجل الإجازات والحالات'!$AO$6:$AO$505,'سجل الإجازات والحالات'!$B$6:$B$505,$B53))/cfg_DAYS_Y)</f>
        <v/>
      </c>
      <c r="AJ53" s="110" t="str">
        <f aca="false">IF($B53="","",MAX(0,AK53-(SUMIFS('سجل الإجازات والحالات'!$AP$6:$AP$505,'سجل الإجازات والحالات'!$B$6:$B$505,$B53)-SUMIFS('سجل الإجازات والحالات'!$AO$6:$AO$505,'سجل الإجازات والحالات'!$B$6:$B$505,$B53))))</f>
        <v/>
      </c>
      <c r="AK53" s="110" t="str">
        <f aca="false">IF($B53="","",MAX(0,IF(OR(الموظفون!$AE53="",الموظفون!$AE53&gt;$F$3),$F$3,الموظفون!$AE53)-MAX($E$3,الموظفون!$H53)+1))</f>
        <v/>
      </c>
      <c r="AL53" s="131" t="str">
        <f aca="false">IF($B53="","",SUMIFS('سجل الإجازات والحالات'!$BB$6:$BB$505,'سجل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والحالات'!$AD$6:$AD$505,'سجل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والحالات'!$AP$6:$AP$505,'سجل الإجازات والحالات'!$B$6:$B$505,$B54))/cfg_DAYS_Y)</f>
        <v/>
      </c>
      <c r="AI54" s="130" t="str">
        <f aca="false">IF($B54="","",MAX(0,IF(OR(الموظفون!$AE54="",الموظفون!$AE54&gt;($E$3-1)),($E$3-1),الموظفون!$AE54)-الموظفون!$H54+1-SUMIFS('سجل الإجازات والحالات'!$AO$6:$AO$505,'سجل الإجازات والحالات'!$B$6:$B$505,$B54))/cfg_DAYS_Y)</f>
        <v/>
      </c>
      <c r="AJ54" s="57" t="str">
        <f aca="false">IF($B54="","",MAX(0,AK54-(SUMIFS('سجل الإجازات والحالات'!$AP$6:$AP$505,'سجل الإجازات والحالات'!$B$6:$B$505,$B54)-SUMIFS('سجل الإجازات والحالات'!$AO$6:$AO$505,'سجل الإجازات والحالات'!$B$6:$B$505,$B54))))</f>
        <v/>
      </c>
      <c r="AK54" s="57" t="str">
        <f aca="false">IF($B54="","",MAX(0,IF(OR(الموظفون!$AE54="",الموظفون!$AE54&gt;$F$3),$F$3,الموظفون!$AE54)-MAX($E$3,الموظفون!$H54)+1))</f>
        <v/>
      </c>
      <c r="AL54" s="126" t="str">
        <f aca="false">IF($B54="","",SUMIFS('سجل الإجازات والحالات'!$BB$6:$BB$505,'سجل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والحالات'!$AD$6:$AD$505,'سجل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والحالات'!$AP$6:$AP$505,'سجل الإجازات والحالات'!$B$6:$B$505,$B55))/cfg_DAYS_Y)</f>
        <v/>
      </c>
      <c r="AI55" s="135" t="str">
        <f aca="false">IF($B55="","",MAX(0,IF(OR(الموظفون!$AE55="",الموظفون!$AE55&gt;($E$3-1)),($E$3-1),الموظفون!$AE55)-الموظفون!$H55+1-SUMIFS('سجل الإجازات والحالات'!$AO$6:$AO$505,'سجل الإجازات والحالات'!$B$6:$B$505,$B55))/cfg_DAYS_Y)</f>
        <v/>
      </c>
      <c r="AJ55" s="110" t="str">
        <f aca="false">IF($B55="","",MAX(0,AK55-(SUMIFS('سجل الإجازات والحالات'!$AP$6:$AP$505,'سجل الإجازات والحالات'!$B$6:$B$505,$B55)-SUMIFS('سجل الإجازات والحالات'!$AO$6:$AO$505,'سجل الإجازات والحالات'!$B$6:$B$505,$B55))))</f>
        <v/>
      </c>
      <c r="AK55" s="110" t="str">
        <f aca="false">IF($B55="","",MAX(0,IF(OR(الموظفون!$AE55="",الموظفون!$AE55&gt;$F$3),$F$3,الموظفون!$AE55)-MAX($E$3,الموظفون!$H55)+1))</f>
        <v/>
      </c>
      <c r="AL55" s="131" t="str">
        <f aca="false">IF($B55="","",SUMIFS('سجل الإجازات والحالات'!$BB$6:$BB$505,'سجل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والحالات'!$AD$6:$AD$505,'سجل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والحالات'!$AP$6:$AP$505,'سجل الإجازات والحالات'!$B$6:$B$505,$B56))/cfg_DAYS_Y)</f>
        <v/>
      </c>
      <c r="AI56" s="130" t="str">
        <f aca="false">IF($B56="","",MAX(0,IF(OR(الموظفون!$AE56="",الموظفون!$AE56&gt;($E$3-1)),($E$3-1),الموظفون!$AE56)-الموظفون!$H56+1-SUMIFS('سجل الإجازات والحالات'!$AO$6:$AO$505,'سجل الإجازات والحالات'!$B$6:$B$505,$B56))/cfg_DAYS_Y)</f>
        <v/>
      </c>
      <c r="AJ56" s="57" t="str">
        <f aca="false">IF($B56="","",MAX(0,AK56-(SUMIFS('سجل الإجازات والحالات'!$AP$6:$AP$505,'سجل الإجازات والحالات'!$B$6:$B$505,$B56)-SUMIFS('سجل الإجازات والحالات'!$AO$6:$AO$505,'سجل الإجازات والحالات'!$B$6:$B$505,$B56))))</f>
        <v/>
      </c>
      <c r="AK56" s="57" t="str">
        <f aca="false">IF($B56="","",MAX(0,IF(OR(الموظفون!$AE56="",الموظفون!$AE56&gt;$F$3),$F$3,الموظفون!$AE56)-MAX($E$3,الموظفون!$H56)+1))</f>
        <v/>
      </c>
      <c r="AL56" s="126" t="str">
        <f aca="false">IF($B56="","",SUMIFS('سجل الإجازات والحالات'!$BB$6:$BB$505,'سجل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والحالات'!$AD$6:$AD$505,'سجل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والحالات'!$AP$6:$AP$505,'سجل الإجازات والحالات'!$B$6:$B$505,$B57))/cfg_DAYS_Y)</f>
        <v/>
      </c>
      <c r="AI57" s="135" t="str">
        <f aca="false">IF($B57="","",MAX(0,IF(OR(الموظفون!$AE57="",الموظفون!$AE57&gt;($E$3-1)),($E$3-1),الموظفون!$AE57)-الموظفون!$H57+1-SUMIFS('سجل الإجازات والحالات'!$AO$6:$AO$505,'سجل الإجازات والحالات'!$B$6:$B$505,$B57))/cfg_DAYS_Y)</f>
        <v/>
      </c>
      <c r="AJ57" s="110" t="str">
        <f aca="false">IF($B57="","",MAX(0,AK57-(SUMIFS('سجل الإجازات والحالات'!$AP$6:$AP$505,'سجل الإجازات والحالات'!$B$6:$B$505,$B57)-SUMIFS('سجل الإجازات والحالات'!$AO$6:$AO$505,'سجل الإجازات والحالات'!$B$6:$B$505,$B57))))</f>
        <v/>
      </c>
      <c r="AK57" s="110" t="str">
        <f aca="false">IF($B57="","",MAX(0,IF(OR(الموظفون!$AE57="",الموظفون!$AE57&gt;$F$3),$F$3,الموظفون!$AE57)-MAX($E$3,الموظفون!$H57)+1))</f>
        <v/>
      </c>
      <c r="AL57" s="131" t="str">
        <f aca="false">IF($B57="","",SUMIFS('سجل الإجازات والحالات'!$BB$6:$BB$505,'سجل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والحالات'!$AD$6:$AD$505,'سجل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والحالات'!$AP$6:$AP$505,'سجل الإجازات والحالات'!$B$6:$B$505,$B58))/cfg_DAYS_Y)</f>
        <v/>
      </c>
      <c r="AI58" s="130" t="str">
        <f aca="false">IF($B58="","",MAX(0,IF(OR(الموظفون!$AE58="",الموظفون!$AE58&gt;($E$3-1)),($E$3-1),الموظفون!$AE58)-الموظفون!$H58+1-SUMIFS('سجل الإجازات والحالات'!$AO$6:$AO$505,'سجل الإجازات والحالات'!$B$6:$B$505,$B58))/cfg_DAYS_Y)</f>
        <v/>
      </c>
      <c r="AJ58" s="57" t="str">
        <f aca="false">IF($B58="","",MAX(0,AK58-(SUMIFS('سجل الإجازات والحالات'!$AP$6:$AP$505,'سجل الإجازات والحالات'!$B$6:$B$505,$B58)-SUMIFS('سجل الإجازات والحالات'!$AO$6:$AO$505,'سجل الإجازات والحالات'!$B$6:$B$505,$B58))))</f>
        <v/>
      </c>
      <c r="AK58" s="57" t="str">
        <f aca="false">IF($B58="","",MAX(0,IF(OR(الموظفون!$AE58="",الموظفون!$AE58&gt;$F$3),$F$3,الموظفون!$AE58)-MAX($E$3,الموظفون!$H58)+1))</f>
        <v/>
      </c>
      <c r="AL58" s="126" t="str">
        <f aca="false">IF($B58="","",SUMIFS('سجل الإجازات والحالات'!$BB$6:$BB$505,'سجل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والحالات'!$AD$6:$AD$505,'سجل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والحالات'!$AP$6:$AP$505,'سجل الإجازات والحالات'!$B$6:$B$505,$B59))/cfg_DAYS_Y)</f>
        <v/>
      </c>
      <c r="AI59" s="135" t="str">
        <f aca="false">IF($B59="","",MAX(0,IF(OR(الموظفون!$AE59="",الموظفون!$AE59&gt;($E$3-1)),($E$3-1),الموظفون!$AE59)-الموظفون!$H59+1-SUMIFS('سجل الإجازات والحالات'!$AO$6:$AO$505,'سجل الإجازات والحالات'!$B$6:$B$505,$B59))/cfg_DAYS_Y)</f>
        <v/>
      </c>
      <c r="AJ59" s="110" t="str">
        <f aca="false">IF($B59="","",MAX(0,AK59-(SUMIFS('سجل الإجازات والحالات'!$AP$6:$AP$505,'سجل الإجازات والحالات'!$B$6:$B$505,$B59)-SUMIFS('سجل الإجازات والحالات'!$AO$6:$AO$505,'سجل الإجازات والحالات'!$B$6:$B$505,$B59))))</f>
        <v/>
      </c>
      <c r="AK59" s="110" t="str">
        <f aca="false">IF($B59="","",MAX(0,IF(OR(الموظفون!$AE59="",الموظفون!$AE59&gt;$F$3),$F$3,الموظفون!$AE59)-MAX($E$3,الموظفون!$H59)+1))</f>
        <v/>
      </c>
      <c r="AL59" s="131" t="str">
        <f aca="false">IF($B59="","",SUMIFS('سجل الإجازات والحالات'!$BB$6:$BB$505,'سجل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والحالات'!$AD$6:$AD$505,'سجل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والحالات'!$AP$6:$AP$505,'سجل الإجازات والحالات'!$B$6:$B$505,$B60))/cfg_DAYS_Y)</f>
        <v/>
      </c>
      <c r="AI60" s="130" t="str">
        <f aca="false">IF($B60="","",MAX(0,IF(OR(الموظفون!$AE60="",الموظفون!$AE60&gt;($E$3-1)),($E$3-1),الموظفون!$AE60)-الموظفون!$H60+1-SUMIFS('سجل الإجازات والحالات'!$AO$6:$AO$505,'سجل الإجازات والحالات'!$B$6:$B$505,$B60))/cfg_DAYS_Y)</f>
        <v/>
      </c>
      <c r="AJ60" s="57" t="str">
        <f aca="false">IF($B60="","",MAX(0,AK60-(SUMIFS('سجل الإجازات والحالات'!$AP$6:$AP$505,'سجل الإجازات والحالات'!$B$6:$B$505,$B60)-SUMIFS('سجل الإجازات والحالات'!$AO$6:$AO$505,'سجل الإجازات والحالات'!$B$6:$B$505,$B60))))</f>
        <v/>
      </c>
      <c r="AK60" s="57" t="str">
        <f aca="false">IF($B60="","",MAX(0,IF(OR(الموظفون!$AE60="",الموظفون!$AE60&gt;$F$3),$F$3,الموظفون!$AE60)-MAX($E$3,الموظفون!$H60)+1))</f>
        <v/>
      </c>
      <c r="AL60" s="126" t="str">
        <f aca="false">IF($B60="","",SUMIFS('سجل الإجازات والحالات'!$BB$6:$BB$505,'سجل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والحالات'!$AD$6:$AD$505,'سجل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والحالات'!$AP$6:$AP$505,'سجل الإجازات والحالات'!$B$6:$B$505,$B61))/cfg_DAYS_Y)</f>
        <v/>
      </c>
      <c r="AI61" s="135" t="str">
        <f aca="false">IF($B61="","",MAX(0,IF(OR(الموظفون!$AE61="",الموظفون!$AE61&gt;($E$3-1)),($E$3-1),الموظفون!$AE61)-الموظفون!$H61+1-SUMIFS('سجل الإجازات والحالات'!$AO$6:$AO$505,'سجل الإجازات والحالات'!$B$6:$B$505,$B61))/cfg_DAYS_Y)</f>
        <v/>
      </c>
      <c r="AJ61" s="110" t="str">
        <f aca="false">IF($B61="","",MAX(0,AK61-(SUMIFS('سجل الإجازات والحالات'!$AP$6:$AP$505,'سجل الإجازات والحالات'!$B$6:$B$505,$B61)-SUMIFS('سجل الإجازات والحالات'!$AO$6:$AO$505,'سجل الإجازات والحالات'!$B$6:$B$505,$B61))))</f>
        <v/>
      </c>
      <c r="AK61" s="110" t="str">
        <f aca="false">IF($B61="","",MAX(0,IF(OR(الموظفون!$AE61="",الموظفون!$AE61&gt;$F$3),$F$3,الموظفون!$AE61)-MAX($E$3,الموظفون!$H61)+1))</f>
        <v/>
      </c>
      <c r="AL61" s="131" t="str">
        <f aca="false">IF($B61="","",SUMIFS('سجل الإجازات والحالات'!$BB$6:$BB$505,'سجل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والحالات'!$AD$6:$AD$505,'سجل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والحالات'!$AP$6:$AP$505,'سجل الإجازات والحالات'!$B$6:$B$505,$B62))/cfg_DAYS_Y)</f>
        <v/>
      </c>
      <c r="AI62" s="130" t="str">
        <f aca="false">IF($B62="","",MAX(0,IF(OR(الموظفون!$AE62="",الموظفون!$AE62&gt;($E$3-1)),($E$3-1),الموظفون!$AE62)-الموظفون!$H62+1-SUMIFS('سجل الإجازات والحالات'!$AO$6:$AO$505,'سجل الإجازات والحالات'!$B$6:$B$505,$B62))/cfg_DAYS_Y)</f>
        <v/>
      </c>
      <c r="AJ62" s="57" t="str">
        <f aca="false">IF($B62="","",MAX(0,AK62-(SUMIFS('سجل الإجازات والحالات'!$AP$6:$AP$505,'سجل الإجازات والحالات'!$B$6:$B$505,$B62)-SUMIFS('سجل الإجازات والحالات'!$AO$6:$AO$505,'سجل الإجازات والحالات'!$B$6:$B$505,$B62))))</f>
        <v/>
      </c>
      <c r="AK62" s="57" t="str">
        <f aca="false">IF($B62="","",MAX(0,IF(OR(الموظفون!$AE62="",الموظفون!$AE62&gt;$F$3),$F$3,الموظفون!$AE62)-MAX($E$3,الموظفون!$H62)+1))</f>
        <v/>
      </c>
      <c r="AL62" s="126" t="str">
        <f aca="false">IF($B62="","",SUMIFS('سجل الإجازات والحالات'!$BB$6:$BB$505,'سجل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والحالات'!$AD$6:$AD$505,'سجل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والحالات'!$AP$6:$AP$505,'سجل الإجازات والحالات'!$B$6:$B$505,$B63))/cfg_DAYS_Y)</f>
        <v/>
      </c>
      <c r="AI63" s="135" t="str">
        <f aca="false">IF($B63="","",MAX(0,IF(OR(الموظفون!$AE63="",الموظفون!$AE63&gt;($E$3-1)),($E$3-1),الموظفون!$AE63)-الموظفون!$H63+1-SUMIFS('سجل الإجازات والحالات'!$AO$6:$AO$505,'سجل الإجازات والحالات'!$B$6:$B$505,$B63))/cfg_DAYS_Y)</f>
        <v/>
      </c>
      <c r="AJ63" s="110" t="str">
        <f aca="false">IF($B63="","",MAX(0,AK63-(SUMIFS('سجل الإجازات والحالات'!$AP$6:$AP$505,'سجل الإجازات والحالات'!$B$6:$B$505,$B63)-SUMIFS('سجل الإجازات والحالات'!$AO$6:$AO$505,'سجل الإجازات والحالات'!$B$6:$B$505,$B63))))</f>
        <v/>
      </c>
      <c r="AK63" s="110" t="str">
        <f aca="false">IF($B63="","",MAX(0,IF(OR(الموظفون!$AE63="",الموظفون!$AE63&gt;$F$3),$F$3,الموظفون!$AE63)-MAX($E$3,الموظفون!$H63)+1))</f>
        <v/>
      </c>
      <c r="AL63" s="131" t="str">
        <f aca="false">IF($B63="","",SUMIFS('سجل الإجازات والحالات'!$BB$6:$BB$505,'سجل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والحالات'!$AD$6:$AD$505,'سجل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والحالات'!$AP$6:$AP$505,'سجل الإجازات والحالات'!$B$6:$B$505,$B64))/cfg_DAYS_Y)</f>
        <v/>
      </c>
      <c r="AI64" s="130" t="str">
        <f aca="false">IF($B64="","",MAX(0,IF(OR(الموظفون!$AE64="",الموظفون!$AE64&gt;($E$3-1)),($E$3-1),الموظفون!$AE64)-الموظفون!$H64+1-SUMIFS('سجل الإجازات والحالات'!$AO$6:$AO$505,'سجل الإجازات والحالات'!$B$6:$B$505,$B64))/cfg_DAYS_Y)</f>
        <v/>
      </c>
      <c r="AJ64" s="57" t="str">
        <f aca="false">IF($B64="","",MAX(0,AK64-(SUMIFS('سجل الإجازات والحالات'!$AP$6:$AP$505,'سجل الإجازات والحالات'!$B$6:$B$505,$B64)-SUMIFS('سجل الإجازات والحالات'!$AO$6:$AO$505,'سجل الإجازات والحالات'!$B$6:$B$505,$B64))))</f>
        <v/>
      </c>
      <c r="AK64" s="57" t="str">
        <f aca="false">IF($B64="","",MAX(0,IF(OR(الموظفون!$AE64="",الموظفون!$AE64&gt;$F$3),$F$3,الموظفون!$AE64)-MAX($E$3,الموظفون!$H64)+1))</f>
        <v/>
      </c>
      <c r="AL64" s="126" t="str">
        <f aca="false">IF($B64="","",SUMIFS('سجل الإجازات والحالات'!$BB$6:$BB$505,'سجل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والحالات'!$AD$6:$AD$505,'سجل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والحالات'!$AP$6:$AP$505,'سجل الإجازات والحالات'!$B$6:$B$505,$B65))/cfg_DAYS_Y)</f>
        <v/>
      </c>
      <c r="AI65" s="135" t="str">
        <f aca="false">IF($B65="","",MAX(0,IF(OR(الموظفون!$AE65="",الموظفون!$AE65&gt;($E$3-1)),($E$3-1),الموظفون!$AE65)-الموظفون!$H65+1-SUMIFS('سجل الإجازات والحالات'!$AO$6:$AO$505,'سجل الإجازات والحالات'!$B$6:$B$505,$B65))/cfg_DAYS_Y)</f>
        <v/>
      </c>
      <c r="AJ65" s="110" t="str">
        <f aca="false">IF($B65="","",MAX(0,AK65-(SUMIFS('سجل الإجازات والحالات'!$AP$6:$AP$505,'سجل الإجازات والحالات'!$B$6:$B$505,$B65)-SUMIFS('سجل الإجازات والحالات'!$AO$6:$AO$505,'سجل الإجازات والحالات'!$B$6:$B$505,$B65))))</f>
        <v/>
      </c>
      <c r="AK65" s="110" t="str">
        <f aca="false">IF($B65="","",MAX(0,IF(OR(الموظفون!$AE65="",الموظفون!$AE65&gt;$F$3),$F$3,الموظفون!$AE65)-MAX($E$3,الموظفون!$H65)+1))</f>
        <v/>
      </c>
      <c r="AL65" s="131" t="str">
        <f aca="false">IF($B65="","",SUMIFS('سجل الإجازات والحالات'!$BB$6:$BB$505,'سجل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والحالات'!$AD$6:$AD$505,'سجل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والحالات'!$AP$6:$AP$505,'سجل الإجازات والحالات'!$B$6:$B$505,$B66))/cfg_DAYS_Y)</f>
        <v/>
      </c>
      <c r="AI66" s="130" t="str">
        <f aca="false">IF($B66="","",MAX(0,IF(OR(الموظفون!$AE66="",الموظفون!$AE66&gt;($E$3-1)),($E$3-1),الموظفون!$AE66)-الموظفون!$H66+1-SUMIFS('سجل الإجازات والحالات'!$AO$6:$AO$505,'سجل الإجازات والحالات'!$B$6:$B$505,$B66))/cfg_DAYS_Y)</f>
        <v/>
      </c>
      <c r="AJ66" s="57" t="str">
        <f aca="false">IF($B66="","",MAX(0,AK66-(SUMIFS('سجل الإجازات والحالات'!$AP$6:$AP$505,'سجل الإجازات والحالات'!$B$6:$B$505,$B66)-SUMIFS('سجل الإجازات والحالات'!$AO$6:$AO$505,'سجل الإجازات والحالات'!$B$6:$B$505,$B66))))</f>
        <v/>
      </c>
      <c r="AK66" s="57" t="str">
        <f aca="false">IF($B66="","",MAX(0,IF(OR(الموظفون!$AE66="",الموظفون!$AE66&gt;$F$3),$F$3,الموظفون!$AE66)-MAX($E$3,الموظفون!$H66)+1))</f>
        <v/>
      </c>
      <c r="AL66" s="126" t="str">
        <f aca="false">IF($B66="","",SUMIFS('سجل الإجازات والحالات'!$BB$6:$BB$505,'سجل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والحالات'!$AD$6:$AD$505,'سجل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والحالات'!$AP$6:$AP$505,'سجل الإجازات والحالات'!$B$6:$B$505,$B67))/cfg_DAYS_Y)</f>
        <v/>
      </c>
      <c r="AI67" s="135" t="str">
        <f aca="false">IF($B67="","",MAX(0,IF(OR(الموظفون!$AE67="",الموظفون!$AE67&gt;($E$3-1)),($E$3-1),الموظفون!$AE67)-الموظفون!$H67+1-SUMIFS('سجل الإجازات والحالات'!$AO$6:$AO$505,'سجل الإجازات والحالات'!$B$6:$B$505,$B67))/cfg_DAYS_Y)</f>
        <v/>
      </c>
      <c r="AJ67" s="110" t="str">
        <f aca="false">IF($B67="","",MAX(0,AK67-(SUMIFS('سجل الإجازات والحالات'!$AP$6:$AP$505,'سجل الإجازات والحالات'!$B$6:$B$505,$B67)-SUMIFS('سجل الإجازات والحالات'!$AO$6:$AO$505,'سجل الإجازات والحالات'!$B$6:$B$505,$B67))))</f>
        <v/>
      </c>
      <c r="AK67" s="110" t="str">
        <f aca="false">IF($B67="","",MAX(0,IF(OR(الموظفون!$AE67="",الموظفون!$AE67&gt;$F$3),$F$3,الموظفون!$AE67)-MAX($E$3,الموظفون!$H67)+1))</f>
        <v/>
      </c>
      <c r="AL67" s="131" t="str">
        <f aca="false">IF($B67="","",SUMIFS('سجل الإجازات والحالات'!$BB$6:$BB$505,'سجل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والحالات'!$AD$6:$AD$505,'سجل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والحالات'!$AP$6:$AP$505,'سجل الإجازات والحالات'!$B$6:$B$505,$B68))/cfg_DAYS_Y)</f>
        <v/>
      </c>
      <c r="AI68" s="130" t="str">
        <f aca="false">IF($B68="","",MAX(0,IF(OR(الموظفون!$AE68="",الموظفون!$AE68&gt;($E$3-1)),($E$3-1),الموظفون!$AE68)-الموظفون!$H68+1-SUMIFS('سجل الإجازات والحالات'!$AO$6:$AO$505,'سجل الإجازات والحالات'!$B$6:$B$505,$B68))/cfg_DAYS_Y)</f>
        <v/>
      </c>
      <c r="AJ68" s="57" t="str">
        <f aca="false">IF($B68="","",MAX(0,AK68-(SUMIFS('سجل الإجازات والحالات'!$AP$6:$AP$505,'سجل الإجازات والحالات'!$B$6:$B$505,$B68)-SUMIFS('سجل الإجازات والحالات'!$AO$6:$AO$505,'سجل الإجازات والحالات'!$B$6:$B$505,$B68))))</f>
        <v/>
      </c>
      <c r="AK68" s="57" t="str">
        <f aca="false">IF($B68="","",MAX(0,IF(OR(الموظفون!$AE68="",الموظفون!$AE68&gt;$F$3),$F$3,الموظفون!$AE68)-MAX($E$3,الموظفون!$H68)+1))</f>
        <v/>
      </c>
      <c r="AL68" s="126" t="str">
        <f aca="false">IF($B68="","",SUMIFS('سجل الإجازات والحالات'!$BB$6:$BB$505,'سجل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والحالات'!$AD$6:$AD$505,'سجل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والحالات'!$AP$6:$AP$505,'سجل الإجازات والحالات'!$B$6:$B$505,$B69))/cfg_DAYS_Y)</f>
        <v/>
      </c>
      <c r="AI69" s="135" t="str">
        <f aca="false">IF($B69="","",MAX(0,IF(OR(الموظفون!$AE69="",الموظفون!$AE69&gt;($E$3-1)),($E$3-1),الموظفون!$AE69)-الموظفون!$H69+1-SUMIFS('سجل الإجازات والحالات'!$AO$6:$AO$505,'سجل الإجازات والحالات'!$B$6:$B$505,$B69))/cfg_DAYS_Y)</f>
        <v/>
      </c>
      <c r="AJ69" s="110" t="str">
        <f aca="false">IF($B69="","",MAX(0,AK69-(SUMIFS('سجل الإجازات والحالات'!$AP$6:$AP$505,'سجل الإجازات والحالات'!$B$6:$B$505,$B69)-SUMIFS('سجل الإجازات والحالات'!$AO$6:$AO$505,'سجل الإجازات والحالات'!$B$6:$B$505,$B69))))</f>
        <v/>
      </c>
      <c r="AK69" s="110" t="str">
        <f aca="false">IF($B69="","",MAX(0,IF(OR(الموظفون!$AE69="",الموظفون!$AE69&gt;$F$3),$F$3,الموظفون!$AE69)-MAX($E$3,الموظفون!$H69)+1))</f>
        <v/>
      </c>
      <c r="AL69" s="131" t="str">
        <f aca="false">IF($B69="","",SUMIFS('سجل الإجازات والحالات'!$BB$6:$BB$505,'سجل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والحالات'!$AD$6:$AD$505,'سجل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والحالات'!$AP$6:$AP$505,'سجل الإجازات والحالات'!$B$6:$B$505,$B70))/cfg_DAYS_Y)</f>
        <v/>
      </c>
      <c r="AI70" s="130" t="str">
        <f aca="false">IF($B70="","",MAX(0,IF(OR(الموظفون!$AE70="",الموظفون!$AE70&gt;($E$3-1)),($E$3-1),الموظفون!$AE70)-الموظفون!$H70+1-SUMIFS('سجل الإجازات والحالات'!$AO$6:$AO$505,'سجل الإجازات والحالات'!$B$6:$B$505,$B70))/cfg_DAYS_Y)</f>
        <v/>
      </c>
      <c r="AJ70" s="57" t="str">
        <f aca="false">IF($B70="","",MAX(0,AK70-(SUMIFS('سجل الإجازات والحالات'!$AP$6:$AP$505,'سجل الإجازات والحالات'!$B$6:$B$505,$B70)-SUMIFS('سجل الإجازات والحالات'!$AO$6:$AO$505,'سجل الإجازات والحالات'!$B$6:$B$505,$B70))))</f>
        <v/>
      </c>
      <c r="AK70" s="57" t="str">
        <f aca="false">IF($B70="","",MAX(0,IF(OR(الموظفون!$AE70="",الموظفون!$AE70&gt;$F$3),$F$3,الموظفون!$AE70)-MAX($E$3,الموظفون!$H70)+1))</f>
        <v/>
      </c>
      <c r="AL70" s="126" t="str">
        <f aca="false">IF($B70="","",SUMIFS('سجل الإجازات والحالات'!$BB$6:$BB$505,'سجل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والحالات'!$AD$6:$AD$505,'سجل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والحالات'!$AP$6:$AP$505,'سجل الإجازات والحالات'!$B$6:$B$505,$B71))/cfg_DAYS_Y)</f>
        <v/>
      </c>
      <c r="AI71" s="135" t="str">
        <f aca="false">IF($B71="","",MAX(0,IF(OR(الموظفون!$AE71="",الموظفون!$AE71&gt;($E$3-1)),($E$3-1),الموظفون!$AE71)-الموظفون!$H71+1-SUMIFS('سجل الإجازات والحالات'!$AO$6:$AO$505,'سجل الإجازات والحالات'!$B$6:$B$505,$B71))/cfg_DAYS_Y)</f>
        <v/>
      </c>
      <c r="AJ71" s="110" t="str">
        <f aca="false">IF($B71="","",MAX(0,AK71-(SUMIFS('سجل الإجازات والحالات'!$AP$6:$AP$505,'سجل الإجازات والحالات'!$B$6:$B$505,$B71)-SUMIFS('سجل الإجازات والحالات'!$AO$6:$AO$505,'سجل الإجازات والحالات'!$B$6:$B$505,$B71))))</f>
        <v/>
      </c>
      <c r="AK71" s="110" t="str">
        <f aca="false">IF($B71="","",MAX(0,IF(OR(الموظفون!$AE71="",الموظفون!$AE71&gt;$F$3),$F$3,الموظفون!$AE71)-MAX($E$3,الموظفون!$H71)+1))</f>
        <v/>
      </c>
      <c r="AL71" s="131" t="str">
        <f aca="false">IF($B71="","",SUMIFS('سجل الإجازات والحالات'!$BB$6:$BB$505,'سجل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والحالات'!$AD$6:$AD$505,'سجل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والحالات'!$AP$6:$AP$505,'سجل الإجازات والحالات'!$B$6:$B$505,$B72))/cfg_DAYS_Y)</f>
        <v/>
      </c>
      <c r="AI72" s="130" t="str">
        <f aca="false">IF($B72="","",MAX(0,IF(OR(الموظفون!$AE72="",الموظفون!$AE72&gt;($E$3-1)),($E$3-1),الموظفون!$AE72)-الموظفون!$H72+1-SUMIFS('سجل الإجازات والحالات'!$AO$6:$AO$505,'سجل الإجازات والحالات'!$B$6:$B$505,$B72))/cfg_DAYS_Y)</f>
        <v/>
      </c>
      <c r="AJ72" s="57" t="str">
        <f aca="false">IF($B72="","",MAX(0,AK72-(SUMIFS('سجل الإجازات والحالات'!$AP$6:$AP$505,'سجل الإجازات والحالات'!$B$6:$B$505,$B72)-SUMIFS('سجل الإجازات والحالات'!$AO$6:$AO$505,'سجل الإجازات والحالات'!$B$6:$B$505,$B72))))</f>
        <v/>
      </c>
      <c r="AK72" s="57" t="str">
        <f aca="false">IF($B72="","",MAX(0,IF(OR(الموظفون!$AE72="",الموظفون!$AE72&gt;$F$3),$F$3,الموظفون!$AE72)-MAX($E$3,الموظفون!$H72)+1))</f>
        <v/>
      </c>
      <c r="AL72" s="126" t="str">
        <f aca="false">IF($B72="","",SUMIFS('سجل الإجازات والحالات'!$BB$6:$BB$505,'سجل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والحالات'!$AD$6:$AD$505,'سجل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والحالات'!$AP$6:$AP$505,'سجل الإجازات والحالات'!$B$6:$B$505,$B73))/cfg_DAYS_Y)</f>
        <v/>
      </c>
      <c r="AI73" s="135" t="str">
        <f aca="false">IF($B73="","",MAX(0,IF(OR(الموظفون!$AE73="",الموظفون!$AE73&gt;($E$3-1)),($E$3-1),الموظفون!$AE73)-الموظفون!$H73+1-SUMIFS('سجل الإجازات والحالات'!$AO$6:$AO$505,'سجل الإجازات والحالات'!$B$6:$B$505,$B73))/cfg_DAYS_Y)</f>
        <v/>
      </c>
      <c r="AJ73" s="110" t="str">
        <f aca="false">IF($B73="","",MAX(0,AK73-(SUMIFS('سجل الإجازات والحالات'!$AP$6:$AP$505,'سجل الإجازات والحالات'!$B$6:$B$505,$B73)-SUMIFS('سجل الإجازات والحالات'!$AO$6:$AO$505,'سجل الإجازات والحالات'!$B$6:$B$505,$B73))))</f>
        <v/>
      </c>
      <c r="AK73" s="110" t="str">
        <f aca="false">IF($B73="","",MAX(0,IF(OR(الموظفون!$AE73="",الموظفون!$AE73&gt;$F$3),$F$3,الموظفون!$AE73)-MAX($E$3,الموظفون!$H73)+1))</f>
        <v/>
      </c>
      <c r="AL73" s="131" t="str">
        <f aca="false">IF($B73="","",SUMIFS('سجل الإجازات والحالات'!$BB$6:$BB$505,'سجل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والحالات'!$AD$6:$AD$505,'سجل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والحالات'!$AP$6:$AP$505,'سجل الإجازات والحالات'!$B$6:$B$505,$B74))/cfg_DAYS_Y)</f>
        <v/>
      </c>
      <c r="AI74" s="130" t="str">
        <f aca="false">IF($B74="","",MAX(0,IF(OR(الموظفون!$AE74="",الموظفون!$AE74&gt;($E$3-1)),($E$3-1),الموظفون!$AE74)-الموظفون!$H74+1-SUMIFS('سجل الإجازات والحالات'!$AO$6:$AO$505,'سجل الإجازات والحالات'!$B$6:$B$505,$B74))/cfg_DAYS_Y)</f>
        <v/>
      </c>
      <c r="AJ74" s="57" t="str">
        <f aca="false">IF($B74="","",MAX(0,AK74-(SUMIFS('سجل الإجازات والحالات'!$AP$6:$AP$505,'سجل الإجازات والحالات'!$B$6:$B$505,$B74)-SUMIFS('سجل الإجازات والحالات'!$AO$6:$AO$505,'سجل الإجازات والحالات'!$B$6:$B$505,$B74))))</f>
        <v/>
      </c>
      <c r="AK74" s="57" t="str">
        <f aca="false">IF($B74="","",MAX(0,IF(OR(الموظفون!$AE74="",الموظفون!$AE74&gt;$F$3),$F$3,الموظفون!$AE74)-MAX($E$3,الموظفون!$H74)+1))</f>
        <v/>
      </c>
      <c r="AL74" s="126" t="str">
        <f aca="false">IF($B74="","",SUMIFS('سجل الإجازات والحالات'!$BB$6:$BB$505,'سجل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والحالات'!$AD$6:$AD$505,'سجل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والحالات'!$AP$6:$AP$505,'سجل الإجازات والحالات'!$B$6:$B$505,$B75))/cfg_DAYS_Y)</f>
        <v/>
      </c>
      <c r="AI75" s="135" t="str">
        <f aca="false">IF($B75="","",MAX(0,IF(OR(الموظفون!$AE75="",الموظفون!$AE75&gt;($E$3-1)),($E$3-1),الموظفون!$AE75)-الموظفون!$H75+1-SUMIFS('سجل الإجازات والحالات'!$AO$6:$AO$505,'سجل الإجازات والحالات'!$B$6:$B$505,$B75))/cfg_DAYS_Y)</f>
        <v/>
      </c>
      <c r="AJ75" s="110" t="str">
        <f aca="false">IF($B75="","",MAX(0,AK75-(SUMIFS('سجل الإجازات والحالات'!$AP$6:$AP$505,'سجل الإجازات والحالات'!$B$6:$B$505,$B75)-SUMIFS('سجل الإجازات والحالات'!$AO$6:$AO$505,'سجل الإجازات والحالات'!$B$6:$B$505,$B75))))</f>
        <v/>
      </c>
      <c r="AK75" s="110" t="str">
        <f aca="false">IF($B75="","",MAX(0,IF(OR(الموظفون!$AE75="",الموظفون!$AE75&gt;$F$3),$F$3,الموظفون!$AE75)-MAX($E$3,الموظفون!$H75)+1))</f>
        <v/>
      </c>
      <c r="AL75" s="131" t="str">
        <f aca="false">IF($B75="","",SUMIFS('سجل الإجازات والحالات'!$BB$6:$BB$505,'سجل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والحالات'!$AD$6:$AD$505,'سجل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والحالات'!$AP$6:$AP$505,'سجل الإجازات والحالات'!$B$6:$B$505,$B76))/cfg_DAYS_Y)</f>
        <v/>
      </c>
      <c r="AI76" s="130" t="str">
        <f aca="false">IF($B76="","",MAX(0,IF(OR(الموظفون!$AE76="",الموظفون!$AE76&gt;($E$3-1)),($E$3-1),الموظفون!$AE76)-الموظفون!$H76+1-SUMIFS('سجل الإجازات والحالات'!$AO$6:$AO$505,'سجل الإجازات والحالات'!$B$6:$B$505,$B76))/cfg_DAYS_Y)</f>
        <v/>
      </c>
      <c r="AJ76" s="57" t="str">
        <f aca="false">IF($B76="","",MAX(0,AK76-(SUMIFS('سجل الإجازات والحالات'!$AP$6:$AP$505,'سجل الإجازات والحالات'!$B$6:$B$505,$B76)-SUMIFS('سجل الإجازات والحالات'!$AO$6:$AO$505,'سجل الإجازات والحالات'!$B$6:$B$505,$B76))))</f>
        <v/>
      </c>
      <c r="AK76" s="57" t="str">
        <f aca="false">IF($B76="","",MAX(0,IF(OR(الموظفون!$AE76="",الموظفون!$AE76&gt;$F$3),$F$3,الموظفون!$AE76)-MAX($E$3,الموظفون!$H76)+1))</f>
        <v/>
      </c>
      <c r="AL76" s="126" t="str">
        <f aca="false">IF($B76="","",SUMIFS('سجل الإجازات والحالات'!$BB$6:$BB$505,'سجل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والحالات'!$AD$6:$AD$505,'سجل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والحالات'!$AP$6:$AP$505,'سجل الإجازات والحالات'!$B$6:$B$505,$B77))/cfg_DAYS_Y)</f>
        <v/>
      </c>
      <c r="AI77" s="135" t="str">
        <f aca="false">IF($B77="","",MAX(0,IF(OR(الموظفون!$AE77="",الموظفون!$AE77&gt;($E$3-1)),($E$3-1),الموظفون!$AE77)-الموظفون!$H77+1-SUMIFS('سجل الإجازات والحالات'!$AO$6:$AO$505,'سجل الإجازات والحالات'!$B$6:$B$505,$B77))/cfg_DAYS_Y)</f>
        <v/>
      </c>
      <c r="AJ77" s="110" t="str">
        <f aca="false">IF($B77="","",MAX(0,AK77-(SUMIFS('سجل الإجازات والحالات'!$AP$6:$AP$505,'سجل الإجازات والحالات'!$B$6:$B$505,$B77)-SUMIFS('سجل الإجازات والحالات'!$AO$6:$AO$505,'سجل الإجازات والحالات'!$B$6:$B$505,$B77))))</f>
        <v/>
      </c>
      <c r="AK77" s="110" t="str">
        <f aca="false">IF($B77="","",MAX(0,IF(OR(الموظفون!$AE77="",الموظفون!$AE77&gt;$F$3),$F$3,الموظفون!$AE77)-MAX($E$3,الموظفون!$H77)+1))</f>
        <v/>
      </c>
      <c r="AL77" s="131" t="str">
        <f aca="false">IF($B77="","",SUMIFS('سجل الإجازات والحالات'!$BB$6:$BB$505,'سجل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والحالات'!$AD$6:$AD$505,'سجل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والحالات'!$AP$6:$AP$505,'سجل الإجازات والحالات'!$B$6:$B$505,$B78))/cfg_DAYS_Y)</f>
        <v/>
      </c>
      <c r="AI78" s="130" t="str">
        <f aca="false">IF($B78="","",MAX(0,IF(OR(الموظفون!$AE78="",الموظفون!$AE78&gt;($E$3-1)),($E$3-1),الموظفون!$AE78)-الموظفون!$H78+1-SUMIFS('سجل الإجازات والحالات'!$AO$6:$AO$505,'سجل الإجازات والحالات'!$B$6:$B$505,$B78))/cfg_DAYS_Y)</f>
        <v/>
      </c>
      <c r="AJ78" s="57" t="str">
        <f aca="false">IF($B78="","",MAX(0,AK78-(SUMIFS('سجل الإجازات والحالات'!$AP$6:$AP$505,'سجل الإجازات والحالات'!$B$6:$B$505,$B78)-SUMIFS('سجل الإجازات والحالات'!$AO$6:$AO$505,'سجل الإجازات والحالات'!$B$6:$B$505,$B78))))</f>
        <v/>
      </c>
      <c r="AK78" s="57" t="str">
        <f aca="false">IF($B78="","",MAX(0,IF(OR(الموظفون!$AE78="",الموظفون!$AE78&gt;$F$3),$F$3,الموظفون!$AE78)-MAX($E$3,الموظفون!$H78)+1))</f>
        <v/>
      </c>
      <c r="AL78" s="126" t="str">
        <f aca="false">IF($B78="","",SUMIFS('سجل الإجازات والحالات'!$BB$6:$BB$505,'سجل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والحالات'!$AD$6:$AD$505,'سجل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والحالات'!$AP$6:$AP$505,'سجل الإجازات والحالات'!$B$6:$B$505,$B79))/cfg_DAYS_Y)</f>
        <v/>
      </c>
      <c r="AI79" s="135" t="str">
        <f aca="false">IF($B79="","",MAX(0,IF(OR(الموظفون!$AE79="",الموظفون!$AE79&gt;($E$3-1)),($E$3-1),الموظفون!$AE79)-الموظفون!$H79+1-SUMIFS('سجل الإجازات والحالات'!$AO$6:$AO$505,'سجل الإجازات والحالات'!$B$6:$B$505,$B79))/cfg_DAYS_Y)</f>
        <v/>
      </c>
      <c r="AJ79" s="110" t="str">
        <f aca="false">IF($B79="","",MAX(0,AK79-(SUMIFS('سجل الإجازات والحالات'!$AP$6:$AP$505,'سجل الإجازات والحالات'!$B$6:$B$505,$B79)-SUMIFS('سجل الإجازات والحالات'!$AO$6:$AO$505,'سجل الإجازات والحالات'!$B$6:$B$505,$B79))))</f>
        <v/>
      </c>
      <c r="AK79" s="110" t="str">
        <f aca="false">IF($B79="","",MAX(0,IF(OR(الموظفون!$AE79="",الموظفون!$AE79&gt;$F$3),$F$3,الموظفون!$AE79)-MAX($E$3,الموظفون!$H79)+1))</f>
        <v/>
      </c>
      <c r="AL79" s="131" t="str">
        <f aca="false">IF($B79="","",SUMIFS('سجل الإجازات والحالات'!$BB$6:$BB$505,'سجل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والحالات'!$AD$6:$AD$505,'سجل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والحالات'!$AP$6:$AP$505,'سجل الإجازات والحالات'!$B$6:$B$505,$B80))/cfg_DAYS_Y)</f>
        <v/>
      </c>
      <c r="AI80" s="130" t="str">
        <f aca="false">IF($B80="","",MAX(0,IF(OR(الموظفون!$AE80="",الموظفون!$AE80&gt;($E$3-1)),($E$3-1),الموظفون!$AE80)-الموظفون!$H80+1-SUMIFS('سجل الإجازات والحالات'!$AO$6:$AO$505,'سجل الإجازات والحالات'!$B$6:$B$505,$B80))/cfg_DAYS_Y)</f>
        <v/>
      </c>
      <c r="AJ80" s="57" t="str">
        <f aca="false">IF($B80="","",MAX(0,AK80-(SUMIFS('سجل الإجازات والحالات'!$AP$6:$AP$505,'سجل الإجازات والحالات'!$B$6:$B$505,$B80)-SUMIFS('سجل الإجازات والحالات'!$AO$6:$AO$505,'سجل الإجازات والحالات'!$B$6:$B$505,$B80))))</f>
        <v/>
      </c>
      <c r="AK80" s="57" t="str">
        <f aca="false">IF($B80="","",MAX(0,IF(OR(الموظفون!$AE80="",الموظفون!$AE80&gt;$F$3),$F$3,الموظفون!$AE80)-MAX($E$3,الموظفون!$H80)+1))</f>
        <v/>
      </c>
      <c r="AL80" s="126" t="str">
        <f aca="false">IF($B80="","",SUMIFS('سجل الإجازات والحالات'!$BB$6:$BB$505,'سجل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والحالات'!$AD$6:$AD$505,'سجل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والحالات'!$AP$6:$AP$505,'سجل الإجازات والحالات'!$B$6:$B$505,$B81))/cfg_DAYS_Y)</f>
        <v/>
      </c>
      <c r="AI81" s="135" t="str">
        <f aca="false">IF($B81="","",MAX(0,IF(OR(الموظفون!$AE81="",الموظفون!$AE81&gt;($E$3-1)),($E$3-1),الموظفون!$AE81)-الموظفون!$H81+1-SUMIFS('سجل الإجازات والحالات'!$AO$6:$AO$505,'سجل الإجازات والحالات'!$B$6:$B$505,$B81))/cfg_DAYS_Y)</f>
        <v/>
      </c>
      <c r="AJ81" s="110" t="str">
        <f aca="false">IF($B81="","",MAX(0,AK81-(SUMIFS('سجل الإجازات والحالات'!$AP$6:$AP$505,'سجل الإجازات والحالات'!$B$6:$B$505,$B81)-SUMIFS('سجل الإجازات والحالات'!$AO$6:$AO$505,'سجل الإجازات والحالات'!$B$6:$B$505,$B81))))</f>
        <v/>
      </c>
      <c r="AK81" s="110" t="str">
        <f aca="false">IF($B81="","",MAX(0,IF(OR(الموظفون!$AE81="",الموظفون!$AE81&gt;$F$3),$F$3,الموظفون!$AE81)-MAX($E$3,الموظفون!$H81)+1))</f>
        <v/>
      </c>
      <c r="AL81" s="131" t="str">
        <f aca="false">IF($B81="","",SUMIFS('سجل الإجازات والحالات'!$BB$6:$BB$505,'سجل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والحالات'!$AD$6:$AD$505,'سجل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والحالات'!$AP$6:$AP$505,'سجل الإجازات والحالات'!$B$6:$B$505,$B82))/cfg_DAYS_Y)</f>
        <v/>
      </c>
      <c r="AI82" s="130" t="str">
        <f aca="false">IF($B82="","",MAX(0,IF(OR(الموظفون!$AE82="",الموظفون!$AE82&gt;($E$3-1)),($E$3-1),الموظفون!$AE82)-الموظفون!$H82+1-SUMIFS('سجل الإجازات والحالات'!$AO$6:$AO$505,'سجل الإجازات والحالات'!$B$6:$B$505,$B82))/cfg_DAYS_Y)</f>
        <v/>
      </c>
      <c r="AJ82" s="57" t="str">
        <f aca="false">IF($B82="","",MAX(0,AK82-(SUMIFS('سجل الإجازات والحالات'!$AP$6:$AP$505,'سجل الإجازات والحالات'!$B$6:$B$505,$B82)-SUMIFS('سجل الإجازات والحالات'!$AO$6:$AO$505,'سجل الإجازات والحالات'!$B$6:$B$505,$B82))))</f>
        <v/>
      </c>
      <c r="AK82" s="57" t="str">
        <f aca="false">IF($B82="","",MAX(0,IF(OR(الموظفون!$AE82="",الموظفون!$AE82&gt;$F$3),$F$3,الموظفون!$AE82)-MAX($E$3,الموظفون!$H82)+1))</f>
        <v/>
      </c>
      <c r="AL82" s="126" t="str">
        <f aca="false">IF($B82="","",SUMIFS('سجل الإجازات والحالات'!$BB$6:$BB$505,'سجل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والحالات'!$AD$6:$AD$505,'سجل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والحالات'!$AP$6:$AP$505,'سجل الإجازات والحالات'!$B$6:$B$505,$B83))/cfg_DAYS_Y)</f>
        <v/>
      </c>
      <c r="AI83" s="135" t="str">
        <f aca="false">IF($B83="","",MAX(0,IF(OR(الموظفون!$AE83="",الموظفون!$AE83&gt;($E$3-1)),($E$3-1),الموظفون!$AE83)-الموظفون!$H83+1-SUMIFS('سجل الإجازات والحالات'!$AO$6:$AO$505,'سجل الإجازات والحالات'!$B$6:$B$505,$B83))/cfg_DAYS_Y)</f>
        <v/>
      </c>
      <c r="AJ83" s="110" t="str">
        <f aca="false">IF($B83="","",MAX(0,AK83-(SUMIFS('سجل الإجازات والحالات'!$AP$6:$AP$505,'سجل الإجازات والحالات'!$B$6:$B$505,$B83)-SUMIFS('سجل الإجازات والحالات'!$AO$6:$AO$505,'سجل الإجازات والحالات'!$B$6:$B$505,$B83))))</f>
        <v/>
      </c>
      <c r="AK83" s="110" t="str">
        <f aca="false">IF($B83="","",MAX(0,IF(OR(الموظفون!$AE83="",الموظفون!$AE83&gt;$F$3),$F$3,الموظفون!$AE83)-MAX($E$3,الموظفون!$H83)+1))</f>
        <v/>
      </c>
      <c r="AL83" s="131" t="str">
        <f aca="false">IF($B83="","",SUMIFS('سجل الإجازات والحالات'!$BB$6:$BB$505,'سجل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والحالات'!$AD$6:$AD$505,'سجل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والحالات'!$AP$6:$AP$505,'سجل الإجازات والحالات'!$B$6:$B$505,$B84))/cfg_DAYS_Y)</f>
        <v/>
      </c>
      <c r="AI84" s="130" t="str">
        <f aca="false">IF($B84="","",MAX(0,IF(OR(الموظفون!$AE84="",الموظفون!$AE84&gt;($E$3-1)),($E$3-1),الموظفون!$AE84)-الموظفون!$H84+1-SUMIFS('سجل الإجازات والحالات'!$AO$6:$AO$505,'سجل الإجازات والحالات'!$B$6:$B$505,$B84))/cfg_DAYS_Y)</f>
        <v/>
      </c>
      <c r="AJ84" s="57" t="str">
        <f aca="false">IF($B84="","",MAX(0,AK84-(SUMIFS('سجل الإجازات والحالات'!$AP$6:$AP$505,'سجل الإجازات والحالات'!$B$6:$B$505,$B84)-SUMIFS('سجل الإجازات والحالات'!$AO$6:$AO$505,'سجل الإجازات والحالات'!$B$6:$B$505,$B84))))</f>
        <v/>
      </c>
      <c r="AK84" s="57" t="str">
        <f aca="false">IF($B84="","",MAX(0,IF(OR(الموظفون!$AE84="",الموظفون!$AE84&gt;$F$3),$F$3,الموظفون!$AE84)-MAX($E$3,الموظفون!$H84)+1))</f>
        <v/>
      </c>
      <c r="AL84" s="126" t="str">
        <f aca="false">IF($B84="","",SUMIFS('سجل الإجازات والحالات'!$BB$6:$BB$505,'سجل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والحالات'!$AD$6:$AD$505,'سجل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والحالات'!$AP$6:$AP$505,'سجل الإجازات والحالات'!$B$6:$B$505,$B85))/cfg_DAYS_Y)</f>
        <v/>
      </c>
      <c r="AI85" s="135" t="str">
        <f aca="false">IF($B85="","",MAX(0,IF(OR(الموظفون!$AE85="",الموظفون!$AE85&gt;($E$3-1)),($E$3-1),الموظفون!$AE85)-الموظفون!$H85+1-SUMIFS('سجل الإجازات والحالات'!$AO$6:$AO$505,'سجل الإجازات والحالات'!$B$6:$B$505,$B85))/cfg_DAYS_Y)</f>
        <v/>
      </c>
      <c r="AJ85" s="110" t="str">
        <f aca="false">IF($B85="","",MAX(0,AK85-(SUMIFS('سجل الإجازات والحالات'!$AP$6:$AP$505,'سجل الإجازات والحالات'!$B$6:$B$505,$B85)-SUMIFS('سجل الإجازات والحالات'!$AO$6:$AO$505,'سجل الإجازات والحالات'!$B$6:$B$505,$B85))))</f>
        <v/>
      </c>
      <c r="AK85" s="110" t="str">
        <f aca="false">IF($B85="","",MAX(0,IF(OR(الموظفون!$AE85="",الموظفون!$AE85&gt;$F$3),$F$3,الموظفون!$AE85)-MAX($E$3,الموظفون!$H85)+1))</f>
        <v/>
      </c>
      <c r="AL85" s="131" t="str">
        <f aca="false">IF($B85="","",SUMIFS('سجل الإجازات والحالات'!$BB$6:$BB$505,'سجل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والحالات'!$AD$6:$AD$505,'سجل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والحالات'!$AP$6:$AP$505,'سجل الإجازات والحالات'!$B$6:$B$505,$B86))/cfg_DAYS_Y)</f>
        <v/>
      </c>
      <c r="AI86" s="130" t="str">
        <f aca="false">IF($B86="","",MAX(0,IF(OR(الموظفون!$AE86="",الموظفون!$AE86&gt;($E$3-1)),($E$3-1),الموظفون!$AE86)-الموظفون!$H86+1-SUMIFS('سجل الإجازات والحالات'!$AO$6:$AO$505,'سجل الإجازات والحالات'!$B$6:$B$505,$B86))/cfg_DAYS_Y)</f>
        <v/>
      </c>
      <c r="AJ86" s="57" t="str">
        <f aca="false">IF($B86="","",MAX(0,AK86-(SUMIFS('سجل الإجازات والحالات'!$AP$6:$AP$505,'سجل الإجازات والحالات'!$B$6:$B$505,$B86)-SUMIFS('سجل الإجازات والحالات'!$AO$6:$AO$505,'سجل الإجازات والحالات'!$B$6:$B$505,$B86))))</f>
        <v/>
      </c>
      <c r="AK86" s="57" t="str">
        <f aca="false">IF($B86="","",MAX(0,IF(OR(الموظفون!$AE86="",الموظفون!$AE86&gt;$F$3),$F$3,الموظفون!$AE86)-MAX($E$3,الموظفون!$H86)+1))</f>
        <v/>
      </c>
      <c r="AL86" s="126" t="str">
        <f aca="false">IF($B86="","",SUMIFS('سجل الإجازات والحالات'!$BB$6:$BB$505,'سجل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والحالات'!$AD$6:$AD$505,'سجل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والحالات'!$AP$6:$AP$505,'سجل الإجازات والحالات'!$B$6:$B$505,$B87))/cfg_DAYS_Y)</f>
        <v/>
      </c>
      <c r="AI87" s="135" t="str">
        <f aca="false">IF($B87="","",MAX(0,IF(OR(الموظفون!$AE87="",الموظفون!$AE87&gt;($E$3-1)),($E$3-1),الموظفون!$AE87)-الموظفون!$H87+1-SUMIFS('سجل الإجازات والحالات'!$AO$6:$AO$505,'سجل الإجازات والحالات'!$B$6:$B$505,$B87))/cfg_DAYS_Y)</f>
        <v/>
      </c>
      <c r="AJ87" s="110" t="str">
        <f aca="false">IF($B87="","",MAX(0,AK87-(SUMIFS('سجل الإجازات والحالات'!$AP$6:$AP$505,'سجل الإجازات والحالات'!$B$6:$B$505,$B87)-SUMIFS('سجل الإجازات والحالات'!$AO$6:$AO$505,'سجل الإجازات والحالات'!$B$6:$B$505,$B87))))</f>
        <v/>
      </c>
      <c r="AK87" s="110" t="str">
        <f aca="false">IF($B87="","",MAX(0,IF(OR(الموظفون!$AE87="",الموظفون!$AE87&gt;$F$3),$F$3,الموظفون!$AE87)-MAX($E$3,الموظفون!$H87)+1))</f>
        <v/>
      </c>
      <c r="AL87" s="131" t="str">
        <f aca="false">IF($B87="","",SUMIFS('سجل الإجازات والحالات'!$BB$6:$BB$505,'سجل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والحالات'!$AD$6:$AD$505,'سجل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والحالات'!$AP$6:$AP$505,'سجل الإجازات والحالات'!$B$6:$B$505,$B88))/cfg_DAYS_Y)</f>
        <v/>
      </c>
      <c r="AI88" s="130" t="str">
        <f aca="false">IF($B88="","",MAX(0,IF(OR(الموظفون!$AE88="",الموظفون!$AE88&gt;($E$3-1)),($E$3-1),الموظفون!$AE88)-الموظفون!$H88+1-SUMIFS('سجل الإجازات والحالات'!$AO$6:$AO$505,'سجل الإجازات والحالات'!$B$6:$B$505,$B88))/cfg_DAYS_Y)</f>
        <v/>
      </c>
      <c r="AJ88" s="57" t="str">
        <f aca="false">IF($B88="","",MAX(0,AK88-(SUMIFS('سجل الإجازات والحالات'!$AP$6:$AP$505,'سجل الإجازات والحالات'!$B$6:$B$505,$B88)-SUMIFS('سجل الإجازات والحالات'!$AO$6:$AO$505,'سجل الإجازات والحالات'!$B$6:$B$505,$B88))))</f>
        <v/>
      </c>
      <c r="AK88" s="57" t="str">
        <f aca="false">IF($B88="","",MAX(0,IF(OR(الموظفون!$AE88="",الموظفون!$AE88&gt;$F$3),$F$3,الموظفون!$AE88)-MAX($E$3,الموظفون!$H88)+1))</f>
        <v/>
      </c>
      <c r="AL88" s="126" t="str">
        <f aca="false">IF($B88="","",SUMIFS('سجل الإجازات والحالات'!$BB$6:$BB$505,'سجل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والحالات'!$AD$6:$AD$505,'سجل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والحالات'!$AP$6:$AP$505,'سجل الإجازات والحالات'!$B$6:$B$505,$B89))/cfg_DAYS_Y)</f>
        <v/>
      </c>
      <c r="AI89" s="135" t="str">
        <f aca="false">IF($B89="","",MAX(0,IF(OR(الموظفون!$AE89="",الموظفون!$AE89&gt;($E$3-1)),($E$3-1),الموظفون!$AE89)-الموظفون!$H89+1-SUMIFS('سجل الإجازات والحالات'!$AO$6:$AO$505,'سجل الإجازات والحالات'!$B$6:$B$505,$B89))/cfg_DAYS_Y)</f>
        <v/>
      </c>
      <c r="AJ89" s="110" t="str">
        <f aca="false">IF($B89="","",MAX(0,AK89-(SUMIFS('سجل الإجازات والحالات'!$AP$6:$AP$505,'سجل الإجازات والحالات'!$B$6:$B$505,$B89)-SUMIFS('سجل الإجازات والحالات'!$AO$6:$AO$505,'سجل الإجازات والحالات'!$B$6:$B$505,$B89))))</f>
        <v/>
      </c>
      <c r="AK89" s="110" t="str">
        <f aca="false">IF($B89="","",MAX(0,IF(OR(الموظفون!$AE89="",الموظفون!$AE89&gt;$F$3),$F$3,الموظفون!$AE89)-MAX($E$3,الموظفون!$H89)+1))</f>
        <v/>
      </c>
      <c r="AL89" s="131" t="str">
        <f aca="false">IF($B89="","",SUMIFS('سجل الإجازات والحالات'!$BB$6:$BB$505,'سجل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والحالات'!$AD$6:$AD$505,'سجل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والحالات'!$AP$6:$AP$505,'سجل الإجازات والحالات'!$B$6:$B$505,$B90))/cfg_DAYS_Y)</f>
        <v/>
      </c>
      <c r="AI90" s="130" t="str">
        <f aca="false">IF($B90="","",MAX(0,IF(OR(الموظفون!$AE90="",الموظفون!$AE90&gt;($E$3-1)),($E$3-1),الموظفون!$AE90)-الموظفون!$H90+1-SUMIFS('سجل الإجازات والحالات'!$AO$6:$AO$505,'سجل الإجازات والحالات'!$B$6:$B$505,$B90))/cfg_DAYS_Y)</f>
        <v/>
      </c>
      <c r="AJ90" s="57" t="str">
        <f aca="false">IF($B90="","",MAX(0,AK90-(SUMIFS('سجل الإجازات والحالات'!$AP$6:$AP$505,'سجل الإجازات والحالات'!$B$6:$B$505,$B90)-SUMIFS('سجل الإجازات والحالات'!$AO$6:$AO$505,'سجل الإجازات والحالات'!$B$6:$B$505,$B90))))</f>
        <v/>
      </c>
      <c r="AK90" s="57" t="str">
        <f aca="false">IF($B90="","",MAX(0,IF(OR(الموظفون!$AE90="",الموظفون!$AE90&gt;$F$3),$F$3,الموظفون!$AE90)-MAX($E$3,الموظفون!$H90)+1))</f>
        <v/>
      </c>
      <c r="AL90" s="126" t="str">
        <f aca="false">IF($B90="","",SUMIFS('سجل الإجازات والحالات'!$BB$6:$BB$505,'سجل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والحالات'!$AD$6:$AD$505,'سجل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والحالات'!$AP$6:$AP$505,'سجل الإجازات والحالات'!$B$6:$B$505,$B91))/cfg_DAYS_Y)</f>
        <v/>
      </c>
      <c r="AI91" s="135" t="str">
        <f aca="false">IF($B91="","",MAX(0,IF(OR(الموظفون!$AE91="",الموظفون!$AE91&gt;($E$3-1)),($E$3-1),الموظفون!$AE91)-الموظفون!$H91+1-SUMIFS('سجل الإجازات والحالات'!$AO$6:$AO$505,'سجل الإجازات والحالات'!$B$6:$B$505,$B91))/cfg_DAYS_Y)</f>
        <v/>
      </c>
      <c r="AJ91" s="110" t="str">
        <f aca="false">IF($B91="","",MAX(0,AK91-(SUMIFS('سجل الإجازات والحالات'!$AP$6:$AP$505,'سجل الإجازات والحالات'!$B$6:$B$505,$B91)-SUMIFS('سجل الإجازات والحالات'!$AO$6:$AO$505,'سجل الإجازات والحالات'!$B$6:$B$505,$B91))))</f>
        <v/>
      </c>
      <c r="AK91" s="110" t="str">
        <f aca="false">IF($B91="","",MAX(0,IF(OR(الموظفون!$AE91="",الموظفون!$AE91&gt;$F$3),$F$3,الموظفون!$AE91)-MAX($E$3,الموظفون!$H91)+1))</f>
        <v/>
      </c>
      <c r="AL91" s="131" t="str">
        <f aca="false">IF($B91="","",SUMIFS('سجل الإجازات والحالات'!$BB$6:$BB$505,'سجل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والحالات'!$AD$6:$AD$505,'سجل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والحالات'!$AP$6:$AP$505,'سجل الإجازات والحالات'!$B$6:$B$505,$B92))/cfg_DAYS_Y)</f>
        <v/>
      </c>
      <c r="AI92" s="130" t="str">
        <f aca="false">IF($B92="","",MAX(0,IF(OR(الموظفون!$AE92="",الموظفون!$AE92&gt;($E$3-1)),($E$3-1),الموظفون!$AE92)-الموظفون!$H92+1-SUMIFS('سجل الإجازات والحالات'!$AO$6:$AO$505,'سجل الإجازات والحالات'!$B$6:$B$505,$B92))/cfg_DAYS_Y)</f>
        <v/>
      </c>
      <c r="AJ92" s="57" t="str">
        <f aca="false">IF($B92="","",MAX(0,AK92-(SUMIFS('سجل الإجازات والحالات'!$AP$6:$AP$505,'سجل الإجازات والحالات'!$B$6:$B$505,$B92)-SUMIFS('سجل الإجازات والحالات'!$AO$6:$AO$505,'سجل الإجازات والحالات'!$B$6:$B$505,$B92))))</f>
        <v/>
      </c>
      <c r="AK92" s="57" t="str">
        <f aca="false">IF($B92="","",MAX(0,IF(OR(الموظفون!$AE92="",الموظفون!$AE92&gt;$F$3),$F$3,الموظفون!$AE92)-MAX($E$3,الموظفون!$H92)+1))</f>
        <v/>
      </c>
      <c r="AL92" s="126" t="str">
        <f aca="false">IF($B92="","",SUMIFS('سجل الإجازات والحالات'!$BB$6:$BB$505,'سجل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والحالات'!$AD$6:$AD$505,'سجل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والحالات'!$AP$6:$AP$505,'سجل الإجازات والحالات'!$B$6:$B$505,$B93))/cfg_DAYS_Y)</f>
        <v/>
      </c>
      <c r="AI93" s="135" t="str">
        <f aca="false">IF($B93="","",MAX(0,IF(OR(الموظفون!$AE93="",الموظفون!$AE93&gt;($E$3-1)),($E$3-1),الموظفون!$AE93)-الموظفون!$H93+1-SUMIFS('سجل الإجازات والحالات'!$AO$6:$AO$505,'سجل الإجازات والحالات'!$B$6:$B$505,$B93))/cfg_DAYS_Y)</f>
        <v/>
      </c>
      <c r="AJ93" s="110" t="str">
        <f aca="false">IF($B93="","",MAX(0,AK93-(SUMIFS('سجل الإجازات والحالات'!$AP$6:$AP$505,'سجل الإجازات والحالات'!$B$6:$B$505,$B93)-SUMIFS('سجل الإجازات والحالات'!$AO$6:$AO$505,'سجل الإجازات والحالات'!$B$6:$B$505,$B93))))</f>
        <v/>
      </c>
      <c r="AK93" s="110" t="str">
        <f aca="false">IF($B93="","",MAX(0,IF(OR(الموظفون!$AE93="",الموظفون!$AE93&gt;$F$3),$F$3,الموظفون!$AE93)-MAX($E$3,الموظفون!$H93)+1))</f>
        <v/>
      </c>
      <c r="AL93" s="131" t="str">
        <f aca="false">IF($B93="","",SUMIFS('سجل الإجازات والحالات'!$BB$6:$BB$505,'سجل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والحالات'!$AD$6:$AD$505,'سجل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والحالات'!$AP$6:$AP$505,'سجل الإجازات والحالات'!$B$6:$B$505,$B94))/cfg_DAYS_Y)</f>
        <v/>
      </c>
      <c r="AI94" s="130" t="str">
        <f aca="false">IF($B94="","",MAX(0,IF(OR(الموظفون!$AE94="",الموظفون!$AE94&gt;($E$3-1)),($E$3-1),الموظفون!$AE94)-الموظفون!$H94+1-SUMIFS('سجل الإجازات والحالات'!$AO$6:$AO$505,'سجل الإجازات والحالات'!$B$6:$B$505,$B94))/cfg_DAYS_Y)</f>
        <v/>
      </c>
      <c r="AJ94" s="57" t="str">
        <f aca="false">IF($B94="","",MAX(0,AK94-(SUMIFS('سجل الإجازات والحالات'!$AP$6:$AP$505,'سجل الإجازات والحالات'!$B$6:$B$505,$B94)-SUMIFS('سجل الإجازات والحالات'!$AO$6:$AO$505,'سجل الإجازات والحالات'!$B$6:$B$505,$B94))))</f>
        <v/>
      </c>
      <c r="AK94" s="57" t="str">
        <f aca="false">IF($B94="","",MAX(0,IF(OR(الموظفون!$AE94="",الموظفون!$AE94&gt;$F$3),$F$3,الموظفون!$AE94)-MAX($E$3,الموظفون!$H94)+1))</f>
        <v/>
      </c>
      <c r="AL94" s="126" t="str">
        <f aca="false">IF($B94="","",SUMIFS('سجل الإجازات والحالات'!$BB$6:$BB$505,'سجل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والحالات'!$AD$6:$AD$505,'سجل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والحالات'!$AP$6:$AP$505,'سجل الإجازات والحالات'!$B$6:$B$505,$B95))/cfg_DAYS_Y)</f>
        <v/>
      </c>
      <c r="AI95" s="135" t="str">
        <f aca="false">IF($B95="","",MAX(0,IF(OR(الموظفون!$AE95="",الموظفون!$AE95&gt;($E$3-1)),($E$3-1),الموظفون!$AE95)-الموظفون!$H95+1-SUMIFS('سجل الإجازات والحالات'!$AO$6:$AO$505,'سجل الإجازات والحالات'!$B$6:$B$505,$B95))/cfg_DAYS_Y)</f>
        <v/>
      </c>
      <c r="AJ95" s="110" t="str">
        <f aca="false">IF($B95="","",MAX(0,AK95-(SUMIFS('سجل الإجازات والحالات'!$AP$6:$AP$505,'سجل الإجازات والحالات'!$B$6:$B$505,$B95)-SUMIFS('سجل الإجازات والحالات'!$AO$6:$AO$505,'سجل الإجازات والحالات'!$B$6:$B$505,$B95))))</f>
        <v/>
      </c>
      <c r="AK95" s="110" t="str">
        <f aca="false">IF($B95="","",MAX(0,IF(OR(الموظفون!$AE95="",الموظفون!$AE95&gt;$F$3),$F$3,الموظفون!$AE95)-MAX($E$3,الموظفون!$H95)+1))</f>
        <v/>
      </c>
      <c r="AL95" s="131" t="str">
        <f aca="false">IF($B95="","",SUMIFS('سجل الإجازات والحالات'!$BB$6:$BB$505,'سجل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والحالات'!$AD$6:$AD$505,'سجل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والحالات'!$AP$6:$AP$505,'سجل الإجازات والحالات'!$B$6:$B$505,$B96))/cfg_DAYS_Y)</f>
        <v/>
      </c>
      <c r="AI96" s="130" t="str">
        <f aca="false">IF($B96="","",MAX(0,IF(OR(الموظفون!$AE96="",الموظفون!$AE96&gt;($E$3-1)),($E$3-1),الموظفون!$AE96)-الموظفون!$H96+1-SUMIFS('سجل الإجازات والحالات'!$AO$6:$AO$505,'سجل الإجازات والحالات'!$B$6:$B$505,$B96))/cfg_DAYS_Y)</f>
        <v/>
      </c>
      <c r="AJ96" s="57" t="str">
        <f aca="false">IF($B96="","",MAX(0,AK96-(SUMIFS('سجل الإجازات والحالات'!$AP$6:$AP$505,'سجل الإجازات والحالات'!$B$6:$B$505,$B96)-SUMIFS('سجل الإجازات والحالات'!$AO$6:$AO$505,'سجل الإجازات والحالات'!$B$6:$B$505,$B96))))</f>
        <v/>
      </c>
      <c r="AK96" s="57" t="str">
        <f aca="false">IF($B96="","",MAX(0,IF(OR(الموظفون!$AE96="",الموظفون!$AE96&gt;$F$3),$F$3,الموظفون!$AE96)-MAX($E$3,الموظفون!$H96)+1))</f>
        <v/>
      </c>
      <c r="AL96" s="126" t="str">
        <f aca="false">IF($B96="","",SUMIFS('سجل الإجازات والحالات'!$BB$6:$BB$505,'سجل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والحالات'!$AD$6:$AD$505,'سجل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والحالات'!$AP$6:$AP$505,'سجل الإجازات والحالات'!$B$6:$B$505,$B97))/cfg_DAYS_Y)</f>
        <v/>
      </c>
      <c r="AI97" s="135" t="str">
        <f aca="false">IF($B97="","",MAX(0,IF(OR(الموظفون!$AE97="",الموظفون!$AE97&gt;($E$3-1)),($E$3-1),الموظفون!$AE97)-الموظفون!$H97+1-SUMIFS('سجل الإجازات والحالات'!$AO$6:$AO$505,'سجل الإجازات والحالات'!$B$6:$B$505,$B97))/cfg_DAYS_Y)</f>
        <v/>
      </c>
      <c r="AJ97" s="110" t="str">
        <f aca="false">IF($B97="","",MAX(0,AK97-(SUMIFS('سجل الإجازات والحالات'!$AP$6:$AP$505,'سجل الإجازات والحالات'!$B$6:$B$505,$B97)-SUMIFS('سجل الإجازات والحالات'!$AO$6:$AO$505,'سجل الإجازات والحالات'!$B$6:$B$505,$B97))))</f>
        <v/>
      </c>
      <c r="AK97" s="110" t="str">
        <f aca="false">IF($B97="","",MAX(0,IF(OR(الموظفون!$AE97="",الموظفون!$AE97&gt;$F$3),$F$3,الموظفون!$AE97)-MAX($E$3,الموظفون!$H97)+1))</f>
        <v/>
      </c>
      <c r="AL97" s="131" t="str">
        <f aca="false">IF($B97="","",SUMIFS('سجل الإجازات والحالات'!$BB$6:$BB$505,'سجل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والحالات'!$AD$6:$AD$505,'سجل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والحالات'!$AP$6:$AP$505,'سجل الإجازات والحالات'!$B$6:$B$505,$B98))/cfg_DAYS_Y)</f>
        <v/>
      </c>
      <c r="AI98" s="130" t="str">
        <f aca="false">IF($B98="","",MAX(0,IF(OR(الموظفون!$AE98="",الموظفون!$AE98&gt;($E$3-1)),($E$3-1),الموظفون!$AE98)-الموظفون!$H98+1-SUMIFS('سجل الإجازات والحالات'!$AO$6:$AO$505,'سجل الإجازات والحالات'!$B$6:$B$505,$B98))/cfg_DAYS_Y)</f>
        <v/>
      </c>
      <c r="AJ98" s="57" t="str">
        <f aca="false">IF($B98="","",MAX(0,AK98-(SUMIFS('سجل الإجازات والحالات'!$AP$6:$AP$505,'سجل الإجازات والحالات'!$B$6:$B$505,$B98)-SUMIFS('سجل الإجازات والحالات'!$AO$6:$AO$505,'سجل الإجازات والحالات'!$B$6:$B$505,$B98))))</f>
        <v/>
      </c>
      <c r="AK98" s="57" t="str">
        <f aca="false">IF($B98="","",MAX(0,IF(OR(الموظفون!$AE98="",الموظفون!$AE98&gt;$F$3),$F$3,الموظفون!$AE98)-MAX($E$3,الموظفون!$H98)+1))</f>
        <v/>
      </c>
      <c r="AL98" s="126" t="str">
        <f aca="false">IF($B98="","",SUMIFS('سجل الإجازات والحالات'!$BB$6:$BB$505,'سجل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والحالات'!$AD$6:$AD$505,'سجل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والحالات'!$AP$6:$AP$505,'سجل الإجازات والحالات'!$B$6:$B$505,$B99))/cfg_DAYS_Y)</f>
        <v/>
      </c>
      <c r="AI99" s="135" t="str">
        <f aca="false">IF($B99="","",MAX(0,IF(OR(الموظفون!$AE99="",الموظفون!$AE99&gt;($E$3-1)),($E$3-1),الموظفون!$AE99)-الموظفون!$H99+1-SUMIFS('سجل الإجازات والحالات'!$AO$6:$AO$505,'سجل الإجازات والحالات'!$B$6:$B$505,$B99))/cfg_DAYS_Y)</f>
        <v/>
      </c>
      <c r="AJ99" s="110" t="str">
        <f aca="false">IF($B99="","",MAX(0,AK99-(SUMIFS('سجل الإجازات والحالات'!$AP$6:$AP$505,'سجل الإجازات والحالات'!$B$6:$B$505,$B99)-SUMIFS('سجل الإجازات والحالات'!$AO$6:$AO$505,'سجل الإجازات والحالات'!$B$6:$B$505,$B99))))</f>
        <v/>
      </c>
      <c r="AK99" s="110" t="str">
        <f aca="false">IF($B99="","",MAX(0,IF(OR(الموظفون!$AE99="",الموظفون!$AE99&gt;$F$3),$F$3,الموظفون!$AE99)-MAX($E$3,الموظفون!$H99)+1))</f>
        <v/>
      </c>
      <c r="AL99" s="131" t="str">
        <f aca="false">IF($B99="","",SUMIFS('سجل الإجازات والحالات'!$BB$6:$BB$505,'سجل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والحالات'!$AD$6:$AD$505,'سجل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والحالات'!$AP$6:$AP$505,'سجل الإجازات والحالات'!$B$6:$B$505,$B100))/cfg_DAYS_Y)</f>
        <v/>
      </c>
      <c r="AI100" s="130" t="str">
        <f aca="false">IF($B100="","",MAX(0,IF(OR(الموظفون!$AE100="",الموظفون!$AE100&gt;($E$3-1)),($E$3-1),الموظفون!$AE100)-الموظفون!$H100+1-SUMIFS('سجل الإجازات والحالات'!$AO$6:$AO$505,'سجل الإجازات والحالات'!$B$6:$B$505,$B100))/cfg_DAYS_Y)</f>
        <v/>
      </c>
      <c r="AJ100" s="57" t="str">
        <f aca="false">IF($B100="","",MAX(0,AK100-(SUMIFS('سجل الإجازات والحالات'!$AP$6:$AP$505,'سجل الإجازات والحالات'!$B$6:$B$505,$B100)-SUMIFS('سجل الإجازات والحالات'!$AO$6:$AO$505,'سجل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والحالات'!$BB$6:$BB$505,'سجل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والحالات'!$AD$6:$AD$505,'سجل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والحالات'!$AP$6:$AP$505,'سجل الإجازات والحالات'!$B$6:$B$505,$B101))/cfg_DAYS_Y)</f>
        <v/>
      </c>
      <c r="AI101" s="135" t="str">
        <f aca="false">IF($B101="","",MAX(0,IF(OR(الموظفون!$AE101="",الموظفون!$AE101&gt;($E$3-1)),($E$3-1),الموظفون!$AE101)-الموظفون!$H101+1-SUMIFS('سجل الإجازات والحالات'!$AO$6:$AO$505,'سجل الإجازات والحالات'!$B$6:$B$505,$B101))/cfg_DAYS_Y)</f>
        <v/>
      </c>
      <c r="AJ101" s="110" t="str">
        <f aca="false">IF($B101="","",MAX(0,AK101-(SUMIFS('سجل الإجازات والحالات'!$AP$6:$AP$505,'سجل الإجازات والحالات'!$B$6:$B$505,$B101)-SUMIFS('سجل الإجازات والحالات'!$AO$6:$AO$505,'سجل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والحالات'!$BB$6:$BB$505,'سجل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والحالات'!$AD$6:$AD$505,'سجل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والحالات'!$AP$6:$AP$505,'سجل الإجازات والحالات'!$B$6:$B$505,$B102))/cfg_DAYS_Y)</f>
        <v/>
      </c>
      <c r="AI102" s="130" t="str">
        <f aca="false">IF($B102="","",MAX(0,IF(OR(الموظفون!$AE102="",الموظفون!$AE102&gt;($E$3-1)),($E$3-1),الموظفون!$AE102)-الموظفون!$H102+1-SUMIFS('سجل الإجازات والحالات'!$AO$6:$AO$505,'سجل الإجازات والحالات'!$B$6:$B$505,$B102))/cfg_DAYS_Y)</f>
        <v/>
      </c>
      <c r="AJ102" s="57" t="str">
        <f aca="false">IF($B102="","",MAX(0,AK102-(SUMIFS('سجل الإجازات والحالات'!$AP$6:$AP$505,'سجل الإجازات والحالات'!$B$6:$B$505,$B102)-SUMIFS('سجل الإجازات والحالات'!$AO$6:$AO$505,'سجل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والحالات'!$BB$6:$BB$505,'سجل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والحالات'!$AD$6:$AD$505,'سجل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والحالات'!$AP$6:$AP$505,'سجل الإجازات والحالات'!$B$6:$B$505,$B103))/cfg_DAYS_Y)</f>
        <v/>
      </c>
      <c r="AI103" s="135" t="str">
        <f aca="false">IF($B103="","",MAX(0,IF(OR(الموظفون!$AE103="",الموظفون!$AE103&gt;($E$3-1)),($E$3-1),الموظفون!$AE103)-الموظفون!$H103+1-SUMIFS('سجل الإجازات والحالات'!$AO$6:$AO$505,'سجل الإجازات والحالات'!$B$6:$B$505,$B103))/cfg_DAYS_Y)</f>
        <v/>
      </c>
      <c r="AJ103" s="110" t="str">
        <f aca="false">IF($B103="","",MAX(0,AK103-(SUMIFS('سجل الإجازات والحالات'!$AP$6:$AP$505,'سجل الإجازات والحالات'!$B$6:$B$505,$B103)-SUMIFS('سجل الإجازات والحالات'!$AO$6:$AO$505,'سجل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والحالات'!$BB$6:$BB$505,'سجل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والحالات'!$AD$6:$AD$505,'سجل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والحالات'!$AP$6:$AP$505,'سجل الإجازات والحالات'!$B$6:$B$505,$B104))/cfg_DAYS_Y)</f>
        <v/>
      </c>
      <c r="AI104" s="130" t="str">
        <f aca="false">IF($B104="","",MAX(0,IF(OR(الموظفون!$AE104="",الموظفون!$AE104&gt;($E$3-1)),($E$3-1),الموظفون!$AE104)-الموظفون!$H104+1-SUMIFS('سجل الإجازات والحالات'!$AO$6:$AO$505,'سجل الإجازات والحالات'!$B$6:$B$505,$B104))/cfg_DAYS_Y)</f>
        <v/>
      </c>
      <c r="AJ104" s="57" t="str">
        <f aca="false">IF($B104="","",MAX(0,AK104-(SUMIFS('سجل الإجازات والحالات'!$AP$6:$AP$505,'سجل الإجازات والحالات'!$B$6:$B$505,$B104)-SUMIFS('سجل الإجازات والحالات'!$AO$6:$AO$505,'سجل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والحالات'!$BB$6:$BB$505,'سجل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والحالات'!$AD$6:$AD$505,'سجل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والحالات'!$AP$6:$AP$505,'سجل الإجازات والحالات'!$B$6:$B$505,$B105))/cfg_DAYS_Y)</f>
        <v/>
      </c>
      <c r="AI105" s="135" t="str">
        <f aca="false">IF($B105="","",MAX(0,IF(OR(الموظفون!$AE105="",الموظفون!$AE105&gt;($E$3-1)),($E$3-1),الموظفون!$AE105)-الموظفون!$H105+1-SUMIFS('سجل الإجازات والحالات'!$AO$6:$AO$505,'سجل الإجازات والحالات'!$B$6:$B$505,$B105))/cfg_DAYS_Y)</f>
        <v/>
      </c>
      <c r="AJ105" s="110" t="str">
        <f aca="false">IF($B105="","",MAX(0,AK105-(SUMIFS('سجل الإجازات والحالات'!$AP$6:$AP$505,'سجل الإجازات والحالات'!$B$6:$B$505,$B105)-SUMIFS('سجل الإجازات والحالات'!$AO$6:$AO$505,'سجل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والحالات'!$BB$6:$BB$505,'سجل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والحالات'!$AD$6:$AD$505,'سجل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13.5</v>
      </c>
      <c r="J106" s="136" t="n">
        <f aca="false">SUM(J6:J105)</f>
        <v>316.5</v>
      </c>
      <c r="K106" s="103" t="n">
        <f aca="false">SUM(K6:K105)</f>
        <v>130733.333333333</v>
      </c>
      <c r="L106" s="103" t="n">
        <f aca="false">SUM(L6:L105)</f>
        <v>32683.3333333333</v>
      </c>
      <c r="M106" s="103" t="n">
        <f aca="false">SUM(M6:M105)</f>
        <v>13073.3333333333</v>
      </c>
      <c r="N106" s="103" t="n">
        <f aca="false">SUM(N6:N105)</f>
        <v>9258.33333333333</v>
      </c>
      <c r="O106" s="136" t="n">
        <f aca="false">SUM(O6:O105)</f>
        <v>6</v>
      </c>
      <c r="P106" s="103" t="n">
        <f aca="false">SUM(P6:P105)</f>
        <v>416.25</v>
      </c>
      <c r="Q106" s="103" t="n">
        <f aca="false">SUM(Q6:Q105)</f>
        <v>0</v>
      </c>
      <c r="R106" s="103" t="n">
        <f aca="false">SUM(R6:R105)</f>
        <v>1500</v>
      </c>
      <c r="S106" s="103" t="n">
        <f aca="false">SUM(S6:S105)</f>
        <v>0</v>
      </c>
      <c r="T106" s="103" t="n">
        <f aca="false">SUM(T6:T105)</f>
        <v>187664.583333333</v>
      </c>
      <c r="U106" s="103" t="n">
        <f aca="false">SUM(U6:U105)</f>
        <v>12370.3125</v>
      </c>
      <c r="V106" s="103" t="n">
        <f aca="false">SUM(V6:V105)</f>
        <v>0</v>
      </c>
      <c r="W106" s="103" t="n">
        <f aca="false">SUM(W6:W105)</f>
        <v>250</v>
      </c>
      <c r="X106" s="103" t="n">
        <f aca="false">SUM(X6:X105)</f>
        <v>12620.3125</v>
      </c>
      <c r="Y106" s="103" t="n">
        <f aca="false">SUM(Y6:Y105)</f>
        <v>175044.270833333</v>
      </c>
      <c r="Z106" s="103" t="n">
        <f aca="false">SUM(Z6:Z105)</f>
        <v>15782.8125</v>
      </c>
      <c r="AA106" s="103" t="n">
        <f aca="false">SUM(AA6:AA105)</f>
        <v>13035.8219178082</v>
      </c>
      <c r="AB106" s="103" t="n">
        <f aca="false">SUM(AB6:AB105)</f>
        <v>13668.2876712329</v>
      </c>
      <c r="AC106" s="103" t="n">
        <f aca="false">SUM(AC6:AC105)</f>
        <v>821.917808219178</v>
      </c>
      <c r="AD106" s="103" t="n">
        <f aca="false">SUM(AD6:AD105)</f>
        <v>3416.66666666667</v>
      </c>
      <c r="AE106" s="103" t="n">
        <f aca="false">SUM(AE6:AE105)</f>
        <v>2650</v>
      </c>
      <c r="AF106" s="103" t="n">
        <f aca="false">SUM(AF6:AF105)</f>
        <v>400</v>
      </c>
      <c r="AG106" s="103" t="n">
        <f aca="false">SUM(AG6:AG105)</f>
        <v>237440.08989726</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أغسطس'!A1" display="◀ الشهر السابق"/>
    <hyperlink ref="L3" location="'مسير أكتوب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أكتوبر "&amp;cfg_FY</f>
        <v>💵 مسير رواتب شهر أكتوبر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10</v>
      </c>
      <c r="D3" s="112" t="s">
        <v>434</v>
      </c>
      <c r="E3" s="114" t="n">
        <f aca="false">DATE(cfg_FY,C3,1)</f>
        <v>46296</v>
      </c>
      <c r="F3" s="114" t="n">
        <f aca="false">EOMONTH(E3,0)</f>
        <v>46326</v>
      </c>
      <c r="G3" s="115" t="str">
        <f aca="false">IF(C3&lt;=cfg_VAL_M,"✔ فعلي","⚠ متوقع")</f>
        <v>⚠ متوقع</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3210.41095890406</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والحالات'!$AQ$6:$AQ$505,'سجل الإجازات والحالات'!$B$6:$B$505,$B6))/cfg_DAYS_Y)</f>
        <v>14.8054794520548</v>
      </c>
      <c r="AI6" s="130" t="n">
        <f aca="false">IF($B6="","",MAX(0,IF(OR(الموظفون!$AE6="",الموظفون!$AE6&gt;($E$3-1)),($E$3-1),الموظفون!$AE6)-الموظفون!$H6+1-SUMIFS('سجل الإجازات والحالات'!$AP$6:$AP$505,'سجل الإجازات والحالات'!$B$6:$B$505,$B6))/cfg_DAYS_Y)</f>
        <v>14.7205479452055</v>
      </c>
      <c r="AJ6" s="57" t="n">
        <f aca="false">IF($B6="","",MAX(0,AK6-(SUMIFS('سجل الإجازات والحالات'!$AQ$6:$AQ$505,'سجل الإجازات والحالات'!$B$6:$B$505,$B6)-SUMIFS('سجل الإجازات والحالات'!$AP$6:$AP$505,'سجل الإجازات والحالات'!$B$6:$B$505,$B6))))</f>
        <v>31</v>
      </c>
      <c r="AK6" s="57" t="n">
        <f aca="false">IF($B6="","",MAX(0,IF(OR(الموظفون!$AE6="",الموظفون!$AE6&gt;$F$3),$F$3,الموظفون!$AE6)-MAX($E$3,الموظفون!$H6)+1))</f>
        <v>31</v>
      </c>
      <c r="AL6" s="126" t="n">
        <f aca="false">IF($B6="","",SUMIFS('سجل الإجازات والحالات'!$BC$6:$BC$505,'سجل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والحالات'!$AE$6:$AE$505,'سجل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والحالات'!$AQ$6:$AQ$505,'سجل الإجازات والحالات'!$B$6:$B$505,$B7))/cfg_DAYS_Y)</f>
        <v>10.4246575342466</v>
      </c>
      <c r="AI7" s="135" t="n">
        <f aca="false">IF($B7="","",MAX(0,IF(OR(الموظفون!$AE7="",الموظفون!$AE7&gt;($E$3-1)),($E$3-1),الموظفون!$AE7)-الموظفون!$H7+1-SUMIFS('سجل الإجازات والحالات'!$AP$6:$AP$505,'سجل الإجازات والحالات'!$B$6:$B$505,$B7))/cfg_DAYS_Y)</f>
        <v>10.3397260273973</v>
      </c>
      <c r="AJ7" s="110" t="n">
        <f aca="false">IF($B7="","",MAX(0,AK7-(SUMIFS('سجل الإجازات والحالات'!$AQ$6:$AQ$505,'سجل الإجازات والحالات'!$B$6:$B$505,$B7)-SUMIFS('سجل الإجازات والحالات'!$AP$6:$AP$505,'سجل الإجازات والحالات'!$B$6:$B$505,$B7))))</f>
        <v>31</v>
      </c>
      <c r="AK7" s="110" t="n">
        <f aca="false">IF($B7="","",MAX(0,IF(OR(الموظفون!$AE7="",الموظفون!$AE7&gt;$F$3),$F$3,الموظفون!$AE7)-MAX($E$3,الموظفون!$H7)+1))</f>
        <v>31</v>
      </c>
      <c r="AL7" s="131" t="n">
        <f aca="false">IF($B7="","",SUMIFS('سجل الإجازات والحالات'!$BC$6:$BC$505,'سجل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والحالات'!$AE$6:$AE$505,'سجل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15326.7351598174</v>
      </c>
      <c r="AH8" s="130" t="n">
        <f aca="false">IF($B8="","",MAX(0,IF(OR(الموظفون!$AE8="",الموظفون!$AE8&gt;$F$3),$F$3,الموظفون!$AE8)-الموظفون!$H8+1-SUMIFS('سجل الإجازات والحالات'!$AQ$6:$AQ$505,'سجل الإجازات والحالات'!$B$6:$B$505,$B8))/cfg_DAYS_Y)</f>
        <v>8.14794520547945</v>
      </c>
      <c r="AI8" s="130" t="n">
        <f aca="false">IF($B8="","",MAX(0,IF(OR(الموظفون!$AE8="",الموظفون!$AE8&gt;($E$3-1)),($E$3-1),الموظفون!$AE8)-الموظفون!$H8+1-SUMIFS('سجل الإجازات والحالات'!$AP$6:$AP$505,'سجل الإجازات والحالات'!$B$6:$B$505,$B8))/cfg_DAYS_Y)</f>
        <v>8.06301369863014</v>
      </c>
      <c r="AJ8" s="57" t="n">
        <f aca="false">IF($B8="","",MAX(0,AK8-(SUMIFS('سجل الإجازات والحالات'!$AQ$6:$AQ$505,'سجل الإجازات والحالات'!$B$6:$B$505,$B8)-SUMIFS('سجل الإجازات والحالات'!$AP$6:$AP$505,'سجل الإجازات والحالات'!$B$6:$B$505,$B8))))</f>
        <v>31</v>
      </c>
      <c r="AK8" s="57" t="n">
        <f aca="false">IF($B8="","",MAX(0,IF(OR(الموظفون!$AE8="",الموظفون!$AE8&gt;$F$3),$F$3,الموظفون!$AE8)-MAX($E$3,الموظفون!$H8)+1))</f>
        <v>31</v>
      </c>
      <c r="AL8" s="126" t="n">
        <f aca="false">IF($B8="","",SUMIFS('سجل الإجازات والحالات'!$BC$6:$BC$505,'سجل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والحالات'!$AE$6:$AE$505,'سجل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والحالات'!$AQ$6:$AQ$505,'سجل الإجازات والحالات'!$B$6:$B$505,$B9))/cfg_DAYS_Y)</f>
        <v>7.75342465753425</v>
      </c>
      <c r="AI9" s="135" t="n">
        <f aca="false">IF($B9="","",MAX(0,IF(OR(الموظفون!$AE9="",الموظفون!$AE9&gt;($E$3-1)),($E$3-1),الموظفون!$AE9)-الموظفون!$H9+1-SUMIFS('سجل الإجازات والحالات'!$AP$6:$AP$505,'سجل الإجازات والحالات'!$B$6:$B$505,$B9))/cfg_DAYS_Y)</f>
        <v>7.66849315068493</v>
      </c>
      <c r="AJ9" s="110" t="n">
        <f aca="false">IF($B9="","",MAX(0,AK9-(SUMIFS('سجل الإجازات والحالات'!$AQ$6:$AQ$505,'سجل الإجازات والحالات'!$B$6:$B$505,$B9)-SUMIFS('سجل الإجازات والحالات'!$AP$6:$AP$505,'سجل الإجازات والحالات'!$B$6:$B$505,$B9))))</f>
        <v>31</v>
      </c>
      <c r="AK9" s="110" t="n">
        <f aca="false">IF($B9="","",MAX(0,IF(OR(الموظفون!$AE9="",الموظفون!$AE9&gt;$F$3),$F$3,الموظفون!$AE9)-MAX($E$3,الموظفون!$H9)+1))</f>
        <v>31</v>
      </c>
      <c r="AL9" s="131" t="n">
        <f aca="false">IF($B9="","",SUMIFS('سجل الإجازات والحالات'!$BC$6:$BC$505,'سجل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والحالات'!$AE$6:$AE$505,'سجل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والحالات'!$AQ$6:$AQ$505,'سجل الإجازات والحالات'!$B$6:$B$505,$B10))/cfg_DAYS_Y)</f>
        <v>6.55890410958904</v>
      </c>
      <c r="AI10" s="130" t="n">
        <f aca="false">IF($B10="","",MAX(0,IF(OR(الموظفون!$AE10="",الموظفون!$AE10&gt;($E$3-1)),($E$3-1),الموظفون!$AE10)-الموظفون!$H10+1-SUMIFS('سجل الإجازات والحالات'!$AP$6:$AP$505,'سجل الإجازات والحالات'!$B$6:$B$505,$B10))/cfg_DAYS_Y)</f>
        <v>6.47397260273973</v>
      </c>
      <c r="AJ10" s="57" t="n">
        <f aca="false">IF($B10="","",MAX(0,AK10-(SUMIFS('سجل الإجازات والحالات'!$AQ$6:$AQ$505,'سجل الإجازات والحالات'!$B$6:$B$505,$B10)-SUMIFS('سجل الإجازات والحالات'!$AP$6:$AP$505,'سجل الإجازات والحالات'!$B$6:$B$505,$B10))))</f>
        <v>31</v>
      </c>
      <c r="AK10" s="57" t="n">
        <f aca="false">IF($B10="","",MAX(0,IF(OR(الموظفون!$AE10="",الموظفون!$AE10&gt;$F$3),$F$3,الموظفون!$AE10)-MAX($E$3,الموظفون!$H10)+1))</f>
        <v>31</v>
      </c>
      <c r="AL10" s="126" t="n">
        <f aca="false">IF($B10="","",SUMIFS('سجل الإجازات والحالات'!$BC$6:$BC$505,'سجل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والحالات'!$AE$6:$AE$505,'سجل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خصم 19 يوم بدون أجر</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19</v>
      </c>
      <c r="J11" s="131" t="n">
        <f aca="false">IF($B11="","",MAX(0,G11-H11-I11))</f>
        <v>11</v>
      </c>
      <c r="K11" s="101" t="n">
        <f aca="false">IF($B11="","",الموظفون!$L11*$J11/cfg_DAYS_M)</f>
        <v>4766.66666666667</v>
      </c>
      <c r="L11" s="101" t="n">
        <f aca="false">IF($B11="","",الموظفون!$M11*$J11/cfg_DAYS_M)</f>
        <v>1191.66666666667</v>
      </c>
      <c r="M11" s="101" t="n">
        <f aca="false">IF($B11="","",الموظفون!$N11*$J11/cfg_DAYS_M)</f>
        <v>476.666666666667</v>
      </c>
      <c r="N11" s="101" t="n">
        <f aca="false">IF($B11="","",الموظفون!$O11*$J11/cfg_DAYS_M)</f>
        <v>916.666666666667</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7351.66666666667</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5767.29166666667</v>
      </c>
      <c r="Z11" s="101" t="n">
        <f aca="false">IF($B11="","",الموظفون!$S11*IF(E11="سعودي",cfg_G_SR,cfg_G_NR)*G11/cfg_DAYS_M)</f>
        <v>1909.375</v>
      </c>
      <c r="AA11" s="101" t="n">
        <f aca="false">IF($B11="","",الموظفون!$Q11*(cfg_EOS_R1*(MIN(AH11,cfg_EOS_TH)-MIN(AI11,cfg_EOS_TH))+cfg_EOS_R2*(MAX(AH11-cfg_EOS_TH,0)-MAX(AI11-cfg_EOS_TH,0))))</f>
        <v>576.986301369884</v>
      </c>
      <c r="AB11" s="101" t="n">
        <f aca="false">IF($B11="","",IF(الموظفون!$T11&lt;&gt;"",الموظفون!$T11,IF(AH11&gt;=cfg_LV_TH,cfg_LV_D2,cfg_LV_D1))/cfg_DAYS_Y*AJ11*الموظفون!$R11/cfg_DAYS_M)</f>
        <v>576.986301369863</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10715.0142694064</v>
      </c>
      <c r="AH11" s="135" t="n">
        <f aca="false">IF($B11="","",MAX(0,IF(OR(الموظفون!$AE11="",الموظفون!$AE11&gt;$F$3),$F$3,الموظفون!$AE11)-الموظفون!$H11+1-SUMIFS('سجل الإجازات والحالات'!$AQ$6:$AQ$505,'سجل الإجازات والحالات'!$B$6:$B$505,$B11))/cfg_DAYS_Y)</f>
        <v>8.91232876712329</v>
      </c>
      <c r="AI11" s="135" t="n">
        <f aca="false">IF($B11="","",MAX(0,IF(OR(الموظفون!$AE11="",الموظفون!$AE11&gt;($E$3-1)),($E$3-1),الموظفون!$AE11)-الموظفون!$H11+1-SUMIFS('سجل الإجازات والحالات'!$AP$6:$AP$505,'سجل الإجازات والحالات'!$B$6:$B$505,$B11))/cfg_DAYS_Y)</f>
        <v>8.87945205479452</v>
      </c>
      <c r="AJ11" s="110" t="n">
        <f aca="false">IF($B11="","",MAX(0,AK11-(SUMIFS('سجل الإجازات والحالات'!$AQ$6:$AQ$505,'سجل الإجازات والحالات'!$B$6:$B$505,$B11)-SUMIFS('سجل الإجازات والحالات'!$AP$6:$AP$505,'سجل الإجازات والحالات'!$B$6:$B$505,$B11))))</f>
        <v>12</v>
      </c>
      <c r="AK11" s="110" t="n">
        <f aca="false">IF($B11="","",MAX(0,IF(OR(الموظفون!$AE11="",الموظفون!$AE11&gt;$F$3),$F$3,الموظفون!$AE11)-MAX($E$3,الموظفون!$H11)+1))</f>
        <v>31</v>
      </c>
      <c r="AL11" s="131" t="n">
        <f aca="false">IF($B11="","",SUMIFS('سجل الإجازات والحالات'!$BC$6:$BC$505,'سجل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والحالات'!$AE$6:$AE$505,'سجل الإجازات والحالات'!$B$6:$B$505,$B11))</f>
        <v>19</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1261.23287671234</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20283.8242009133</v>
      </c>
      <c r="AH12" s="130" t="n">
        <f aca="false">IF($B12="","",MAX(0,IF(OR(الموظفون!$AE12="",الموظفون!$AE12&gt;$F$3),$F$3,الموظفون!$AE12)-الموظفون!$H12+1-SUMIFS('سجل الإجازات والحالات'!$AQ$6:$AQ$505,'سجل الإجازات والحالات'!$B$6:$B$505,$B12))/cfg_DAYS_Y)</f>
        <v>5.78356164383562</v>
      </c>
      <c r="AI12" s="130" t="n">
        <f aca="false">IF($B12="","",MAX(0,IF(OR(الموظفون!$AE12="",الموظفون!$AE12&gt;($E$3-1)),($E$3-1),الموظفون!$AE12)-الموظفون!$H12+1-SUMIFS('سجل الإجازات والحالات'!$AP$6:$AP$505,'سجل الإجازات والحالات'!$B$6:$B$505,$B12))/cfg_DAYS_Y)</f>
        <v>5.6986301369863</v>
      </c>
      <c r="AJ12" s="57" t="n">
        <f aca="false">IF($B12="","",MAX(0,AK12-(SUMIFS('سجل الإجازات والحالات'!$AQ$6:$AQ$505,'سجل الإجازات والحالات'!$B$6:$B$505,$B12)-SUMIFS('سجل الإجازات والحالات'!$AP$6:$AP$505,'سجل الإجازات والحالات'!$B$6:$B$505,$B12))))</f>
        <v>31</v>
      </c>
      <c r="AK12" s="57" t="n">
        <f aca="false">IF($B12="","",MAX(0,IF(OR(الموظفون!$AE12="",الموظفون!$AE12&gt;$F$3),$F$3,الموظفون!$AE12)-MAX($E$3,الموظفون!$H12)+1))</f>
        <v>31</v>
      </c>
      <c r="AL12" s="126" t="n">
        <f aca="false">IF($B12="","",SUMIFS('سجل الإجازات والحالات'!$BC$6:$BC$505,'سجل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والحالات'!$AE$6:$AE$505,'سجل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والحالات'!$AQ$6:$AQ$505,'سجل الإجازات والحالات'!$B$6:$B$505,$B13))/cfg_DAYS_Y)</f>
        <v>3.66575342465753</v>
      </c>
      <c r="AI13" s="135" t="n">
        <f aca="false">IF($B13="","",MAX(0,IF(OR(الموظفون!$AE13="",الموظفون!$AE13&gt;($E$3-1)),($E$3-1),الموظفون!$AE13)-الموظفون!$H13+1-SUMIFS('سجل الإجازات والحالات'!$AP$6:$AP$505,'سجل الإجازات والحالات'!$B$6:$B$505,$B13))/cfg_DAYS_Y)</f>
        <v>3.58082191780822</v>
      </c>
      <c r="AJ13" s="110" t="n">
        <f aca="false">IF($B13="","",MAX(0,AK13-(SUMIFS('سجل الإجازات والحالات'!$AQ$6:$AQ$505,'سجل الإجازات والحالات'!$B$6:$B$505,$B13)-SUMIFS('سجل الإجازات والحالات'!$AP$6:$AP$505,'سجل الإجازات والحالات'!$B$6:$B$505,$B13))))</f>
        <v>31</v>
      </c>
      <c r="AK13" s="110" t="n">
        <f aca="false">IF($B13="","",MAX(0,IF(OR(الموظفون!$AE13="",الموظفون!$AE13&gt;$F$3),$F$3,الموظفون!$AE13)-MAX($E$3,الموظفون!$H13)+1))</f>
        <v>31</v>
      </c>
      <c r="AL13" s="131" t="n">
        <f aca="false">IF($B13="","",SUMIFS('سجل الإجازات والحالات'!$BC$6:$BC$505,'سجل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والحالات'!$AE$6:$AE$505,'سجل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والحالات'!$AQ$6:$AQ$505,'سجل الإجازات والحالات'!$B$6:$B$505,$B14))/cfg_DAYS_Y)</f>
        <v>12.213698630137</v>
      </c>
      <c r="AI14" s="130" t="n">
        <f aca="false">IF($B14="","",MAX(0,IF(OR(الموظفون!$AE14="",الموظفون!$AE14&gt;($E$3-1)),($E$3-1),الموظفون!$AE14)-الموظفون!$H14+1-SUMIFS('سجل الإجازات والحالات'!$AP$6:$AP$505,'سجل الإجازات والحالات'!$B$6:$B$505,$B14))/cfg_DAYS_Y)</f>
        <v>12.1287671232877</v>
      </c>
      <c r="AJ14" s="57" t="n">
        <f aca="false">IF($B14="","",MAX(0,AK14-(SUMIFS('سجل الإجازات والحالات'!$AQ$6:$AQ$505,'سجل الإجازات والحالات'!$B$6:$B$505,$B14)-SUMIFS('سجل الإجازات والحالات'!$AP$6:$AP$505,'سجل الإجازات والحالات'!$B$6:$B$505,$B14))))</f>
        <v>31</v>
      </c>
      <c r="AK14" s="57" t="n">
        <f aca="false">IF($B14="","",MAX(0,IF(OR(الموظفون!$AE14="",الموظفون!$AE14&gt;$F$3),$F$3,الموظفون!$AE14)-MAX($E$3,الموظفون!$H14)+1))</f>
        <v>31</v>
      </c>
      <c r="AL14" s="126" t="n">
        <f aca="false">IF($B14="","",SUMIFS('سجل الإجازات والحالات'!$BC$6:$BC$505,'سجل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والحالات'!$AE$6:$AE$505,'سجل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والحالات'!$AQ$6:$AQ$505,'سجل الإجازات والحالات'!$B$6:$B$505,$B15))/cfg_DAYS_Y)</f>
        <v>0.547945205479452</v>
      </c>
      <c r="AI15" s="135" t="n">
        <f aca="false">IF($B15="","",MAX(0,IF(OR(الموظفون!$AE15="",الموظفون!$AE15&gt;($E$3-1)),($E$3-1),الموظفون!$AE15)-الموظفون!$H15+1-SUMIFS('سجل الإجازات والحالات'!$AP$6:$AP$505,'سجل الإجازات والحالات'!$B$6:$B$505,$B15))/cfg_DAYS_Y)</f>
        <v>0.463013698630137</v>
      </c>
      <c r="AJ15" s="110" t="n">
        <f aca="false">IF($B15="","",MAX(0,AK15-(SUMIFS('سجل الإجازات والحالات'!$AQ$6:$AQ$505,'سجل الإجازات والحالات'!$B$6:$B$505,$B15)-SUMIFS('سجل الإجازات والحالات'!$AP$6:$AP$505,'سجل الإجازات والحالات'!$B$6:$B$505,$B15))))</f>
        <v>31</v>
      </c>
      <c r="AK15" s="110" t="n">
        <f aca="false">IF($B15="","",MAX(0,IF(OR(الموظفون!$AE15="",الموظفون!$AE15&gt;$F$3),$F$3,الموظفون!$AE15)-MAX($E$3,الموظفون!$H15)+1))</f>
        <v>31</v>
      </c>
      <c r="AL15" s="131" t="n">
        <f aca="false">IF($B15="","",SUMIFS('سجل الإجازات والحالات'!$BC$6:$BC$505,'سجل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والحالات'!$AE$6:$AE$505,'سجل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والحالات'!$AQ$6:$AQ$505,'سجل الإجازات والحالات'!$B$6:$B$505,$B16))/cfg_DAYS_Y)</f>
        <v>7.33972602739726</v>
      </c>
      <c r="AI16" s="130" t="n">
        <f aca="false">IF($B16="","",MAX(0,IF(OR(الموظفون!$AE16="",الموظفون!$AE16&gt;($E$3-1)),($E$3-1),الموظفون!$AE16)-الموظفون!$H16+1-SUMIFS('سجل الإجازات والحالات'!$AP$6:$AP$505,'سجل الإجازات والحالات'!$B$6:$B$505,$B16))/cfg_DAYS_Y)</f>
        <v>7.33972602739726</v>
      </c>
      <c r="AJ16" s="57" t="n">
        <f aca="false">IF($B16="","",MAX(0,AK16-(SUMIFS('سجل الإجازات والحالات'!$AQ$6:$AQ$505,'سجل الإجازات والحالات'!$B$6:$B$505,$B16)-SUMIFS('سجل الإجازات والحالات'!$AP$6:$AP$505,'سجل الإجازات والحالات'!$B$6:$B$505,$B16))))</f>
        <v>0</v>
      </c>
      <c r="AK16" s="57" t="n">
        <f aca="false">IF($B16="","",MAX(0,IF(OR(الموظفون!$AE16="",الموظفون!$AE16&gt;$F$3),$F$3,الموظفون!$AE16)-MAX($E$3,الموظفون!$H16)+1))</f>
        <v>0</v>
      </c>
      <c r="AL16" s="126" t="n">
        <f aca="false">IF($B16="","",SUMIFS('سجل الإجازات والحالات'!$BC$6:$BC$505,'سجل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والحالات'!$AE$6:$AE$505,'سجل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687.945205479448</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والحالات'!$AQ$6:$AQ$505,'سجل الإجازات والحالات'!$B$6:$B$505,$B17))/cfg_DAYS_Y)</f>
        <v>4.31506849315069</v>
      </c>
      <c r="AI17" s="135" t="n">
        <f aca="false">IF($B17="","",MAX(0,IF(OR(الموظفون!$AE17="",الموظفون!$AE17&gt;($E$3-1)),($E$3-1),الموظفون!$AE17)-الموظفون!$H17+1-SUMIFS('سجل الإجازات والحالات'!$AP$6:$AP$505,'سجل الإجازات والحالات'!$B$6:$B$505,$B17))/cfg_DAYS_Y)</f>
        <v>4.23013698630137</v>
      </c>
      <c r="AJ17" s="110" t="n">
        <f aca="false">IF($B17="","",MAX(0,AK17-(SUMIFS('سجل الإجازات والحالات'!$AQ$6:$AQ$505,'سجل الإجازات والحالات'!$B$6:$B$505,$B17)-SUMIFS('سجل الإجازات والحالات'!$AP$6:$AP$505,'سجل الإجازات والحالات'!$B$6:$B$505,$B17))))</f>
        <v>31</v>
      </c>
      <c r="AK17" s="110" t="n">
        <f aca="false">IF($B17="","",MAX(0,IF(OR(الموظفون!$AE17="",الموظفون!$AE17&gt;$F$3),$F$3,الموظفون!$AE17)-MAX($E$3,الموظفون!$H17)+1))</f>
        <v>31</v>
      </c>
      <c r="AL17" s="131" t="n">
        <f aca="false">IF($B17="","",SUMIFS('سجل الإجازات والحالات'!$BC$6:$BC$505,'سجل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والحالات'!$AE$6:$AE$505,'سجل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والحالات'!$AQ$6:$AQ$505,'سجل الإجازات والحالات'!$B$6:$B$505,$B18))/cfg_DAYS_Y)</f>
        <v/>
      </c>
      <c r="AI18" s="130" t="str">
        <f aca="false">IF($B18="","",MAX(0,IF(OR(الموظفون!$AE18="",الموظفون!$AE18&gt;($E$3-1)),($E$3-1),الموظفون!$AE18)-الموظفون!$H18+1-SUMIFS('سجل الإجازات والحالات'!$AP$6:$AP$505,'سجل الإجازات والحالات'!$B$6:$B$505,$B18))/cfg_DAYS_Y)</f>
        <v/>
      </c>
      <c r="AJ18" s="57" t="str">
        <f aca="false">IF($B18="","",MAX(0,AK18-(SUMIFS('سجل الإجازات والحالات'!$AQ$6:$AQ$505,'سجل الإجازات والحالات'!$B$6:$B$505,$B18)-SUMIFS('سجل الإجازات والحالات'!$AP$6:$AP$505,'سجل الإجازات والحالات'!$B$6:$B$505,$B18))))</f>
        <v/>
      </c>
      <c r="AK18" s="57" t="str">
        <f aca="false">IF($B18="","",MAX(0,IF(OR(الموظفون!$AE18="",الموظفون!$AE18&gt;$F$3),$F$3,الموظفون!$AE18)-MAX($E$3,الموظفون!$H18)+1))</f>
        <v/>
      </c>
      <c r="AL18" s="126" t="str">
        <f aca="false">IF($B18="","",SUMIFS('سجل الإجازات والحالات'!$BC$6:$BC$505,'سجل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والحالات'!$AE$6:$AE$505,'سجل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والحالات'!$AQ$6:$AQ$505,'سجل الإجازات والحالات'!$B$6:$B$505,$B19))/cfg_DAYS_Y)</f>
        <v/>
      </c>
      <c r="AI19" s="135" t="str">
        <f aca="false">IF($B19="","",MAX(0,IF(OR(الموظفون!$AE19="",الموظفون!$AE19&gt;($E$3-1)),($E$3-1),الموظفون!$AE19)-الموظفون!$H19+1-SUMIFS('سجل الإجازات والحالات'!$AP$6:$AP$505,'سجل الإجازات والحالات'!$B$6:$B$505,$B19))/cfg_DAYS_Y)</f>
        <v/>
      </c>
      <c r="AJ19" s="110" t="str">
        <f aca="false">IF($B19="","",MAX(0,AK19-(SUMIFS('سجل الإجازات والحالات'!$AQ$6:$AQ$505,'سجل الإجازات والحالات'!$B$6:$B$505,$B19)-SUMIFS('سجل الإجازات والحالات'!$AP$6:$AP$505,'سجل الإجازات والحالات'!$B$6:$B$505,$B19))))</f>
        <v/>
      </c>
      <c r="AK19" s="110" t="str">
        <f aca="false">IF($B19="","",MAX(0,IF(OR(الموظفون!$AE19="",الموظفون!$AE19&gt;$F$3),$F$3,الموظفون!$AE19)-MAX($E$3,الموظفون!$H19)+1))</f>
        <v/>
      </c>
      <c r="AL19" s="131" t="str">
        <f aca="false">IF($B19="","",SUMIFS('سجل الإجازات والحالات'!$BC$6:$BC$505,'سجل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والحالات'!$AE$6:$AE$505,'سجل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والحالات'!$AQ$6:$AQ$505,'سجل الإجازات والحالات'!$B$6:$B$505,$B20))/cfg_DAYS_Y)</f>
        <v/>
      </c>
      <c r="AI20" s="130" t="str">
        <f aca="false">IF($B20="","",MAX(0,IF(OR(الموظفون!$AE20="",الموظفون!$AE20&gt;($E$3-1)),($E$3-1),الموظفون!$AE20)-الموظفون!$H20+1-SUMIFS('سجل الإجازات والحالات'!$AP$6:$AP$505,'سجل الإجازات والحالات'!$B$6:$B$505,$B20))/cfg_DAYS_Y)</f>
        <v/>
      </c>
      <c r="AJ20" s="57" t="str">
        <f aca="false">IF($B20="","",MAX(0,AK20-(SUMIFS('سجل الإجازات والحالات'!$AQ$6:$AQ$505,'سجل الإجازات والحالات'!$B$6:$B$505,$B20)-SUMIFS('سجل الإجازات والحالات'!$AP$6:$AP$505,'سجل الإجازات والحالات'!$B$6:$B$505,$B20))))</f>
        <v/>
      </c>
      <c r="AK20" s="57" t="str">
        <f aca="false">IF($B20="","",MAX(0,IF(OR(الموظفون!$AE20="",الموظفون!$AE20&gt;$F$3),$F$3,الموظفون!$AE20)-MAX($E$3,الموظفون!$H20)+1))</f>
        <v/>
      </c>
      <c r="AL20" s="126" t="str">
        <f aca="false">IF($B20="","",SUMIFS('سجل الإجازات والحالات'!$BC$6:$BC$505,'سجل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والحالات'!$AE$6:$AE$505,'سجل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والحالات'!$AQ$6:$AQ$505,'سجل الإجازات والحالات'!$B$6:$B$505,$B21))/cfg_DAYS_Y)</f>
        <v/>
      </c>
      <c r="AI21" s="135" t="str">
        <f aca="false">IF($B21="","",MAX(0,IF(OR(الموظفون!$AE21="",الموظفون!$AE21&gt;($E$3-1)),($E$3-1),الموظفون!$AE21)-الموظفون!$H21+1-SUMIFS('سجل الإجازات والحالات'!$AP$6:$AP$505,'سجل الإجازات والحالات'!$B$6:$B$505,$B21))/cfg_DAYS_Y)</f>
        <v/>
      </c>
      <c r="AJ21" s="110" t="str">
        <f aca="false">IF($B21="","",MAX(0,AK21-(SUMIFS('سجل الإجازات والحالات'!$AQ$6:$AQ$505,'سجل الإجازات والحالات'!$B$6:$B$505,$B21)-SUMIFS('سجل الإجازات والحالات'!$AP$6:$AP$505,'سجل الإجازات والحالات'!$B$6:$B$505,$B21))))</f>
        <v/>
      </c>
      <c r="AK21" s="110" t="str">
        <f aca="false">IF($B21="","",MAX(0,IF(OR(الموظفون!$AE21="",الموظفون!$AE21&gt;$F$3),$F$3,الموظفون!$AE21)-MAX($E$3,الموظفون!$H21)+1))</f>
        <v/>
      </c>
      <c r="AL21" s="131" t="str">
        <f aca="false">IF($B21="","",SUMIFS('سجل الإجازات والحالات'!$BC$6:$BC$505,'سجل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والحالات'!$AE$6:$AE$505,'سجل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والحالات'!$AQ$6:$AQ$505,'سجل الإجازات والحالات'!$B$6:$B$505,$B22))/cfg_DAYS_Y)</f>
        <v/>
      </c>
      <c r="AI22" s="130" t="str">
        <f aca="false">IF($B22="","",MAX(0,IF(OR(الموظفون!$AE22="",الموظفون!$AE22&gt;($E$3-1)),($E$3-1),الموظفون!$AE22)-الموظفون!$H22+1-SUMIFS('سجل الإجازات والحالات'!$AP$6:$AP$505,'سجل الإجازات والحالات'!$B$6:$B$505,$B22))/cfg_DAYS_Y)</f>
        <v/>
      </c>
      <c r="AJ22" s="57" t="str">
        <f aca="false">IF($B22="","",MAX(0,AK22-(SUMIFS('سجل الإجازات والحالات'!$AQ$6:$AQ$505,'سجل الإجازات والحالات'!$B$6:$B$505,$B22)-SUMIFS('سجل الإجازات والحالات'!$AP$6:$AP$505,'سجل الإجازات والحالات'!$B$6:$B$505,$B22))))</f>
        <v/>
      </c>
      <c r="AK22" s="57" t="str">
        <f aca="false">IF($B22="","",MAX(0,IF(OR(الموظفون!$AE22="",الموظفون!$AE22&gt;$F$3),$F$3,الموظفون!$AE22)-MAX($E$3,الموظفون!$H22)+1))</f>
        <v/>
      </c>
      <c r="AL22" s="126" t="str">
        <f aca="false">IF($B22="","",SUMIFS('سجل الإجازات والحالات'!$BC$6:$BC$505,'سجل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والحالات'!$AE$6:$AE$505,'سجل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والحالات'!$AQ$6:$AQ$505,'سجل الإجازات والحالات'!$B$6:$B$505,$B23))/cfg_DAYS_Y)</f>
        <v/>
      </c>
      <c r="AI23" s="135" t="str">
        <f aca="false">IF($B23="","",MAX(0,IF(OR(الموظفون!$AE23="",الموظفون!$AE23&gt;($E$3-1)),($E$3-1),الموظفون!$AE23)-الموظفون!$H23+1-SUMIFS('سجل الإجازات والحالات'!$AP$6:$AP$505,'سجل الإجازات والحالات'!$B$6:$B$505,$B23))/cfg_DAYS_Y)</f>
        <v/>
      </c>
      <c r="AJ23" s="110" t="str">
        <f aca="false">IF($B23="","",MAX(0,AK23-(SUMIFS('سجل الإجازات والحالات'!$AQ$6:$AQ$505,'سجل الإجازات والحالات'!$B$6:$B$505,$B23)-SUMIFS('سجل الإجازات والحالات'!$AP$6:$AP$505,'سجل الإجازات والحالات'!$B$6:$B$505,$B23))))</f>
        <v/>
      </c>
      <c r="AK23" s="110" t="str">
        <f aca="false">IF($B23="","",MAX(0,IF(OR(الموظفون!$AE23="",الموظفون!$AE23&gt;$F$3),$F$3,الموظفون!$AE23)-MAX($E$3,الموظفون!$H23)+1))</f>
        <v/>
      </c>
      <c r="AL23" s="131" t="str">
        <f aca="false">IF($B23="","",SUMIFS('سجل الإجازات والحالات'!$BC$6:$BC$505,'سجل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والحالات'!$AE$6:$AE$505,'سجل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والحالات'!$AQ$6:$AQ$505,'سجل الإجازات والحالات'!$B$6:$B$505,$B24))/cfg_DAYS_Y)</f>
        <v/>
      </c>
      <c r="AI24" s="130" t="str">
        <f aca="false">IF($B24="","",MAX(0,IF(OR(الموظفون!$AE24="",الموظفون!$AE24&gt;($E$3-1)),($E$3-1),الموظفون!$AE24)-الموظفون!$H24+1-SUMIFS('سجل الإجازات والحالات'!$AP$6:$AP$505,'سجل الإجازات والحالات'!$B$6:$B$505,$B24))/cfg_DAYS_Y)</f>
        <v/>
      </c>
      <c r="AJ24" s="57" t="str">
        <f aca="false">IF($B24="","",MAX(0,AK24-(SUMIFS('سجل الإجازات والحالات'!$AQ$6:$AQ$505,'سجل الإجازات والحالات'!$B$6:$B$505,$B24)-SUMIFS('سجل الإجازات والحالات'!$AP$6:$AP$505,'سجل الإجازات والحالات'!$B$6:$B$505,$B24))))</f>
        <v/>
      </c>
      <c r="AK24" s="57" t="str">
        <f aca="false">IF($B24="","",MAX(0,IF(OR(الموظفون!$AE24="",الموظفون!$AE24&gt;$F$3),$F$3,الموظفون!$AE24)-MAX($E$3,الموظفون!$H24)+1))</f>
        <v/>
      </c>
      <c r="AL24" s="126" t="str">
        <f aca="false">IF($B24="","",SUMIFS('سجل الإجازات والحالات'!$BC$6:$BC$505,'سجل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والحالات'!$AE$6:$AE$505,'سجل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والحالات'!$AQ$6:$AQ$505,'سجل الإجازات والحالات'!$B$6:$B$505,$B25))/cfg_DAYS_Y)</f>
        <v/>
      </c>
      <c r="AI25" s="135" t="str">
        <f aca="false">IF($B25="","",MAX(0,IF(OR(الموظفون!$AE25="",الموظفون!$AE25&gt;($E$3-1)),($E$3-1),الموظفون!$AE25)-الموظفون!$H25+1-SUMIFS('سجل الإجازات والحالات'!$AP$6:$AP$505,'سجل الإجازات والحالات'!$B$6:$B$505,$B25))/cfg_DAYS_Y)</f>
        <v/>
      </c>
      <c r="AJ25" s="110" t="str">
        <f aca="false">IF($B25="","",MAX(0,AK25-(SUMIFS('سجل الإجازات والحالات'!$AQ$6:$AQ$505,'سجل الإجازات والحالات'!$B$6:$B$505,$B25)-SUMIFS('سجل الإجازات والحالات'!$AP$6:$AP$505,'سجل الإجازات والحالات'!$B$6:$B$505,$B25))))</f>
        <v/>
      </c>
      <c r="AK25" s="110" t="str">
        <f aca="false">IF($B25="","",MAX(0,IF(OR(الموظفون!$AE25="",الموظفون!$AE25&gt;$F$3),$F$3,الموظفون!$AE25)-MAX($E$3,الموظفون!$H25)+1))</f>
        <v/>
      </c>
      <c r="AL25" s="131" t="str">
        <f aca="false">IF($B25="","",SUMIFS('سجل الإجازات والحالات'!$BC$6:$BC$505,'سجل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والحالات'!$AE$6:$AE$505,'سجل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والحالات'!$AQ$6:$AQ$505,'سجل الإجازات والحالات'!$B$6:$B$505,$B26))/cfg_DAYS_Y)</f>
        <v/>
      </c>
      <c r="AI26" s="130" t="str">
        <f aca="false">IF($B26="","",MAX(0,IF(OR(الموظفون!$AE26="",الموظفون!$AE26&gt;($E$3-1)),($E$3-1),الموظفون!$AE26)-الموظفون!$H26+1-SUMIFS('سجل الإجازات والحالات'!$AP$6:$AP$505,'سجل الإجازات والحالات'!$B$6:$B$505,$B26))/cfg_DAYS_Y)</f>
        <v/>
      </c>
      <c r="AJ26" s="57" t="str">
        <f aca="false">IF($B26="","",MAX(0,AK26-(SUMIFS('سجل الإجازات والحالات'!$AQ$6:$AQ$505,'سجل الإجازات والحالات'!$B$6:$B$505,$B26)-SUMIFS('سجل الإجازات والحالات'!$AP$6:$AP$505,'سجل الإجازات والحالات'!$B$6:$B$505,$B26))))</f>
        <v/>
      </c>
      <c r="AK26" s="57" t="str">
        <f aca="false">IF($B26="","",MAX(0,IF(OR(الموظفون!$AE26="",الموظفون!$AE26&gt;$F$3),$F$3,الموظفون!$AE26)-MAX($E$3,الموظفون!$H26)+1))</f>
        <v/>
      </c>
      <c r="AL26" s="126" t="str">
        <f aca="false">IF($B26="","",SUMIFS('سجل الإجازات والحالات'!$BC$6:$BC$505,'سجل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والحالات'!$AE$6:$AE$505,'سجل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والحالات'!$AQ$6:$AQ$505,'سجل الإجازات والحالات'!$B$6:$B$505,$B27))/cfg_DAYS_Y)</f>
        <v/>
      </c>
      <c r="AI27" s="135" t="str">
        <f aca="false">IF($B27="","",MAX(0,IF(OR(الموظفون!$AE27="",الموظفون!$AE27&gt;($E$3-1)),($E$3-1),الموظفون!$AE27)-الموظفون!$H27+1-SUMIFS('سجل الإجازات والحالات'!$AP$6:$AP$505,'سجل الإجازات والحالات'!$B$6:$B$505,$B27))/cfg_DAYS_Y)</f>
        <v/>
      </c>
      <c r="AJ27" s="110" t="str">
        <f aca="false">IF($B27="","",MAX(0,AK27-(SUMIFS('سجل الإجازات والحالات'!$AQ$6:$AQ$505,'سجل الإجازات والحالات'!$B$6:$B$505,$B27)-SUMIFS('سجل الإجازات والحالات'!$AP$6:$AP$505,'سجل الإجازات والحالات'!$B$6:$B$505,$B27))))</f>
        <v/>
      </c>
      <c r="AK27" s="110" t="str">
        <f aca="false">IF($B27="","",MAX(0,IF(OR(الموظفون!$AE27="",الموظفون!$AE27&gt;$F$3),$F$3,الموظفون!$AE27)-MAX($E$3,الموظفون!$H27)+1))</f>
        <v/>
      </c>
      <c r="AL27" s="131" t="str">
        <f aca="false">IF($B27="","",SUMIFS('سجل الإجازات والحالات'!$BC$6:$BC$505,'سجل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والحالات'!$AE$6:$AE$505,'سجل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والحالات'!$AQ$6:$AQ$505,'سجل الإجازات والحالات'!$B$6:$B$505,$B28))/cfg_DAYS_Y)</f>
        <v/>
      </c>
      <c r="AI28" s="130" t="str">
        <f aca="false">IF($B28="","",MAX(0,IF(OR(الموظفون!$AE28="",الموظفون!$AE28&gt;($E$3-1)),($E$3-1),الموظفون!$AE28)-الموظفون!$H28+1-SUMIFS('سجل الإجازات والحالات'!$AP$6:$AP$505,'سجل الإجازات والحالات'!$B$6:$B$505,$B28))/cfg_DAYS_Y)</f>
        <v/>
      </c>
      <c r="AJ28" s="57" t="str">
        <f aca="false">IF($B28="","",MAX(0,AK28-(SUMIFS('سجل الإجازات والحالات'!$AQ$6:$AQ$505,'سجل الإجازات والحالات'!$B$6:$B$505,$B28)-SUMIFS('سجل الإجازات والحالات'!$AP$6:$AP$505,'سجل الإجازات والحالات'!$B$6:$B$505,$B28))))</f>
        <v/>
      </c>
      <c r="AK28" s="57" t="str">
        <f aca="false">IF($B28="","",MAX(0,IF(OR(الموظفون!$AE28="",الموظفون!$AE28&gt;$F$3),$F$3,الموظفون!$AE28)-MAX($E$3,الموظفون!$H28)+1))</f>
        <v/>
      </c>
      <c r="AL28" s="126" t="str">
        <f aca="false">IF($B28="","",SUMIFS('سجل الإجازات والحالات'!$BC$6:$BC$505,'سجل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والحالات'!$AE$6:$AE$505,'سجل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والحالات'!$AQ$6:$AQ$505,'سجل الإجازات والحالات'!$B$6:$B$505,$B29))/cfg_DAYS_Y)</f>
        <v/>
      </c>
      <c r="AI29" s="135" t="str">
        <f aca="false">IF($B29="","",MAX(0,IF(OR(الموظفون!$AE29="",الموظفون!$AE29&gt;($E$3-1)),($E$3-1),الموظفون!$AE29)-الموظفون!$H29+1-SUMIFS('سجل الإجازات والحالات'!$AP$6:$AP$505,'سجل الإجازات والحالات'!$B$6:$B$505,$B29))/cfg_DAYS_Y)</f>
        <v/>
      </c>
      <c r="AJ29" s="110" t="str">
        <f aca="false">IF($B29="","",MAX(0,AK29-(SUMIFS('سجل الإجازات والحالات'!$AQ$6:$AQ$505,'سجل الإجازات والحالات'!$B$6:$B$505,$B29)-SUMIFS('سجل الإجازات والحالات'!$AP$6:$AP$505,'سجل الإجازات والحالات'!$B$6:$B$505,$B29))))</f>
        <v/>
      </c>
      <c r="AK29" s="110" t="str">
        <f aca="false">IF($B29="","",MAX(0,IF(OR(الموظفون!$AE29="",الموظفون!$AE29&gt;$F$3),$F$3,الموظفون!$AE29)-MAX($E$3,الموظفون!$H29)+1))</f>
        <v/>
      </c>
      <c r="AL29" s="131" t="str">
        <f aca="false">IF($B29="","",SUMIFS('سجل الإجازات والحالات'!$BC$6:$BC$505,'سجل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والحالات'!$AE$6:$AE$505,'سجل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والحالات'!$AQ$6:$AQ$505,'سجل الإجازات والحالات'!$B$6:$B$505,$B30))/cfg_DAYS_Y)</f>
        <v/>
      </c>
      <c r="AI30" s="130" t="str">
        <f aca="false">IF($B30="","",MAX(0,IF(OR(الموظفون!$AE30="",الموظفون!$AE30&gt;($E$3-1)),($E$3-1),الموظفون!$AE30)-الموظفون!$H30+1-SUMIFS('سجل الإجازات والحالات'!$AP$6:$AP$505,'سجل الإجازات والحالات'!$B$6:$B$505,$B30))/cfg_DAYS_Y)</f>
        <v/>
      </c>
      <c r="AJ30" s="57" t="str">
        <f aca="false">IF($B30="","",MAX(0,AK30-(SUMIFS('سجل الإجازات والحالات'!$AQ$6:$AQ$505,'سجل الإجازات والحالات'!$B$6:$B$505,$B30)-SUMIFS('سجل الإجازات والحالات'!$AP$6:$AP$505,'سجل الإجازات والحالات'!$B$6:$B$505,$B30))))</f>
        <v/>
      </c>
      <c r="AK30" s="57" t="str">
        <f aca="false">IF($B30="","",MAX(0,IF(OR(الموظفون!$AE30="",الموظفون!$AE30&gt;$F$3),$F$3,الموظفون!$AE30)-MAX($E$3,الموظفون!$H30)+1))</f>
        <v/>
      </c>
      <c r="AL30" s="126" t="str">
        <f aca="false">IF($B30="","",SUMIFS('سجل الإجازات والحالات'!$BC$6:$BC$505,'سجل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والحالات'!$AE$6:$AE$505,'سجل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والحالات'!$AQ$6:$AQ$505,'سجل الإجازات والحالات'!$B$6:$B$505,$B31))/cfg_DAYS_Y)</f>
        <v/>
      </c>
      <c r="AI31" s="135" t="str">
        <f aca="false">IF($B31="","",MAX(0,IF(OR(الموظفون!$AE31="",الموظفون!$AE31&gt;($E$3-1)),($E$3-1),الموظفون!$AE31)-الموظفون!$H31+1-SUMIFS('سجل الإجازات والحالات'!$AP$6:$AP$505,'سجل الإجازات والحالات'!$B$6:$B$505,$B31))/cfg_DAYS_Y)</f>
        <v/>
      </c>
      <c r="AJ31" s="110" t="str">
        <f aca="false">IF($B31="","",MAX(0,AK31-(SUMIFS('سجل الإجازات والحالات'!$AQ$6:$AQ$505,'سجل الإجازات والحالات'!$B$6:$B$505,$B31)-SUMIFS('سجل الإجازات والحالات'!$AP$6:$AP$505,'سجل الإجازات والحالات'!$B$6:$B$505,$B31))))</f>
        <v/>
      </c>
      <c r="AK31" s="110" t="str">
        <f aca="false">IF($B31="","",MAX(0,IF(OR(الموظفون!$AE31="",الموظفون!$AE31&gt;$F$3),$F$3,الموظفون!$AE31)-MAX($E$3,الموظفون!$H31)+1))</f>
        <v/>
      </c>
      <c r="AL31" s="131" t="str">
        <f aca="false">IF($B31="","",SUMIFS('سجل الإجازات والحالات'!$BC$6:$BC$505,'سجل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والحالات'!$AE$6:$AE$505,'سجل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والحالات'!$AQ$6:$AQ$505,'سجل الإجازات والحالات'!$B$6:$B$505,$B32))/cfg_DAYS_Y)</f>
        <v/>
      </c>
      <c r="AI32" s="130" t="str">
        <f aca="false">IF($B32="","",MAX(0,IF(OR(الموظفون!$AE32="",الموظفون!$AE32&gt;($E$3-1)),($E$3-1),الموظفون!$AE32)-الموظفون!$H32+1-SUMIFS('سجل الإجازات والحالات'!$AP$6:$AP$505,'سجل الإجازات والحالات'!$B$6:$B$505,$B32))/cfg_DAYS_Y)</f>
        <v/>
      </c>
      <c r="AJ32" s="57" t="str">
        <f aca="false">IF($B32="","",MAX(0,AK32-(SUMIFS('سجل الإجازات والحالات'!$AQ$6:$AQ$505,'سجل الإجازات والحالات'!$B$6:$B$505,$B32)-SUMIFS('سجل الإجازات والحالات'!$AP$6:$AP$505,'سجل الإجازات والحالات'!$B$6:$B$505,$B32))))</f>
        <v/>
      </c>
      <c r="AK32" s="57" t="str">
        <f aca="false">IF($B32="","",MAX(0,IF(OR(الموظفون!$AE32="",الموظفون!$AE32&gt;$F$3),$F$3,الموظفون!$AE32)-MAX($E$3,الموظفون!$H32)+1))</f>
        <v/>
      </c>
      <c r="AL32" s="126" t="str">
        <f aca="false">IF($B32="","",SUMIFS('سجل الإجازات والحالات'!$BC$6:$BC$505,'سجل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والحالات'!$AE$6:$AE$505,'سجل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والحالات'!$AQ$6:$AQ$505,'سجل الإجازات والحالات'!$B$6:$B$505,$B33))/cfg_DAYS_Y)</f>
        <v/>
      </c>
      <c r="AI33" s="135" t="str">
        <f aca="false">IF($B33="","",MAX(0,IF(OR(الموظفون!$AE33="",الموظفون!$AE33&gt;($E$3-1)),($E$3-1),الموظفون!$AE33)-الموظفون!$H33+1-SUMIFS('سجل الإجازات والحالات'!$AP$6:$AP$505,'سجل الإجازات والحالات'!$B$6:$B$505,$B33))/cfg_DAYS_Y)</f>
        <v/>
      </c>
      <c r="AJ33" s="110" t="str">
        <f aca="false">IF($B33="","",MAX(0,AK33-(SUMIFS('سجل الإجازات والحالات'!$AQ$6:$AQ$505,'سجل الإجازات والحالات'!$B$6:$B$505,$B33)-SUMIFS('سجل الإجازات والحالات'!$AP$6:$AP$505,'سجل الإجازات والحالات'!$B$6:$B$505,$B33))))</f>
        <v/>
      </c>
      <c r="AK33" s="110" t="str">
        <f aca="false">IF($B33="","",MAX(0,IF(OR(الموظفون!$AE33="",الموظفون!$AE33&gt;$F$3),$F$3,الموظفون!$AE33)-MAX($E$3,الموظفون!$H33)+1))</f>
        <v/>
      </c>
      <c r="AL33" s="131" t="str">
        <f aca="false">IF($B33="","",SUMIFS('سجل الإجازات والحالات'!$BC$6:$BC$505,'سجل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والحالات'!$AE$6:$AE$505,'سجل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والحالات'!$AQ$6:$AQ$505,'سجل الإجازات والحالات'!$B$6:$B$505,$B34))/cfg_DAYS_Y)</f>
        <v/>
      </c>
      <c r="AI34" s="130" t="str">
        <f aca="false">IF($B34="","",MAX(0,IF(OR(الموظفون!$AE34="",الموظفون!$AE34&gt;($E$3-1)),($E$3-1),الموظفون!$AE34)-الموظفون!$H34+1-SUMIFS('سجل الإجازات والحالات'!$AP$6:$AP$505,'سجل الإجازات والحالات'!$B$6:$B$505,$B34))/cfg_DAYS_Y)</f>
        <v/>
      </c>
      <c r="AJ34" s="57" t="str">
        <f aca="false">IF($B34="","",MAX(0,AK34-(SUMIFS('سجل الإجازات والحالات'!$AQ$6:$AQ$505,'سجل الإجازات والحالات'!$B$6:$B$505,$B34)-SUMIFS('سجل الإجازات والحالات'!$AP$6:$AP$505,'سجل الإجازات والحالات'!$B$6:$B$505,$B34))))</f>
        <v/>
      </c>
      <c r="AK34" s="57" t="str">
        <f aca="false">IF($B34="","",MAX(0,IF(OR(الموظفون!$AE34="",الموظفون!$AE34&gt;$F$3),$F$3,الموظفون!$AE34)-MAX($E$3,الموظفون!$H34)+1))</f>
        <v/>
      </c>
      <c r="AL34" s="126" t="str">
        <f aca="false">IF($B34="","",SUMIFS('سجل الإجازات والحالات'!$BC$6:$BC$505,'سجل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والحالات'!$AE$6:$AE$505,'سجل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والحالات'!$AQ$6:$AQ$505,'سجل الإجازات والحالات'!$B$6:$B$505,$B35))/cfg_DAYS_Y)</f>
        <v/>
      </c>
      <c r="AI35" s="135" t="str">
        <f aca="false">IF($B35="","",MAX(0,IF(OR(الموظفون!$AE35="",الموظفون!$AE35&gt;($E$3-1)),($E$3-1),الموظفون!$AE35)-الموظفون!$H35+1-SUMIFS('سجل الإجازات والحالات'!$AP$6:$AP$505,'سجل الإجازات والحالات'!$B$6:$B$505,$B35))/cfg_DAYS_Y)</f>
        <v/>
      </c>
      <c r="AJ35" s="110" t="str">
        <f aca="false">IF($B35="","",MAX(0,AK35-(SUMIFS('سجل الإجازات والحالات'!$AQ$6:$AQ$505,'سجل الإجازات والحالات'!$B$6:$B$505,$B35)-SUMIFS('سجل الإجازات والحالات'!$AP$6:$AP$505,'سجل الإجازات والحالات'!$B$6:$B$505,$B35))))</f>
        <v/>
      </c>
      <c r="AK35" s="110" t="str">
        <f aca="false">IF($B35="","",MAX(0,IF(OR(الموظفون!$AE35="",الموظفون!$AE35&gt;$F$3),$F$3,الموظفون!$AE35)-MAX($E$3,الموظفون!$H35)+1))</f>
        <v/>
      </c>
      <c r="AL35" s="131" t="str">
        <f aca="false">IF($B35="","",SUMIFS('سجل الإجازات والحالات'!$BC$6:$BC$505,'سجل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والحالات'!$AE$6:$AE$505,'سجل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والحالات'!$AQ$6:$AQ$505,'سجل الإجازات والحالات'!$B$6:$B$505,$B36))/cfg_DAYS_Y)</f>
        <v/>
      </c>
      <c r="AI36" s="130" t="str">
        <f aca="false">IF($B36="","",MAX(0,IF(OR(الموظفون!$AE36="",الموظفون!$AE36&gt;($E$3-1)),($E$3-1),الموظفون!$AE36)-الموظفون!$H36+1-SUMIFS('سجل الإجازات والحالات'!$AP$6:$AP$505,'سجل الإجازات والحالات'!$B$6:$B$505,$B36))/cfg_DAYS_Y)</f>
        <v/>
      </c>
      <c r="AJ36" s="57" t="str">
        <f aca="false">IF($B36="","",MAX(0,AK36-(SUMIFS('سجل الإجازات والحالات'!$AQ$6:$AQ$505,'سجل الإجازات والحالات'!$B$6:$B$505,$B36)-SUMIFS('سجل الإجازات والحالات'!$AP$6:$AP$505,'سجل الإجازات والحالات'!$B$6:$B$505,$B36))))</f>
        <v/>
      </c>
      <c r="AK36" s="57" t="str">
        <f aca="false">IF($B36="","",MAX(0,IF(OR(الموظفون!$AE36="",الموظفون!$AE36&gt;$F$3),$F$3,الموظفون!$AE36)-MAX($E$3,الموظفون!$H36)+1))</f>
        <v/>
      </c>
      <c r="AL36" s="126" t="str">
        <f aca="false">IF($B36="","",SUMIFS('سجل الإجازات والحالات'!$BC$6:$BC$505,'سجل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والحالات'!$AE$6:$AE$505,'سجل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والحالات'!$AQ$6:$AQ$505,'سجل الإجازات والحالات'!$B$6:$B$505,$B37))/cfg_DAYS_Y)</f>
        <v/>
      </c>
      <c r="AI37" s="135" t="str">
        <f aca="false">IF($B37="","",MAX(0,IF(OR(الموظفون!$AE37="",الموظفون!$AE37&gt;($E$3-1)),($E$3-1),الموظفون!$AE37)-الموظفون!$H37+1-SUMIFS('سجل الإجازات والحالات'!$AP$6:$AP$505,'سجل الإجازات والحالات'!$B$6:$B$505,$B37))/cfg_DAYS_Y)</f>
        <v/>
      </c>
      <c r="AJ37" s="110" t="str">
        <f aca="false">IF($B37="","",MAX(0,AK37-(SUMIFS('سجل الإجازات والحالات'!$AQ$6:$AQ$505,'سجل الإجازات والحالات'!$B$6:$B$505,$B37)-SUMIFS('سجل الإجازات والحالات'!$AP$6:$AP$505,'سجل الإجازات والحالات'!$B$6:$B$505,$B37))))</f>
        <v/>
      </c>
      <c r="AK37" s="110" t="str">
        <f aca="false">IF($B37="","",MAX(0,IF(OR(الموظفون!$AE37="",الموظفون!$AE37&gt;$F$3),$F$3,الموظفون!$AE37)-MAX($E$3,الموظفون!$H37)+1))</f>
        <v/>
      </c>
      <c r="AL37" s="131" t="str">
        <f aca="false">IF($B37="","",SUMIFS('سجل الإجازات والحالات'!$BC$6:$BC$505,'سجل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والحالات'!$AE$6:$AE$505,'سجل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والحالات'!$AQ$6:$AQ$505,'سجل الإجازات والحالات'!$B$6:$B$505,$B38))/cfg_DAYS_Y)</f>
        <v/>
      </c>
      <c r="AI38" s="130" t="str">
        <f aca="false">IF($B38="","",MAX(0,IF(OR(الموظفون!$AE38="",الموظفون!$AE38&gt;($E$3-1)),($E$3-1),الموظفون!$AE38)-الموظفون!$H38+1-SUMIFS('سجل الإجازات والحالات'!$AP$6:$AP$505,'سجل الإجازات والحالات'!$B$6:$B$505,$B38))/cfg_DAYS_Y)</f>
        <v/>
      </c>
      <c r="AJ38" s="57" t="str">
        <f aca="false">IF($B38="","",MAX(0,AK38-(SUMIFS('سجل الإجازات والحالات'!$AQ$6:$AQ$505,'سجل الإجازات والحالات'!$B$6:$B$505,$B38)-SUMIFS('سجل الإجازات والحالات'!$AP$6:$AP$505,'سجل الإجازات والحالات'!$B$6:$B$505,$B38))))</f>
        <v/>
      </c>
      <c r="AK38" s="57" t="str">
        <f aca="false">IF($B38="","",MAX(0,IF(OR(الموظفون!$AE38="",الموظفون!$AE38&gt;$F$3),$F$3,الموظفون!$AE38)-MAX($E$3,الموظفون!$H38)+1))</f>
        <v/>
      </c>
      <c r="AL38" s="126" t="str">
        <f aca="false">IF($B38="","",SUMIFS('سجل الإجازات والحالات'!$BC$6:$BC$505,'سجل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والحالات'!$AE$6:$AE$505,'سجل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والحالات'!$AQ$6:$AQ$505,'سجل الإجازات والحالات'!$B$6:$B$505,$B39))/cfg_DAYS_Y)</f>
        <v/>
      </c>
      <c r="AI39" s="135" t="str">
        <f aca="false">IF($B39="","",MAX(0,IF(OR(الموظفون!$AE39="",الموظفون!$AE39&gt;($E$3-1)),($E$3-1),الموظفون!$AE39)-الموظفون!$H39+1-SUMIFS('سجل الإجازات والحالات'!$AP$6:$AP$505,'سجل الإجازات والحالات'!$B$6:$B$505,$B39))/cfg_DAYS_Y)</f>
        <v/>
      </c>
      <c r="AJ39" s="110" t="str">
        <f aca="false">IF($B39="","",MAX(0,AK39-(SUMIFS('سجل الإجازات والحالات'!$AQ$6:$AQ$505,'سجل الإجازات والحالات'!$B$6:$B$505,$B39)-SUMIFS('سجل الإجازات والحالات'!$AP$6:$AP$505,'سجل الإجازات والحالات'!$B$6:$B$505,$B39))))</f>
        <v/>
      </c>
      <c r="AK39" s="110" t="str">
        <f aca="false">IF($B39="","",MAX(0,IF(OR(الموظفون!$AE39="",الموظفون!$AE39&gt;$F$3),$F$3,الموظفون!$AE39)-MAX($E$3,الموظفون!$H39)+1))</f>
        <v/>
      </c>
      <c r="AL39" s="131" t="str">
        <f aca="false">IF($B39="","",SUMIFS('سجل الإجازات والحالات'!$BC$6:$BC$505,'سجل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والحالات'!$AE$6:$AE$505,'سجل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والحالات'!$AQ$6:$AQ$505,'سجل الإجازات والحالات'!$B$6:$B$505,$B40))/cfg_DAYS_Y)</f>
        <v/>
      </c>
      <c r="AI40" s="130" t="str">
        <f aca="false">IF($B40="","",MAX(0,IF(OR(الموظفون!$AE40="",الموظفون!$AE40&gt;($E$3-1)),($E$3-1),الموظفون!$AE40)-الموظفون!$H40+1-SUMIFS('سجل الإجازات والحالات'!$AP$6:$AP$505,'سجل الإجازات والحالات'!$B$6:$B$505,$B40))/cfg_DAYS_Y)</f>
        <v/>
      </c>
      <c r="AJ40" s="57" t="str">
        <f aca="false">IF($B40="","",MAX(0,AK40-(SUMIFS('سجل الإجازات والحالات'!$AQ$6:$AQ$505,'سجل الإجازات والحالات'!$B$6:$B$505,$B40)-SUMIFS('سجل الإجازات والحالات'!$AP$6:$AP$505,'سجل الإجازات والحالات'!$B$6:$B$505,$B40))))</f>
        <v/>
      </c>
      <c r="AK40" s="57" t="str">
        <f aca="false">IF($B40="","",MAX(0,IF(OR(الموظفون!$AE40="",الموظفون!$AE40&gt;$F$3),$F$3,الموظفون!$AE40)-MAX($E$3,الموظفون!$H40)+1))</f>
        <v/>
      </c>
      <c r="AL40" s="126" t="str">
        <f aca="false">IF($B40="","",SUMIFS('سجل الإجازات والحالات'!$BC$6:$BC$505,'سجل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والحالات'!$AE$6:$AE$505,'سجل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والحالات'!$AQ$6:$AQ$505,'سجل الإجازات والحالات'!$B$6:$B$505,$B41))/cfg_DAYS_Y)</f>
        <v/>
      </c>
      <c r="AI41" s="135" t="str">
        <f aca="false">IF($B41="","",MAX(0,IF(OR(الموظفون!$AE41="",الموظفون!$AE41&gt;($E$3-1)),($E$3-1),الموظفون!$AE41)-الموظفون!$H41+1-SUMIFS('سجل الإجازات والحالات'!$AP$6:$AP$505,'سجل الإجازات والحالات'!$B$6:$B$505,$B41))/cfg_DAYS_Y)</f>
        <v/>
      </c>
      <c r="AJ41" s="110" t="str">
        <f aca="false">IF($B41="","",MAX(0,AK41-(SUMIFS('سجل الإجازات والحالات'!$AQ$6:$AQ$505,'سجل الإجازات والحالات'!$B$6:$B$505,$B41)-SUMIFS('سجل الإجازات والحالات'!$AP$6:$AP$505,'سجل الإجازات والحالات'!$B$6:$B$505,$B41))))</f>
        <v/>
      </c>
      <c r="AK41" s="110" t="str">
        <f aca="false">IF($B41="","",MAX(0,IF(OR(الموظفون!$AE41="",الموظفون!$AE41&gt;$F$3),$F$3,الموظفون!$AE41)-MAX($E$3,الموظفون!$H41)+1))</f>
        <v/>
      </c>
      <c r="AL41" s="131" t="str">
        <f aca="false">IF($B41="","",SUMIFS('سجل الإجازات والحالات'!$BC$6:$BC$505,'سجل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والحالات'!$AE$6:$AE$505,'سجل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والحالات'!$AQ$6:$AQ$505,'سجل الإجازات والحالات'!$B$6:$B$505,$B42))/cfg_DAYS_Y)</f>
        <v/>
      </c>
      <c r="AI42" s="130" t="str">
        <f aca="false">IF($B42="","",MAX(0,IF(OR(الموظفون!$AE42="",الموظفون!$AE42&gt;($E$3-1)),($E$3-1),الموظفون!$AE42)-الموظفون!$H42+1-SUMIFS('سجل الإجازات والحالات'!$AP$6:$AP$505,'سجل الإجازات والحالات'!$B$6:$B$505,$B42))/cfg_DAYS_Y)</f>
        <v/>
      </c>
      <c r="AJ42" s="57" t="str">
        <f aca="false">IF($B42="","",MAX(0,AK42-(SUMIFS('سجل الإجازات والحالات'!$AQ$6:$AQ$505,'سجل الإجازات والحالات'!$B$6:$B$505,$B42)-SUMIFS('سجل الإجازات والحالات'!$AP$6:$AP$505,'سجل الإجازات والحالات'!$B$6:$B$505,$B42))))</f>
        <v/>
      </c>
      <c r="AK42" s="57" t="str">
        <f aca="false">IF($B42="","",MAX(0,IF(OR(الموظفون!$AE42="",الموظفون!$AE42&gt;$F$3),$F$3,الموظفون!$AE42)-MAX($E$3,الموظفون!$H42)+1))</f>
        <v/>
      </c>
      <c r="AL42" s="126" t="str">
        <f aca="false">IF($B42="","",SUMIFS('سجل الإجازات والحالات'!$BC$6:$BC$505,'سجل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والحالات'!$AE$6:$AE$505,'سجل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والحالات'!$AQ$6:$AQ$505,'سجل الإجازات والحالات'!$B$6:$B$505,$B43))/cfg_DAYS_Y)</f>
        <v/>
      </c>
      <c r="AI43" s="135" t="str">
        <f aca="false">IF($B43="","",MAX(0,IF(OR(الموظفون!$AE43="",الموظفون!$AE43&gt;($E$3-1)),($E$3-1),الموظفون!$AE43)-الموظفون!$H43+1-SUMIFS('سجل الإجازات والحالات'!$AP$6:$AP$505,'سجل الإجازات والحالات'!$B$6:$B$505,$B43))/cfg_DAYS_Y)</f>
        <v/>
      </c>
      <c r="AJ43" s="110" t="str">
        <f aca="false">IF($B43="","",MAX(0,AK43-(SUMIFS('سجل الإجازات والحالات'!$AQ$6:$AQ$505,'سجل الإجازات والحالات'!$B$6:$B$505,$B43)-SUMIFS('سجل الإجازات والحالات'!$AP$6:$AP$505,'سجل الإجازات والحالات'!$B$6:$B$505,$B43))))</f>
        <v/>
      </c>
      <c r="AK43" s="110" t="str">
        <f aca="false">IF($B43="","",MAX(0,IF(OR(الموظفون!$AE43="",الموظفون!$AE43&gt;$F$3),$F$3,الموظفون!$AE43)-MAX($E$3,الموظفون!$H43)+1))</f>
        <v/>
      </c>
      <c r="AL43" s="131" t="str">
        <f aca="false">IF($B43="","",SUMIFS('سجل الإجازات والحالات'!$BC$6:$BC$505,'سجل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والحالات'!$AE$6:$AE$505,'سجل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والحالات'!$AQ$6:$AQ$505,'سجل الإجازات والحالات'!$B$6:$B$505,$B44))/cfg_DAYS_Y)</f>
        <v/>
      </c>
      <c r="AI44" s="130" t="str">
        <f aca="false">IF($B44="","",MAX(0,IF(OR(الموظفون!$AE44="",الموظفون!$AE44&gt;($E$3-1)),($E$3-1),الموظفون!$AE44)-الموظفون!$H44+1-SUMIFS('سجل الإجازات والحالات'!$AP$6:$AP$505,'سجل الإجازات والحالات'!$B$6:$B$505,$B44))/cfg_DAYS_Y)</f>
        <v/>
      </c>
      <c r="AJ44" s="57" t="str">
        <f aca="false">IF($B44="","",MAX(0,AK44-(SUMIFS('سجل الإجازات والحالات'!$AQ$6:$AQ$505,'سجل الإجازات والحالات'!$B$6:$B$505,$B44)-SUMIFS('سجل الإجازات والحالات'!$AP$6:$AP$505,'سجل الإجازات والحالات'!$B$6:$B$505,$B44))))</f>
        <v/>
      </c>
      <c r="AK44" s="57" t="str">
        <f aca="false">IF($B44="","",MAX(0,IF(OR(الموظفون!$AE44="",الموظفون!$AE44&gt;$F$3),$F$3,الموظفون!$AE44)-MAX($E$3,الموظفون!$H44)+1))</f>
        <v/>
      </c>
      <c r="AL44" s="126" t="str">
        <f aca="false">IF($B44="","",SUMIFS('سجل الإجازات والحالات'!$BC$6:$BC$505,'سجل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والحالات'!$AE$6:$AE$505,'سجل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والحالات'!$AQ$6:$AQ$505,'سجل الإجازات والحالات'!$B$6:$B$505,$B45))/cfg_DAYS_Y)</f>
        <v/>
      </c>
      <c r="AI45" s="135" t="str">
        <f aca="false">IF($B45="","",MAX(0,IF(OR(الموظفون!$AE45="",الموظفون!$AE45&gt;($E$3-1)),($E$3-1),الموظفون!$AE45)-الموظفون!$H45+1-SUMIFS('سجل الإجازات والحالات'!$AP$6:$AP$505,'سجل الإجازات والحالات'!$B$6:$B$505,$B45))/cfg_DAYS_Y)</f>
        <v/>
      </c>
      <c r="AJ45" s="110" t="str">
        <f aca="false">IF($B45="","",MAX(0,AK45-(SUMIFS('سجل الإجازات والحالات'!$AQ$6:$AQ$505,'سجل الإجازات والحالات'!$B$6:$B$505,$B45)-SUMIFS('سجل الإجازات والحالات'!$AP$6:$AP$505,'سجل الإجازات والحالات'!$B$6:$B$505,$B45))))</f>
        <v/>
      </c>
      <c r="AK45" s="110" t="str">
        <f aca="false">IF($B45="","",MAX(0,IF(OR(الموظفون!$AE45="",الموظفون!$AE45&gt;$F$3),$F$3,الموظفون!$AE45)-MAX($E$3,الموظفون!$H45)+1))</f>
        <v/>
      </c>
      <c r="AL45" s="131" t="str">
        <f aca="false">IF($B45="","",SUMIFS('سجل الإجازات والحالات'!$BC$6:$BC$505,'سجل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والحالات'!$AE$6:$AE$505,'سجل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والحالات'!$AQ$6:$AQ$505,'سجل الإجازات والحالات'!$B$6:$B$505,$B46))/cfg_DAYS_Y)</f>
        <v/>
      </c>
      <c r="AI46" s="130" t="str">
        <f aca="false">IF($B46="","",MAX(0,IF(OR(الموظفون!$AE46="",الموظفون!$AE46&gt;($E$3-1)),($E$3-1),الموظفون!$AE46)-الموظفون!$H46+1-SUMIFS('سجل الإجازات والحالات'!$AP$6:$AP$505,'سجل الإجازات والحالات'!$B$6:$B$505,$B46))/cfg_DAYS_Y)</f>
        <v/>
      </c>
      <c r="AJ46" s="57" t="str">
        <f aca="false">IF($B46="","",MAX(0,AK46-(SUMIFS('سجل الإجازات والحالات'!$AQ$6:$AQ$505,'سجل الإجازات والحالات'!$B$6:$B$505,$B46)-SUMIFS('سجل الإجازات والحالات'!$AP$6:$AP$505,'سجل الإجازات والحالات'!$B$6:$B$505,$B46))))</f>
        <v/>
      </c>
      <c r="AK46" s="57" t="str">
        <f aca="false">IF($B46="","",MAX(0,IF(OR(الموظفون!$AE46="",الموظفون!$AE46&gt;$F$3),$F$3,الموظفون!$AE46)-MAX($E$3,الموظفون!$H46)+1))</f>
        <v/>
      </c>
      <c r="AL46" s="126" t="str">
        <f aca="false">IF($B46="","",SUMIFS('سجل الإجازات والحالات'!$BC$6:$BC$505,'سجل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والحالات'!$AE$6:$AE$505,'سجل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والحالات'!$AQ$6:$AQ$505,'سجل الإجازات والحالات'!$B$6:$B$505,$B47))/cfg_DAYS_Y)</f>
        <v/>
      </c>
      <c r="AI47" s="135" t="str">
        <f aca="false">IF($B47="","",MAX(0,IF(OR(الموظفون!$AE47="",الموظفون!$AE47&gt;($E$3-1)),($E$3-1),الموظفون!$AE47)-الموظفون!$H47+1-SUMIFS('سجل الإجازات والحالات'!$AP$6:$AP$505,'سجل الإجازات والحالات'!$B$6:$B$505,$B47))/cfg_DAYS_Y)</f>
        <v/>
      </c>
      <c r="AJ47" s="110" t="str">
        <f aca="false">IF($B47="","",MAX(0,AK47-(SUMIFS('سجل الإجازات والحالات'!$AQ$6:$AQ$505,'سجل الإجازات والحالات'!$B$6:$B$505,$B47)-SUMIFS('سجل الإجازات والحالات'!$AP$6:$AP$505,'سجل الإجازات والحالات'!$B$6:$B$505,$B47))))</f>
        <v/>
      </c>
      <c r="AK47" s="110" t="str">
        <f aca="false">IF($B47="","",MAX(0,IF(OR(الموظفون!$AE47="",الموظفون!$AE47&gt;$F$3),$F$3,الموظفون!$AE47)-MAX($E$3,الموظفون!$H47)+1))</f>
        <v/>
      </c>
      <c r="AL47" s="131" t="str">
        <f aca="false">IF($B47="","",SUMIFS('سجل الإجازات والحالات'!$BC$6:$BC$505,'سجل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والحالات'!$AE$6:$AE$505,'سجل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والحالات'!$AQ$6:$AQ$505,'سجل الإجازات والحالات'!$B$6:$B$505,$B48))/cfg_DAYS_Y)</f>
        <v/>
      </c>
      <c r="AI48" s="130" t="str">
        <f aca="false">IF($B48="","",MAX(0,IF(OR(الموظفون!$AE48="",الموظفون!$AE48&gt;($E$3-1)),($E$3-1),الموظفون!$AE48)-الموظفون!$H48+1-SUMIFS('سجل الإجازات والحالات'!$AP$6:$AP$505,'سجل الإجازات والحالات'!$B$6:$B$505,$B48))/cfg_DAYS_Y)</f>
        <v/>
      </c>
      <c r="AJ48" s="57" t="str">
        <f aca="false">IF($B48="","",MAX(0,AK48-(SUMIFS('سجل الإجازات والحالات'!$AQ$6:$AQ$505,'سجل الإجازات والحالات'!$B$6:$B$505,$B48)-SUMIFS('سجل الإجازات والحالات'!$AP$6:$AP$505,'سجل الإجازات والحالات'!$B$6:$B$505,$B48))))</f>
        <v/>
      </c>
      <c r="AK48" s="57" t="str">
        <f aca="false">IF($B48="","",MAX(0,IF(OR(الموظفون!$AE48="",الموظفون!$AE48&gt;$F$3),$F$3,الموظفون!$AE48)-MAX($E$3,الموظفون!$H48)+1))</f>
        <v/>
      </c>
      <c r="AL48" s="126" t="str">
        <f aca="false">IF($B48="","",SUMIFS('سجل الإجازات والحالات'!$BC$6:$BC$505,'سجل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والحالات'!$AE$6:$AE$505,'سجل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والحالات'!$AQ$6:$AQ$505,'سجل الإجازات والحالات'!$B$6:$B$505,$B49))/cfg_DAYS_Y)</f>
        <v/>
      </c>
      <c r="AI49" s="135" t="str">
        <f aca="false">IF($B49="","",MAX(0,IF(OR(الموظفون!$AE49="",الموظفون!$AE49&gt;($E$3-1)),($E$3-1),الموظفون!$AE49)-الموظفون!$H49+1-SUMIFS('سجل الإجازات والحالات'!$AP$6:$AP$505,'سجل الإجازات والحالات'!$B$6:$B$505,$B49))/cfg_DAYS_Y)</f>
        <v/>
      </c>
      <c r="AJ49" s="110" t="str">
        <f aca="false">IF($B49="","",MAX(0,AK49-(SUMIFS('سجل الإجازات والحالات'!$AQ$6:$AQ$505,'سجل الإجازات والحالات'!$B$6:$B$505,$B49)-SUMIFS('سجل الإجازات والحالات'!$AP$6:$AP$505,'سجل الإجازات والحالات'!$B$6:$B$505,$B49))))</f>
        <v/>
      </c>
      <c r="AK49" s="110" t="str">
        <f aca="false">IF($B49="","",MAX(0,IF(OR(الموظفون!$AE49="",الموظفون!$AE49&gt;$F$3),$F$3,الموظفون!$AE49)-MAX($E$3,الموظفون!$H49)+1))</f>
        <v/>
      </c>
      <c r="AL49" s="131" t="str">
        <f aca="false">IF($B49="","",SUMIFS('سجل الإجازات والحالات'!$BC$6:$BC$505,'سجل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والحالات'!$AE$6:$AE$505,'سجل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والحالات'!$AQ$6:$AQ$505,'سجل الإجازات والحالات'!$B$6:$B$505,$B50))/cfg_DAYS_Y)</f>
        <v/>
      </c>
      <c r="AI50" s="130" t="str">
        <f aca="false">IF($B50="","",MAX(0,IF(OR(الموظفون!$AE50="",الموظفون!$AE50&gt;($E$3-1)),($E$3-1),الموظفون!$AE50)-الموظفون!$H50+1-SUMIFS('سجل الإجازات والحالات'!$AP$6:$AP$505,'سجل الإجازات والحالات'!$B$6:$B$505,$B50))/cfg_DAYS_Y)</f>
        <v/>
      </c>
      <c r="AJ50" s="57" t="str">
        <f aca="false">IF($B50="","",MAX(0,AK50-(SUMIFS('سجل الإجازات والحالات'!$AQ$6:$AQ$505,'سجل الإجازات والحالات'!$B$6:$B$505,$B50)-SUMIFS('سجل الإجازات والحالات'!$AP$6:$AP$505,'سجل الإجازات والحالات'!$B$6:$B$505,$B50))))</f>
        <v/>
      </c>
      <c r="AK50" s="57" t="str">
        <f aca="false">IF($B50="","",MAX(0,IF(OR(الموظفون!$AE50="",الموظفون!$AE50&gt;$F$3),$F$3,الموظفون!$AE50)-MAX($E$3,الموظفون!$H50)+1))</f>
        <v/>
      </c>
      <c r="AL50" s="126" t="str">
        <f aca="false">IF($B50="","",SUMIFS('سجل الإجازات والحالات'!$BC$6:$BC$505,'سجل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والحالات'!$AE$6:$AE$505,'سجل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والحالات'!$AQ$6:$AQ$505,'سجل الإجازات والحالات'!$B$6:$B$505,$B51))/cfg_DAYS_Y)</f>
        <v/>
      </c>
      <c r="AI51" s="135" t="str">
        <f aca="false">IF($B51="","",MAX(0,IF(OR(الموظفون!$AE51="",الموظفون!$AE51&gt;($E$3-1)),($E$3-1),الموظفون!$AE51)-الموظفون!$H51+1-SUMIFS('سجل الإجازات والحالات'!$AP$6:$AP$505,'سجل الإجازات والحالات'!$B$6:$B$505,$B51))/cfg_DAYS_Y)</f>
        <v/>
      </c>
      <c r="AJ51" s="110" t="str">
        <f aca="false">IF($B51="","",MAX(0,AK51-(SUMIFS('سجل الإجازات والحالات'!$AQ$6:$AQ$505,'سجل الإجازات والحالات'!$B$6:$B$505,$B51)-SUMIFS('سجل الإجازات والحالات'!$AP$6:$AP$505,'سجل الإجازات والحالات'!$B$6:$B$505,$B51))))</f>
        <v/>
      </c>
      <c r="AK51" s="110" t="str">
        <f aca="false">IF($B51="","",MAX(0,IF(OR(الموظفون!$AE51="",الموظفون!$AE51&gt;$F$3),$F$3,الموظفون!$AE51)-MAX($E$3,الموظفون!$H51)+1))</f>
        <v/>
      </c>
      <c r="AL51" s="131" t="str">
        <f aca="false">IF($B51="","",SUMIFS('سجل الإجازات والحالات'!$BC$6:$BC$505,'سجل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والحالات'!$AE$6:$AE$505,'سجل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والحالات'!$AQ$6:$AQ$505,'سجل الإجازات والحالات'!$B$6:$B$505,$B52))/cfg_DAYS_Y)</f>
        <v/>
      </c>
      <c r="AI52" s="130" t="str">
        <f aca="false">IF($B52="","",MAX(0,IF(OR(الموظفون!$AE52="",الموظفون!$AE52&gt;($E$3-1)),($E$3-1),الموظفون!$AE52)-الموظفون!$H52+1-SUMIFS('سجل الإجازات والحالات'!$AP$6:$AP$505,'سجل الإجازات والحالات'!$B$6:$B$505,$B52))/cfg_DAYS_Y)</f>
        <v/>
      </c>
      <c r="AJ52" s="57" t="str">
        <f aca="false">IF($B52="","",MAX(0,AK52-(SUMIFS('سجل الإجازات والحالات'!$AQ$6:$AQ$505,'سجل الإجازات والحالات'!$B$6:$B$505,$B52)-SUMIFS('سجل الإجازات والحالات'!$AP$6:$AP$505,'سجل الإجازات والحالات'!$B$6:$B$505,$B52))))</f>
        <v/>
      </c>
      <c r="AK52" s="57" t="str">
        <f aca="false">IF($B52="","",MAX(0,IF(OR(الموظفون!$AE52="",الموظفون!$AE52&gt;$F$3),$F$3,الموظفون!$AE52)-MAX($E$3,الموظفون!$H52)+1))</f>
        <v/>
      </c>
      <c r="AL52" s="126" t="str">
        <f aca="false">IF($B52="","",SUMIFS('سجل الإجازات والحالات'!$BC$6:$BC$505,'سجل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والحالات'!$AE$6:$AE$505,'سجل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والحالات'!$AQ$6:$AQ$505,'سجل الإجازات والحالات'!$B$6:$B$505,$B53))/cfg_DAYS_Y)</f>
        <v/>
      </c>
      <c r="AI53" s="135" t="str">
        <f aca="false">IF($B53="","",MAX(0,IF(OR(الموظفون!$AE53="",الموظفون!$AE53&gt;($E$3-1)),($E$3-1),الموظفون!$AE53)-الموظفون!$H53+1-SUMIFS('سجل الإجازات والحالات'!$AP$6:$AP$505,'سجل الإجازات والحالات'!$B$6:$B$505,$B53))/cfg_DAYS_Y)</f>
        <v/>
      </c>
      <c r="AJ53" s="110" t="str">
        <f aca="false">IF($B53="","",MAX(0,AK53-(SUMIFS('سجل الإجازات والحالات'!$AQ$6:$AQ$505,'سجل الإجازات والحالات'!$B$6:$B$505,$B53)-SUMIFS('سجل الإجازات والحالات'!$AP$6:$AP$505,'سجل الإجازات والحالات'!$B$6:$B$505,$B53))))</f>
        <v/>
      </c>
      <c r="AK53" s="110" t="str">
        <f aca="false">IF($B53="","",MAX(0,IF(OR(الموظفون!$AE53="",الموظفون!$AE53&gt;$F$3),$F$3,الموظفون!$AE53)-MAX($E$3,الموظفون!$H53)+1))</f>
        <v/>
      </c>
      <c r="AL53" s="131" t="str">
        <f aca="false">IF($B53="","",SUMIFS('سجل الإجازات والحالات'!$BC$6:$BC$505,'سجل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والحالات'!$AE$6:$AE$505,'سجل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والحالات'!$AQ$6:$AQ$505,'سجل الإجازات والحالات'!$B$6:$B$505,$B54))/cfg_DAYS_Y)</f>
        <v/>
      </c>
      <c r="AI54" s="130" t="str">
        <f aca="false">IF($B54="","",MAX(0,IF(OR(الموظفون!$AE54="",الموظفون!$AE54&gt;($E$3-1)),($E$3-1),الموظفون!$AE54)-الموظفون!$H54+1-SUMIFS('سجل الإجازات والحالات'!$AP$6:$AP$505,'سجل الإجازات والحالات'!$B$6:$B$505,$B54))/cfg_DAYS_Y)</f>
        <v/>
      </c>
      <c r="AJ54" s="57" t="str">
        <f aca="false">IF($B54="","",MAX(0,AK54-(SUMIFS('سجل الإجازات والحالات'!$AQ$6:$AQ$505,'سجل الإجازات والحالات'!$B$6:$B$505,$B54)-SUMIFS('سجل الإجازات والحالات'!$AP$6:$AP$505,'سجل الإجازات والحالات'!$B$6:$B$505,$B54))))</f>
        <v/>
      </c>
      <c r="AK54" s="57" t="str">
        <f aca="false">IF($B54="","",MAX(0,IF(OR(الموظفون!$AE54="",الموظفون!$AE54&gt;$F$3),$F$3,الموظفون!$AE54)-MAX($E$3,الموظفون!$H54)+1))</f>
        <v/>
      </c>
      <c r="AL54" s="126" t="str">
        <f aca="false">IF($B54="","",SUMIFS('سجل الإجازات والحالات'!$BC$6:$BC$505,'سجل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والحالات'!$AE$6:$AE$505,'سجل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والحالات'!$AQ$6:$AQ$505,'سجل الإجازات والحالات'!$B$6:$B$505,$B55))/cfg_DAYS_Y)</f>
        <v/>
      </c>
      <c r="AI55" s="135" t="str">
        <f aca="false">IF($B55="","",MAX(0,IF(OR(الموظفون!$AE55="",الموظفون!$AE55&gt;($E$3-1)),($E$3-1),الموظفون!$AE55)-الموظفون!$H55+1-SUMIFS('سجل الإجازات والحالات'!$AP$6:$AP$505,'سجل الإجازات والحالات'!$B$6:$B$505,$B55))/cfg_DAYS_Y)</f>
        <v/>
      </c>
      <c r="AJ55" s="110" t="str">
        <f aca="false">IF($B55="","",MAX(0,AK55-(SUMIFS('سجل الإجازات والحالات'!$AQ$6:$AQ$505,'سجل الإجازات والحالات'!$B$6:$B$505,$B55)-SUMIFS('سجل الإجازات والحالات'!$AP$6:$AP$505,'سجل الإجازات والحالات'!$B$6:$B$505,$B55))))</f>
        <v/>
      </c>
      <c r="AK55" s="110" t="str">
        <f aca="false">IF($B55="","",MAX(0,IF(OR(الموظفون!$AE55="",الموظفون!$AE55&gt;$F$3),$F$3,الموظفون!$AE55)-MAX($E$3,الموظفون!$H55)+1))</f>
        <v/>
      </c>
      <c r="AL55" s="131" t="str">
        <f aca="false">IF($B55="","",SUMIFS('سجل الإجازات والحالات'!$BC$6:$BC$505,'سجل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والحالات'!$AE$6:$AE$505,'سجل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والحالات'!$AQ$6:$AQ$505,'سجل الإجازات والحالات'!$B$6:$B$505,$B56))/cfg_DAYS_Y)</f>
        <v/>
      </c>
      <c r="AI56" s="130" t="str">
        <f aca="false">IF($B56="","",MAX(0,IF(OR(الموظفون!$AE56="",الموظفون!$AE56&gt;($E$3-1)),($E$3-1),الموظفون!$AE56)-الموظفون!$H56+1-SUMIFS('سجل الإجازات والحالات'!$AP$6:$AP$505,'سجل الإجازات والحالات'!$B$6:$B$505,$B56))/cfg_DAYS_Y)</f>
        <v/>
      </c>
      <c r="AJ56" s="57" t="str">
        <f aca="false">IF($B56="","",MAX(0,AK56-(SUMIFS('سجل الإجازات والحالات'!$AQ$6:$AQ$505,'سجل الإجازات والحالات'!$B$6:$B$505,$B56)-SUMIFS('سجل الإجازات والحالات'!$AP$6:$AP$505,'سجل الإجازات والحالات'!$B$6:$B$505,$B56))))</f>
        <v/>
      </c>
      <c r="AK56" s="57" t="str">
        <f aca="false">IF($B56="","",MAX(0,IF(OR(الموظفون!$AE56="",الموظفون!$AE56&gt;$F$3),$F$3,الموظفون!$AE56)-MAX($E$3,الموظفون!$H56)+1))</f>
        <v/>
      </c>
      <c r="AL56" s="126" t="str">
        <f aca="false">IF($B56="","",SUMIFS('سجل الإجازات والحالات'!$BC$6:$BC$505,'سجل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والحالات'!$AE$6:$AE$505,'سجل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والحالات'!$AQ$6:$AQ$505,'سجل الإجازات والحالات'!$B$6:$B$505,$B57))/cfg_DAYS_Y)</f>
        <v/>
      </c>
      <c r="AI57" s="135" t="str">
        <f aca="false">IF($B57="","",MAX(0,IF(OR(الموظفون!$AE57="",الموظفون!$AE57&gt;($E$3-1)),($E$3-1),الموظفون!$AE57)-الموظفون!$H57+1-SUMIFS('سجل الإجازات والحالات'!$AP$6:$AP$505,'سجل الإجازات والحالات'!$B$6:$B$505,$B57))/cfg_DAYS_Y)</f>
        <v/>
      </c>
      <c r="AJ57" s="110" t="str">
        <f aca="false">IF($B57="","",MAX(0,AK57-(SUMIFS('سجل الإجازات والحالات'!$AQ$6:$AQ$505,'سجل الإجازات والحالات'!$B$6:$B$505,$B57)-SUMIFS('سجل الإجازات والحالات'!$AP$6:$AP$505,'سجل الإجازات والحالات'!$B$6:$B$505,$B57))))</f>
        <v/>
      </c>
      <c r="AK57" s="110" t="str">
        <f aca="false">IF($B57="","",MAX(0,IF(OR(الموظفون!$AE57="",الموظفون!$AE57&gt;$F$3),$F$3,الموظفون!$AE57)-MAX($E$3,الموظفون!$H57)+1))</f>
        <v/>
      </c>
      <c r="AL57" s="131" t="str">
        <f aca="false">IF($B57="","",SUMIFS('سجل الإجازات والحالات'!$BC$6:$BC$505,'سجل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والحالات'!$AE$6:$AE$505,'سجل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والحالات'!$AQ$6:$AQ$505,'سجل الإجازات والحالات'!$B$6:$B$505,$B58))/cfg_DAYS_Y)</f>
        <v/>
      </c>
      <c r="AI58" s="130" t="str">
        <f aca="false">IF($B58="","",MAX(0,IF(OR(الموظفون!$AE58="",الموظفون!$AE58&gt;($E$3-1)),($E$3-1),الموظفون!$AE58)-الموظفون!$H58+1-SUMIFS('سجل الإجازات والحالات'!$AP$6:$AP$505,'سجل الإجازات والحالات'!$B$6:$B$505,$B58))/cfg_DAYS_Y)</f>
        <v/>
      </c>
      <c r="AJ58" s="57" t="str">
        <f aca="false">IF($B58="","",MAX(0,AK58-(SUMIFS('سجل الإجازات والحالات'!$AQ$6:$AQ$505,'سجل الإجازات والحالات'!$B$6:$B$505,$B58)-SUMIFS('سجل الإجازات والحالات'!$AP$6:$AP$505,'سجل الإجازات والحالات'!$B$6:$B$505,$B58))))</f>
        <v/>
      </c>
      <c r="AK58" s="57" t="str">
        <f aca="false">IF($B58="","",MAX(0,IF(OR(الموظفون!$AE58="",الموظفون!$AE58&gt;$F$3),$F$3,الموظفون!$AE58)-MAX($E$3,الموظفون!$H58)+1))</f>
        <v/>
      </c>
      <c r="AL58" s="126" t="str">
        <f aca="false">IF($B58="","",SUMIFS('سجل الإجازات والحالات'!$BC$6:$BC$505,'سجل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والحالات'!$AE$6:$AE$505,'سجل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والحالات'!$AQ$6:$AQ$505,'سجل الإجازات والحالات'!$B$6:$B$505,$B59))/cfg_DAYS_Y)</f>
        <v/>
      </c>
      <c r="AI59" s="135" t="str">
        <f aca="false">IF($B59="","",MAX(0,IF(OR(الموظفون!$AE59="",الموظفون!$AE59&gt;($E$3-1)),($E$3-1),الموظفون!$AE59)-الموظفون!$H59+1-SUMIFS('سجل الإجازات والحالات'!$AP$6:$AP$505,'سجل الإجازات والحالات'!$B$6:$B$505,$B59))/cfg_DAYS_Y)</f>
        <v/>
      </c>
      <c r="AJ59" s="110" t="str">
        <f aca="false">IF($B59="","",MAX(0,AK59-(SUMIFS('سجل الإجازات والحالات'!$AQ$6:$AQ$505,'سجل الإجازات والحالات'!$B$6:$B$505,$B59)-SUMIFS('سجل الإجازات والحالات'!$AP$6:$AP$505,'سجل الإجازات والحالات'!$B$6:$B$505,$B59))))</f>
        <v/>
      </c>
      <c r="AK59" s="110" t="str">
        <f aca="false">IF($B59="","",MAX(0,IF(OR(الموظفون!$AE59="",الموظفون!$AE59&gt;$F$3),$F$3,الموظفون!$AE59)-MAX($E$3,الموظفون!$H59)+1))</f>
        <v/>
      </c>
      <c r="AL59" s="131" t="str">
        <f aca="false">IF($B59="","",SUMIFS('سجل الإجازات والحالات'!$BC$6:$BC$505,'سجل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والحالات'!$AE$6:$AE$505,'سجل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والحالات'!$AQ$6:$AQ$505,'سجل الإجازات والحالات'!$B$6:$B$505,$B60))/cfg_DAYS_Y)</f>
        <v/>
      </c>
      <c r="AI60" s="130" t="str">
        <f aca="false">IF($B60="","",MAX(0,IF(OR(الموظفون!$AE60="",الموظفون!$AE60&gt;($E$3-1)),($E$3-1),الموظفون!$AE60)-الموظفون!$H60+1-SUMIFS('سجل الإجازات والحالات'!$AP$6:$AP$505,'سجل الإجازات والحالات'!$B$6:$B$505,$B60))/cfg_DAYS_Y)</f>
        <v/>
      </c>
      <c r="AJ60" s="57" t="str">
        <f aca="false">IF($B60="","",MAX(0,AK60-(SUMIFS('سجل الإجازات والحالات'!$AQ$6:$AQ$505,'سجل الإجازات والحالات'!$B$6:$B$505,$B60)-SUMIFS('سجل الإجازات والحالات'!$AP$6:$AP$505,'سجل الإجازات والحالات'!$B$6:$B$505,$B60))))</f>
        <v/>
      </c>
      <c r="AK60" s="57" t="str">
        <f aca="false">IF($B60="","",MAX(0,IF(OR(الموظفون!$AE60="",الموظفون!$AE60&gt;$F$3),$F$3,الموظفون!$AE60)-MAX($E$3,الموظفون!$H60)+1))</f>
        <v/>
      </c>
      <c r="AL60" s="126" t="str">
        <f aca="false">IF($B60="","",SUMIFS('سجل الإجازات والحالات'!$BC$6:$BC$505,'سجل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والحالات'!$AE$6:$AE$505,'سجل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والحالات'!$AQ$6:$AQ$505,'سجل الإجازات والحالات'!$B$6:$B$505,$B61))/cfg_DAYS_Y)</f>
        <v/>
      </c>
      <c r="AI61" s="135" t="str">
        <f aca="false">IF($B61="","",MAX(0,IF(OR(الموظفون!$AE61="",الموظفون!$AE61&gt;($E$3-1)),($E$3-1),الموظفون!$AE61)-الموظفون!$H61+1-SUMIFS('سجل الإجازات والحالات'!$AP$6:$AP$505,'سجل الإجازات والحالات'!$B$6:$B$505,$B61))/cfg_DAYS_Y)</f>
        <v/>
      </c>
      <c r="AJ61" s="110" t="str">
        <f aca="false">IF($B61="","",MAX(0,AK61-(SUMIFS('سجل الإجازات والحالات'!$AQ$6:$AQ$505,'سجل الإجازات والحالات'!$B$6:$B$505,$B61)-SUMIFS('سجل الإجازات والحالات'!$AP$6:$AP$505,'سجل الإجازات والحالات'!$B$6:$B$505,$B61))))</f>
        <v/>
      </c>
      <c r="AK61" s="110" t="str">
        <f aca="false">IF($B61="","",MAX(0,IF(OR(الموظفون!$AE61="",الموظفون!$AE61&gt;$F$3),$F$3,الموظفون!$AE61)-MAX($E$3,الموظفون!$H61)+1))</f>
        <v/>
      </c>
      <c r="AL61" s="131" t="str">
        <f aca="false">IF($B61="","",SUMIFS('سجل الإجازات والحالات'!$BC$6:$BC$505,'سجل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والحالات'!$AE$6:$AE$505,'سجل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والحالات'!$AQ$6:$AQ$505,'سجل الإجازات والحالات'!$B$6:$B$505,$B62))/cfg_DAYS_Y)</f>
        <v/>
      </c>
      <c r="AI62" s="130" t="str">
        <f aca="false">IF($B62="","",MAX(0,IF(OR(الموظفون!$AE62="",الموظفون!$AE62&gt;($E$3-1)),($E$3-1),الموظفون!$AE62)-الموظفون!$H62+1-SUMIFS('سجل الإجازات والحالات'!$AP$6:$AP$505,'سجل الإجازات والحالات'!$B$6:$B$505,$B62))/cfg_DAYS_Y)</f>
        <v/>
      </c>
      <c r="AJ62" s="57" t="str">
        <f aca="false">IF($B62="","",MAX(0,AK62-(SUMIFS('سجل الإجازات والحالات'!$AQ$6:$AQ$505,'سجل الإجازات والحالات'!$B$6:$B$505,$B62)-SUMIFS('سجل الإجازات والحالات'!$AP$6:$AP$505,'سجل الإجازات والحالات'!$B$6:$B$505,$B62))))</f>
        <v/>
      </c>
      <c r="AK62" s="57" t="str">
        <f aca="false">IF($B62="","",MAX(0,IF(OR(الموظفون!$AE62="",الموظفون!$AE62&gt;$F$3),$F$3,الموظفون!$AE62)-MAX($E$3,الموظفون!$H62)+1))</f>
        <v/>
      </c>
      <c r="AL62" s="126" t="str">
        <f aca="false">IF($B62="","",SUMIFS('سجل الإجازات والحالات'!$BC$6:$BC$505,'سجل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والحالات'!$AE$6:$AE$505,'سجل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والحالات'!$AQ$6:$AQ$505,'سجل الإجازات والحالات'!$B$6:$B$505,$B63))/cfg_DAYS_Y)</f>
        <v/>
      </c>
      <c r="AI63" s="135" t="str">
        <f aca="false">IF($B63="","",MAX(0,IF(OR(الموظفون!$AE63="",الموظفون!$AE63&gt;($E$3-1)),($E$3-1),الموظفون!$AE63)-الموظفون!$H63+1-SUMIFS('سجل الإجازات والحالات'!$AP$6:$AP$505,'سجل الإجازات والحالات'!$B$6:$B$505,$B63))/cfg_DAYS_Y)</f>
        <v/>
      </c>
      <c r="AJ63" s="110" t="str">
        <f aca="false">IF($B63="","",MAX(0,AK63-(SUMIFS('سجل الإجازات والحالات'!$AQ$6:$AQ$505,'سجل الإجازات والحالات'!$B$6:$B$505,$B63)-SUMIFS('سجل الإجازات والحالات'!$AP$6:$AP$505,'سجل الإجازات والحالات'!$B$6:$B$505,$B63))))</f>
        <v/>
      </c>
      <c r="AK63" s="110" t="str">
        <f aca="false">IF($B63="","",MAX(0,IF(OR(الموظفون!$AE63="",الموظفون!$AE63&gt;$F$3),$F$3,الموظفون!$AE63)-MAX($E$3,الموظفون!$H63)+1))</f>
        <v/>
      </c>
      <c r="AL63" s="131" t="str">
        <f aca="false">IF($B63="","",SUMIFS('سجل الإجازات والحالات'!$BC$6:$BC$505,'سجل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والحالات'!$AE$6:$AE$505,'سجل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والحالات'!$AQ$6:$AQ$505,'سجل الإجازات والحالات'!$B$6:$B$505,$B64))/cfg_DAYS_Y)</f>
        <v/>
      </c>
      <c r="AI64" s="130" t="str">
        <f aca="false">IF($B64="","",MAX(0,IF(OR(الموظفون!$AE64="",الموظفون!$AE64&gt;($E$3-1)),($E$3-1),الموظفون!$AE64)-الموظفون!$H64+1-SUMIFS('سجل الإجازات والحالات'!$AP$6:$AP$505,'سجل الإجازات والحالات'!$B$6:$B$505,$B64))/cfg_DAYS_Y)</f>
        <v/>
      </c>
      <c r="AJ64" s="57" t="str">
        <f aca="false">IF($B64="","",MAX(0,AK64-(SUMIFS('سجل الإجازات والحالات'!$AQ$6:$AQ$505,'سجل الإجازات والحالات'!$B$6:$B$505,$B64)-SUMIFS('سجل الإجازات والحالات'!$AP$6:$AP$505,'سجل الإجازات والحالات'!$B$6:$B$505,$B64))))</f>
        <v/>
      </c>
      <c r="AK64" s="57" t="str">
        <f aca="false">IF($B64="","",MAX(0,IF(OR(الموظفون!$AE64="",الموظفون!$AE64&gt;$F$3),$F$3,الموظفون!$AE64)-MAX($E$3,الموظفون!$H64)+1))</f>
        <v/>
      </c>
      <c r="AL64" s="126" t="str">
        <f aca="false">IF($B64="","",SUMIFS('سجل الإجازات والحالات'!$BC$6:$BC$505,'سجل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والحالات'!$AE$6:$AE$505,'سجل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والحالات'!$AQ$6:$AQ$505,'سجل الإجازات والحالات'!$B$6:$B$505,$B65))/cfg_DAYS_Y)</f>
        <v/>
      </c>
      <c r="AI65" s="135" t="str">
        <f aca="false">IF($B65="","",MAX(0,IF(OR(الموظفون!$AE65="",الموظفون!$AE65&gt;($E$3-1)),($E$3-1),الموظفون!$AE65)-الموظفون!$H65+1-SUMIFS('سجل الإجازات والحالات'!$AP$6:$AP$505,'سجل الإجازات والحالات'!$B$6:$B$505,$B65))/cfg_DAYS_Y)</f>
        <v/>
      </c>
      <c r="AJ65" s="110" t="str">
        <f aca="false">IF($B65="","",MAX(0,AK65-(SUMIFS('سجل الإجازات والحالات'!$AQ$6:$AQ$505,'سجل الإجازات والحالات'!$B$6:$B$505,$B65)-SUMIFS('سجل الإجازات والحالات'!$AP$6:$AP$505,'سجل الإجازات والحالات'!$B$6:$B$505,$B65))))</f>
        <v/>
      </c>
      <c r="AK65" s="110" t="str">
        <f aca="false">IF($B65="","",MAX(0,IF(OR(الموظفون!$AE65="",الموظفون!$AE65&gt;$F$3),$F$3,الموظفون!$AE65)-MAX($E$3,الموظفون!$H65)+1))</f>
        <v/>
      </c>
      <c r="AL65" s="131" t="str">
        <f aca="false">IF($B65="","",SUMIFS('سجل الإجازات والحالات'!$BC$6:$BC$505,'سجل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والحالات'!$AE$6:$AE$505,'سجل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والحالات'!$AQ$6:$AQ$505,'سجل الإجازات والحالات'!$B$6:$B$505,$B66))/cfg_DAYS_Y)</f>
        <v/>
      </c>
      <c r="AI66" s="130" t="str">
        <f aca="false">IF($B66="","",MAX(0,IF(OR(الموظفون!$AE66="",الموظفون!$AE66&gt;($E$3-1)),($E$3-1),الموظفون!$AE66)-الموظفون!$H66+1-SUMIFS('سجل الإجازات والحالات'!$AP$6:$AP$505,'سجل الإجازات والحالات'!$B$6:$B$505,$B66))/cfg_DAYS_Y)</f>
        <v/>
      </c>
      <c r="AJ66" s="57" t="str">
        <f aca="false">IF($B66="","",MAX(0,AK66-(SUMIFS('سجل الإجازات والحالات'!$AQ$6:$AQ$505,'سجل الإجازات والحالات'!$B$6:$B$505,$B66)-SUMIFS('سجل الإجازات والحالات'!$AP$6:$AP$505,'سجل الإجازات والحالات'!$B$6:$B$505,$B66))))</f>
        <v/>
      </c>
      <c r="AK66" s="57" t="str">
        <f aca="false">IF($B66="","",MAX(0,IF(OR(الموظفون!$AE66="",الموظفون!$AE66&gt;$F$3),$F$3,الموظفون!$AE66)-MAX($E$3,الموظفون!$H66)+1))</f>
        <v/>
      </c>
      <c r="AL66" s="126" t="str">
        <f aca="false">IF($B66="","",SUMIFS('سجل الإجازات والحالات'!$BC$6:$BC$505,'سجل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والحالات'!$AE$6:$AE$505,'سجل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والحالات'!$AQ$6:$AQ$505,'سجل الإجازات والحالات'!$B$6:$B$505,$B67))/cfg_DAYS_Y)</f>
        <v/>
      </c>
      <c r="AI67" s="135" t="str">
        <f aca="false">IF($B67="","",MAX(0,IF(OR(الموظفون!$AE67="",الموظفون!$AE67&gt;($E$3-1)),($E$3-1),الموظفون!$AE67)-الموظفون!$H67+1-SUMIFS('سجل الإجازات والحالات'!$AP$6:$AP$505,'سجل الإجازات والحالات'!$B$6:$B$505,$B67))/cfg_DAYS_Y)</f>
        <v/>
      </c>
      <c r="AJ67" s="110" t="str">
        <f aca="false">IF($B67="","",MAX(0,AK67-(SUMIFS('سجل الإجازات والحالات'!$AQ$6:$AQ$505,'سجل الإجازات والحالات'!$B$6:$B$505,$B67)-SUMIFS('سجل الإجازات والحالات'!$AP$6:$AP$505,'سجل الإجازات والحالات'!$B$6:$B$505,$B67))))</f>
        <v/>
      </c>
      <c r="AK67" s="110" t="str">
        <f aca="false">IF($B67="","",MAX(0,IF(OR(الموظفون!$AE67="",الموظفون!$AE67&gt;$F$3),$F$3,الموظفون!$AE67)-MAX($E$3,الموظفون!$H67)+1))</f>
        <v/>
      </c>
      <c r="AL67" s="131" t="str">
        <f aca="false">IF($B67="","",SUMIFS('سجل الإجازات والحالات'!$BC$6:$BC$505,'سجل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والحالات'!$AE$6:$AE$505,'سجل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والحالات'!$AQ$6:$AQ$505,'سجل الإجازات والحالات'!$B$6:$B$505,$B68))/cfg_DAYS_Y)</f>
        <v/>
      </c>
      <c r="AI68" s="130" t="str">
        <f aca="false">IF($B68="","",MAX(0,IF(OR(الموظفون!$AE68="",الموظفون!$AE68&gt;($E$3-1)),($E$3-1),الموظفون!$AE68)-الموظفون!$H68+1-SUMIFS('سجل الإجازات والحالات'!$AP$6:$AP$505,'سجل الإجازات والحالات'!$B$6:$B$505,$B68))/cfg_DAYS_Y)</f>
        <v/>
      </c>
      <c r="AJ68" s="57" t="str">
        <f aca="false">IF($B68="","",MAX(0,AK68-(SUMIFS('سجل الإجازات والحالات'!$AQ$6:$AQ$505,'سجل الإجازات والحالات'!$B$6:$B$505,$B68)-SUMIFS('سجل الإجازات والحالات'!$AP$6:$AP$505,'سجل الإجازات والحالات'!$B$6:$B$505,$B68))))</f>
        <v/>
      </c>
      <c r="AK68" s="57" t="str">
        <f aca="false">IF($B68="","",MAX(0,IF(OR(الموظفون!$AE68="",الموظفون!$AE68&gt;$F$3),$F$3,الموظفون!$AE68)-MAX($E$3,الموظفون!$H68)+1))</f>
        <v/>
      </c>
      <c r="AL68" s="126" t="str">
        <f aca="false">IF($B68="","",SUMIFS('سجل الإجازات والحالات'!$BC$6:$BC$505,'سجل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والحالات'!$AE$6:$AE$505,'سجل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والحالات'!$AQ$6:$AQ$505,'سجل الإجازات والحالات'!$B$6:$B$505,$B69))/cfg_DAYS_Y)</f>
        <v/>
      </c>
      <c r="AI69" s="135" t="str">
        <f aca="false">IF($B69="","",MAX(0,IF(OR(الموظفون!$AE69="",الموظفون!$AE69&gt;($E$3-1)),($E$3-1),الموظفون!$AE69)-الموظفون!$H69+1-SUMIFS('سجل الإجازات والحالات'!$AP$6:$AP$505,'سجل الإجازات والحالات'!$B$6:$B$505,$B69))/cfg_DAYS_Y)</f>
        <v/>
      </c>
      <c r="AJ69" s="110" t="str">
        <f aca="false">IF($B69="","",MAX(0,AK69-(SUMIFS('سجل الإجازات والحالات'!$AQ$6:$AQ$505,'سجل الإجازات والحالات'!$B$6:$B$505,$B69)-SUMIFS('سجل الإجازات والحالات'!$AP$6:$AP$505,'سجل الإجازات والحالات'!$B$6:$B$505,$B69))))</f>
        <v/>
      </c>
      <c r="AK69" s="110" t="str">
        <f aca="false">IF($B69="","",MAX(0,IF(OR(الموظفون!$AE69="",الموظفون!$AE69&gt;$F$3),$F$3,الموظفون!$AE69)-MAX($E$3,الموظفون!$H69)+1))</f>
        <v/>
      </c>
      <c r="AL69" s="131" t="str">
        <f aca="false">IF($B69="","",SUMIFS('سجل الإجازات والحالات'!$BC$6:$BC$505,'سجل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والحالات'!$AE$6:$AE$505,'سجل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والحالات'!$AQ$6:$AQ$505,'سجل الإجازات والحالات'!$B$6:$B$505,$B70))/cfg_DAYS_Y)</f>
        <v/>
      </c>
      <c r="AI70" s="130" t="str">
        <f aca="false">IF($B70="","",MAX(0,IF(OR(الموظفون!$AE70="",الموظفون!$AE70&gt;($E$3-1)),($E$3-1),الموظفون!$AE70)-الموظفون!$H70+1-SUMIFS('سجل الإجازات والحالات'!$AP$6:$AP$505,'سجل الإجازات والحالات'!$B$6:$B$505,$B70))/cfg_DAYS_Y)</f>
        <v/>
      </c>
      <c r="AJ70" s="57" t="str">
        <f aca="false">IF($B70="","",MAX(0,AK70-(SUMIFS('سجل الإجازات والحالات'!$AQ$6:$AQ$505,'سجل الإجازات والحالات'!$B$6:$B$505,$B70)-SUMIFS('سجل الإجازات والحالات'!$AP$6:$AP$505,'سجل الإجازات والحالات'!$B$6:$B$505,$B70))))</f>
        <v/>
      </c>
      <c r="AK70" s="57" t="str">
        <f aca="false">IF($B70="","",MAX(0,IF(OR(الموظفون!$AE70="",الموظفون!$AE70&gt;$F$3),$F$3,الموظفون!$AE70)-MAX($E$3,الموظفون!$H70)+1))</f>
        <v/>
      </c>
      <c r="AL70" s="126" t="str">
        <f aca="false">IF($B70="","",SUMIFS('سجل الإجازات والحالات'!$BC$6:$BC$505,'سجل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والحالات'!$AE$6:$AE$505,'سجل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والحالات'!$AQ$6:$AQ$505,'سجل الإجازات والحالات'!$B$6:$B$505,$B71))/cfg_DAYS_Y)</f>
        <v/>
      </c>
      <c r="AI71" s="135" t="str">
        <f aca="false">IF($B71="","",MAX(0,IF(OR(الموظفون!$AE71="",الموظفون!$AE71&gt;($E$3-1)),($E$3-1),الموظفون!$AE71)-الموظفون!$H71+1-SUMIFS('سجل الإجازات والحالات'!$AP$6:$AP$505,'سجل الإجازات والحالات'!$B$6:$B$505,$B71))/cfg_DAYS_Y)</f>
        <v/>
      </c>
      <c r="AJ71" s="110" t="str">
        <f aca="false">IF($B71="","",MAX(0,AK71-(SUMIFS('سجل الإجازات والحالات'!$AQ$6:$AQ$505,'سجل الإجازات والحالات'!$B$6:$B$505,$B71)-SUMIFS('سجل الإجازات والحالات'!$AP$6:$AP$505,'سجل الإجازات والحالات'!$B$6:$B$505,$B71))))</f>
        <v/>
      </c>
      <c r="AK71" s="110" t="str">
        <f aca="false">IF($B71="","",MAX(0,IF(OR(الموظفون!$AE71="",الموظفون!$AE71&gt;$F$3),$F$3,الموظفون!$AE71)-MAX($E$3,الموظفون!$H71)+1))</f>
        <v/>
      </c>
      <c r="AL71" s="131" t="str">
        <f aca="false">IF($B71="","",SUMIFS('سجل الإجازات والحالات'!$BC$6:$BC$505,'سجل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والحالات'!$AE$6:$AE$505,'سجل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والحالات'!$AQ$6:$AQ$505,'سجل الإجازات والحالات'!$B$6:$B$505,$B72))/cfg_DAYS_Y)</f>
        <v/>
      </c>
      <c r="AI72" s="130" t="str">
        <f aca="false">IF($B72="","",MAX(0,IF(OR(الموظفون!$AE72="",الموظفون!$AE72&gt;($E$3-1)),($E$3-1),الموظفون!$AE72)-الموظفون!$H72+1-SUMIFS('سجل الإجازات والحالات'!$AP$6:$AP$505,'سجل الإجازات والحالات'!$B$6:$B$505,$B72))/cfg_DAYS_Y)</f>
        <v/>
      </c>
      <c r="AJ72" s="57" t="str">
        <f aca="false">IF($B72="","",MAX(0,AK72-(SUMIFS('سجل الإجازات والحالات'!$AQ$6:$AQ$505,'سجل الإجازات والحالات'!$B$6:$B$505,$B72)-SUMIFS('سجل الإجازات والحالات'!$AP$6:$AP$505,'سجل الإجازات والحالات'!$B$6:$B$505,$B72))))</f>
        <v/>
      </c>
      <c r="AK72" s="57" t="str">
        <f aca="false">IF($B72="","",MAX(0,IF(OR(الموظفون!$AE72="",الموظفون!$AE72&gt;$F$3),$F$3,الموظفون!$AE72)-MAX($E$3,الموظفون!$H72)+1))</f>
        <v/>
      </c>
      <c r="AL72" s="126" t="str">
        <f aca="false">IF($B72="","",SUMIFS('سجل الإجازات والحالات'!$BC$6:$BC$505,'سجل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والحالات'!$AE$6:$AE$505,'سجل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والحالات'!$AQ$6:$AQ$505,'سجل الإجازات والحالات'!$B$6:$B$505,$B73))/cfg_DAYS_Y)</f>
        <v/>
      </c>
      <c r="AI73" s="135" t="str">
        <f aca="false">IF($B73="","",MAX(0,IF(OR(الموظفون!$AE73="",الموظفون!$AE73&gt;($E$3-1)),($E$3-1),الموظفون!$AE73)-الموظفون!$H73+1-SUMIFS('سجل الإجازات والحالات'!$AP$6:$AP$505,'سجل الإجازات والحالات'!$B$6:$B$505,$B73))/cfg_DAYS_Y)</f>
        <v/>
      </c>
      <c r="AJ73" s="110" t="str">
        <f aca="false">IF($B73="","",MAX(0,AK73-(SUMIFS('سجل الإجازات والحالات'!$AQ$6:$AQ$505,'سجل الإجازات والحالات'!$B$6:$B$505,$B73)-SUMIFS('سجل الإجازات والحالات'!$AP$6:$AP$505,'سجل الإجازات والحالات'!$B$6:$B$505,$B73))))</f>
        <v/>
      </c>
      <c r="AK73" s="110" t="str">
        <f aca="false">IF($B73="","",MAX(0,IF(OR(الموظفون!$AE73="",الموظفون!$AE73&gt;$F$3),$F$3,الموظفون!$AE73)-MAX($E$3,الموظفون!$H73)+1))</f>
        <v/>
      </c>
      <c r="AL73" s="131" t="str">
        <f aca="false">IF($B73="","",SUMIFS('سجل الإجازات والحالات'!$BC$6:$BC$505,'سجل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والحالات'!$AE$6:$AE$505,'سجل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والحالات'!$AQ$6:$AQ$505,'سجل الإجازات والحالات'!$B$6:$B$505,$B74))/cfg_DAYS_Y)</f>
        <v/>
      </c>
      <c r="AI74" s="130" t="str">
        <f aca="false">IF($B74="","",MAX(0,IF(OR(الموظفون!$AE74="",الموظفون!$AE74&gt;($E$3-1)),($E$3-1),الموظفون!$AE74)-الموظفون!$H74+1-SUMIFS('سجل الإجازات والحالات'!$AP$6:$AP$505,'سجل الإجازات والحالات'!$B$6:$B$505,$B74))/cfg_DAYS_Y)</f>
        <v/>
      </c>
      <c r="AJ74" s="57" t="str">
        <f aca="false">IF($B74="","",MAX(0,AK74-(SUMIFS('سجل الإجازات والحالات'!$AQ$6:$AQ$505,'سجل الإجازات والحالات'!$B$6:$B$505,$B74)-SUMIFS('سجل الإجازات والحالات'!$AP$6:$AP$505,'سجل الإجازات والحالات'!$B$6:$B$505,$B74))))</f>
        <v/>
      </c>
      <c r="AK74" s="57" t="str">
        <f aca="false">IF($B74="","",MAX(0,IF(OR(الموظفون!$AE74="",الموظفون!$AE74&gt;$F$3),$F$3,الموظفون!$AE74)-MAX($E$3,الموظفون!$H74)+1))</f>
        <v/>
      </c>
      <c r="AL74" s="126" t="str">
        <f aca="false">IF($B74="","",SUMIFS('سجل الإجازات والحالات'!$BC$6:$BC$505,'سجل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والحالات'!$AE$6:$AE$505,'سجل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والحالات'!$AQ$6:$AQ$505,'سجل الإجازات والحالات'!$B$6:$B$505,$B75))/cfg_DAYS_Y)</f>
        <v/>
      </c>
      <c r="AI75" s="135" t="str">
        <f aca="false">IF($B75="","",MAX(0,IF(OR(الموظفون!$AE75="",الموظفون!$AE75&gt;($E$3-1)),($E$3-1),الموظفون!$AE75)-الموظفون!$H75+1-SUMIFS('سجل الإجازات والحالات'!$AP$6:$AP$505,'سجل الإجازات والحالات'!$B$6:$B$505,$B75))/cfg_DAYS_Y)</f>
        <v/>
      </c>
      <c r="AJ75" s="110" t="str">
        <f aca="false">IF($B75="","",MAX(0,AK75-(SUMIFS('سجل الإجازات والحالات'!$AQ$6:$AQ$505,'سجل الإجازات والحالات'!$B$6:$B$505,$B75)-SUMIFS('سجل الإجازات والحالات'!$AP$6:$AP$505,'سجل الإجازات والحالات'!$B$6:$B$505,$B75))))</f>
        <v/>
      </c>
      <c r="AK75" s="110" t="str">
        <f aca="false">IF($B75="","",MAX(0,IF(OR(الموظفون!$AE75="",الموظفون!$AE75&gt;$F$3),$F$3,الموظفون!$AE75)-MAX($E$3,الموظفون!$H75)+1))</f>
        <v/>
      </c>
      <c r="AL75" s="131" t="str">
        <f aca="false">IF($B75="","",SUMIFS('سجل الإجازات والحالات'!$BC$6:$BC$505,'سجل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والحالات'!$AE$6:$AE$505,'سجل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والحالات'!$AQ$6:$AQ$505,'سجل الإجازات والحالات'!$B$6:$B$505,$B76))/cfg_DAYS_Y)</f>
        <v/>
      </c>
      <c r="AI76" s="130" t="str">
        <f aca="false">IF($B76="","",MAX(0,IF(OR(الموظفون!$AE76="",الموظفون!$AE76&gt;($E$3-1)),($E$3-1),الموظفون!$AE76)-الموظفون!$H76+1-SUMIFS('سجل الإجازات والحالات'!$AP$6:$AP$505,'سجل الإجازات والحالات'!$B$6:$B$505,$B76))/cfg_DAYS_Y)</f>
        <v/>
      </c>
      <c r="AJ76" s="57" t="str">
        <f aca="false">IF($B76="","",MAX(0,AK76-(SUMIFS('سجل الإجازات والحالات'!$AQ$6:$AQ$505,'سجل الإجازات والحالات'!$B$6:$B$505,$B76)-SUMIFS('سجل الإجازات والحالات'!$AP$6:$AP$505,'سجل الإجازات والحالات'!$B$6:$B$505,$B76))))</f>
        <v/>
      </c>
      <c r="AK76" s="57" t="str">
        <f aca="false">IF($B76="","",MAX(0,IF(OR(الموظفون!$AE76="",الموظفون!$AE76&gt;$F$3),$F$3,الموظفون!$AE76)-MAX($E$3,الموظفون!$H76)+1))</f>
        <v/>
      </c>
      <c r="AL76" s="126" t="str">
        <f aca="false">IF($B76="","",SUMIFS('سجل الإجازات والحالات'!$BC$6:$BC$505,'سجل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والحالات'!$AE$6:$AE$505,'سجل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والحالات'!$AQ$6:$AQ$505,'سجل الإجازات والحالات'!$B$6:$B$505,$B77))/cfg_DAYS_Y)</f>
        <v/>
      </c>
      <c r="AI77" s="135" t="str">
        <f aca="false">IF($B77="","",MAX(0,IF(OR(الموظفون!$AE77="",الموظفون!$AE77&gt;($E$3-1)),($E$3-1),الموظفون!$AE77)-الموظفون!$H77+1-SUMIFS('سجل الإجازات والحالات'!$AP$6:$AP$505,'سجل الإجازات والحالات'!$B$6:$B$505,$B77))/cfg_DAYS_Y)</f>
        <v/>
      </c>
      <c r="AJ77" s="110" t="str">
        <f aca="false">IF($B77="","",MAX(0,AK77-(SUMIFS('سجل الإجازات والحالات'!$AQ$6:$AQ$505,'سجل الإجازات والحالات'!$B$6:$B$505,$B77)-SUMIFS('سجل الإجازات والحالات'!$AP$6:$AP$505,'سجل الإجازات والحالات'!$B$6:$B$505,$B77))))</f>
        <v/>
      </c>
      <c r="AK77" s="110" t="str">
        <f aca="false">IF($B77="","",MAX(0,IF(OR(الموظفون!$AE77="",الموظفون!$AE77&gt;$F$3),$F$3,الموظفون!$AE77)-MAX($E$3,الموظفون!$H77)+1))</f>
        <v/>
      </c>
      <c r="AL77" s="131" t="str">
        <f aca="false">IF($B77="","",SUMIFS('سجل الإجازات والحالات'!$BC$6:$BC$505,'سجل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والحالات'!$AE$6:$AE$505,'سجل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والحالات'!$AQ$6:$AQ$505,'سجل الإجازات والحالات'!$B$6:$B$505,$B78))/cfg_DAYS_Y)</f>
        <v/>
      </c>
      <c r="AI78" s="130" t="str">
        <f aca="false">IF($B78="","",MAX(0,IF(OR(الموظفون!$AE78="",الموظفون!$AE78&gt;($E$3-1)),($E$3-1),الموظفون!$AE78)-الموظفون!$H78+1-SUMIFS('سجل الإجازات والحالات'!$AP$6:$AP$505,'سجل الإجازات والحالات'!$B$6:$B$505,$B78))/cfg_DAYS_Y)</f>
        <v/>
      </c>
      <c r="AJ78" s="57" t="str">
        <f aca="false">IF($B78="","",MAX(0,AK78-(SUMIFS('سجل الإجازات والحالات'!$AQ$6:$AQ$505,'سجل الإجازات والحالات'!$B$6:$B$505,$B78)-SUMIFS('سجل الإجازات والحالات'!$AP$6:$AP$505,'سجل الإجازات والحالات'!$B$6:$B$505,$B78))))</f>
        <v/>
      </c>
      <c r="AK78" s="57" t="str">
        <f aca="false">IF($B78="","",MAX(0,IF(OR(الموظفون!$AE78="",الموظفون!$AE78&gt;$F$3),$F$3,الموظفون!$AE78)-MAX($E$3,الموظفون!$H78)+1))</f>
        <v/>
      </c>
      <c r="AL78" s="126" t="str">
        <f aca="false">IF($B78="","",SUMIFS('سجل الإجازات والحالات'!$BC$6:$BC$505,'سجل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والحالات'!$AE$6:$AE$505,'سجل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والحالات'!$AQ$6:$AQ$505,'سجل الإجازات والحالات'!$B$6:$B$505,$B79))/cfg_DAYS_Y)</f>
        <v/>
      </c>
      <c r="AI79" s="135" t="str">
        <f aca="false">IF($B79="","",MAX(0,IF(OR(الموظفون!$AE79="",الموظفون!$AE79&gt;($E$3-1)),($E$3-1),الموظفون!$AE79)-الموظفون!$H79+1-SUMIFS('سجل الإجازات والحالات'!$AP$6:$AP$505,'سجل الإجازات والحالات'!$B$6:$B$505,$B79))/cfg_DAYS_Y)</f>
        <v/>
      </c>
      <c r="AJ79" s="110" t="str">
        <f aca="false">IF($B79="","",MAX(0,AK79-(SUMIFS('سجل الإجازات والحالات'!$AQ$6:$AQ$505,'سجل الإجازات والحالات'!$B$6:$B$505,$B79)-SUMIFS('سجل الإجازات والحالات'!$AP$6:$AP$505,'سجل الإجازات والحالات'!$B$6:$B$505,$B79))))</f>
        <v/>
      </c>
      <c r="AK79" s="110" t="str">
        <f aca="false">IF($B79="","",MAX(0,IF(OR(الموظفون!$AE79="",الموظفون!$AE79&gt;$F$3),$F$3,الموظفون!$AE79)-MAX($E$3,الموظفون!$H79)+1))</f>
        <v/>
      </c>
      <c r="AL79" s="131" t="str">
        <f aca="false">IF($B79="","",SUMIFS('سجل الإجازات والحالات'!$BC$6:$BC$505,'سجل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والحالات'!$AE$6:$AE$505,'سجل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والحالات'!$AQ$6:$AQ$505,'سجل الإجازات والحالات'!$B$6:$B$505,$B80))/cfg_DAYS_Y)</f>
        <v/>
      </c>
      <c r="AI80" s="130" t="str">
        <f aca="false">IF($B80="","",MAX(0,IF(OR(الموظفون!$AE80="",الموظفون!$AE80&gt;($E$3-1)),($E$3-1),الموظفون!$AE80)-الموظفون!$H80+1-SUMIFS('سجل الإجازات والحالات'!$AP$6:$AP$505,'سجل الإجازات والحالات'!$B$6:$B$505,$B80))/cfg_DAYS_Y)</f>
        <v/>
      </c>
      <c r="AJ80" s="57" t="str">
        <f aca="false">IF($B80="","",MAX(0,AK80-(SUMIFS('سجل الإجازات والحالات'!$AQ$6:$AQ$505,'سجل الإجازات والحالات'!$B$6:$B$505,$B80)-SUMIFS('سجل الإجازات والحالات'!$AP$6:$AP$505,'سجل الإجازات والحالات'!$B$6:$B$505,$B80))))</f>
        <v/>
      </c>
      <c r="AK80" s="57" t="str">
        <f aca="false">IF($B80="","",MAX(0,IF(OR(الموظفون!$AE80="",الموظفون!$AE80&gt;$F$3),$F$3,الموظفون!$AE80)-MAX($E$3,الموظفون!$H80)+1))</f>
        <v/>
      </c>
      <c r="AL80" s="126" t="str">
        <f aca="false">IF($B80="","",SUMIFS('سجل الإجازات والحالات'!$BC$6:$BC$505,'سجل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والحالات'!$AE$6:$AE$505,'سجل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والحالات'!$AQ$6:$AQ$505,'سجل الإجازات والحالات'!$B$6:$B$505,$B81))/cfg_DAYS_Y)</f>
        <v/>
      </c>
      <c r="AI81" s="135" t="str">
        <f aca="false">IF($B81="","",MAX(0,IF(OR(الموظفون!$AE81="",الموظفون!$AE81&gt;($E$3-1)),($E$3-1),الموظفون!$AE81)-الموظفون!$H81+1-SUMIFS('سجل الإجازات والحالات'!$AP$6:$AP$505,'سجل الإجازات والحالات'!$B$6:$B$505,$B81))/cfg_DAYS_Y)</f>
        <v/>
      </c>
      <c r="AJ81" s="110" t="str">
        <f aca="false">IF($B81="","",MAX(0,AK81-(SUMIFS('سجل الإجازات والحالات'!$AQ$6:$AQ$505,'سجل الإجازات والحالات'!$B$6:$B$505,$B81)-SUMIFS('سجل الإجازات والحالات'!$AP$6:$AP$505,'سجل الإجازات والحالات'!$B$6:$B$505,$B81))))</f>
        <v/>
      </c>
      <c r="AK81" s="110" t="str">
        <f aca="false">IF($B81="","",MAX(0,IF(OR(الموظفون!$AE81="",الموظفون!$AE81&gt;$F$3),$F$3,الموظفون!$AE81)-MAX($E$3,الموظفون!$H81)+1))</f>
        <v/>
      </c>
      <c r="AL81" s="131" t="str">
        <f aca="false">IF($B81="","",SUMIFS('سجل الإجازات والحالات'!$BC$6:$BC$505,'سجل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والحالات'!$AE$6:$AE$505,'سجل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والحالات'!$AQ$6:$AQ$505,'سجل الإجازات والحالات'!$B$6:$B$505,$B82))/cfg_DAYS_Y)</f>
        <v/>
      </c>
      <c r="AI82" s="130" t="str">
        <f aca="false">IF($B82="","",MAX(0,IF(OR(الموظفون!$AE82="",الموظفون!$AE82&gt;($E$3-1)),($E$3-1),الموظفون!$AE82)-الموظفون!$H82+1-SUMIFS('سجل الإجازات والحالات'!$AP$6:$AP$505,'سجل الإجازات والحالات'!$B$6:$B$505,$B82))/cfg_DAYS_Y)</f>
        <v/>
      </c>
      <c r="AJ82" s="57" t="str">
        <f aca="false">IF($B82="","",MAX(0,AK82-(SUMIFS('سجل الإجازات والحالات'!$AQ$6:$AQ$505,'سجل الإجازات والحالات'!$B$6:$B$505,$B82)-SUMIFS('سجل الإجازات والحالات'!$AP$6:$AP$505,'سجل الإجازات والحالات'!$B$6:$B$505,$B82))))</f>
        <v/>
      </c>
      <c r="AK82" s="57" t="str">
        <f aca="false">IF($B82="","",MAX(0,IF(OR(الموظفون!$AE82="",الموظفون!$AE82&gt;$F$3),$F$3,الموظفون!$AE82)-MAX($E$3,الموظفون!$H82)+1))</f>
        <v/>
      </c>
      <c r="AL82" s="126" t="str">
        <f aca="false">IF($B82="","",SUMIFS('سجل الإجازات والحالات'!$BC$6:$BC$505,'سجل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والحالات'!$AE$6:$AE$505,'سجل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والحالات'!$AQ$6:$AQ$505,'سجل الإجازات والحالات'!$B$6:$B$505,$B83))/cfg_DAYS_Y)</f>
        <v/>
      </c>
      <c r="AI83" s="135" t="str">
        <f aca="false">IF($B83="","",MAX(0,IF(OR(الموظفون!$AE83="",الموظفون!$AE83&gt;($E$3-1)),($E$3-1),الموظفون!$AE83)-الموظفون!$H83+1-SUMIFS('سجل الإجازات والحالات'!$AP$6:$AP$505,'سجل الإجازات والحالات'!$B$6:$B$505,$B83))/cfg_DAYS_Y)</f>
        <v/>
      </c>
      <c r="AJ83" s="110" t="str">
        <f aca="false">IF($B83="","",MAX(0,AK83-(SUMIFS('سجل الإجازات والحالات'!$AQ$6:$AQ$505,'سجل الإجازات والحالات'!$B$6:$B$505,$B83)-SUMIFS('سجل الإجازات والحالات'!$AP$6:$AP$505,'سجل الإجازات والحالات'!$B$6:$B$505,$B83))))</f>
        <v/>
      </c>
      <c r="AK83" s="110" t="str">
        <f aca="false">IF($B83="","",MAX(0,IF(OR(الموظفون!$AE83="",الموظفون!$AE83&gt;$F$3),$F$3,الموظفون!$AE83)-MAX($E$3,الموظفون!$H83)+1))</f>
        <v/>
      </c>
      <c r="AL83" s="131" t="str">
        <f aca="false">IF($B83="","",SUMIFS('سجل الإجازات والحالات'!$BC$6:$BC$505,'سجل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والحالات'!$AE$6:$AE$505,'سجل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والحالات'!$AQ$6:$AQ$505,'سجل الإجازات والحالات'!$B$6:$B$505,$B84))/cfg_DAYS_Y)</f>
        <v/>
      </c>
      <c r="AI84" s="130" t="str">
        <f aca="false">IF($B84="","",MAX(0,IF(OR(الموظفون!$AE84="",الموظفون!$AE84&gt;($E$3-1)),($E$3-1),الموظفون!$AE84)-الموظفون!$H84+1-SUMIFS('سجل الإجازات والحالات'!$AP$6:$AP$505,'سجل الإجازات والحالات'!$B$6:$B$505,$B84))/cfg_DAYS_Y)</f>
        <v/>
      </c>
      <c r="AJ84" s="57" t="str">
        <f aca="false">IF($B84="","",MAX(0,AK84-(SUMIFS('سجل الإجازات والحالات'!$AQ$6:$AQ$505,'سجل الإجازات والحالات'!$B$6:$B$505,$B84)-SUMIFS('سجل الإجازات والحالات'!$AP$6:$AP$505,'سجل الإجازات والحالات'!$B$6:$B$505,$B84))))</f>
        <v/>
      </c>
      <c r="AK84" s="57" t="str">
        <f aca="false">IF($B84="","",MAX(0,IF(OR(الموظفون!$AE84="",الموظفون!$AE84&gt;$F$3),$F$3,الموظفون!$AE84)-MAX($E$3,الموظفون!$H84)+1))</f>
        <v/>
      </c>
      <c r="AL84" s="126" t="str">
        <f aca="false">IF($B84="","",SUMIFS('سجل الإجازات والحالات'!$BC$6:$BC$505,'سجل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والحالات'!$AE$6:$AE$505,'سجل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والحالات'!$AQ$6:$AQ$505,'سجل الإجازات والحالات'!$B$6:$B$505,$B85))/cfg_DAYS_Y)</f>
        <v/>
      </c>
      <c r="AI85" s="135" t="str">
        <f aca="false">IF($B85="","",MAX(0,IF(OR(الموظفون!$AE85="",الموظفون!$AE85&gt;($E$3-1)),($E$3-1),الموظفون!$AE85)-الموظفون!$H85+1-SUMIFS('سجل الإجازات والحالات'!$AP$6:$AP$505,'سجل الإجازات والحالات'!$B$6:$B$505,$B85))/cfg_DAYS_Y)</f>
        <v/>
      </c>
      <c r="AJ85" s="110" t="str">
        <f aca="false">IF($B85="","",MAX(0,AK85-(SUMIFS('سجل الإجازات والحالات'!$AQ$6:$AQ$505,'سجل الإجازات والحالات'!$B$6:$B$505,$B85)-SUMIFS('سجل الإجازات والحالات'!$AP$6:$AP$505,'سجل الإجازات والحالات'!$B$6:$B$505,$B85))))</f>
        <v/>
      </c>
      <c r="AK85" s="110" t="str">
        <f aca="false">IF($B85="","",MAX(0,IF(OR(الموظفون!$AE85="",الموظفون!$AE85&gt;$F$3),$F$3,الموظفون!$AE85)-MAX($E$3,الموظفون!$H85)+1))</f>
        <v/>
      </c>
      <c r="AL85" s="131" t="str">
        <f aca="false">IF($B85="","",SUMIFS('سجل الإجازات والحالات'!$BC$6:$BC$505,'سجل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والحالات'!$AE$6:$AE$505,'سجل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والحالات'!$AQ$6:$AQ$505,'سجل الإجازات والحالات'!$B$6:$B$505,$B86))/cfg_DAYS_Y)</f>
        <v/>
      </c>
      <c r="AI86" s="130" t="str">
        <f aca="false">IF($B86="","",MAX(0,IF(OR(الموظفون!$AE86="",الموظفون!$AE86&gt;($E$3-1)),($E$3-1),الموظفون!$AE86)-الموظفون!$H86+1-SUMIFS('سجل الإجازات والحالات'!$AP$6:$AP$505,'سجل الإجازات والحالات'!$B$6:$B$505,$B86))/cfg_DAYS_Y)</f>
        <v/>
      </c>
      <c r="AJ86" s="57" t="str">
        <f aca="false">IF($B86="","",MAX(0,AK86-(SUMIFS('سجل الإجازات والحالات'!$AQ$6:$AQ$505,'سجل الإجازات والحالات'!$B$6:$B$505,$B86)-SUMIFS('سجل الإجازات والحالات'!$AP$6:$AP$505,'سجل الإجازات والحالات'!$B$6:$B$505,$B86))))</f>
        <v/>
      </c>
      <c r="AK86" s="57" t="str">
        <f aca="false">IF($B86="","",MAX(0,IF(OR(الموظفون!$AE86="",الموظفون!$AE86&gt;$F$3),$F$3,الموظفون!$AE86)-MAX($E$3,الموظفون!$H86)+1))</f>
        <v/>
      </c>
      <c r="AL86" s="126" t="str">
        <f aca="false">IF($B86="","",SUMIFS('سجل الإجازات والحالات'!$BC$6:$BC$505,'سجل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والحالات'!$AE$6:$AE$505,'سجل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والحالات'!$AQ$6:$AQ$505,'سجل الإجازات والحالات'!$B$6:$B$505,$B87))/cfg_DAYS_Y)</f>
        <v/>
      </c>
      <c r="AI87" s="135" t="str">
        <f aca="false">IF($B87="","",MAX(0,IF(OR(الموظفون!$AE87="",الموظفون!$AE87&gt;($E$3-1)),($E$3-1),الموظفون!$AE87)-الموظفون!$H87+1-SUMIFS('سجل الإجازات والحالات'!$AP$6:$AP$505,'سجل الإجازات والحالات'!$B$6:$B$505,$B87))/cfg_DAYS_Y)</f>
        <v/>
      </c>
      <c r="AJ87" s="110" t="str">
        <f aca="false">IF($B87="","",MAX(0,AK87-(SUMIFS('سجل الإجازات والحالات'!$AQ$6:$AQ$505,'سجل الإجازات والحالات'!$B$6:$B$505,$B87)-SUMIFS('سجل الإجازات والحالات'!$AP$6:$AP$505,'سجل الإجازات والحالات'!$B$6:$B$505,$B87))))</f>
        <v/>
      </c>
      <c r="AK87" s="110" t="str">
        <f aca="false">IF($B87="","",MAX(0,IF(OR(الموظفون!$AE87="",الموظفون!$AE87&gt;$F$3),$F$3,الموظفون!$AE87)-MAX($E$3,الموظفون!$H87)+1))</f>
        <v/>
      </c>
      <c r="AL87" s="131" t="str">
        <f aca="false">IF($B87="","",SUMIFS('سجل الإجازات والحالات'!$BC$6:$BC$505,'سجل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والحالات'!$AE$6:$AE$505,'سجل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والحالات'!$AQ$6:$AQ$505,'سجل الإجازات والحالات'!$B$6:$B$505,$B88))/cfg_DAYS_Y)</f>
        <v/>
      </c>
      <c r="AI88" s="130" t="str">
        <f aca="false">IF($B88="","",MAX(0,IF(OR(الموظفون!$AE88="",الموظفون!$AE88&gt;($E$3-1)),($E$3-1),الموظفون!$AE88)-الموظفون!$H88+1-SUMIFS('سجل الإجازات والحالات'!$AP$6:$AP$505,'سجل الإجازات والحالات'!$B$6:$B$505,$B88))/cfg_DAYS_Y)</f>
        <v/>
      </c>
      <c r="AJ88" s="57" t="str">
        <f aca="false">IF($B88="","",MAX(0,AK88-(SUMIFS('سجل الإجازات والحالات'!$AQ$6:$AQ$505,'سجل الإجازات والحالات'!$B$6:$B$505,$B88)-SUMIFS('سجل الإجازات والحالات'!$AP$6:$AP$505,'سجل الإجازات والحالات'!$B$6:$B$505,$B88))))</f>
        <v/>
      </c>
      <c r="AK88" s="57" t="str">
        <f aca="false">IF($B88="","",MAX(0,IF(OR(الموظفون!$AE88="",الموظفون!$AE88&gt;$F$3),$F$3,الموظفون!$AE88)-MAX($E$3,الموظفون!$H88)+1))</f>
        <v/>
      </c>
      <c r="AL88" s="126" t="str">
        <f aca="false">IF($B88="","",SUMIFS('سجل الإجازات والحالات'!$BC$6:$BC$505,'سجل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والحالات'!$AE$6:$AE$505,'سجل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والحالات'!$AQ$6:$AQ$505,'سجل الإجازات والحالات'!$B$6:$B$505,$B89))/cfg_DAYS_Y)</f>
        <v/>
      </c>
      <c r="AI89" s="135" t="str">
        <f aca="false">IF($B89="","",MAX(0,IF(OR(الموظفون!$AE89="",الموظفون!$AE89&gt;($E$3-1)),($E$3-1),الموظفون!$AE89)-الموظفون!$H89+1-SUMIFS('سجل الإجازات والحالات'!$AP$6:$AP$505,'سجل الإجازات والحالات'!$B$6:$B$505,$B89))/cfg_DAYS_Y)</f>
        <v/>
      </c>
      <c r="AJ89" s="110" t="str">
        <f aca="false">IF($B89="","",MAX(0,AK89-(SUMIFS('سجل الإجازات والحالات'!$AQ$6:$AQ$505,'سجل الإجازات والحالات'!$B$6:$B$505,$B89)-SUMIFS('سجل الإجازات والحالات'!$AP$6:$AP$505,'سجل الإجازات والحالات'!$B$6:$B$505,$B89))))</f>
        <v/>
      </c>
      <c r="AK89" s="110" t="str">
        <f aca="false">IF($B89="","",MAX(0,IF(OR(الموظفون!$AE89="",الموظفون!$AE89&gt;$F$3),$F$3,الموظفون!$AE89)-MAX($E$3,الموظفون!$H89)+1))</f>
        <v/>
      </c>
      <c r="AL89" s="131" t="str">
        <f aca="false">IF($B89="","",SUMIFS('سجل الإجازات والحالات'!$BC$6:$BC$505,'سجل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والحالات'!$AE$6:$AE$505,'سجل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والحالات'!$AQ$6:$AQ$505,'سجل الإجازات والحالات'!$B$6:$B$505,$B90))/cfg_DAYS_Y)</f>
        <v/>
      </c>
      <c r="AI90" s="130" t="str">
        <f aca="false">IF($B90="","",MAX(0,IF(OR(الموظفون!$AE90="",الموظفون!$AE90&gt;($E$3-1)),($E$3-1),الموظفون!$AE90)-الموظفون!$H90+1-SUMIFS('سجل الإجازات والحالات'!$AP$6:$AP$505,'سجل الإجازات والحالات'!$B$6:$B$505,$B90))/cfg_DAYS_Y)</f>
        <v/>
      </c>
      <c r="AJ90" s="57" t="str">
        <f aca="false">IF($B90="","",MAX(0,AK90-(SUMIFS('سجل الإجازات والحالات'!$AQ$6:$AQ$505,'سجل الإجازات والحالات'!$B$6:$B$505,$B90)-SUMIFS('سجل الإجازات والحالات'!$AP$6:$AP$505,'سجل الإجازات والحالات'!$B$6:$B$505,$B90))))</f>
        <v/>
      </c>
      <c r="AK90" s="57" t="str">
        <f aca="false">IF($B90="","",MAX(0,IF(OR(الموظفون!$AE90="",الموظفون!$AE90&gt;$F$3),$F$3,الموظفون!$AE90)-MAX($E$3,الموظفون!$H90)+1))</f>
        <v/>
      </c>
      <c r="AL90" s="126" t="str">
        <f aca="false">IF($B90="","",SUMIFS('سجل الإجازات والحالات'!$BC$6:$BC$505,'سجل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والحالات'!$AE$6:$AE$505,'سجل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والحالات'!$AQ$6:$AQ$505,'سجل الإجازات والحالات'!$B$6:$B$505,$B91))/cfg_DAYS_Y)</f>
        <v/>
      </c>
      <c r="AI91" s="135" t="str">
        <f aca="false">IF($B91="","",MAX(0,IF(OR(الموظفون!$AE91="",الموظفون!$AE91&gt;($E$3-1)),($E$3-1),الموظفون!$AE91)-الموظفون!$H91+1-SUMIFS('سجل الإجازات والحالات'!$AP$6:$AP$505,'سجل الإجازات والحالات'!$B$6:$B$505,$B91))/cfg_DAYS_Y)</f>
        <v/>
      </c>
      <c r="AJ91" s="110" t="str">
        <f aca="false">IF($B91="","",MAX(0,AK91-(SUMIFS('سجل الإجازات والحالات'!$AQ$6:$AQ$505,'سجل الإجازات والحالات'!$B$6:$B$505,$B91)-SUMIFS('سجل الإجازات والحالات'!$AP$6:$AP$505,'سجل الإجازات والحالات'!$B$6:$B$505,$B91))))</f>
        <v/>
      </c>
      <c r="AK91" s="110" t="str">
        <f aca="false">IF($B91="","",MAX(0,IF(OR(الموظفون!$AE91="",الموظفون!$AE91&gt;$F$3),$F$3,الموظفون!$AE91)-MAX($E$3,الموظفون!$H91)+1))</f>
        <v/>
      </c>
      <c r="AL91" s="131" t="str">
        <f aca="false">IF($B91="","",SUMIFS('سجل الإجازات والحالات'!$BC$6:$BC$505,'سجل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والحالات'!$AE$6:$AE$505,'سجل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والحالات'!$AQ$6:$AQ$505,'سجل الإجازات والحالات'!$B$6:$B$505,$B92))/cfg_DAYS_Y)</f>
        <v/>
      </c>
      <c r="AI92" s="130" t="str">
        <f aca="false">IF($B92="","",MAX(0,IF(OR(الموظفون!$AE92="",الموظفون!$AE92&gt;($E$3-1)),($E$3-1),الموظفون!$AE92)-الموظفون!$H92+1-SUMIFS('سجل الإجازات والحالات'!$AP$6:$AP$505,'سجل الإجازات والحالات'!$B$6:$B$505,$B92))/cfg_DAYS_Y)</f>
        <v/>
      </c>
      <c r="AJ92" s="57" t="str">
        <f aca="false">IF($B92="","",MAX(0,AK92-(SUMIFS('سجل الإجازات والحالات'!$AQ$6:$AQ$505,'سجل الإجازات والحالات'!$B$6:$B$505,$B92)-SUMIFS('سجل الإجازات والحالات'!$AP$6:$AP$505,'سجل الإجازات والحالات'!$B$6:$B$505,$B92))))</f>
        <v/>
      </c>
      <c r="AK92" s="57" t="str">
        <f aca="false">IF($B92="","",MAX(0,IF(OR(الموظفون!$AE92="",الموظفون!$AE92&gt;$F$3),$F$3,الموظفون!$AE92)-MAX($E$3,الموظفون!$H92)+1))</f>
        <v/>
      </c>
      <c r="AL92" s="126" t="str">
        <f aca="false">IF($B92="","",SUMIFS('سجل الإجازات والحالات'!$BC$6:$BC$505,'سجل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والحالات'!$AE$6:$AE$505,'سجل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والحالات'!$AQ$6:$AQ$505,'سجل الإجازات والحالات'!$B$6:$B$505,$B93))/cfg_DAYS_Y)</f>
        <v/>
      </c>
      <c r="AI93" s="135" t="str">
        <f aca="false">IF($B93="","",MAX(0,IF(OR(الموظفون!$AE93="",الموظفون!$AE93&gt;($E$3-1)),($E$3-1),الموظفون!$AE93)-الموظفون!$H93+1-SUMIFS('سجل الإجازات والحالات'!$AP$6:$AP$505,'سجل الإجازات والحالات'!$B$6:$B$505,$B93))/cfg_DAYS_Y)</f>
        <v/>
      </c>
      <c r="AJ93" s="110" t="str">
        <f aca="false">IF($B93="","",MAX(0,AK93-(SUMIFS('سجل الإجازات والحالات'!$AQ$6:$AQ$505,'سجل الإجازات والحالات'!$B$6:$B$505,$B93)-SUMIFS('سجل الإجازات والحالات'!$AP$6:$AP$505,'سجل الإجازات والحالات'!$B$6:$B$505,$B93))))</f>
        <v/>
      </c>
      <c r="AK93" s="110" t="str">
        <f aca="false">IF($B93="","",MAX(0,IF(OR(الموظفون!$AE93="",الموظفون!$AE93&gt;$F$3),$F$3,الموظفون!$AE93)-MAX($E$3,الموظفون!$H93)+1))</f>
        <v/>
      </c>
      <c r="AL93" s="131" t="str">
        <f aca="false">IF($B93="","",SUMIFS('سجل الإجازات والحالات'!$BC$6:$BC$505,'سجل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والحالات'!$AE$6:$AE$505,'سجل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والحالات'!$AQ$6:$AQ$505,'سجل الإجازات والحالات'!$B$6:$B$505,$B94))/cfg_DAYS_Y)</f>
        <v/>
      </c>
      <c r="AI94" s="130" t="str">
        <f aca="false">IF($B94="","",MAX(0,IF(OR(الموظفون!$AE94="",الموظفون!$AE94&gt;($E$3-1)),($E$3-1),الموظفون!$AE94)-الموظفون!$H94+1-SUMIFS('سجل الإجازات والحالات'!$AP$6:$AP$505,'سجل الإجازات والحالات'!$B$6:$B$505,$B94))/cfg_DAYS_Y)</f>
        <v/>
      </c>
      <c r="AJ94" s="57" t="str">
        <f aca="false">IF($B94="","",MAX(0,AK94-(SUMIFS('سجل الإجازات والحالات'!$AQ$6:$AQ$505,'سجل الإجازات والحالات'!$B$6:$B$505,$B94)-SUMIFS('سجل الإجازات والحالات'!$AP$6:$AP$505,'سجل الإجازات والحالات'!$B$6:$B$505,$B94))))</f>
        <v/>
      </c>
      <c r="AK94" s="57" t="str">
        <f aca="false">IF($B94="","",MAX(0,IF(OR(الموظفون!$AE94="",الموظفون!$AE94&gt;$F$3),$F$3,الموظفون!$AE94)-MAX($E$3,الموظفون!$H94)+1))</f>
        <v/>
      </c>
      <c r="AL94" s="126" t="str">
        <f aca="false">IF($B94="","",SUMIFS('سجل الإجازات والحالات'!$BC$6:$BC$505,'سجل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والحالات'!$AE$6:$AE$505,'سجل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والحالات'!$AQ$6:$AQ$505,'سجل الإجازات والحالات'!$B$6:$B$505,$B95))/cfg_DAYS_Y)</f>
        <v/>
      </c>
      <c r="AI95" s="135" t="str">
        <f aca="false">IF($B95="","",MAX(0,IF(OR(الموظفون!$AE95="",الموظفون!$AE95&gt;($E$3-1)),($E$3-1),الموظفون!$AE95)-الموظفون!$H95+1-SUMIFS('سجل الإجازات والحالات'!$AP$6:$AP$505,'سجل الإجازات والحالات'!$B$6:$B$505,$B95))/cfg_DAYS_Y)</f>
        <v/>
      </c>
      <c r="AJ95" s="110" t="str">
        <f aca="false">IF($B95="","",MAX(0,AK95-(SUMIFS('سجل الإجازات والحالات'!$AQ$6:$AQ$505,'سجل الإجازات والحالات'!$B$6:$B$505,$B95)-SUMIFS('سجل الإجازات والحالات'!$AP$6:$AP$505,'سجل الإجازات والحالات'!$B$6:$B$505,$B95))))</f>
        <v/>
      </c>
      <c r="AK95" s="110" t="str">
        <f aca="false">IF($B95="","",MAX(0,IF(OR(الموظفون!$AE95="",الموظفون!$AE95&gt;$F$3),$F$3,الموظفون!$AE95)-MAX($E$3,الموظفون!$H95)+1))</f>
        <v/>
      </c>
      <c r="AL95" s="131" t="str">
        <f aca="false">IF($B95="","",SUMIFS('سجل الإجازات والحالات'!$BC$6:$BC$505,'سجل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والحالات'!$AE$6:$AE$505,'سجل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والحالات'!$AQ$6:$AQ$505,'سجل الإجازات والحالات'!$B$6:$B$505,$B96))/cfg_DAYS_Y)</f>
        <v/>
      </c>
      <c r="AI96" s="130" t="str">
        <f aca="false">IF($B96="","",MAX(0,IF(OR(الموظفون!$AE96="",الموظفون!$AE96&gt;($E$3-1)),($E$3-1),الموظفون!$AE96)-الموظفون!$H96+1-SUMIFS('سجل الإجازات والحالات'!$AP$6:$AP$505,'سجل الإجازات والحالات'!$B$6:$B$505,$B96))/cfg_DAYS_Y)</f>
        <v/>
      </c>
      <c r="AJ96" s="57" t="str">
        <f aca="false">IF($B96="","",MAX(0,AK96-(SUMIFS('سجل الإجازات والحالات'!$AQ$6:$AQ$505,'سجل الإجازات والحالات'!$B$6:$B$505,$B96)-SUMIFS('سجل الإجازات والحالات'!$AP$6:$AP$505,'سجل الإجازات والحالات'!$B$6:$B$505,$B96))))</f>
        <v/>
      </c>
      <c r="AK96" s="57" t="str">
        <f aca="false">IF($B96="","",MAX(0,IF(OR(الموظفون!$AE96="",الموظفون!$AE96&gt;$F$3),$F$3,الموظفون!$AE96)-MAX($E$3,الموظفون!$H96)+1))</f>
        <v/>
      </c>
      <c r="AL96" s="126" t="str">
        <f aca="false">IF($B96="","",SUMIFS('سجل الإجازات والحالات'!$BC$6:$BC$505,'سجل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والحالات'!$AE$6:$AE$505,'سجل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والحالات'!$AQ$6:$AQ$505,'سجل الإجازات والحالات'!$B$6:$B$505,$B97))/cfg_DAYS_Y)</f>
        <v/>
      </c>
      <c r="AI97" s="135" t="str">
        <f aca="false">IF($B97="","",MAX(0,IF(OR(الموظفون!$AE97="",الموظفون!$AE97&gt;($E$3-1)),($E$3-1),الموظفون!$AE97)-الموظفون!$H97+1-SUMIFS('سجل الإجازات والحالات'!$AP$6:$AP$505,'سجل الإجازات والحالات'!$B$6:$B$505,$B97))/cfg_DAYS_Y)</f>
        <v/>
      </c>
      <c r="AJ97" s="110" t="str">
        <f aca="false">IF($B97="","",MAX(0,AK97-(SUMIFS('سجل الإجازات والحالات'!$AQ$6:$AQ$505,'سجل الإجازات والحالات'!$B$6:$B$505,$B97)-SUMIFS('سجل الإجازات والحالات'!$AP$6:$AP$505,'سجل الإجازات والحالات'!$B$6:$B$505,$B97))))</f>
        <v/>
      </c>
      <c r="AK97" s="110" t="str">
        <f aca="false">IF($B97="","",MAX(0,IF(OR(الموظفون!$AE97="",الموظفون!$AE97&gt;$F$3),$F$3,الموظفون!$AE97)-MAX($E$3,الموظفون!$H97)+1))</f>
        <v/>
      </c>
      <c r="AL97" s="131" t="str">
        <f aca="false">IF($B97="","",SUMIFS('سجل الإجازات والحالات'!$BC$6:$BC$505,'سجل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والحالات'!$AE$6:$AE$505,'سجل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والحالات'!$AQ$6:$AQ$505,'سجل الإجازات والحالات'!$B$6:$B$505,$B98))/cfg_DAYS_Y)</f>
        <v/>
      </c>
      <c r="AI98" s="130" t="str">
        <f aca="false">IF($B98="","",MAX(0,IF(OR(الموظفون!$AE98="",الموظفون!$AE98&gt;($E$3-1)),($E$3-1),الموظفون!$AE98)-الموظفون!$H98+1-SUMIFS('سجل الإجازات والحالات'!$AP$6:$AP$505,'سجل الإجازات والحالات'!$B$6:$B$505,$B98))/cfg_DAYS_Y)</f>
        <v/>
      </c>
      <c r="AJ98" s="57" t="str">
        <f aca="false">IF($B98="","",MAX(0,AK98-(SUMIFS('سجل الإجازات والحالات'!$AQ$6:$AQ$505,'سجل الإجازات والحالات'!$B$6:$B$505,$B98)-SUMIFS('سجل الإجازات والحالات'!$AP$6:$AP$505,'سجل الإجازات والحالات'!$B$6:$B$505,$B98))))</f>
        <v/>
      </c>
      <c r="AK98" s="57" t="str">
        <f aca="false">IF($B98="","",MAX(0,IF(OR(الموظفون!$AE98="",الموظفون!$AE98&gt;$F$3),$F$3,الموظفون!$AE98)-MAX($E$3,الموظفون!$H98)+1))</f>
        <v/>
      </c>
      <c r="AL98" s="126" t="str">
        <f aca="false">IF($B98="","",SUMIFS('سجل الإجازات والحالات'!$BC$6:$BC$505,'سجل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والحالات'!$AE$6:$AE$505,'سجل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والحالات'!$AQ$6:$AQ$505,'سجل الإجازات والحالات'!$B$6:$B$505,$B99))/cfg_DAYS_Y)</f>
        <v/>
      </c>
      <c r="AI99" s="135" t="str">
        <f aca="false">IF($B99="","",MAX(0,IF(OR(الموظفون!$AE99="",الموظفون!$AE99&gt;($E$3-1)),($E$3-1),الموظفون!$AE99)-الموظفون!$H99+1-SUMIFS('سجل الإجازات والحالات'!$AP$6:$AP$505,'سجل الإجازات والحالات'!$B$6:$B$505,$B99))/cfg_DAYS_Y)</f>
        <v/>
      </c>
      <c r="AJ99" s="110" t="str">
        <f aca="false">IF($B99="","",MAX(0,AK99-(SUMIFS('سجل الإجازات والحالات'!$AQ$6:$AQ$505,'سجل الإجازات والحالات'!$B$6:$B$505,$B99)-SUMIFS('سجل الإجازات والحالات'!$AP$6:$AP$505,'سجل الإجازات والحالات'!$B$6:$B$505,$B99))))</f>
        <v/>
      </c>
      <c r="AK99" s="110" t="str">
        <f aca="false">IF($B99="","",MAX(0,IF(OR(الموظفون!$AE99="",الموظفون!$AE99&gt;$F$3),$F$3,الموظفون!$AE99)-MAX($E$3,الموظفون!$H99)+1))</f>
        <v/>
      </c>
      <c r="AL99" s="131" t="str">
        <f aca="false">IF($B99="","",SUMIFS('سجل الإجازات والحالات'!$BC$6:$BC$505,'سجل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والحالات'!$AE$6:$AE$505,'سجل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والحالات'!$AQ$6:$AQ$505,'سجل الإجازات والحالات'!$B$6:$B$505,$B100))/cfg_DAYS_Y)</f>
        <v/>
      </c>
      <c r="AI100" s="130" t="str">
        <f aca="false">IF($B100="","",MAX(0,IF(OR(الموظفون!$AE100="",الموظفون!$AE100&gt;($E$3-1)),($E$3-1),الموظفون!$AE100)-الموظفون!$H100+1-SUMIFS('سجل الإجازات والحالات'!$AP$6:$AP$505,'سجل الإجازات والحالات'!$B$6:$B$505,$B100))/cfg_DAYS_Y)</f>
        <v/>
      </c>
      <c r="AJ100" s="57" t="str">
        <f aca="false">IF($B100="","",MAX(0,AK100-(SUMIFS('سجل الإجازات والحالات'!$AQ$6:$AQ$505,'سجل الإجازات والحالات'!$B$6:$B$505,$B100)-SUMIFS('سجل الإجازات والحالات'!$AP$6:$AP$505,'سجل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والحالات'!$BC$6:$BC$505,'سجل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والحالات'!$AE$6:$AE$505,'سجل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والحالات'!$AQ$6:$AQ$505,'سجل الإجازات والحالات'!$B$6:$B$505,$B101))/cfg_DAYS_Y)</f>
        <v/>
      </c>
      <c r="AI101" s="135" t="str">
        <f aca="false">IF($B101="","",MAX(0,IF(OR(الموظفون!$AE101="",الموظفون!$AE101&gt;($E$3-1)),($E$3-1),الموظفون!$AE101)-الموظفون!$H101+1-SUMIFS('سجل الإجازات والحالات'!$AP$6:$AP$505,'سجل الإجازات والحالات'!$B$6:$B$505,$B101))/cfg_DAYS_Y)</f>
        <v/>
      </c>
      <c r="AJ101" s="110" t="str">
        <f aca="false">IF($B101="","",MAX(0,AK101-(SUMIFS('سجل الإجازات والحالات'!$AQ$6:$AQ$505,'سجل الإجازات والحالات'!$B$6:$B$505,$B101)-SUMIFS('سجل الإجازات والحالات'!$AP$6:$AP$505,'سجل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والحالات'!$BC$6:$BC$505,'سجل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والحالات'!$AE$6:$AE$505,'سجل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والحالات'!$AQ$6:$AQ$505,'سجل الإجازات والحالات'!$B$6:$B$505,$B102))/cfg_DAYS_Y)</f>
        <v/>
      </c>
      <c r="AI102" s="130" t="str">
        <f aca="false">IF($B102="","",MAX(0,IF(OR(الموظفون!$AE102="",الموظفون!$AE102&gt;($E$3-1)),($E$3-1),الموظفون!$AE102)-الموظفون!$H102+1-SUMIFS('سجل الإجازات والحالات'!$AP$6:$AP$505,'سجل الإجازات والحالات'!$B$6:$B$505,$B102))/cfg_DAYS_Y)</f>
        <v/>
      </c>
      <c r="AJ102" s="57" t="str">
        <f aca="false">IF($B102="","",MAX(0,AK102-(SUMIFS('سجل الإجازات والحالات'!$AQ$6:$AQ$505,'سجل الإجازات والحالات'!$B$6:$B$505,$B102)-SUMIFS('سجل الإجازات والحالات'!$AP$6:$AP$505,'سجل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والحالات'!$BC$6:$BC$505,'سجل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والحالات'!$AE$6:$AE$505,'سجل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والحالات'!$AQ$6:$AQ$505,'سجل الإجازات والحالات'!$B$6:$B$505,$B103))/cfg_DAYS_Y)</f>
        <v/>
      </c>
      <c r="AI103" s="135" t="str">
        <f aca="false">IF($B103="","",MAX(0,IF(OR(الموظفون!$AE103="",الموظفون!$AE103&gt;($E$3-1)),($E$3-1),الموظفون!$AE103)-الموظفون!$H103+1-SUMIFS('سجل الإجازات والحالات'!$AP$6:$AP$505,'سجل الإجازات والحالات'!$B$6:$B$505,$B103))/cfg_DAYS_Y)</f>
        <v/>
      </c>
      <c r="AJ103" s="110" t="str">
        <f aca="false">IF($B103="","",MAX(0,AK103-(SUMIFS('سجل الإجازات والحالات'!$AQ$6:$AQ$505,'سجل الإجازات والحالات'!$B$6:$B$505,$B103)-SUMIFS('سجل الإجازات والحالات'!$AP$6:$AP$505,'سجل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والحالات'!$BC$6:$BC$505,'سجل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والحالات'!$AE$6:$AE$505,'سجل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والحالات'!$AQ$6:$AQ$505,'سجل الإجازات والحالات'!$B$6:$B$505,$B104))/cfg_DAYS_Y)</f>
        <v/>
      </c>
      <c r="AI104" s="130" t="str">
        <f aca="false">IF($B104="","",MAX(0,IF(OR(الموظفون!$AE104="",الموظفون!$AE104&gt;($E$3-1)),($E$3-1),الموظفون!$AE104)-الموظفون!$H104+1-SUMIFS('سجل الإجازات والحالات'!$AP$6:$AP$505,'سجل الإجازات والحالات'!$B$6:$B$505,$B104))/cfg_DAYS_Y)</f>
        <v/>
      </c>
      <c r="AJ104" s="57" t="str">
        <f aca="false">IF($B104="","",MAX(0,AK104-(SUMIFS('سجل الإجازات والحالات'!$AQ$6:$AQ$505,'سجل الإجازات والحالات'!$B$6:$B$505,$B104)-SUMIFS('سجل الإجازات والحالات'!$AP$6:$AP$505,'سجل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والحالات'!$BC$6:$BC$505,'سجل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والحالات'!$AE$6:$AE$505,'سجل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والحالات'!$AQ$6:$AQ$505,'سجل الإجازات والحالات'!$B$6:$B$505,$B105))/cfg_DAYS_Y)</f>
        <v/>
      </c>
      <c r="AI105" s="135" t="str">
        <f aca="false">IF($B105="","",MAX(0,IF(OR(الموظفون!$AE105="",الموظفون!$AE105&gt;($E$3-1)),($E$3-1),الموظفون!$AE105)-الموظفون!$H105+1-SUMIFS('سجل الإجازات والحالات'!$AP$6:$AP$505,'سجل الإجازات والحالات'!$B$6:$B$505,$B105))/cfg_DAYS_Y)</f>
        <v/>
      </c>
      <c r="AJ105" s="110" t="str">
        <f aca="false">IF($B105="","",MAX(0,AK105-(SUMIFS('سجل الإجازات والحالات'!$AQ$6:$AQ$505,'سجل الإجازات والحالات'!$B$6:$B$505,$B105)-SUMIFS('سجل الإجازات والحالات'!$AP$6:$AP$505,'سجل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والحالات'!$BC$6:$BC$505,'سجل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والحالات'!$AE$6:$AE$505,'سجل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19</v>
      </c>
      <c r="J106" s="136" t="n">
        <f aca="false">SUM(J6:J105)</f>
        <v>311</v>
      </c>
      <c r="K106" s="103" t="n">
        <f aca="false">SUM(K6:K105)</f>
        <v>128266.666666667</v>
      </c>
      <c r="L106" s="103" t="n">
        <f aca="false">SUM(L6:L105)</f>
        <v>32066.6666666667</v>
      </c>
      <c r="M106" s="103" t="n">
        <f aca="false">SUM(M6:M105)</f>
        <v>12826.6666666667</v>
      </c>
      <c r="N106" s="103" t="n">
        <f aca="false">SUM(N6:N105)</f>
        <v>8716.66666666667</v>
      </c>
      <c r="O106" s="136" t="n">
        <f aca="false">SUM(O6:O105)</f>
        <v>0</v>
      </c>
      <c r="P106" s="103" t="n">
        <f aca="false">SUM(P6:P105)</f>
        <v>0</v>
      </c>
      <c r="Q106" s="103" t="n">
        <f aca="false">SUM(Q6:Q105)</f>
        <v>0</v>
      </c>
      <c r="R106" s="103" t="n">
        <f aca="false">SUM(R6:R105)</f>
        <v>0</v>
      </c>
      <c r="S106" s="103" t="n">
        <f aca="false">SUM(S6:S105)</f>
        <v>0</v>
      </c>
      <c r="T106" s="103" t="n">
        <f aca="false">SUM(T6:T105)</f>
        <v>181876.666666667</v>
      </c>
      <c r="U106" s="103" t="n">
        <f aca="false">SUM(U6:U105)</f>
        <v>12370.3125</v>
      </c>
      <c r="V106" s="103" t="n">
        <f aca="false">SUM(V6:V105)</f>
        <v>0</v>
      </c>
      <c r="W106" s="103" t="n">
        <f aca="false">SUM(W6:W105)</f>
        <v>0</v>
      </c>
      <c r="X106" s="103" t="n">
        <f aca="false">SUM(X6:X105)</f>
        <v>12370.3125</v>
      </c>
      <c r="Y106" s="103" t="n">
        <f aca="false">SUM(Y6:Y105)</f>
        <v>169506.354166667</v>
      </c>
      <c r="Z106" s="103" t="n">
        <f aca="false">SUM(Z6:Z105)</f>
        <v>15782.8125</v>
      </c>
      <c r="AA106" s="103" t="n">
        <f aca="false">SUM(AA6:AA105)</f>
        <v>13103.3219178082</v>
      </c>
      <c r="AB106" s="103" t="n">
        <f aca="false">SUM(AB6:AB105)</f>
        <v>13756.8698630137</v>
      </c>
      <c r="AC106" s="103" t="n">
        <f aca="false">SUM(AC6:AC105)</f>
        <v>849.315068493151</v>
      </c>
      <c r="AD106" s="103" t="n">
        <f aca="false">SUM(AD6:AD105)</f>
        <v>3416.66666666667</v>
      </c>
      <c r="AE106" s="103" t="n">
        <f aca="false">SUM(AE6:AE105)</f>
        <v>2650</v>
      </c>
      <c r="AF106" s="103" t="n">
        <f aca="false">SUM(AF6:AF105)</f>
        <v>400</v>
      </c>
      <c r="AG106" s="103" t="n">
        <f aca="false">SUM(AG6:AG105)</f>
        <v>231835.652682648</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سبتمبر'!A1" display="◀ الشهر السابق"/>
    <hyperlink ref="L3" location="'مسير نوفمب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نوفمبر "&amp;cfg_FY</f>
        <v>💵 مسير رواتب شهر نوفمبر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11</v>
      </c>
      <c r="D3" s="112" t="s">
        <v>434</v>
      </c>
      <c r="E3" s="114" t="n">
        <f aca="false">DATE(cfg_FY,C3,1)</f>
        <v>46327</v>
      </c>
      <c r="F3" s="114" t="n">
        <f aca="false">EOMONTH(E3,0)</f>
        <v>46356</v>
      </c>
      <c r="G3" s="115" t="str">
        <f aca="false">IF(C3&lt;=cfg_VAL_M,"✔ فعلي","⚠ متوقع")</f>
        <v>⚠ متوقع</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3106.84931506854</v>
      </c>
      <c r="AB6" s="97" t="n">
        <f aca="false">IF($B6="","",IF(الموظفون!$T6&lt;&gt;"",الموظفون!$T6,IF(AH6&gt;=cfg_LV_TH,cfg_LV_D2,cfg_LV_D1))/cfg_DAYS_Y*AJ6*الموظفون!$R6/cfg_DAYS_M)</f>
        <v>3106.84931506849</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51526.198630137</v>
      </c>
      <c r="AH6" s="130" t="n">
        <f aca="false">IF($B6="","",MAX(0,IF(OR(الموظفون!$AE6="",الموظفون!$AE6&gt;$F$3),$F$3,الموظفون!$AE6)-الموظفون!$H6+1-SUMIFS('سجل الإجازات والحالات'!$AR$6:$AR$505,'سجل الإجازات والحالات'!$B$6:$B$505,$B6))/cfg_DAYS_Y)</f>
        <v>14.8876712328767</v>
      </c>
      <c r="AI6" s="130" t="n">
        <f aca="false">IF($B6="","",MAX(0,IF(OR(الموظفون!$AE6="",الموظفون!$AE6&gt;($E$3-1)),($E$3-1),الموظفون!$AE6)-الموظفون!$H6+1-SUMIFS('سجل الإجازات والحالات'!$AQ$6:$AQ$505,'سجل الإجازات والحالات'!$B$6:$B$505,$B6))/cfg_DAYS_Y)</f>
        <v>14.8054794520548</v>
      </c>
      <c r="AJ6" s="57" t="n">
        <f aca="false">IF($B6="","",MAX(0,AK6-(SUMIFS('سجل الإجازات والحالات'!$AR$6:$AR$505,'سجل الإجازات والحالات'!$B$6:$B$505,$B6)-SUMIFS('سجل الإجازات والحالات'!$AQ$6:$AQ$505,'سجل الإجازات والحالات'!$B$6:$B$505,$B6))))</f>
        <v>30</v>
      </c>
      <c r="AK6" s="57" t="n">
        <f aca="false">IF($B6="","",MAX(0,IF(OR(الموظفون!$AE6="",الموظفون!$AE6&gt;$F$3),$F$3,الموظفون!$AE6)-MAX($E$3,الموظفون!$H6)+1))</f>
        <v>30</v>
      </c>
      <c r="AL6" s="126" t="n">
        <f aca="false">IF($B6="","",SUMIFS('سجل الإجازات والحالات'!$BD$6:$BD$505,'سجل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والحالات'!$AF$6:$AF$505,'سجل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1997.26027397259</v>
      </c>
      <c r="AB7" s="101" t="n">
        <f aca="false">IF($B7="","",IF(الموظفون!$T7&lt;&gt;"",الموظفون!$T7,IF(AH7&gt;=cfg_LV_TH,cfg_LV_D2,cfg_LV_D1))/cfg_DAYS_Y*AJ7*الموظفون!$R7/cfg_DAYS_M)</f>
        <v>1997.2602739726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32238.2705479452</v>
      </c>
      <c r="AH7" s="135" t="n">
        <f aca="false">IF($B7="","",MAX(0,IF(OR(الموظفون!$AE7="",الموظفون!$AE7&gt;$F$3),$F$3,الموظفون!$AE7)-الموظفون!$H7+1-SUMIFS('سجل الإجازات والحالات'!$AR$6:$AR$505,'سجل الإجازات والحالات'!$B$6:$B$505,$B7))/cfg_DAYS_Y)</f>
        <v>10.5068493150685</v>
      </c>
      <c r="AI7" s="135" t="n">
        <f aca="false">IF($B7="","",MAX(0,IF(OR(الموظفون!$AE7="",الموظفون!$AE7&gt;($E$3-1)),($E$3-1),الموظفون!$AE7)-الموظفون!$H7+1-SUMIFS('سجل الإجازات والحالات'!$AQ$6:$AQ$505,'سجل الإجازات والحالات'!$B$6:$B$505,$B7))/cfg_DAYS_Y)</f>
        <v>10.4246575342466</v>
      </c>
      <c r="AJ7" s="110" t="n">
        <f aca="false">IF($B7="","",MAX(0,AK7-(SUMIFS('سجل الإجازات والحالات'!$AR$6:$AR$505,'سجل الإجازات والحالات'!$B$6:$B$505,$B7)-SUMIFS('سجل الإجازات والحالات'!$AQ$6:$AQ$505,'سجل الإجازات والحالات'!$B$6:$B$505,$B7))))</f>
        <v>30</v>
      </c>
      <c r="AK7" s="110" t="n">
        <f aca="false">IF($B7="","",MAX(0,IF(OR(الموظفون!$AE7="",الموظفون!$AE7&gt;$F$3),$F$3,الموظفون!$AE7)-MAX($E$3,الموظفون!$H7)+1))</f>
        <v>30</v>
      </c>
      <c r="AL7" s="131" t="n">
        <f aca="false">IF($B7="","",SUMIFS('سجل الإجازات والحالات'!$BD$6:$BD$505,'سجل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والحالات'!$AF$6:$AF$505,'سجل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943.150684931501</v>
      </c>
      <c r="AB8" s="97" t="n">
        <f aca="false">IF($B8="","",IF(الموظفون!$T8&lt;&gt;"",الموظفون!$T8,IF(AH8&gt;=cfg_LV_TH,cfg_LV_D2,cfg_LV_D1))/cfg_DAYS_Y*AJ8*الموظفون!$R8/cfg_DAYS_M)</f>
        <v>943.150684931507</v>
      </c>
      <c r="AC8" s="97" t="n">
        <f aca="false">IF($B8="","",IF(AND(الموظفون!$U8="نعم",N(الموظفون!$W8)&gt;0),الموظفون!$V8/الموظفون!$W8*12/cfg_DAYS_Y*AJ8,0))</f>
        <v>131.506849315068</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15259.4748858447</v>
      </c>
      <c r="AH8" s="130" t="n">
        <f aca="false">IF($B8="","",MAX(0,IF(OR(الموظفون!$AE8="",الموظفون!$AE8&gt;$F$3),$F$3,الموظفون!$AE8)-الموظفون!$H8+1-SUMIFS('سجل الإجازات والحالات'!$AR$6:$AR$505,'سجل الإجازات والحالات'!$B$6:$B$505,$B8))/cfg_DAYS_Y)</f>
        <v>8.23013698630137</v>
      </c>
      <c r="AI8" s="130" t="n">
        <f aca="false">IF($B8="","",MAX(0,IF(OR(الموظفون!$AE8="",الموظفون!$AE8&gt;($E$3-1)),($E$3-1),الموظفون!$AE8)-الموظفون!$H8+1-SUMIFS('سجل الإجازات والحالات'!$AQ$6:$AQ$505,'سجل الإجازات والحالات'!$B$6:$B$505,$B8))/cfg_DAYS_Y)</f>
        <v>8.14794520547945</v>
      </c>
      <c r="AJ8" s="57" t="n">
        <f aca="false">IF($B8="","",MAX(0,AK8-(SUMIFS('سجل الإجازات والحالات'!$AR$6:$AR$505,'سجل الإجازات والحالات'!$B$6:$B$505,$B8)-SUMIFS('سجل الإجازات والحالات'!$AQ$6:$AQ$505,'سجل الإجازات والحالات'!$B$6:$B$505,$B8))))</f>
        <v>30</v>
      </c>
      <c r="AK8" s="57" t="n">
        <f aca="false">IF($B8="","",MAX(0,IF(OR(الموظفون!$AE8="",الموظفون!$AE8&gt;$F$3),$F$3,الموظفون!$AE8)-MAX($E$3,الموظفون!$H8)+1))</f>
        <v>30</v>
      </c>
      <c r="AL8" s="126" t="n">
        <f aca="false">IF($B8="","",SUMIFS('سجل الإجازات والحالات'!$BD$6:$BD$505,'سجل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والحالات'!$AF$6:$AF$505,'سجل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1553.42465753425</v>
      </c>
      <c r="AB9" s="101" t="n">
        <f aca="false">IF($B9="","",IF(الموظفون!$T9&lt;&gt;"",الموظفون!$T9,IF(AH9&gt;=cfg_LV_TH,cfg_LV_D2,cfg_LV_D1))/cfg_DAYS_Y*AJ9*الموظفون!$R9/cfg_DAYS_M)</f>
        <v>1553.42465753425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24363.0993150685</v>
      </c>
      <c r="AH9" s="135" t="n">
        <f aca="false">IF($B9="","",MAX(0,IF(OR(الموظفون!$AE9="",الموظفون!$AE9&gt;$F$3),$F$3,الموظفون!$AE9)-الموظفون!$H9+1-SUMIFS('سجل الإجازات والحالات'!$AR$6:$AR$505,'سجل الإجازات والحالات'!$B$6:$B$505,$B9))/cfg_DAYS_Y)</f>
        <v>7.83561643835617</v>
      </c>
      <c r="AI9" s="135" t="n">
        <f aca="false">IF($B9="","",MAX(0,IF(OR(الموظفون!$AE9="",الموظفون!$AE9&gt;($E$3-1)),($E$3-1),الموظفون!$AE9)-الموظفون!$H9+1-SUMIFS('سجل الإجازات والحالات'!$AQ$6:$AQ$505,'سجل الإجازات والحالات'!$B$6:$B$505,$B9))/cfg_DAYS_Y)</f>
        <v>7.75342465753425</v>
      </c>
      <c r="AJ9" s="110" t="n">
        <f aca="false">IF($B9="","",MAX(0,AK9-(SUMIFS('سجل الإجازات والحالات'!$AR$6:$AR$505,'سجل الإجازات والحالات'!$B$6:$B$505,$B9)-SUMIFS('سجل الإجازات والحالات'!$AQ$6:$AQ$505,'سجل الإجازات والحالات'!$B$6:$B$505,$B9))))</f>
        <v>30</v>
      </c>
      <c r="AK9" s="110" t="n">
        <f aca="false">IF($B9="","",MAX(0,IF(OR(الموظفون!$AE9="",الموظفون!$AE9&gt;$F$3),$F$3,الموظفون!$AE9)-MAX($E$3,الموظفون!$H9)+1))</f>
        <v>30</v>
      </c>
      <c r="AL9" s="131" t="n">
        <f aca="false">IF($B9="","",SUMIFS('سجل الإجازات والحالات'!$BD$6:$BD$505,'سجل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والحالات'!$AF$6:$AF$505,'سجل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998.630136986305</v>
      </c>
      <c r="AB10" s="97" t="n">
        <f aca="false">IF($B10="","",IF(الموظفون!$T10&lt;&gt;"",الموظفون!$T10,IF(AH10&gt;=cfg_LV_TH,cfg_LV_D2,cfg_LV_D1))/cfg_DAYS_Y*AJ10*الموظفون!$R10/cfg_DAYS_M)</f>
        <v>998.630136986301</v>
      </c>
      <c r="AC10" s="97" t="n">
        <f aca="false">IF($B10="","",IF(AND(الموظفون!$U10="نعم",N(الموظفون!$W10)&gt;0),الموظفون!$V10/الموظفون!$W10*12/cfg_DAYS_Y*AJ10,0))</f>
        <v>230.13698630137</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16356.5639269406</v>
      </c>
      <c r="AH10" s="130" t="n">
        <f aca="false">IF($B10="","",MAX(0,IF(OR(الموظفون!$AE10="",الموظفون!$AE10&gt;$F$3),$F$3,الموظفون!$AE10)-الموظفون!$H10+1-SUMIFS('سجل الإجازات والحالات'!$AR$6:$AR$505,'سجل الإجازات والحالات'!$B$6:$B$505,$B10))/cfg_DAYS_Y)</f>
        <v>6.64109589041096</v>
      </c>
      <c r="AI10" s="130" t="n">
        <f aca="false">IF($B10="","",MAX(0,IF(OR(الموظفون!$AE10="",الموظفون!$AE10&gt;($E$3-1)),($E$3-1),الموظفون!$AE10)-الموظفون!$H10+1-SUMIFS('سجل الإجازات والحالات'!$AQ$6:$AQ$505,'سجل الإجازات والحالات'!$B$6:$B$505,$B10))/cfg_DAYS_Y)</f>
        <v>6.55890410958904</v>
      </c>
      <c r="AJ10" s="57" t="n">
        <f aca="false">IF($B10="","",MAX(0,AK10-(SUMIFS('سجل الإجازات والحالات'!$AR$6:$AR$505,'سجل الإجازات والحالات'!$B$6:$B$505,$B10)-SUMIFS('سجل الإجازات والحالات'!$AQ$6:$AQ$505,'سجل الإجازات والحالات'!$B$6:$B$505,$B10))))</f>
        <v>30</v>
      </c>
      <c r="AK10" s="57" t="n">
        <f aca="false">IF($B10="","",MAX(0,IF(OR(الموظفون!$AE10="",الموظفون!$AE10&gt;$F$3),$F$3,الموظفون!$AE10)-MAX($E$3,الموظفون!$H10)+1))</f>
        <v>30</v>
      </c>
      <c r="AL10" s="126" t="n">
        <f aca="false">IF($B10="","",SUMIFS('سجل الإجازات والحالات'!$BD$6:$BD$505,'سجل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والحالات'!$AF$6:$AF$505,'سجل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1442.46575342465</v>
      </c>
      <c r="AB11" s="101" t="n">
        <f aca="false">IF($B11="","",IF(الموظفون!$T11&lt;&gt;"",الموظفون!$T11,IF(AH11&gt;=cfg_LV_TH,cfg_LV_D2,cfg_LV_D1))/cfg_DAYS_Y*AJ11*الموظفون!$R11/cfg_DAYS_M)</f>
        <v>1442.46575342466</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25144.3065068493</v>
      </c>
      <c r="AH11" s="135" t="n">
        <f aca="false">IF($B11="","",MAX(0,IF(OR(الموظفون!$AE11="",الموظفون!$AE11&gt;$F$3),$F$3,الموظفون!$AE11)-الموظفون!$H11+1-SUMIFS('سجل الإجازات والحالات'!$AR$6:$AR$505,'سجل الإجازات والحالات'!$B$6:$B$505,$B11))/cfg_DAYS_Y)</f>
        <v>8.99452054794521</v>
      </c>
      <c r="AI11" s="135" t="n">
        <f aca="false">IF($B11="","",MAX(0,IF(OR(الموظفون!$AE11="",الموظفون!$AE11&gt;($E$3-1)),($E$3-1),الموظفون!$AE11)-الموظفون!$H11+1-SUMIFS('سجل الإجازات والحالات'!$AQ$6:$AQ$505,'سجل الإجازات والحالات'!$B$6:$B$505,$B11))/cfg_DAYS_Y)</f>
        <v>8.91232876712329</v>
      </c>
      <c r="AJ11" s="110" t="n">
        <f aca="false">IF($B11="","",MAX(0,AK11-(SUMIFS('سجل الإجازات والحالات'!$AR$6:$AR$505,'سجل الإجازات والحالات'!$B$6:$B$505,$B11)-SUMIFS('سجل الإجازات والحالات'!$AQ$6:$AQ$505,'سجل الإجازات والحالات'!$B$6:$B$505,$B11))))</f>
        <v>30</v>
      </c>
      <c r="AK11" s="110" t="n">
        <f aca="false">IF($B11="","",MAX(0,IF(OR(الموظفون!$AE11="",الموظفون!$AE11&gt;$F$3),$F$3,الموظفون!$AE11)-MAX($E$3,الموظفون!$H11)+1))</f>
        <v>30</v>
      </c>
      <c r="AL11" s="131" t="n">
        <f aca="false">IF($B11="","",SUMIFS('سجل الإجازات والحالات'!$BD$6:$BD$505,'سجل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والحالات'!$AF$6:$AF$505,'سجل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1220.54794520548</v>
      </c>
      <c r="AB12" s="97" t="n">
        <f aca="false">IF($B12="","",IF(الموظفون!$T12&lt;&gt;"",الموظفون!$T12,IF(AH12&gt;=cfg_LV_TH,cfg_LV_D2,cfg_LV_D1))/cfg_DAYS_Y*AJ12*الموظفون!$R12/cfg_DAYS_M)</f>
        <v>1220.54794520548</v>
      </c>
      <c r="AC12" s="97" t="n">
        <f aca="false">IF($B12="","",IF(AND(الموظفون!$U12="نعم",N(الموظفون!$W12)&gt;0),الموظفون!$V12/الموظفون!$W12*12/cfg_DAYS_Y*AJ12,0))</f>
        <v>369.86301369863</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20190.1255707763</v>
      </c>
      <c r="AH12" s="130" t="n">
        <f aca="false">IF($B12="","",MAX(0,IF(OR(الموظفون!$AE12="",الموظفون!$AE12&gt;$F$3),$F$3,الموظفون!$AE12)-الموظفون!$H12+1-SUMIFS('سجل الإجازات والحالات'!$AR$6:$AR$505,'سجل الإجازات والحالات'!$B$6:$B$505,$B12))/cfg_DAYS_Y)</f>
        <v>5.86575342465754</v>
      </c>
      <c r="AI12" s="130" t="n">
        <f aca="false">IF($B12="","",MAX(0,IF(OR(الموظفون!$AE12="",الموظفون!$AE12&gt;($E$3-1)),($E$3-1),الموظفون!$AE12)-الموظفون!$H12+1-SUMIFS('سجل الإجازات والحالات'!$AQ$6:$AQ$505,'سجل الإجازات والحالات'!$B$6:$B$505,$B12))/cfg_DAYS_Y)</f>
        <v>5.78356164383562</v>
      </c>
      <c r="AJ12" s="57" t="n">
        <f aca="false">IF($B12="","",MAX(0,AK12-(SUMIFS('سجل الإجازات والحالات'!$AR$6:$AR$505,'سجل الإجازات والحالات'!$B$6:$B$505,$B12)-SUMIFS('سجل الإجازات والحالات'!$AQ$6:$AQ$505,'سجل الإجازات والحالات'!$B$6:$B$505,$B12))))</f>
        <v>30</v>
      </c>
      <c r="AK12" s="57" t="n">
        <f aca="false">IF($B12="","",MAX(0,IF(OR(الموظفون!$AE12="",الموظفون!$AE12&gt;$F$3),$F$3,الموظفون!$AE12)-MAX($E$3,الموظفون!$H12)+1))</f>
        <v>30</v>
      </c>
      <c r="AL12" s="126" t="n">
        <f aca="false">IF($B12="","",SUMIFS('سجل الإجازات والحالات'!$BD$6:$BD$505,'سجل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والحالات'!$AF$6:$AF$505,'سجل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416.095890410961</v>
      </c>
      <c r="AB13" s="101" t="n">
        <f aca="false">IF($B13="","",IF(الموظفون!$T13&lt;&gt;"",الموظفون!$T13,IF(AH13&gt;=cfg_LV_TH,cfg_LV_D2,cfg_LV_D1))/cfg_DAYS_Y*AJ13*الموظفون!$R13/cfg_DAYS_M)</f>
        <v>582.534246575342</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12425.1926369863</v>
      </c>
      <c r="AH13" s="135" t="n">
        <f aca="false">IF($B13="","",MAX(0,IF(OR(الموظفون!$AE13="",الموظفون!$AE13&gt;$F$3),$F$3,الموظفون!$AE13)-الموظفون!$H13+1-SUMIFS('سجل الإجازات والحالات'!$AR$6:$AR$505,'سجل الإجازات والحالات'!$B$6:$B$505,$B13))/cfg_DAYS_Y)</f>
        <v>3.74794520547945</v>
      </c>
      <c r="AI13" s="135" t="n">
        <f aca="false">IF($B13="","",MAX(0,IF(OR(الموظفون!$AE13="",الموظفون!$AE13&gt;($E$3-1)),($E$3-1),الموظفون!$AE13)-الموظفون!$H13+1-SUMIFS('سجل الإجازات والحالات'!$AQ$6:$AQ$505,'سجل الإجازات والحالات'!$B$6:$B$505,$B13))/cfg_DAYS_Y)</f>
        <v>3.66575342465753</v>
      </c>
      <c r="AJ13" s="110" t="n">
        <f aca="false">IF($B13="","",MAX(0,AK13-(SUMIFS('سجل الإجازات والحالات'!$AR$6:$AR$505,'سجل الإجازات والحالات'!$B$6:$B$505,$B13)-SUMIFS('سجل الإجازات والحالات'!$AQ$6:$AQ$505,'سجل الإجازات والحالات'!$B$6:$B$505,$B13))))</f>
        <v>30</v>
      </c>
      <c r="AK13" s="110" t="n">
        <f aca="false">IF($B13="","",MAX(0,IF(OR(الموظفون!$AE13="",الموظفون!$AE13&gt;$F$3),$F$3,الموظفون!$AE13)-MAX($E$3,الموظفون!$H13)+1))</f>
        <v>30</v>
      </c>
      <c r="AL13" s="131" t="n">
        <f aca="false">IF($B13="","",SUMIFS('سجل الإجازات والحالات'!$BD$6:$BD$505,'سجل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والحالات'!$AF$6:$AF$505,'سجل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721.232876712324</v>
      </c>
      <c r="AB14" s="97" t="n">
        <f aca="false">IF($B14="","",IF(الموظفون!$T14&lt;&gt;"",الموظفون!$T14,IF(AH14&gt;=cfg_LV_TH,cfg_LV_D2,cfg_LV_D1))/cfg_DAYS_Y*AJ14*الموظفون!$R14/cfg_DAYS_M)</f>
        <v>721.232876712329</v>
      </c>
      <c r="AC14" s="97" t="n">
        <f aca="false">IF($B14="","",IF(AND(الموظفون!$U14="نعم",N(الموظفون!$W14)&gt;0),الموظفون!$V14/الموظفون!$W14*12/cfg_DAYS_Y*AJ14,0))</f>
        <v>90.4109589041096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11774.5433789954</v>
      </c>
      <c r="AH14" s="130" t="n">
        <f aca="false">IF($B14="","",MAX(0,IF(OR(الموظفون!$AE14="",الموظفون!$AE14&gt;$F$3),$F$3,الموظفون!$AE14)-الموظفون!$H14+1-SUMIFS('سجل الإجازات والحالات'!$AR$6:$AR$505,'سجل الإجازات والحالات'!$B$6:$B$505,$B14))/cfg_DAYS_Y)</f>
        <v>12.2958904109589</v>
      </c>
      <c r="AI14" s="130" t="n">
        <f aca="false">IF($B14="","",MAX(0,IF(OR(الموظفون!$AE14="",الموظفون!$AE14&gt;($E$3-1)),($E$3-1),الموظفون!$AE14)-الموظفون!$H14+1-SUMIFS('سجل الإجازات والحالات'!$AQ$6:$AQ$505,'سجل الإجازات والحالات'!$B$6:$B$505,$B14))/cfg_DAYS_Y)</f>
        <v>12.213698630137</v>
      </c>
      <c r="AJ14" s="57" t="n">
        <f aca="false">IF($B14="","",MAX(0,AK14-(SUMIFS('سجل الإجازات والحالات'!$AR$6:$AR$505,'سجل الإجازات والحالات'!$B$6:$B$505,$B14)-SUMIFS('سجل الإجازات والحالات'!$AQ$6:$AQ$505,'سجل الإجازات والحالات'!$B$6:$B$505,$B14))))</f>
        <v>30</v>
      </c>
      <c r="AK14" s="57" t="n">
        <f aca="false">IF($B14="","",MAX(0,IF(OR(الموظفون!$AE14="",الموظفون!$AE14&gt;$F$3),$F$3,الموظفون!$AE14)-MAX($E$3,الموظفون!$H14)+1))</f>
        <v>30</v>
      </c>
      <c r="AL14" s="126" t="n">
        <f aca="false">IF($B14="","",SUMIFS('سجل الإجازات والحالات'!$BD$6:$BD$505,'سجل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والحالات'!$AF$6:$AF$505,'سجل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499.315068493151</v>
      </c>
      <c r="AB15" s="101" t="n">
        <f aca="false">IF($B15="","",IF(الموظفون!$T15&lt;&gt;"",الموظفون!$T15,IF(AH15&gt;=cfg_LV_TH,cfg_LV_D2,cfg_LV_D1))/cfg_DAYS_Y*AJ15*الموظفون!$R15/cfg_DAYS_M)</f>
        <v>699.041095890411</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14870.2311643836</v>
      </c>
      <c r="AH15" s="135" t="n">
        <f aca="false">IF($B15="","",MAX(0,IF(OR(الموظفون!$AE15="",الموظفون!$AE15&gt;$F$3),$F$3,الموظفون!$AE15)-الموظفون!$H15+1-SUMIFS('سجل الإجازات والحالات'!$AR$6:$AR$505,'سجل الإجازات والحالات'!$B$6:$B$505,$B15))/cfg_DAYS_Y)</f>
        <v>0.63013698630137</v>
      </c>
      <c r="AI15" s="135" t="n">
        <f aca="false">IF($B15="","",MAX(0,IF(OR(الموظفون!$AE15="",الموظفون!$AE15&gt;($E$3-1)),($E$3-1),الموظفون!$AE15)-الموظفون!$H15+1-SUMIFS('سجل الإجازات والحالات'!$AQ$6:$AQ$505,'سجل الإجازات والحالات'!$B$6:$B$505,$B15))/cfg_DAYS_Y)</f>
        <v>0.547945205479452</v>
      </c>
      <c r="AJ15" s="110" t="n">
        <f aca="false">IF($B15="","",MAX(0,AK15-(SUMIFS('سجل الإجازات والحالات'!$AR$6:$AR$505,'سجل الإجازات والحالات'!$B$6:$B$505,$B15)-SUMIFS('سجل الإجازات والحالات'!$AQ$6:$AQ$505,'سجل الإجازات والحالات'!$B$6:$B$505,$B15))))</f>
        <v>30</v>
      </c>
      <c r="AK15" s="110" t="n">
        <f aca="false">IF($B15="","",MAX(0,IF(OR(الموظفون!$AE15="",الموظفون!$AE15&gt;$F$3),$F$3,الموظفون!$AE15)-MAX($E$3,الموظفون!$H15)+1))</f>
        <v>30</v>
      </c>
      <c r="AL15" s="131" t="n">
        <f aca="false">IF($B15="","",SUMIFS('سجل الإجازات والحالات'!$BD$6:$BD$505,'سجل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والحالات'!$AF$6:$AF$505,'سجل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والحالات'!$AR$6:$AR$505,'سجل الإجازات والحالات'!$B$6:$B$505,$B16))/cfg_DAYS_Y)</f>
        <v>7.33972602739726</v>
      </c>
      <c r="AI16" s="130" t="n">
        <f aca="false">IF($B16="","",MAX(0,IF(OR(الموظفون!$AE16="",الموظفون!$AE16&gt;($E$3-1)),($E$3-1),الموظفون!$AE16)-الموظفون!$H16+1-SUMIFS('سجل الإجازات والحالات'!$AQ$6:$AQ$505,'سجل الإجازات والحالات'!$B$6:$B$505,$B16))/cfg_DAYS_Y)</f>
        <v>7.33972602739726</v>
      </c>
      <c r="AJ16" s="57" t="n">
        <f aca="false">IF($B16="","",MAX(0,AK16-(SUMIFS('سجل الإجازات والحالات'!$AR$6:$AR$505,'سجل الإجازات والحالات'!$B$6:$B$505,$B16)-SUMIFS('سجل الإجازات والحالات'!$AQ$6:$AQ$505,'سجل الإجازات والحالات'!$B$6:$B$505,$B16))))</f>
        <v>0</v>
      </c>
      <c r="AK16" s="57" t="n">
        <f aca="false">IF($B16="","",MAX(0,IF(OR(الموظفون!$AE16="",الموظفون!$AE16&gt;$F$3),$F$3,الموظفون!$AE16)-MAX($E$3,الموظفون!$H16)+1))</f>
        <v>0</v>
      </c>
      <c r="AL16" s="126" t="n">
        <f aca="false">IF($B16="","",SUMIFS('سجل الإجازات والحالات'!$BD$6:$BD$505,'سجل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والحالات'!$AF$6:$AF$505,'سجل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665.753424657537</v>
      </c>
      <c r="AB17" s="101" t="n">
        <f aca="false">IF($B17="","",IF(الموظفون!$T17&lt;&gt;"",الموظفون!$T17,IF(AH17&gt;=cfg_LV_TH,cfg_LV_D2,cfg_LV_D1))/cfg_DAYS_Y*AJ17*الموظفون!$R17/cfg_DAYS_M)</f>
        <v>932.054794520548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21260.3082191781</v>
      </c>
      <c r="AH17" s="135" t="n">
        <f aca="false">IF($B17="","",MAX(0,IF(OR(الموظفون!$AE17="",الموظفون!$AE17&gt;$F$3),$F$3,الموظفون!$AE17)-الموظفون!$H17+1-SUMIFS('سجل الإجازات والحالات'!$AR$6:$AR$505,'سجل الإجازات والحالات'!$B$6:$B$505,$B17))/cfg_DAYS_Y)</f>
        <v>4.3972602739726</v>
      </c>
      <c r="AI17" s="135" t="n">
        <f aca="false">IF($B17="","",MAX(0,IF(OR(الموظفون!$AE17="",الموظفون!$AE17&gt;($E$3-1)),($E$3-1),الموظفون!$AE17)-الموظفون!$H17+1-SUMIFS('سجل الإجازات والحالات'!$AQ$6:$AQ$505,'سجل الإجازات والحالات'!$B$6:$B$505,$B17))/cfg_DAYS_Y)</f>
        <v>4.31506849315069</v>
      </c>
      <c r="AJ17" s="110" t="n">
        <f aca="false">IF($B17="","",MAX(0,AK17-(SUMIFS('سجل الإجازات والحالات'!$AR$6:$AR$505,'سجل الإجازات والحالات'!$B$6:$B$505,$B17)-SUMIFS('سجل الإجازات والحالات'!$AQ$6:$AQ$505,'سجل الإجازات والحالات'!$B$6:$B$505,$B17))))</f>
        <v>30</v>
      </c>
      <c r="AK17" s="110" t="n">
        <f aca="false">IF($B17="","",MAX(0,IF(OR(الموظفون!$AE17="",الموظفون!$AE17&gt;$F$3),$F$3,الموظفون!$AE17)-MAX($E$3,الموظفون!$H17)+1))</f>
        <v>30</v>
      </c>
      <c r="AL17" s="131" t="n">
        <f aca="false">IF($B17="","",SUMIFS('سجل الإجازات والحالات'!$BD$6:$BD$505,'سجل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والحالات'!$AF$6:$AF$505,'سجل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والحالات'!$AR$6:$AR$505,'سجل الإجازات والحالات'!$B$6:$B$505,$B18))/cfg_DAYS_Y)</f>
        <v/>
      </c>
      <c r="AI18" s="130" t="str">
        <f aca="false">IF($B18="","",MAX(0,IF(OR(الموظفون!$AE18="",الموظفون!$AE18&gt;($E$3-1)),($E$3-1),الموظفون!$AE18)-الموظفون!$H18+1-SUMIFS('سجل الإجازات والحالات'!$AQ$6:$AQ$505,'سجل الإجازات والحالات'!$B$6:$B$505,$B18))/cfg_DAYS_Y)</f>
        <v/>
      </c>
      <c r="AJ18" s="57" t="str">
        <f aca="false">IF($B18="","",MAX(0,AK18-(SUMIFS('سجل الإجازات والحالات'!$AR$6:$AR$505,'سجل الإجازات والحالات'!$B$6:$B$505,$B18)-SUMIFS('سجل الإجازات والحالات'!$AQ$6:$AQ$505,'سجل الإجازات والحالات'!$B$6:$B$505,$B18))))</f>
        <v/>
      </c>
      <c r="AK18" s="57" t="str">
        <f aca="false">IF($B18="","",MAX(0,IF(OR(الموظفون!$AE18="",الموظفون!$AE18&gt;$F$3),$F$3,الموظفون!$AE18)-MAX($E$3,الموظفون!$H18)+1))</f>
        <v/>
      </c>
      <c r="AL18" s="126" t="str">
        <f aca="false">IF($B18="","",SUMIFS('سجل الإجازات والحالات'!$BD$6:$BD$505,'سجل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والحالات'!$AF$6:$AF$505,'سجل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والحالات'!$AR$6:$AR$505,'سجل الإجازات والحالات'!$B$6:$B$505,$B19))/cfg_DAYS_Y)</f>
        <v/>
      </c>
      <c r="AI19" s="135" t="str">
        <f aca="false">IF($B19="","",MAX(0,IF(OR(الموظفون!$AE19="",الموظفون!$AE19&gt;($E$3-1)),($E$3-1),الموظفون!$AE19)-الموظفون!$H19+1-SUMIFS('سجل الإجازات والحالات'!$AQ$6:$AQ$505,'سجل الإجازات والحالات'!$B$6:$B$505,$B19))/cfg_DAYS_Y)</f>
        <v/>
      </c>
      <c r="AJ19" s="110" t="str">
        <f aca="false">IF($B19="","",MAX(0,AK19-(SUMIFS('سجل الإجازات والحالات'!$AR$6:$AR$505,'سجل الإجازات والحالات'!$B$6:$B$505,$B19)-SUMIFS('سجل الإجازات والحالات'!$AQ$6:$AQ$505,'سجل الإجازات والحالات'!$B$6:$B$505,$B19))))</f>
        <v/>
      </c>
      <c r="AK19" s="110" t="str">
        <f aca="false">IF($B19="","",MAX(0,IF(OR(الموظفون!$AE19="",الموظفون!$AE19&gt;$F$3),$F$3,الموظفون!$AE19)-MAX($E$3,الموظفون!$H19)+1))</f>
        <v/>
      </c>
      <c r="AL19" s="131" t="str">
        <f aca="false">IF($B19="","",SUMIFS('سجل الإجازات والحالات'!$BD$6:$BD$505,'سجل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والحالات'!$AF$6:$AF$505,'سجل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والحالات'!$AR$6:$AR$505,'سجل الإجازات والحالات'!$B$6:$B$505,$B20))/cfg_DAYS_Y)</f>
        <v/>
      </c>
      <c r="AI20" s="130" t="str">
        <f aca="false">IF($B20="","",MAX(0,IF(OR(الموظفون!$AE20="",الموظفون!$AE20&gt;($E$3-1)),($E$3-1),الموظفون!$AE20)-الموظفون!$H20+1-SUMIFS('سجل الإجازات والحالات'!$AQ$6:$AQ$505,'سجل الإجازات والحالات'!$B$6:$B$505,$B20))/cfg_DAYS_Y)</f>
        <v/>
      </c>
      <c r="AJ20" s="57" t="str">
        <f aca="false">IF($B20="","",MAX(0,AK20-(SUMIFS('سجل الإجازات والحالات'!$AR$6:$AR$505,'سجل الإجازات والحالات'!$B$6:$B$505,$B20)-SUMIFS('سجل الإجازات والحالات'!$AQ$6:$AQ$505,'سجل الإجازات والحالات'!$B$6:$B$505,$B20))))</f>
        <v/>
      </c>
      <c r="AK20" s="57" t="str">
        <f aca="false">IF($B20="","",MAX(0,IF(OR(الموظفون!$AE20="",الموظفون!$AE20&gt;$F$3),$F$3,الموظفون!$AE20)-MAX($E$3,الموظفون!$H20)+1))</f>
        <v/>
      </c>
      <c r="AL20" s="126" t="str">
        <f aca="false">IF($B20="","",SUMIFS('سجل الإجازات والحالات'!$BD$6:$BD$505,'سجل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والحالات'!$AF$6:$AF$505,'سجل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والحالات'!$AR$6:$AR$505,'سجل الإجازات والحالات'!$B$6:$B$505,$B21))/cfg_DAYS_Y)</f>
        <v/>
      </c>
      <c r="AI21" s="135" t="str">
        <f aca="false">IF($B21="","",MAX(0,IF(OR(الموظفون!$AE21="",الموظفون!$AE21&gt;($E$3-1)),($E$3-1),الموظفون!$AE21)-الموظفون!$H21+1-SUMIFS('سجل الإجازات والحالات'!$AQ$6:$AQ$505,'سجل الإجازات والحالات'!$B$6:$B$505,$B21))/cfg_DAYS_Y)</f>
        <v/>
      </c>
      <c r="AJ21" s="110" t="str">
        <f aca="false">IF($B21="","",MAX(0,AK21-(SUMIFS('سجل الإجازات والحالات'!$AR$6:$AR$505,'سجل الإجازات والحالات'!$B$6:$B$505,$B21)-SUMIFS('سجل الإجازات والحالات'!$AQ$6:$AQ$505,'سجل الإجازات والحالات'!$B$6:$B$505,$B21))))</f>
        <v/>
      </c>
      <c r="AK21" s="110" t="str">
        <f aca="false">IF($B21="","",MAX(0,IF(OR(الموظفون!$AE21="",الموظفون!$AE21&gt;$F$3),$F$3,الموظفون!$AE21)-MAX($E$3,الموظفون!$H21)+1))</f>
        <v/>
      </c>
      <c r="AL21" s="131" t="str">
        <f aca="false">IF($B21="","",SUMIFS('سجل الإجازات والحالات'!$BD$6:$BD$505,'سجل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والحالات'!$AF$6:$AF$505,'سجل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والحالات'!$AR$6:$AR$505,'سجل الإجازات والحالات'!$B$6:$B$505,$B22))/cfg_DAYS_Y)</f>
        <v/>
      </c>
      <c r="AI22" s="130" t="str">
        <f aca="false">IF($B22="","",MAX(0,IF(OR(الموظفون!$AE22="",الموظفون!$AE22&gt;($E$3-1)),($E$3-1),الموظفون!$AE22)-الموظفون!$H22+1-SUMIFS('سجل الإجازات والحالات'!$AQ$6:$AQ$505,'سجل الإجازات والحالات'!$B$6:$B$505,$B22))/cfg_DAYS_Y)</f>
        <v/>
      </c>
      <c r="AJ22" s="57" t="str">
        <f aca="false">IF($B22="","",MAX(0,AK22-(SUMIFS('سجل الإجازات والحالات'!$AR$6:$AR$505,'سجل الإجازات والحالات'!$B$6:$B$505,$B22)-SUMIFS('سجل الإجازات والحالات'!$AQ$6:$AQ$505,'سجل الإجازات والحالات'!$B$6:$B$505,$B22))))</f>
        <v/>
      </c>
      <c r="AK22" s="57" t="str">
        <f aca="false">IF($B22="","",MAX(0,IF(OR(الموظفون!$AE22="",الموظفون!$AE22&gt;$F$3),$F$3,الموظفون!$AE22)-MAX($E$3,الموظفون!$H22)+1))</f>
        <v/>
      </c>
      <c r="AL22" s="126" t="str">
        <f aca="false">IF($B22="","",SUMIFS('سجل الإجازات والحالات'!$BD$6:$BD$505,'سجل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والحالات'!$AF$6:$AF$505,'سجل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والحالات'!$AR$6:$AR$505,'سجل الإجازات والحالات'!$B$6:$B$505,$B23))/cfg_DAYS_Y)</f>
        <v/>
      </c>
      <c r="AI23" s="135" t="str">
        <f aca="false">IF($B23="","",MAX(0,IF(OR(الموظفون!$AE23="",الموظفون!$AE23&gt;($E$3-1)),($E$3-1),الموظفون!$AE23)-الموظفون!$H23+1-SUMIFS('سجل الإجازات والحالات'!$AQ$6:$AQ$505,'سجل الإجازات والحالات'!$B$6:$B$505,$B23))/cfg_DAYS_Y)</f>
        <v/>
      </c>
      <c r="AJ23" s="110" t="str">
        <f aca="false">IF($B23="","",MAX(0,AK23-(SUMIFS('سجل الإجازات والحالات'!$AR$6:$AR$505,'سجل الإجازات والحالات'!$B$6:$B$505,$B23)-SUMIFS('سجل الإجازات والحالات'!$AQ$6:$AQ$505,'سجل الإجازات والحالات'!$B$6:$B$505,$B23))))</f>
        <v/>
      </c>
      <c r="AK23" s="110" t="str">
        <f aca="false">IF($B23="","",MAX(0,IF(OR(الموظفون!$AE23="",الموظفون!$AE23&gt;$F$3),$F$3,الموظفون!$AE23)-MAX($E$3,الموظفون!$H23)+1))</f>
        <v/>
      </c>
      <c r="AL23" s="131" t="str">
        <f aca="false">IF($B23="","",SUMIFS('سجل الإجازات والحالات'!$BD$6:$BD$505,'سجل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والحالات'!$AF$6:$AF$505,'سجل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والحالات'!$AR$6:$AR$505,'سجل الإجازات والحالات'!$B$6:$B$505,$B24))/cfg_DAYS_Y)</f>
        <v/>
      </c>
      <c r="AI24" s="130" t="str">
        <f aca="false">IF($B24="","",MAX(0,IF(OR(الموظفون!$AE24="",الموظفون!$AE24&gt;($E$3-1)),($E$3-1),الموظفون!$AE24)-الموظفون!$H24+1-SUMIFS('سجل الإجازات والحالات'!$AQ$6:$AQ$505,'سجل الإجازات والحالات'!$B$6:$B$505,$B24))/cfg_DAYS_Y)</f>
        <v/>
      </c>
      <c r="AJ24" s="57" t="str">
        <f aca="false">IF($B24="","",MAX(0,AK24-(SUMIFS('سجل الإجازات والحالات'!$AR$6:$AR$505,'سجل الإجازات والحالات'!$B$6:$B$505,$B24)-SUMIFS('سجل الإجازات والحالات'!$AQ$6:$AQ$505,'سجل الإجازات والحالات'!$B$6:$B$505,$B24))))</f>
        <v/>
      </c>
      <c r="AK24" s="57" t="str">
        <f aca="false">IF($B24="","",MAX(0,IF(OR(الموظفون!$AE24="",الموظفون!$AE24&gt;$F$3),$F$3,الموظفون!$AE24)-MAX($E$3,الموظفون!$H24)+1))</f>
        <v/>
      </c>
      <c r="AL24" s="126" t="str">
        <f aca="false">IF($B24="","",SUMIFS('سجل الإجازات والحالات'!$BD$6:$BD$505,'سجل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والحالات'!$AF$6:$AF$505,'سجل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والحالات'!$AR$6:$AR$505,'سجل الإجازات والحالات'!$B$6:$B$505,$B25))/cfg_DAYS_Y)</f>
        <v/>
      </c>
      <c r="AI25" s="135" t="str">
        <f aca="false">IF($B25="","",MAX(0,IF(OR(الموظفون!$AE25="",الموظفون!$AE25&gt;($E$3-1)),($E$3-1),الموظفون!$AE25)-الموظفون!$H25+1-SUMIFS('سجل الإجازات والحالات'!$AQ$6:$AQ$505,'سجل الإجازات والحالات'!$B$6:$B$505,$B25))/cfg_DAYS_Y)</f>
        <v/>
      </c>
      <c r="AJ25" s="110" t="str">
        <f aca="false">IF($B25="","",MAX(0,AK25-(SUMIFS('سجل الإجازات والحالات'!$AR$6:$AR$505,'سجل الإجازات والحالات'!$B$6:$B$505,$B25)-SUMIFS('سجل الإجازات والحالات'!$AQ$6:$AQ$505,'سجل الإجازات والحالات'!$B$6:$B$505,$B25))))</f>
        <v/>
      </c>
      <c r="AK25" s="110" t="str">
        <f aca="false">IF($B25="","",MAX(0,IF(OR(الموظفون!$AE25="",الموظفون!$AE25&gt;$F$3),$F$3,الموظفون!$AE25)-MAX($E$3,الموظفون!$H25)+1))</f>
        <v/>
      </c>
      <c r="AL25" s="131" t="str">
        <f aca="false">IF($B25="","",SUMIFS('سجل الإجازات والحالات'!$BD$6:$BD$505,'سجل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والحالات'!$AF$6:$AF$505,'سجل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والحالات'!$AR$6:$AR$505,'سجل الإجازات والحالات'!$B$6:$B$505,$B26))/cfg_DAYS_Y)</f>
        <v/>
      </c>
      <c r="AI26" s="130" t="str">
        <f aca="false">IF($B26="","",MAX(0,IF(OR(الموظفون!$AE26="",الموظفون!$AE26&gt;($E$3-1)),($E$3-1),الموظفون!$AE26)-الموظفون!$H26+1-SUMIFS('سجل الإجازات والحالات'!$AQ$6:$AQ$505,'سجل الإجازات والحالات'!$B$6:$B$505,$B26))/cfg_DAYS_Y)</f>
        <v/>
      </c>
      <c r="AJ26" s="57" t="str">
        <f aca="false">IF($B26="","",MAX(0,AK26-(SUMIFS('سجل الإجازات والحالات'!$AR$6:$AR$505,'سجل الإجازات والحالات'!$B$6:$B$505,$B26)-SUMIFS('سجل الإجازات والحالات'!$AQ$6:$AQ$505,'سجل الإجازات والحالات'!$B$6:$B$505,$B26))))</f>
        <v/>
      </c>
      <c r="AK26" s="57" t="str">
        <f aca="false">IF($B26="","",MAX(0,IF(OR(الموظفون!$AE26="",الموظفون!$AE26&gt;$F$3),$F$3,الموظفون!$AE26)-MAX($E$3,الموظفون!$H26)+1))</f>
        <v/>
      </c>
      <c r="AL26" s="126" t="str">
        <f aca="false">IF($B26="","",SUMIFS('سجل الإجازات والحالات'!$BD$6:$BD$505,'سجل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والحالات'!$AF$6:$AF$505,'سجل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والحالات'!$AR$6:$AR$505,'سجل الإجازات والحالات'!$B$6:$B$505,$B27))/cfg_DAYS_Y)</f>
        <v/>
      </c>
      <c r="AI27" s="135" t="str">
        <f aca="false">IF($B27="","",MAX(0,IF(OR(الموظفون!$AE27="",الموظفون!$AE27&gt;($E$3-1)),($E$3-1),الموظفون!$AE27)-الموظفون!$H27+1-SUMIFS('سجل الإجازات والحالات'!$AQ$6:$AQ$505,'سجل الإجازات والحالات'!$B$6:$B$505,$B27))/cfg_DAYS_Y)</f>
        <v/>
      </c>
      <c r="AJ27" s="110" t="str">
        <f aca="false">IF($B27="","",MAX(0,AK27-(SUMIFS('سجل الإجازات والحالات'!$AR$6:$AR$505,'سجل الإجازات والحالات'!$B$6:$B$505,$B27)-SUMIFS('سجل الإجازات والحالات'!$AQ$6:$AQ$505,'سجل الإجازات والحالات'!$B$6:$B$505,$B27))))</f>
        <v/>
      </c>
      <c r="AK27" s="110" t="str">
        <f aca="false">IF($B27="","",MAX(0,IF(OR(الموظفون!$AE27="",الموظفون!$AE27&gt;$F$3),$F$3,الموظفون!$AE27)-MAX($E$3,الموظفون!$H27)+1))</f>
        <v/>
      </c>
      <c r="AL27" s="131" t="str">
        <f aca="false">IF($B27="","",SUMIFS('سجل الإجازات والحالات'!$BD$6:$BD$505,'سجل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والحالات'!$AF$6:$AF$505,'سجل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والحالات'!$AR$6:$AR$505,'سجل الإجازات والحالات'!$B$6:$B$505,$B28))/cfg_DAYS_Y)</f>
        <v/>
      </c>
      <c r="AI28" s="130" t="str">
        <f aca="false">IF($B28="","",MAX(0,IF(OR(الموظفون!$AE28="",الموظفون!$AE28&gt;($E$3-1)),($E$3-1),الموظفون!$AE28)-الموظفون!$H28+1-SUMIFS('سجل الإجازات والحالات'!$AQ$6:$AQ$505,'سجل الإجازات والحالات'!$B$6:$B$505,$B28))/cfg_DAYS_Y)</f>
        <v/>
      </c>
      <c r="AJ28" s="57" t="str">
        <f aca="false">IF($B28="","",MAX(0,AK28-(SUMIFS('سجل الإجازات والحالات'!$AR$6:$AR$505,'سجل الإجازات والحالات'!$B$6:$B$505,$B28)-SUMIFS('سجل الإجازات والحالات'!$AQ$6:$AQ$505,'سجل الإجازات والحالات'!$B$6:$B$505,$B28))))</f>
        <v/>
      </c>
      <c r="AK28" s="57" t="str">
        <f aca="false">IF($B28="","",MAX(0,IF(OR(الموظفون!$AE28="",الموظفون!$AE28&gt;$F$3),$F$3,الموظفون!$AE28)-MAX($E$3,الموظفون!$H28)+1))</f>
        <v/>
      </c>
      <c r="AL28" s="126" t="str">
        <f aca="false">IF($B28="","",SUMIFS('سجل الإجازات والحالات'!$BD$6:$BD$505,'سجل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والحالات'!$AF$6:$AF$505,'سجل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والحالات'!$AR$6:$AR$505,'سجل الإجازات والحالات'!$B$6:$B$505,$B29))/cfg_DAYS_Y)</f>
        <v/>
      </c>
      <c r="AI29" s="135" t="str">
        <f aca="false">IF($B29="","",MAX(0,IF(OR(الموظفون!$AE29="",الموظفون!$AE29&gt;($E$3-1)),($E$3-1),الموظفون!$AE29)-الموظفون!$H29+1-SUMIFS('سجل الإجازات والحالات'!$AQ$6:$AQ$505,'سجل الإجازات والحالات'!$B$6:$B$505,$B29))/cfg_DAYS_Y)</f>
        <v/>
      </c>
      <c r="AJ29" s="110" t="str">
        <f aca="false">IF($B29="","",MAX(0,AK29-(SUMIFS('سجل الإجازات والحالات'!$AR$6:$AR$505,'سجل الإجازات والحالات'!$B$6:$B$505,$B29)-SUMIFS('سجل الإجازات والحالات'!$AQ$6:$AQ$505,'سجل الإجازات والحالات'!$B$6:$B$505,$B29))))</f>
        <v/>
      </c>
      <c r="AK29" s="110" t="str">
        <f aca="false">IF($B29="","",MAX(0,IF(OR(الموظفون!$AE29="",الموظفون!$AE29&gt;$F$3),$F$3,الموظفون!$AE29)-MAX($E$3,الموظفون!$H29)+1))</f>
        <v/>
      </c>
      <c r="AL29" s="131" t="str">
        <f aca="false">IF($B29="","",SUMIFS('سجل الإجازات والحالات'!$BD$6:$BD$505,'سجل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والحالات'!$AF$6:$AF$505,'سجل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والحالات'!$AR$6:$AR$505,'سجل الإجازات والحالات'!$B$6:$B$505,$B30))/cfg_DAYS_Y)</f>
        <v/>
      </c>
      <c r="AI30" s="130" t="str">
        <f aca="false">IF($B30="","",MAX(0,IF(OR(الموظفون!$AE30="",الموظفون!$AE30&gt;($E$3-1)),($E$3-1),الموظفون!$AE30)-الموظفون!$H30+1-SUMIFS('سجل الإجازات والحالات'!$AQ$6:$AQ$505,'سجل الإجازات والحالات'!$B$6:$B$505,$B30))/cfg_DAYS_Y)</f>
        <v/>
      </c>
      <c r="AJ30" s="57" t="str">
        <f aca="false">IF($B30="","",MAX(0,AK30-(SUMIFS('سجل الإجازات والحالات'!$AR$6:$AR$505,'سجل الإجازات والحالات'!$B$6:$B$505,$B30)-SUMIFS('سجل الإجازات والحالات'!$AQ$6:$AQ$505,'سجل الإجازات والحالات'!$B$6:$B$505,$B30))))</f>
        <v/>
      </c>
      <c r="AK30" s="57" t="str">
        <f aca="false">IF($B30="","",MAX(0,IF(OR(الموظفون!$AE30="",الموظفون!$AE30&gt;$F$3),$F$3,الموظفون!$AE30)-MAX($E$3,الموظفون!$H30)+1))</f>
        <v/>
      </c>
      <c r="AL30" s="126" t="str">
        <f aca="false">IF($B30="","",SUMIFS('سجل الإجازات والحالات'!$BD$6:$BD$505,'سجل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والحالات'!$AF$6:$AF$505,'سجل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والحالات'!$AR$6:$AR$505,'سجل الإجازات والحالات'!$B$6:$B$505,$B31))/cfg_DAYS_Y)</f>
        <v/>
      </c>
      <c r="AI31" s="135" t="str">
        <f aca="false">IF($B31="","",MAX(0,IF(OR(الموظفون!$AE31="",الموظفون!$AE31&gt;($E$3-1)),($E$3-1),الموظفون!$AE31)-الموظفون!$H31+1-SUMIFS('سجل الإجازات والحالات'!$AQ$6:$AQ$505,'سجل الإجازات والحالات'!$B$6:$B$505,$B31))/cfg_DAYS_Y)</f>
        <v/>
      </c>
      <c r="AJ31" s="110" t="str">
        <f aca="false">IF($B31="","",MAX(0,AK31-(SUMIFS('سجل الإجازات والحالات'!$AR$6:$AR$505,'سجل الإجازات والحالات'!$B$6:$B$505,$B31)-SUMIFS('سجل الإجازات والحالات'!$AQ$6:$AQ$505,'سجل الإجازات والحالات'!$B$6:$B$505,$B31))))</f>
        <v/>
      </c>
      <c r="AK31" s="110" t="str">
        <f aca="false">IF($B31="","",MAX(0,IF(OR(الموظفون!$AE31="",الموظفون!$AE31&gt;$F$3),$F$3,الموظفون!$AE31)-MAX($E$3,الموظفون!$H31)+1))</f>
        <v/>
      </c>
      <c r="AL31" s="131" t="str">
        <f aca="false">IF($B31="","",SUMIFS('سجل الإجازات والحالات'!$BD$6:$BD$505,'سجل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والحالات'!$AF$6:$AF$505,'سجل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والحالات'!$AR$6:$AR$505,'سجل الإجازات والحالات'!$B$6:$B$505,$B32))/cfg_DAYS_Y)</f>
        <v/>
      </c>
      <c r="AI32" s="130" t="str">
        <f aca="false">IF($B32="","",MAX(0,IF(OR(الموظفون!$AE32="",الموظفون!$AE32&gt;($E$3-1)),($E$3-1),الموظفون!$AE32)-الموظفون!$H32+1-SUMIFS('سجل الإجازات والحالات'!$AQ$6:$AQ$505,'سجل الإجازات والحالات'!$B$6:$B$505,$B32))/cfg_DAYS_Y)</f>
        <v/>
      </c>
      <c r="AJ32" s="57" t="str">
        <f aca="false">IF($B32="","",MAX(0,AK32-(SUMIFS('سجل الإجازات والحالات'!$AR$6:$AR$505,'سجل الإجازات والحالات'!$B$6:$B$505,$B32)-SUMIFS('سجل الإجازات والحالات'!$AQ$6:$AQ$505,'سجل الإجازات والحالات'!$B$6:$B$505,$B32))))</f>
        <v/>
      </c>
      <c r="AK32" s="57" t="str">
        <f aca="false">IF($B32="","",MAX(0,IF(OR(الموظفون!$AE32="",الموظفون!$AE32&gt;$F$3),$F$3,الموظفون!$AE32)-MAX($E$3,الموظفون!$H32)+1))</f>
        <v/>
      </c>
      <c r="AL32" s="126" t="str">
        <f aca="false">IF($B32="","",SUMIFS('سجل الإجازات والحالات'!$BD$6:$BD$505,'سجل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والحالات'!$AF$6:$AF$505,'سجل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والحالات'!$AR$6:$AR$505,'سجل الإجازات والحالات'!$B$6:$B$505,$B33))/cfg_DAYS_Y)</f>
        <v/>
      </c>
      <c r="AI33" s="135" t="str">
        <f aca="false">IF($B33="","",MAX(0,IF(OR(الموظفون!$AE33="",الموظفون!$AE33&gt;($E$3-1)),($E$3-1),الموظفون!$AE33)-الموظفون!$H33+1-SUMIFS('سجل الإجازات والحالات'!$AQ$6:$AQ$505,'سجل الإجازات والحالات'!$B$6:$B$505,$B33))/cfg_DAYS_Y)</f>
        <v/>
      </c>
      <c r="AJ33" s="110" t="str">
        <f aca="false">IF($B33="","",MAX(0,AK33-(SUMIFS('سجل الإجازات والحالات'!$AR$6:$AR$505,'سجل الإجازات والحالات'!$B$6:$B$505,$B33)-SUMIFS('سجل الإجازات والحالات'!$AQ$6:$AQ$505,'سجل الإجازات والحالات'!$B$6:$B$505,$B33))))</f>
        <v/>
      </c>
      <c r="AK33" s="110" t="str">
        <f aca="false">IF($B33="","",MAX(0,IF(OR(الموظفون!$AE33="",الموظفون!$AE33&gt;$F$3),$F$3,الموظفون!$AE33)-MAX($E$3,الموظفون!$H33)+1))</f>
        <v/>
      </c>
      <c r="AL33" s="131" t="str">
        <f aca="false">IF($B33="","",SUMIFS('سجل الإجازات والحالات'!$BD$6:$BD$505,'سجل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والحالات'!$AF$6:$AF$505,'سجل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والحالات'!$AR$6:$AR$505,'سجل الإجازات والحالات'!$B$6:$B$505,$B34))/cfg_DAYS_Y)</f>
        <v/>
      </c>
      <c r="AI34" s="130" t="str">
        <f aca="false">IF($B34="","",MAX(0,IF(OR(الموظفون!$AE34="",الموظفون!$AE34&gt;($E$3-1)),($E$3-1),الموظفون!$AE34)-الموظفون!$H34+1-SUMIFS('سجل الإجازات والحالات'!$AQ$6:$AQ$505,'سجل الإجازات والحالات'!$B$6:$B$505,$B34))/cfg_DAYS_Y)</f>
        <v/>
      </c>
      <c r="AJ34" s="57" t="str">
        <f aca="false">IF($B34="","",MAX(0,AK34-(SUMIFS('سجل الإجازات والحالات'!$AR$6:$AR$505,'سجل الإجازات والحالات'!$B$6:$B$505,$B34)-SUMIFS('سجل الإجازات والحالات'!$AQ$6:$AQ$505,'سجل الإجازات والحالات'!$B$6:$B$505,$B34))))</f>
        <v/>
      </c>
      <c r="AK34" s="57" t="str">
        <f aca="false">IF($B34="","",MAX(0,IF(OR(الموظفون!$AE34="",الموظفون!$AE34&gt;$F$3),$F$3,الموظفون!$AE34)-MAX($E$3,الموظفون!$H34)+1))</f>
        <v/>
      </c>
      <c r="AL34" s="126" t="str">
        <f aca="false">IF($B34="","",SUMIFS('سجل الإجازات والحالات'!$BD$6:$BD$505,'سجل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والحالات'!$AF$6:$AF$505,'سجل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والحالات'!$AR$6:$AR$505,'سجل الإجازات والحالات'!$B$6:$B$505,$B35))/cfg_DAYS_Y)</f>
        <v/>
      </c>
      <c r="AI35" s="135" t="str">
        <f aca="false">IF($B35="","",MAX(0,IF(OR(الموظفون!$AE35="",الموظفون!$AE35&gt;($E$3-1)),($E$3-1),الموظفون!$AE35)-الموظفون!$H35+1-SUMIFS('سجل الإجازات والحالات'!$AQ$6:$AQ$505,'سجل الإجازات والحالات'!$B$6:$B$505,$B35))/cfg_DAYS_Y)</f>
        <v/>
      </c>
      <c r="AJ35" s="110" t="str">
        <f aca="false">IF($B35="","",MAX(0,AK35-(SUMIFS('سجل الإجازات والحالات'!$AR$6:$AR$505,'سجل الإجازات والحالات'!$B$6:$B$505,$B35)-SUMIFS('سجل الإجازات والحالات'!$AQ$6:$AQ$505,'سجل الإجازات والحالات'!$B$6:$B$505,$B35))))</f>
        <v/>
      </c>
      <c r="AK35" s="110" t="str">
        <f aca="false">IF($B35="","",MAX(0,IF(OR(الموظفون!$AE35="",الموظفون!$AE35&gt;$F$3),$F$3,الموظفون!$AE35)-MAX($E$3,الموظفون!$H35)+1))</f>
        <v/>
      </c>
      <c r="AL35" s="131" t="str">
        <f aca="false">IF($B35="","",SUMIFS('سجل الإجازات والحالات'!$BD$6:$BD$505,'سجل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والحالات'!$AF$6:$AF$505,'سجل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والحالات'!$AR$6:$AR$505,'سجل الإجازات والحالات'!$B$6:$B$505,$B36))/cfg_DAYS_Y)</f>
        <v/>
      </c>
      <c r="AI36" s="130" t="str">
        <f aca="false">IF($B36="","",MAX(0,IF(OR(الموظفون!$AE36="",الموظفون!$AE36&gt;($E$3-1)),($E$3-1),الموظفون!$AE36)-الموظفون!$H36+1-SUMIFS('سجل الإجازات والحالات'!$AQ$6:$AQ$505,'سجل الإجازات والحالات'!$B$6:$B$505,$B36))/cfg_DAYS_Y)</f>
        <v/>
      </c>
      <c r="AJ36" s="57" t="str">
        <f aca="false">IF($B36="","",MAX(0,AK36-(SUMIFS('سجل الإجازات والحالات'!$AR$6:$AR$505,'سجل الإجازات والحالات'!$B$6:$B$505,$B36)-SUMIFS('سجل الإجازات والحالات'!$AQ$6:$AQ$505,'سجل الإجازات والحالات'!$B$6:$B$505,$B36))))</f>
        <v/>
      </c>
      <c r="AK36" s="57" t="str">
        <f aca="false">IF($B36="","",MAX(0,IF(OR(الموظفون!$AE36="",الموظفون!$AE36&gt;$F$3),$F$3,الموظفون!$AE36)-MAX($E$3,الموظفون!$H36)+1))</f>
        <v/>
      </c>
      <c r="AL36" s="126" t="str">
        <f aca="false">IF($B36="","",SUMIFS('سجل الإجازات والحالات'!$BD$6:$BD$505,'سجل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والحالات'!$AF$6:$AF$505,'سجل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والحالات'!$AR$6:$AR$505,'سجل الإجازات والحالات'!$B$6:$B$505,$B37))/cfg_DAYS_Y)</f>
        <v/>
      </c>
      <c r="AI37" s="135" t="str">
        <f aca="false">IF($B37="","",MAX(0,IF(OR(الموظفون!$AE37="",الموظفون!$AE37&gt;($E$3-1)),($E$3-1),الموظفون!$AE37)-الموظفون!$H37+1-SUMIFS('سجل الإجازات والحالات'!$AQ$6:$AQ$505,'سجل الإجازات والحالات'!$B$6:$B$505,$B37))/cfg_DAYS_Y)</f>
        <v/>
      </c>
      <c r="AJ37" s="110" t="str">
        <f aca="false">IF($B37="","",MAX(0,AK37-(SUMIFS('سجل الإجازات والحالات'!$AR$6:$AR$505,'سجل الإجازات والحالات'!$B$6:$B$505,$B37)-SUMIFS('سجل الإجازات والحالات'!$AQ$6:$AQ$505,'سجل الإجازات والحالات'!$B$6:$B$505,$B37))))</f>
        <v/>
      </c>
      <c r="AK37" s="110" t="str">
        <f aca="false">IF($B37="","",MAX(0,IF(OR(الموظفون!$AE37="",الموظفون!$AE37&gt;$F$3),$F$3,الموظفون!$AE37)-MAX($E$3,الموظفون!$H37)+1))</f>
        <v/>
      </c>
      <c r="AL37" s="131" t="str">
        <f aca="false">IF($B37="","",SUMIFS('سجل الإجازات والحالات'!$BD$6:$BD$505,'سجل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والحالات'!$AF$6:$AF$505,'سجل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والحالات'!$AR$6:$AR$505,'سجل الإجازات والحالات'!$B$6:$B$505,$B38))/cfg_DAYS_Y)</f>
        <v/>
      </c>
      <c r="AI38" s="130" t="str">
        <f aca="false">IF($B38="","",MAX(0,IF(OR(الموظفون!$AE38="",الموظفون!$AE38&gt;($E$3-1)),($E$3-1),الموظفون!$AE38)-الموظفون!$H38+1-SUMIFS('سجل الإجازات والحالات'!$AQ$6:$AQ$505,'سجل الإجازات والحالات'!$B$6:$B$505,$B38))/cfg_DAYS_Y)</f>
        <v/>
      </c>
      <c r="AJ38" s="57" t="str">
        <f aca="false">IF($B38="","",MAX(0,AK38-(SUMIFS('سجل الإجازات والحالات'!$AR$6:$AR$505,'سجل الإجازات والحالات'!$B$6:$B$505,$B38)-SUMIFS('سجل الإجازات والحالات'!$AQ$6:$AQ$505,'سجل الإجازات والحالات'!$B$6:$B$505,$B38))))</f>
        <v/>
      </c>
      <c r="AK38" s="57" t="str">
        <f aca="false">IF($B38="","",MAX(0,IF(OR(الموظفون!$AE38="",الموظفون!$AE38&gt;$F$3),$F$3,الموظفون!$AE38)-MAX($E$3,الموظفون!$H38)+1))</f>
        <v/>
      </c>
      <c r="AL38" s="126" t="str">
        <f aca="false">IF($B38="","",SUMIFS('سجل الإجازات والحالات'!$BD$6:$BD$505,'سجل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والحالات'!$AF$6:$AF$505,'سجل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والحالات'!$AR$6:$AR$505,'سجل الإجازات والحالات'!$B$6:$B$505,$B39))/cfg_DAYS_Y)</f>
        <v/>
      </c>
      <c r="AI39" s="135" t="str">
        <f aca="false">IF($B39="","",MAX(0,IF(OR(الموظفون!$AE39="",الموظفون!$AE39&gt;($E$3-1)),($E$3-1),الموظفون!$AE39)-الموظفون!$H39+1-SUMIFS('سجل الإجازات والحالات'!$AQ$6:$AQ$505,'سجل الإجازات والحالات'!$B$6:$B$505,$B39))/cfg_DAYS_Y)</f>
        <v/>
      </c>
      <c r="AJ39" s="110" t="str">
        <f aca="false">IF($B39="","",MAX(0,AK39-(SUMIFS('سجل الإجازات والحالات'!$AR$6:$AR$505,'سجل الإجازات والحالات'!$B$6:$B$505,$B39)-SUMIFS('سجل الإجازات والحالات'!$AQ$6:$AQ$505,'سجل الإجازات والحالات'!$B$6:$B$505,$B39))))</f>
        <v/>
      </c>
      <c r="AK39" s="110" t="str">
        <f aca="false">IF($B39="","",MAX(0,IF(OR(الموظفون!$AE39="",الموظفون!$AE39&gt;$F$3),$F$3,الموظفون!$AE39)-MAX($E$3,الموظفون!$H39)+1))</f>
        <v/>
      </c>
      <c r="AL39" s="131" t="str">
        <f aca="false">IF($B39="","",SUMIFS('سجل الإجازات والحالات'!$BD$6:$BD$505,'سجل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والحالات'!$AF$6:$AF$505,'سجل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والحالات'!$AR$6:$AR$505,'سجل الإجازات والحالات'!$B$6:$B$505,$B40))/cfg_DAYS_Y)</f>
        <v/>
      </c>
      <c r="AI40" s="130" t="str">
        <f aca="false">IF($B40="","",MAX(0,IF(OR(الموظفون!$AE40="",الموظفون!$AE40&gt;($E$3-1)),($E$3-1),الموظفون!$AE40)-الموظفون!$H40+1-SUMIFS('سجل الإجازات والحالات'!$AQ$6:$AQ$505,'سجل الإجازات والحالات'!$B$6:$B$505,$B40))/cfg_DAYS_Y)</f>
        <v/>
      </c>
      <c r="AJ40" s="57" t="str">
        <f aca="false">IF($B40="","",MAX(0,AK40-(SUMIFS('سجل الإجازات والحالات'!$AR$6:$AR$505,'سجل الإجازات والحالات'!$B$6:$B$505,$B40)-SUMIFS('سجل الإجازات والحالات'!$AQ$6:$AQ$505,'سجل الإجازات والحالات'!$B$6:$B$505,$B40))))</f>
        <v/>
      </c>
      <c r="AK40" s="57" t="str">
        <f aca="false">IF($B40="","",MAX(0,IF(OR(الموظفون!$AE40="",الموظفون!$AE40&gt;$F$3),$F$3,الموظفون!$AE40)-MAX($E$3,الموظفون!$H40)+1))</f>
        <v/>
      </c>
      <c r="AL40" s="126" t="str">
        <f aca="false">IF($B40="","",SUMIFS('سجل الإجازات والحالات'!$BD$6:$BD$505,'سجل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والحالات'!$AF$6:$AF$505,'سجل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والحالات'!$AR$6:$AR$505,'سجل الإجازات والحالات'!$B$6:$B$505,$B41))/cfg_DAYS_Y)</f>
        <v/>
      </c>
      <c r="AI41" s="135" t="str">
        <f aca="false">IF($B41="","",MAX(0,IF(OR(الموظفون!$AE41="",الموظفون!$AE41&gt;($E$3-1)),($E$3-1),الموظفون!$AE41)-الموظفون!$H41+1-SUMIFS('سجل الإجازات والحالات'!$AQ$6:$AQ$505,'سجل الإجازات والحالات'!$B$6:$B$505,$B41))/cfg_DAYS_Y)</f>
        <v/>
      </c>
      <c r="AJ41" s="110" t="str">
        <f aca="false">IF($B41="","",MAX(0,AK41-(SUMIFS('سجل الإجازات والحالات'!$AR$6:$AR$505,'سجل الإجازات والحالات'!$B$6:$B$505,$B41)-SUMIFS('سجل الإجازات والحالات'!$AQ$6:$AQ$505,'سجل الإجازات والحالات'!$B$6:$B$505,$B41))))</f>
        <v/>
      </c>
      <c r="AK41" s="110" t="str">
        <f aca="false">IF($B41="","",MAX(0,IF(OR(الموظفون!$AE41="",الموظفون!$AE41&gt;$F$3),$F$3,الموظفون!$AE41)-MAX($E$3,الموظفون!$H41)+1))</f>
        <v/>
      </c>
      <c r="AL41" s="131" t="str">
        <f aca="false">IF($B41="","",SUMIFS('سجل الإجازات والحالات'!$BD$6:$BD$505,'سجل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والحالات'!$AF$6:$AF$505,'سجل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والحالات'!$AR$6:$AR$505,'سجل الإجازات والحالات'!$B$6:$B$505,$B42))/cfg_DAYS_Y)</f>
        <v/>
      </c>
      <c r="AI42" s="130" t="str">
        <f aca="false">IF($B42="","",MAX(0,IF(OR(الموظفون!$AE42="",الموظفون!$AE42&gt;($E$3-1)),($E$3-1),الموظفون!$AE42)-الموظفون!$H42+1-SUMIFS('سجل الإجازات والحالات'!$AQ$6:$AQ$505,'سجل الإجازات والحالات'!$B$6:$B$505,$B42))/cfg_DAYS_Y)</f>
        <v/>
      </c>
      <c r="AJ42" s="57" t="str">
        <f aca="false">IF($B42="","",MAX(0,AK42-(SUMIFS('سجل الإجازات والحالات'!$AR$6:$AR$505,'سجل الإجازات والحالات'!$B$6:$B$505,$B42)-SUMIFS('سجل الإجازات والحالات'!$AQ$6:$AQ$505,'سجل الإجازات والحالات'!$B$6:$B$505,$B42))))</f>
        <v/>
      </c>
      <c r="AK42" s="57" t="str">
        <f aca="false">IF($B42="","",MAX(0,IF(OR(الموظفون!$AE42="",الموظفون!$AE42&gt;$F$3),$F$3,الموظفون!$AE42)-MAX($E$3,الموظفون!$H42)+1))</f>
        <v/>
      </c>
      <c r="AL42" s="126" t="str">
        <f aca="false">IF($B42="","",SUMIFS('سجل الإجازات والحالات'!$BD$6:$BD$505,'سجل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والحالات'!$AF$6:$AF$505,'سجل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والحالات'!$AR$6:$AR$505,'سجل الإجازات والحالات'!$B$6:$B$505,$B43))/cfg_DAYS_Y)</f>
        <v/>
      </c>
      <c r="AI43" s="135" t="str">
        <f aca="false">IF($B43="","",MAX(0,IF(OR(الموظفون!$AE43="",الموظفون!$AE43&gt;($E$3-1)),($E$3-1),الموظفون!$AE43)-الموظفون!$H43+1-SUMIFS('سجل الإجازات والحالات'!$AQ$6:$AQ$505,'سجل الإجازات والحالات'!$B$6:$B$505,$B43))/cfg_DAYS_Y)</f>
        <v/>
      </c>
      <c r="AJ43" s="110" t="str">
        <f aca="false">IF($B43="","",MAX(0,AK43-(SUMIFS('سجل الإجازات والحالات'!$AR$6:$AR$505,'سجل الإجازات والحالات'!$B$6:$B$505,$B43)-SUMIFS('سجل الإجازات والحالات'!$AQ$6:$AQ$505,'سجل الإجازات والحالات'!$B$6:$B$505,$B43))))</f>
        <v/>
      </c>
      <c r="AK43" s="110" t="str">
        <f aca="false">IF($B43="","",MAX(0,IF(OR(الموظفون!$AE43="",الموظفون!$AE43&gt;$F$3),$F$3,الموظفون!$AE43)-MAX($E$3,الموظفون!$H43)+1))</f>
        <v/>
      </c>
      <c r="AL43" s="131" t="str">
        <f aca="false">IF($B43="","",SUMIFS('سجل الإجازات والحالات'!$BD$6:$BD$505,'سجل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والحالات'!$AF$6:$AF$505,'سجل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والحالات'!$AR$6:$AR$505,'سجل الإجازات والحالات'!$B$6:$B$505,$B44))/cfg_DAYS_Y)</f>
        <v/>
      </c>
      <c r="AI44" s="130" t="str">
        <f aca="false">IF($B44="","",MAX(0,IF(OR(الموظفون!$AE44="",الموظفون!$AE44&gt;($E$3-1)),($E$3-1),الموظفون!$AE44)-الموظفون!$H44+1-SUMIFS('سجل الإجازات والحالات'!$AQ$6:$AQ$505,'سجل الإجازات والحالات'!$B$6:$B$505,$B44))/cfg_DAYS_Y)</f>
        <v/>
      </c>
      <c r="AJ44" s="57" t="str">
        <f aca="false">IF($B44="","",MAX(0,AK44-(SUMIFS('سجل الإجازات والحالات'!$AR$6:$AR$505,'سجل الإجازات والحالات'!$B$6:$B$505,$B44)-SUMIFS('سجل الإجازات والحالات'!$AQ$6:$AQ$505,'سجل الإجازات والحالات'!$B$6:$B$505,$B44))))</f>
        <v/>
      </c>
      <c r="AK44" s="57" t="str">
        <f aca="false">IF($B44="","",MAX(0,IF(OR(الموظفون!$AE44="",الموظفون!$AE44&gt;$F$3),$F$3,الموظفون!$AE44)-MAX($E$3,الموظفون!$H44)+1))</f>
        <v/>
      </c>
      <c r="AL44" s="126" t="str">
        <f aca="false">IF($B44="","",SUMIFS('سجل الإجازات والحالات'!$BD$6:$BD$505,'سجل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والحالات'!$AF$6:$AF$505,'سجل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والحالات'!$AR$6:$AR$505,'سجل الإجازات والحالات'!$B$6:$B$505,$B45))/cfg_DAYS_Y)</f>
        <v/>
      </c>
      <c r="AI45" s="135" t="str">
        <f aca="false">IF($B45="","",MAX(0,IF(OR(الموظفون!$AE45="",الموظفون!$AE45&gt;($E$3-1)),($E$3-1),الموظفون!$AE45)-الموظفون!$H45+1-SUMIFS('سجل الإجازات والحالات'!$AQ$6:$AQ$505,'سجل الإجازات والحالات'!$B$6:$B$505,$B45))/cfg_DAYS_Y)</f>
        <v/>
      </c>
      <c r="AJ45" s="110" t="str">
        <f aca="false">IF($B45="","",MAX(0,AK45-(SUMIFS('سجل الإجازات والحالات'!$AR$6:$AR$505,'سجل الإجازات والحالات'!$B$6:$B$505,$B45)-SUMIFS('سجل الإجازات والحالات'!$AQ$6:$AQ$505,'سجل الإجازات والحالات'!$B$6:$B$505,$B45))))</f>
        <v/>
      </c>
      <c r="AK45" s="110" t="str">
        <f aca="false">IF($B45="","",MAX(0,IF(OR(الموظفون!$AE45="",الموظفون!$AE45&gt;$F$3),$F$3,الموظفون!$AE45)-MAX($E$3,الموظفون!$H45)+1))</f>
        <v/>
      </c>
      <c r="AL45" s="131" t="str">
        <f aca="false">IF($B45="","",SUMIFS('سجل الإجازات والحالات'!$BD$6:$BD$505,'سجل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والحالات'!$AF$6:$AF$505,'سجل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والحالات'!$AR$6:$AR$505,'سجل الإجازات والحالات'!$B$6:$B$505,$B46))/cfg_DAYS_Y)</f>
        <v/>
      </c>
      <c r="AI46" s="130" t="str">
        <f aca="false">IF($B46="","",MAX(0,IF(OR(الموظفون!$AE46="",الموظفون!$AE46&gt;($E$3-1)),($E$3-1),الموظفون!$AE46)-الموظفون!$H46+1-SUMIFS('سجل الإجازات والحالات'!$AQ$6:$AQ$505,'سجل الإجازات والحالات'!$B$6:$B$505,$B46))/cfg_DAYS_Y)</f>
        <v/>
      </c>
      <c r="AJ46" s="57" t="str">
        <f aca="false">IF($B46="","",MAX(0,AK46-(SUMIFS('سجل الإجازات والحالات'!$AR$6:$AR$505,'سجل الإجازات والحالات'!$B$6:$B$505,$B46)-SUMIFS('سجل الإجازات والحالات'!$AQ$6:$AQ$505,'سجل الإجازات والحالات'!$B$6:$B$505,$B46))))</f>
        <v/>
      </c>
      <c r="AK46" s="57" t="str">
        <f aca="false">IF($B46="","",MAX(0,IF(OR(الموظفون!$AE46="",الموظفون!$AE46&gt;$F$3),$F$3,الموظفون!$AE46)-MAX($E$3,الموظفون!$H46)+1))</f>
        <v/>
      </c>
      <c r="AL46" s="126" t="str">
        <f aca="false">IF($B46="","",SUMIFS('سجل الإجازات والحالات'!$BD$6:$BD$505,'سجل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والحالات'!$AF$6:$AF$505,'سجل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والحالات'!$AR$6:$AR$505,'سجل الإجازات والحالات'!$B$6:$B$505,$B47))/cfg_DAYS_Y)</f>
        <v/>
      </c>
      <c r="AI47" s="135" t="str">
        <f aca="false">IF($B47="","",MAX(0,IF(OR(الموظفون!$AE47="",الموظفون!$AE47&gt;($E$3-1)),($E$3-1),الموظفون!$AE47)-الموظفون!$H47+1-SUMIFS('سجل الإجازات والحالات'!$AQ$6:$AQ$505,'سجل الإجازات والحالات'!$B$6:$B$505,$B47))/cfg_DAYS_Y)</f>
        <v/>
      </c>
      <c r="AJ47" s="110" t="str">
        <f aca="false">IF($B47="","",MAX(0,AK47-(SUMIFS('سجل الإجازات والحالات'!$AR$6:$AR$505,'سجل الإجازات والحالات'!$B$6:$B$505,$B47)-SUMIFS('سجل الإجازات والحالات'!$AQ$6:$AQ$505,'سجل الإجازات والحالات'!$B$6:$B$505,$B47))))</f>
        <v/>
      </c>
      <c r="AK47" s="110" t="str">
        <f aca="false">IF($B47="","",MAX(0,IF(OR(الموظفون!$AE47="",الموظفون!$AE47&gt;$F$3),$F$3,الموظفون!$AE47)-MAX($E$3,الموظفون!$H47)+1))</f>
        <v/>
      </c>
      <c r="AL47" s="131" t="str">
        <f aca="false">IF($B47="","",SUMIFS('سجل الإجازات والحالات'!$BD$6:$BD$505,'سجل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والحالات'!$AF$6:$AF$505,'سجل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والحالات'!$AR$6:$AR$505,'سجل الإجازات والحالات'!$B$6:$B$505,$B48))/cfg_DAYS_Y)</f>
        <v/>
      </c>
      <c r="AI48" s="130" t="str">
        <f aca="false">IF($B48="","",MAX(0,IF(OR(الموظفون!$AE48="",الموظفون!$AE48&gt;($E$3-1)),($E$3-1),الموظفون!$AE48)-الموظفون!$H48+1-SUMIFS('سجل الإجازات والحالات'!$AQ$6:$AQ$505,'سجل الإجازات والحالات'!$B$6:$B$505,$B48))/cfg_DAYS_Y)</f>
        <v/>
      </c>
      <c r="AJ48" s="57" t="str">
        <f aca="false">IF($B48="","",MAX(0,AK48-(SUMIFS('سجل الإجازات والحالات'!$AR$6:$AR$505,'سجل الإجازات والحالات'!$B$6:$B$505,$B48)-SUMIFS('سجل الإجازات والحالات'!$AQ$6:$AQ$505,'سجل الإجازات والحالات'!$B$6:$B$505,$B48))))</f>
        <v/>
      </c>
      <c r="AK48" s="57" t="str">
        <f aca="false">IF($B48="","",MAX(0,IF(OR(الموظفون!$AE48="",الموظفون!$AE48&gt;$F$3),$F$3,الموظفون!$AE48)-MAX($E$3,الموظفون!$H48)+1))</f>
        <v/>
      </c>
      <c r="AL48" s="126" t="str">
        <f aca="false">IF($B48="","",SUMIFS('سجل الإجازات والحالات'!$BD$6:$BD$505,'سجل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والحالات'!$AF$6:$AF$505,'سجل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والحالات'!$AR$6:$AR$505,'سجل الإجازات والحالات'!$B$6:$B$505,$B49))/cfg_DAYS_Y)</f>
        <v/>
      </c>
      <c r="AI49" s="135" t="str">
        <f aca="false">IF($B49="","",MAX(0,IF(OR(الموظفون!$AE49="",الموظفون!$AE49&gt;($E$3-1)),($E$3-1),الموظفون!$AE49)-الموظفون!$H49+1-SUMIFS('سجل الإجازات والحالات'!$AQ$6:$AQ$505,'سجل الإجازات والحالات'!$B$6:$B$505,$B49))/cfg_DAYS_Y)</f>
        <v/>
      </c>
      <c r="AJ49" s="110" t="str">
        <f aca="false">IF($B49="","",MAX(0,AK49-(SUMIFS('سجل الإجازات والحالات'!$AR$6:$AR$505,'سجل الإجازات والحالات'!$B$6:$B$505,$B49)-SUMIFS('سجل الإجازات والحالات'!$AQ$6:$AQ$505,'سجل الإجازات والحالات'!$B$6:$B$505,$B49))))</f>
        <v/>
      </c>
      <c r="AK49" s="110" t="str">
        <f aca="false">IF($B49="","",MAX(0,IF(OR(الموظفون!$AE49="",الموظفون!$AE49&gt;$F$3),$F$3,الموظفون!$AE49)-MAX($E$3,الموظفون!$H49)+1))</f>
        <v/>
      </c>
      <c r="AL49" s="131" t="str">
        <f aca="false">IF($B49="","",SUMIFS('سجل الإجازات والحالات'!$BD$6:$BD$505,'سجل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والحالات'!$AF$6:$AF$505,'سجل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والحالات'!$AR$6:$AR$505,'سجل الإجازات والحالات'!$B$6:$B$505,$B50))/cfg_DAYS_Y)</f>
        <v/>
      </c>
      <c r="AI50" s="130" t="str">
        <f aca="false">IF($B50="","",MAX(0,IF(OR(الموظفون!$AE50="",الموظفون!$AE50&gt;($E$3-1)),($E$3-1),الموظفون!$AE50)-الموظفون!$H50+1-SUMIFS('سجل الإجازات والحالات'!$AQ$6:$AQ$505,'سجل الإجازات والحالات'!$B$6:$B$505,$B50))/cfg_DAYS_Y)</f>
        <v/>
      </c>
      <c r="AJ50" s="57" t="str">
        <f aca="false">IF($B50="","",MAX(0,AK50-(SUMIFS('سجل الإجازات والحالات'!$AR$6:$AR$505,'سجل الإجازات والحالات'!$B$6:$B$505,$B50)-SUMIFS('سجل الإجازات والحالات'!$AQ$6:$AQ$505,'سجل الإجازات والحالات'!$B$6:$B$505,$B50))))</f>
        <v/>
      </c>
      <c r="AK50" s="57" t="str">
        <f aca="false">IF($B50="","",MAX(0,IF(OR(الموظفون!$AE50="",الموظفون!$AE50&gt;$F$3),$F$3,الموظفون!$AE50)-MAX($E$3,الموظفون!$H50)+1))</f>
        <v/>
      </c>
      <c r="AL50" s="126" t="str">
        <f aca="false">IF($B50="","",SUMIFS('سجل الإجازات والحالات'!$BD$6:$BD$505,'سجل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والحالات'!$AF$6:$AF$505,'سجل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والحالات'!$AR$6:$AR$505,'سجل الإجازات والحالات'!$B$6:$B$505,$B51))/cfg_DAYS_Y)</f>
        <v/>
      </c>
      <c r="AI51" s="135" t="str">
        <f aca="false">IF($B51="","",MAX(0,IF(OR(الموظفون!$AE51="",الموظفون!$AE51&gt;($E$3-1)),($E$3-1),الموظفون!$AE51)-الموظفون!$H51+1-SUMIFS('سجل الإجازات والحالات'!$AQ$6:$AQ$505,'سجل الإجازات والحالات'!$B$6:$B$505,$B51))/cfg_DAYS_Y)</f>
        <v/>
      </c>
      <c r="AJ51" s="110" t="str">
        <f aca="false">IF($B51="","",MAX(0,AK51-(SUMIFS('سجل الإجازات والحالات'!$AR$6:$AR$505,'سجل الإجازات والحالات'!$B$6:$B$505,$B51)-SUMIFS('سجل الإجازات والحالات'!$AQ$6:$AQ$505,'سجل الإجازات والحالات'!$B$6:$B$505,$B51))))</f>
        <v/>
      </c>
      <c r="AK51" s="110" t="str">
        <f aca="false">IF($B51="","",MAX(0,IF(OR(الموظفون!$AE51="",الموظفون!$AE51&gt;$F$3),$F$3,الموظفون!$AE51)-MAX($E$3,الموظفون!$H51)+1))</f>
        <v/>
      </c>
      <c r="AL51" s="131" t="str">
        <f aca="false">IF($B51="","",SUMIFS('سجل الإجازات والحالات'!$BD$6:$BD$505,'سجل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والحالات'!$AF$6:$AF$505,'سجل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والحالات'!$AR$6:$AR$505,'سجل الإجازات والحالات'!$B$6:$B$505,$B52))/cfg_DAYS_Y)</f>
        <v/>
      </c>
      <c r="AI52" s="130" t="str">
        <f aca="false">IF($B52="","",MAX(0,IF(OR(الموظفون!$AE52="",الموظفون!$AE52&gt;($E$3-1)),($E$3-1),الموظفون!$AE52)-الموظفون!$H52+1-SUMIFS('سجل الإجازات والحالات'!$AQ$6:$AQ$505,'سجل الإجازات والحالات'!$B$6:$B$505,$B52))/cfg_DAYS_Y)</f>
        <v/>
      </c>
      <c r="AJ52" s="57" t="str">
        <f aca="false">IF($B52="","",MAX(0,AK52-(SUMIFS('سجل الإجازات والحالات'!$AR$6:$AR$505,'سجل الإجازات والحالات'!$B$6:$B$505,$B52)-SUMIFS('سجل الإجازات والحالات'!$AQ$6:$AQ$505,'سجل الإجازات والحالات'!$B$6:$B$505,$B52))))</f>
        <v/>
      </c>
      <c r="AK52" s="57" t="str">
        <f aca="false">IF($B52="","",MAX(0,IF(OR(الموظفون!$AE52="",الموظفون!$AE52&gt;$F$3),$F$3,الموظفون!$AE52)-MAX($E$3,الموظفون!$H52)+1))</f>
        <v/>
      </c>
      <c r="AL52" s="126" t="str">
        <f aca="false">IF($B52="","",SUMIFS('سجل الإجازات والحالات'!$BD$6:$BD$505,'سجل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والحالات'!$AF$6:$AF$505,'سجل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والحالات'!$AR$6:$AR$505,'سجل الإجازات والحالات'!$B$6:$B$505,$B53))/cfg_DAYS_Y)</f>
        <v/>
      </c>
      <c r="AI53" s="135" t="str">
        <f aca="false">IF($B53="","",MAX(0,IF(OR(الموظفون!$AE53="",الموظفون!$AE53&gt;($E$3-1)),($E$3-1),الموظفون!$AE53)-الموظفون!$H53+1-SUMIFS('سجل الإجازات والحالات'!$AQ$6:$AQ$505,'سجل الإجازات والحالات'!$B$6:$B$505,$B53))/cfg_DAYS_Y)</f>
        <v/>
      </c>
      <c r="AJ53" s="110" t="str">
        <f aca="false">IF($B53="","",MAX(0,AK53-(SUMIFS('سجل الإجازات والحالات'!$AR$6:$AR$505,'سجل الإجازات والحالات'!$B$6:$B$505,$B53)-SUMIFS('سجل الإجازات والحالات'!$AQ$6:$AQ$505,'سجل الإجازات والحالات'!$B$6:$B$505,$B53))))</f>
        <v/>
      </c>
      <c r="AK53" s="110" t="str">
        <f aca="false">IF($B53="","",MAX(0,IF(OR(الموظفون!$AE53="",الموظفون!$AE53&gt;$F$3),$F$3,الموظفون!$AE53)-MAX($E$3,الموظفون!$H53)+1))</f>
        <v/>
      </c>
      <c r="AL53" s="131" t="str">
        <f aca="false">IF($B53="","",SUMIFS('سجل الإجازات والحالات'!$BD$6:$BD$505,'سجل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والحالات'!$AF$6:$AF$505,'سجل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والحالات'!$AR$6:$AR$505,'سجل الإجازات والحالات'!$B$6:$B$505,$B54))/cfg_DAYS_Y)</f>
        <v/>
      </c>
      <c r="AI54" s="130" t="str">
        <f aca="false">IF($B54="","",MAX(0,IF(OR(الموظفون!$AE54="",الموظفون!$AE54&gt;($E$3-1)),($E$3-1),الموظفون!$AE54)-الموظفون!$H54+1-SUMIFS('سجل الإجازات والحالات'!$AQ$6:$AQ$505,'سجل الإجازات والحالات'!$B$6:$B$505,$B54))/cfg_DAYS_Y)</f>
        <v/>
      </c>
      <c r="AJ54" s="57" t="str">
        <f aca="false">IF($B54="","",MAX(0,AK54-(SUMIFS('سجل الإجازات والحالات'!$AR$6:$AR$505,'سجل الإجازات والحالات'!$B$6:$B$505,$B54)-SUMIFS('سجل الإجازات والحالات'!$AQ$6:$AQ$505,'سجل الإجازات والحالات'!$B$6:$B$505,$B54))))</f>
        <v/>
      </c>
      <c r="AK54" s="57" t="str">
        <f aca="false">IF($B54="","",MAX(0,IF(OR(الموظفون!$AE54="",الموظفون!$AE54&gt;$F$3),$F$3,الموظفون!$AE54)-MAX($E$3,الموظفون!$H54)+1))</f>
        <v/>
      </c>
      <c r="AL54" s="126" t="str">
        <f aca="false">IF($B54="","",SUMIFS('سجل الإجازات والحالات'!$BD$6:$BD$505,'سجل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والحالات'!$AF$6:$AF$505,'سجل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والحالات'!$AR$6:$AR$505,'سجل الإجازات والحالات'!$B$6:$B$505,$B55))/cfg_DAYS_Y)</f>
        <v/>
      </c>
      <c r="AI55" s="135" t="str">
        <f aca="false">IF($B55="","",MAX(0,IF(OR(الموظفون!$AE55="",الموظفون!$AE55&gt;($E$3-1)),($E$3-1),الموظفون!$AE55)-الموظفون!$H55+1-SUMIFS('سجل الإجازات والحالات'!$AQ$6:$AQ$505,'سجل الإجازات والحالات'!$B$6:$B$505,$B55))/cfg_DAYS_Y)</f>
        <v/>
      </c>
      <c r="AJ55" s="110" t="str">
        <f aca="false">IF($B55="","",MAX(0,AK55-(SUMIFS('سجل الإجازات والحالات'!$AR$6:$AR$505,'سجل الإجازات والحالات'!$B$6:$B$505,$B55)-SUMIFS('سجل الإجازات والحالات'!$AQ$6:$AQ$505,'سجل الإجازات والحالات'!$B$6:$B$505,$B55))))</f>
        <v/>
      </c>
      <c r="AK55" s="110" t="str">
        <f aca="false">IF($B55="","",MAX(0,IF(OR(الموظفون!$AE55="",الموظفون!$AE55&gt;$F$3),$F$3,الموظفون!$AE55)-MAX($E$3,الموظفون!$H55)+1))</f>
        <v/>
      </c>
      <c r="AL55" s="131" t="str">
        <f aca="false">IF($B55="","",SUMIFS('سجل الإجازات والحالات'!$BD$6:$BD$505,'سجل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والحالات'!$AF$6:$AF$505,'سجل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والحالات'!$AR$6:$AR$505,'سجل الإجازات والحالات'!$B$6:$B$505,$B56))/cfg_DAYS_Y)</f>
        <v/>
      </c>
      <c r="AI56" s="130" t="str">
        <f aca="false">IF($B56="","",MAX(0,IF(OR(الموظفون!$AE56="",الموظفون!$AE56&gt;($E$3-1)),($E$3-1),الموظفون!$AE56)-الموظفون!$H56+1-SUMIFS('سجل الإجازات والحالات'!$AQ$6:$AQ$505,'سجل الإجازات والحالات'!$B$6:$B$505,$B56))/cfg_DAYS_Y)</f>
        <v/>
      </c>
      <c r="AJ56" s="57" t="str">
        <f aca="false">IF($B56="","",MAX(0,AK56-(SUMIFS('سجل الإجازات والحالات'!$AR$6:$AR$505,'سجل الإجازات والحالات'!$B$6:$B$505,$B56)-SUMIFS('سجل الإجازات والحالات'!$AQ$6:$AQ$505,'سجل الإجازات والحالات'!$B$6:$B$505,$B56))))</f>
        <v/>
      </c>
      <c r="AK56" s="57" t="str">
        <f aca="false">IF($B56="","",MAX(0,IF(OR(الموظفون!$AE56="",الموظفون!$AE56&gt;$F$3),$F$3,الموظفون!$AE56)-MAX($E$3,الموظفون!$H56)+1))</f>
        <v/>
      </c>
      <c r="AL56" s="126" t="str">
        <f aca="false">IF($B56="","",SUMIFS('سجل الإجازات والحالات'!$BD$6:$BD$505,'سجل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والحالات'!$AF$6:$AF$505,'سجل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والحالات'!$AR$6:$AR$505,'سجل الإجازات والحالات'!$B$6:$B$505,$B57))/cfg_DAYS_Y)</f>
        <v/>
      </c>
      <c r="AI57" s="135" t="str">
        <f aca="false">IF($B57="","",MAX(0,IF(OR(الموظفون!$AE57="",الموظفون!$AE57&gt;($E$3-1)),($E$3-1),الموظفون!$AE57)-الموظفون!$H57+1-SUMIFS('سجل الإجازات والحالات'!$AQ$6:$AQ$505,'سجل الإجازات والحالات'!$B$6:$B$505,$B57))/cfg_DAYS_Y)</f>
        <v/>
      </c>
      <c r="AJ57" s="110" t="str">
        <f aca="false">IF($B57="","",MAX(0,AK57-(SUMIFS('سجل الإجازات والحالات'!$AR$6:$AR$505,'سجل الإجازات والحالات'!$B$6:$B$505,$B57)-SUMIFS('سجل الإجازات والحالات'!$AQ$6:$AQ$505,'سجل الإجازات والحالات'!$B$6:$B$505,$B57))))</f>
        <v/>
      </c>
      <c r="AK57" s="110" t="str">
        <f aca="false">IF($B57="","",MAX(0,IF(OR(الموظفون!$AE57="",الموظفون!$AE57&gt;$F$3),$F$3,الموظفون!$AE57)-MAX($E$3,الموظفون!$H57)+1))</f>
        <v/>
      </c>
      <c r="AL57" s="131" t="str">
        <f aca="false">IF($B57="","",SUMIFS('سجل الإجازات والحالات'!$BD$6:$BD$505,'سجل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والحالات'!$AF$6:$AF$505,'سجل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والحالات'!$AR$6:$AR$505,'سجل الإجازات والحالات'!$B$6:$B$505,$B58))/cfg_DAYS_Y)</f>
        <v/>
      </c>
      <c r="AI58" s="130" t="str">
        <f aca="false">IF($B58="","",MAX(0,IF(OR(الموظفون!$AE58="",الموظفون!$AE58&gt;($E$3-1)),($E$3-1),الموظفون!$AE58)-الموظفون!$H58+1-SUMIFS('سجل الإجازات والحالات'!$AQ$6:$AQ$505,'سجل الإجازات والحالات'!$B$6:$B$505,$B58))/cfg_DAYS_Y)</f>
        <v/>
      </c>
      <c r="AJ58" s="57" t="str">
        <f aca="false">IF($B58="","",MAX(0,AK58-(SUMIFS('سجل الإجازات والحالات'!$AR$6:$AR$505,'سجل الإجازات والحالات'!$B$6:$B$505,$B58)-SUMIFS('سجل الإجازات والحالات'!$AQ$6:$AQ$505,'سجل الإجازات والحالات'!$B$6:$B$505,$B58))))</f>
        <v/>
      </c>
      <c r="AK58" s="57" t="str">
        <f aca="false">IF($B58="","",MAX(0,IF(OR(الموظفون!$AE58="",الموظفون!$AE58&gt;$F$3),$F$3,الموظفون!$AE58)-MAX($E$3,الموظفون!$H58)+1))</f>
        <v/>
      </c>
      <c r="AL58" s="126" t="str">
        <f aca="false">IF($B58="","",SUMIFS('سجل الإجازات والحالات'!$BD$6:$BD$505,'سجل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والحالات'!$AF$6:$AF$505,'سجل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والحالات'!$AR$6:$AR$505,'سجل الإجازات والحالات'!$B$6:$B$505,$B59))/cfg_DAYS_Y)</f>
        <v/>
      </c>
      <c r="AI59" s="135" t="str">
        <f aca="false">IF($B59="","",MAX(0,IF(OR(الموظفون!$AE59="",الموظفون!$AE59&gt;($E$3-1)),($E$3-1),الموظفون!$AE59)-الموظفون!$H59+1-SUMIFS('سجل الإجازات والحالات'!$AQ$6:$AQ$505,'سجل الإجازات والحالات'!$B$6:$B$505,$B59))/cfg_DAYS_Y)</f>
        <v/>
      </c>
      <c r="AJ59" s="110" t="str">
        <f aca="false">IF($B59="","",MAX(0,AK59-(SUMIFS('سجل الإجازات والحالات'!$AR$6:$AR$505,'سجل الإجازات والحالات'!$B$6:$B$505,$B59)-SUMIFS('سجل الإجازات والحالات'!$AQ$6:$AQ$505,'سجل الإجازات والحالات'!$B$6:$B$505,$B59))))</f>
        <v/>
      </c>
      <c r="AK59" s="110" t="str">
        <f aca="false">IF($B59="","",MAX(0,IF(OR(الموظفون!$AE59="",الموظفون!$AE59&gt;$F$3),$F$3,الموظفون!$AE59)-MAX($E$3,الموظفون!$H59)+1))</f>
        <v/>
      </c>
      <c r="AL59" s="131" t="str">
        <f aca="false">IF($B59="","",SUMIFS('سجل الإجازات والحالات'!$BD$6:$BD$505,'سجل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والحالات'!$AF$6:$AF$505,'سجل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والحالات'!$AR$6:$AR$505,'سجل الإجازات والحالات'!$B$6:$B$505,$B60))/cfg_DAYS_Y)</f>
        <v/>
      </c>
      <c r="AI60" s="130" t="str">
        <f aca="false">IF($B60="","",MAX(0,IF(OR(الموظفون!$AE60="",الموظفون!$AE60&gt;($E$3-1)),($E$3-1),الموظفون!$AE60)-الموظفون!$H60+1-SUMIFS('سجل الإجازات والحالات'!$AQ$6:$AQ$505,'سجل الإجازات والحالات'!$B$6:$B$505,$B60))/cfg_DAYS_Y)</f>
        <v/>
      </c>
      <c r="AJ60" s="57" t="str">
        <f aca="false">IF($B60="","",MAX(0,AK60-(SUMIFS('سجل الإجازات والحالات'!$AR$6:$AR$505,'سجل الإجازات والحالات'!$B$6:$B$505,$B60)-SUMIFS('سجل الإجازات والحالات'!$AQ$6:$AQ$505,'سجل الإجازات والحالات'!$B$6:$B$505,$B60))))</f>
        <v/>
      </c>
      <c r="AK60" s="57" t="str">
        <f aca="false">IF($B60="","",MAX(0,IF(OR(الموظفون!$AE60="",الموظفون!$AE60&gt;$F$3),$F$3,الموظفون!$AE60)-MAX($E$3,الموظفون!$H60)+1))</f>
        <v/>
      </c>
      <c r="AL60" s="126" t="str">
        <f aca="false">IF($B60="","",SUMIFS('سجل الإجازات والحالات'!$BD$6:$BD$505,'سجل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والحالات'!$AF$6:$AF$505,'سجل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والحالات'!$AR$6:$AR$505,'سجل الإجازات والحالات'!$B$6:$B$505,$B61))/cfg_DAYS_Y)</f>
        <v/>
      </c>
      <c r="AI61" s="135" t="str">
        <f aca="false">IF($B61="","",MAX(0,IF(OR(الموظفون!$AE61="",الموظفون!$AE61&gt;($E$3-1)),($E$3-1),الموظفون!$AE61)-الموظفون!$H61+1-SUMIFS('سجل الإجازات والحالات'!$AQ$6:$AQ$505,'سجل الإجازات والحالات'!$B$6:$B$505,$B61))/cfg_DAYS_Y)</f>
        <v/>
      </c>
      <c r="AJ61" s="110" t="str">
        <f aca="false">IF($B61="","",MAX(0,AK61-(SUMIFS('سجل الإجازات والحالات'!$AR$6:$AR$505,'سجل الإجازات والحالات'!$B$6:$B$505,$B61)-SUMIFS('سجل الإجازات والحالات'!$AQ$6:$AQ$505,'سجل الإجازات والحالات'!$B$6:$B$505,$B61))))</f>
        <v/>
      </c>
      <c r="AK61" s="110" t="str">
        <f aca="false">IF($B61="","",MAX(0,IF(OR(الموظفون!$AE61="",الموظفون!$AE61&gt;$F$3),$F$3,الموظفون!$AE61)-MAX($E$3,الموظفون!$H61)+1))</f>
        <v/>
      </c>
      <c r="AL61" s="131" t="str">
        <f aca="false">IF($B61="","",SUMIFS('سجل الإجازات والحالات'!$BD$6:$BD$505,'سجل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والحالات'!$AF$6:$AF$505,'سجل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والحالات'!$AR$6:$AR$505,'سجل الإجازات والحالات'!$B$6:$B$505,$B62))/cfg_DAYS_Y)</f>
        <v/>
      </c>
      <c r="AI62" s="130" t="str">
        <f aca="false">IF($B62="","",MAX(0,IF(OR(الموظفون!$AE62="",الموظفون!$AE62&gt;($E$3-1)),($E$3-1),الموظفون!$AE62)-الموظفون!$H62+1-SUMIFS('سجل الإجازات والحالات'!$AQ$6:$AQ$505,'سجل الإجازات والحالات'!$B$6:$B$505,$B62))/cfg_DAYS_Y)</f>
        <v/>
      </c>
      <c r="AJ62" s="57" t="str">
        <f aca="false">IF($B62="","",MAX(0,AK62-(SUMIFS('سجل الإجازات والحالات'!$AR$6:$AR$505,'سجل الإجازات والحالات'!$B$6:$B$505,$B62)-SUMIFS('سجل الإجازات والحالات'!$AQ$6:$AQ$505,'سجل الإجازات والحالات'!$B$6:$B$505,$B62))))</f>
        <v/>
      </c>
      <c r="AK62" s="57" t="str">
        <f aca="false">IF($B62="","",MAX(0,IF(OR(الموظفون!$AE62="",الموظفون!$AE62&gt;$F$3),$F$3,الموظفون!$AE62)-MAX($E$3,الموظفون!$H62)+1))</f>
        <v/>
      </c>
      <c r="AL62" s="126" t="str">
        <f aca="false">IF($B62="","",SUMIFS('سجل الإجازات والحالات'!$BD$6:$BD$505,'سجل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والحالات'!$AF$6:$AF$505,'سجل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والحالات'!$AR$6:$AR$505,'سجل الإجازات والحالات'!$B$6:$B$505,$B63))/cfg_DAYS_Y)</f>
        <v/>
      </c>
      <c r="AI63" s="135" t="str">
        <f aca="false">IF($B63="","",MAX(0,IF(OR(الموظفون!$AE63="",الموظفون!$AE63&gt;($E$3-1)),($E$3-1),الموظفون!$AE63)-الموظفون!$H63+1-SUMIFS('سجل الإجازات والحالات'!$AQ$6:$AQ$505,'سجل الإجازات والحالات'!$B$6:$B$505,$B63))/cfg_DAYS_Y)</f>
        <v/>
      </c>
      <c r="AJ63" s="110" t="str">
        <f aca="false">IF($B63="","",MAX(0,AK63-(SUMIFS('سجل الإجازات والحالات'!$AR$6:$AR$505,'سجل الإجازات والحالات'!$B$6:$B$505,$B63)-SUMIFS('سجل الإجازات والحالات'!$AQ$6:$AQ$505,'سجل الإجازات والحالات'!$B$6:$B$505,$B63))))</f>
        <v/>
      </c>
      <c r="AK63" s="110" t="str">
        <f aca="false">IF($B63="","",MAX(0,IF(OR(الموظفون!$AE63="",الموظفون!$AE63&gt;$F$3),$F$3,الموظفون!$AE63)-MAX($E$3,الموظفون!$H63)+1))</f>
        <v/>
      </c>
      <c r="AL63" s="131" t="str">
        <f aca="false">IF($B63="","",SUMIFS('سجل الإجازات والحالات'!$BD$6:$BD$505,'سجل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والحالات'!$AF$6:$AF$505,'سجل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والحالات'!$AR$6:$AR$505,'سجل الإجازات والحالات'!$B$6:$B$505,$B64))/cfg_DAYS_Y)</f>
        <v/>
      </c>
      <c r="AI64" s="130" t="str">
        <f aca="false">IF($B64="","",MAX(0,IF(OR(الموظفون!$AE64="",الموظفون!$AE64&gt;($E$3-1)),($E$3-1),الموظفون!$AE64)-الموظفون!$H64+1-SUMIFS('سجل الإجازات والحالات'!$AQ$6:$AQ$505,'سجل الإجازات والحالات'!$B$6:$B$505,$B64))/cfg_DAYS_Y)</f>
        <v/>
      </c>
      <c r="AJ64" s="57" t="str">
        <f aca="false">IF($B64="","",MAX(0,AK64-(SUMIFS('سجل الإجازات والحالات'!$AR$6:$AR$505,'سجل الإجازات والحالات'!$B$6:$B$505,$B64)-SUMIFS('سجل الإجازات والحالات'!$AQ$6:$AQ$505,'سجل الإجازات والحالات'!$B$6:$B$505,$B64))))</f>
        <v/>
      </c>
      <c r="AK64" s="57" t="str">
        <f aca="false">IF($B64="","",MAX(0,IF(OR(الموظفون!$AE64="",الموظفون!$AE64&gt;$F$3),$F$3,الموظفون!$AE64)-MAX($E$3,الموظفون!$H64)+1))</f>
        <v/>
      </c>
      <c r="AL64" s="126" t="str">
        <f aca="false">IF($B64="","",SUMIFS('سجل الإجازات والحالات'!$BD$6:$BD$505,'سجل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والحالات'!$AF$6:$AF$505,'سجل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والحالات'!$AR$6:$AR$505,'سجل الإجازات والحالات'!$B$6:$B$505,$B65))/cfg_DAYS_Y)</f>
        <v/>
      </c>
      <c r="AI65" s="135" t="str">
        <f aca="false">IF($B65="","",MAX(0,IF(OR(الموظفون!$AE65="",الموظفون!$AE65&gt;($E$3-1)),($E$3-1),الموظفون!$AE65)-الموظفون!$H65+1-SUMIFS('سجل الإجازات والحالات'!$AQ$6:$AQ$505,'سجل الإجازات والحالات'!$B$6:$B$505,$B65))/cfg_DAYS_Y)</f>
        <v/>
      </c>
      <c r="AJ65" s="110" t="str">
        <f aca="false">IF($B65="","",MAX(0,AK65-(SUMIFS('سجل الإجازات والحالات'!$AR$6:$AR$505,'سجل الإجازات والحالات'!$B$6:$B$505,$B65)-SUMIFS('سجل الإجازات والحالات'!$AQ$6:$AQ$505,'سجل الإجازات والحالات'!$B$6:$B$505,$B65))))</f>
        <v/>
      </c>
      <c r="AK65" s="110" t="str">
        <f aca="false">IF($B65="","",MAX(0,IF(OR(الموظفون!$AE65="",الموظفون!$AE65&gt;$F$3),$F$3,الموظفون!$AE65)-MAX($E$3,الموظفون!$H65)+1))</f>
        <v/>
      </c>
      <c r="AL65" s="131" t="str">
        <f aca="false">IF($B65="","",SUMIFS('سجل الإجازات والحالات'!$BD$6:$BD$505,'سجل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والحالات'!$AF$6:$AF$505,'سجل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والحالات'!$AR$6:$AR$505,'سجل الإجازات والحالات'!$B$6:$B$505,$B66))/cfg_DAYS_Y)</f>
        <v/>
      </c>
      <c r="AI66" s="130" t="str">
        <f aca="false">IF($B66="","",MAX(0,IF(OR(الموظفون!$AE66="",الموظفون!$AE66&gt;($E$3-1)),($E$3-1),الموظفون!$AE66)-الموظفون!$H66+1-SUMIFS('سجل الإجازات والحالات'!$AQ$6:$AQ$505,'سجل الإجازات والحالات'!$B$6:$B$505,$B66))/cfg_DAYS_Y)</f>
        <v/>
      </c>
      <c r="AJ66" s="57" t="str">
        <f aca="false">IF($B66="","",MAX(0,AK66-(SUMIFS('سجل الإجازات والحالات'!$AR$6:$AR$505,'سجل الإجازات والحالات'!$B$6:$B$505,$B66)-SUMIFS('سجل الإجازات والحالات'!$AQ$6:$AQ$505,'سجل الإجازات والحالات'!$B$6:$B$505,$B66))))</f>
        <v/>
      </c>
      <c r="AK66" s="57" t="str">
        <f aca="false">IF($B66="","",MAX(0,IF(OR(الموظفون!$AE66="",الموظفون!$AE66&gt;$F$3),$F$3,الموظفون!$AE66)-MAX($E$3,الموظفون!$H66)+1))</f>
        <v/>
      </c>
      <c r="AL66" s="126" t="str">
        <f aca="false">IF($B66="","",SUMIFS('سجل الإجازات والحالات'!$BD$6:$BD$505,'سجل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والحالات'!$AF$6:$AF$505,'سجل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والحالات'!$AR$6:$AR$505,'سجل الإجازات والحالات'!$B$6:$B$505,$B67))/cfg_DAYS_Y)</f>
        <v/>
      </c>
      <c r="AI67" s="135" t="str">
        <f aca="false">IF($B67="","",MAX(0,IF(OR(الموظفون!$AE67="",الموظفون!$AE67&gt;($E$3-1)),($E$3-1),الموظفون!$AE67)-الموظفون!$H67+1-SUMIFS('سجل الإجازات والحالات'!$AQ$6:$AQ$505,'سجل الإجازات والحالات'!$B$6:$B$505,$B67))/cfg_DAYS_Y)</f>
        <v/>
      </c>
      <c r="AJ67" s="110" t="str">
        <f aca="false">IF($B67="","",MAX(0,AK67-(SUMIFS('سجل الإجازات والحالات'!$AR$6:$AR$505,'سجل الإجازات والحالات'!$B$6:$B$505,$B67)-SUMIFS('سجل الإجازات والحالات'!$AQ$6:$AQ$505,'سجل الإجازات والحالات'!$B$6:$B$505,$B67))))</f>
        <v/>
      </c>
      <c r="AK67" s="110" t="str">
        <f aca="false">IF($B67="","",MAX(0,IF(OR(الموظفون!$AE67="",الموظفون!$AE67&gt;$F$3),$F$3,الموظفون!$AE67)-MAX($E$3,الموظفون!$H67)+1))</f>
        <v/>
      </c>
      <c r="AL67" s="131" t="str">
        <f aca="false">IF($B67="","",SUMIFS('سجل الإجازات والحالات'!$BD$6:$BD$505,'سجل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والحالات'!$AF$6:$AF$505,'سجل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والحالات'!$AR$6:$AR$505,'سجل الإجازات والحالات'!$B$6:$B$505,$B68))/cfg_DAYS_Y)</f>
        <v/>
      </c>
      <c r="AI68" s="130" t="str">
        <f aca="false">IF($B68="","",MAX(0,IF(OR(الموظفون!$AE68="",الموظفون!$AE68&gt;($E$3-1)),($E$3-1),الموظفون!$AE68)-الموظفون!$H68+1-SUMIFS('سجل الإجازات والحالات'!$AQ$6:$AQ$505,'سجل الإجازات والحالات'!$B$6:$B$505,$B68))/cfg_DAYS_Y)</f>
        <v/>
      </c>
      <c r="AJ68" s="57" t="str">
        <f aca="false">IF($B68="","",MAX(0,AK68-(SUMIFS('سجل الإجازات والحالات'!$AR$6:$AR$505,'سجل الإجازات والحالات'!$B$6:$B$505,$B68)-SUMIFS('سجل الإجازات والحالات'!$AQ$6:$AQ$505,'سجل الإجازات والحالات'!$B$6:$B$505,$B68))))</f>
        <v/>
      </c>
      <c r="AK68" s="57" t="str">
        <f aca="false">IF($B68="","",MAX(0,IF(OR(الموظفون!$AE68="",الموظفون!$AE68&gt;$F$3),$F$3,الموظفون!$AE68)-MAX($E$3,الموظفون!$H68)+1))</f>
        <v/>
      </c>
      <c r="AL68" s="126" t="str">
        <f aca="false">IF($B68="","",SUMIFS('سجل الإجازات والحالات'!$BD$6:$BD$505,'سجل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والحالات'!$AF$6:$AF$505,'سجل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والحالات'!$AR$6:$AR$505,'سجل الإجازات والحالات'!$B$6:$B$505,$B69))/cfg_DAYS_Y)</f>
        <v/>
      </c>
      <c r="AI69" s="135" t="str">
        <f aca="false">IF($B69="","",MAX(0,IF(OR(الموظفون!$AE69="",الموظفون!$AE69&gt;($E$3-1)),($E$3-1),الموظفون!$AE69)-الموظفون!$H69+1-SUMIFS('سجل الإجازات والحالات'!$AQ$6:$AQ$505,'سجل الإجازات والحالات'!$B$6:$B$505,$B69))/cfg_DAYS_Y)</f>
        <v/>
      </c>
      <c r="AJ69" s="110" t="str">
        <f aca="false">IF($B69="","",MAX(0,AK69-(SUMIFS('سجل الإجازات والحالات'!$AR$6:$AR$505,'سجل الإجازات والحالات'!$B$6:$B$505,$B69)-SUMIFS('سجل الإجازات والحالات'!$AQ$6:$AQ$505,'سجل الإجازات والحالات'!$B$6:$B$505,$B69))))</f>
        <v/>
      </c>
      <c r="AK69" s="110" t="str">
        <f aca="false">IF($B69="","",MAX(0,IF(OR(الموظفون!$AE69="",الموظفون!$AE69&gt;$F$3),$F$3,الموظفون!$AE69)-MAX($E$3,الموظفون!$H69)+1))</f>
        <v/>
      </c>
      <c r="AL69" s="131" t="str">
        <f aca="false">IF($B69="","",SUMIFS('سجل الإجازات والحالات'!$BD$6:$BD$505,'سجل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والحالات'!$AF$6:$AF$505,'سجل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والحالات'!$AR$6:$AR$505,'سجل الإجازات والحالات'!$B$6:$B$505,$B70))/cfg_DAYS_Y)</f>
        <v/>
      </c>
      <c r="AI70" s="130" t="str">
        <f aca="false">IF($B70="","",MAX(0,IF(OR(الموظفون!$AE70="",الموظفون!$AE70&gt;($E$3-1)),($E$3-1),الموظفون!$AE70)-الموظفون!$H70+1-SUMIFS('سجل الإجازات والحالات'!$AQ$6:$AQ$505,'سجل الإجازات والحالات'!$B$6:$B$505,$B70))/cfg_DAYS_Y)</f>
        <v/>
      </c>
      <c r="AJ70" s="57" t="str">
        <f aca="false">IF($B70="","",MAX(0,AK70-(SUMIFS('سجل الإجازات والحالات'!$AR$6:$AR$505,'سجل الإجازات والحالات'!$B$6:$B$505,$B70)-SUMIFS('سجل الإجازات والحالات'!$AQ$6:$AQ$505,'سجل الإجازات والحالات'!$B$6:$B$505,$B70))))</f>
        <v/>
      </c>
      <c r="AK70" s="57" t="str">
        <f aca="false">IF($B70="","",MAX(0,IF(OR(الموظفون!$AE70="",الموظفون!$AE70&gt;$F$3),$F$3,الموظفون!$AE70)-MAX($E$3,الموظفون!$H70)+1))</f>
        <v/>
      </c>
      <c r="AL70" s="126" t="str">
        <f aca="false">IF($B70="","",SUMIFS('سجل الإجازات والحالات'!$BD$6:$BD$505,'سجل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والحالات'!$AF$6:$AF$505,'سجل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والحالات'!$AR$6:$AR$505,'سجل الإجازات والحالات'!$B$6:$B$505,$B71))/cfg_DAYS_Y)</f>
        <v/>
      </c>
      <c r="AI71" s="135" t="str">
        <f aca="false">IF($B71="","",MAX(0,IF(OR(الموظفون!$AE71="",الموظفون!$AE71&gt;($E$3-1)),($E$3-1),الموظفون!$AE71)-الموظفون!$H71+1-SUMIFS('سجل الإجازات والحالات'!$AQ$6:$AQ$505,'سجل الإجازات والحالات'!$B$6:$B$505,$B71))/cfg_DAYS_Y)</f>
        <v/>
      </c>
      <c r="AJ71" s="110" t="str">
        <f aca="false">IF($B71="","",MAX(0,AK71-(SUMIFS('سجل الإجازات والحالات'!$AR$6:$AR$505,'سجل الإجازات والحالات'!$B$6:$B$505,$B71)-SUMIFS('سجل الإجازات والحالات'!$AQ$6:$AQ$505,'سجل الإجازات والحالات'!$B$6:$B$505,$B71))))</f>
        <v/>
      </c>
      <c r="AK71" s="110" t="str">
        <f aca="false">IF($B71="","",MAX(0,IF(OR(الموظفون!$AE71="",الموظفون!$AE71&gt;$F$3),$F$3,الموظفون!$AE71)-MAX($E$3,الموظفون!$H71)+1))</f>
        <v/>
      </c>
      <c r="AL71" s="131" t="str">
        <f aca="false">IF($B71="","",SUMIFS('سجل الإجازات والحالات'!$BD$6:$BD$505,'سجل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والحالات'!$AF$6:$AF$505,'سجل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والحالات'!$AR$6:$AR$505,'سجل الإجازات والحالات'!$B$6:$B$505,$B72))/cfg_DAYS_Y)</f>
        <v/>
      </c>
      <c r="AI72" s="130" t="str">
        <f aca="false">IF($B72="","",MAX(0,IF(OR(الموظفون!$AE72="",الموظفون!$AE72&gt;($E$3-1)),($E$3-1),الموظفون!$AE72)-الموظفون!$H72+1-SUMIFS('سجل الإجازات والحالات'!$AQ$6:$AQ$505,'سجل الإجازات والحالات'!$B$6:$B$505,$B72))/cfg_DAYS_Y)</f>
        <v/>
      </c>
      <c r="AJ72" s="57" t="str">
        <f aca="false">IF($B72="","",MAX(0,AK72-(SUMIFS('سجل الإجازات والحالات'!$AR$6:$AR$505,'سجل الإجازات والحالات'!$B$6:$B$505,$B72)-SUMIFS('سجل الإجازات والحالات'!$AQ$6:$AQ$505,'سجل الإجازات والحالات'!$B$6:$B$505,$B72))))</f>
        <v/>
      </c>
      <c r="AK72" s="57" t="str">
        <f aca="false">IF($B72="","",MAX(0,IF(OR(الموظفون!$AE72="",الموظفون!$AE72&gt;$F$3),$F$3,الموظفون!$AE72)-MAX($E$3,الموظفون!$H72)+1))</f>
        <v/>
      </c>
      <c r="AL72" s="126" t="str">
        <f aca="false">IF($B72="","",SUMIFS('سجل الإجازات والحالات'!$BD$6:$BD$505,'سجل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والحالات'!$AF$6:$AF$505,'سجل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والحالات'!$AR$6:$AR$505,'سجل الإجازات والحالات'!$B$6:$B$505,$B73))/cfg_DAYS_Y)</f>
        <v/>
      </c>
      <c r="AI73" s="135" t="str">
        <f aca="false">IF($B73="","",MAX(0,IF(OR(الموظفون!$AE73="",الموظفون!$AE73&gt;($E$3-1)),($E$3-1),الموظفون!$AE73)-الموظفون!$H73+1-SUMIFS('سجل الإجازات والحالات'!$AQ$6:$AQ$505,'سجل الإجازات والحالات'!$B$6:$B$505,$B73))/cfg_DAYS_Y)</f>
        <v/>
      </c>
      <c r="AJ73" s="110" t="str">
        <f aca="false">IF($B73="","",MAX(0,AK73-(SUMIFS('سجل الإجازات والحالات'!$AR$6:$AR$505,'سجل الإجازات والحالات'!$B$6:$B$505,$B73)-SUMIFS('سجل الإجازات والحالات'!$AQ$6:$AQ$505,'سجل الإجازات والحالات'!$B$6:$B$505,$B73))))</f>
        <v/>
      </c>
      <c r="AK73" s="110" t="str">
        <f aca="false">IF($B73="","",MAX(0,IF(OR(الموظفون!$AE73="",الموظفون!$AE73&gt;$F$3),$F$3,الموظفون!$AE73)-MAX($E$3,الموظفون!$H73)+1))</f>
        <v/>
      </c>
      <c r="AL73" s="131" t="str">
        <f aca="false">IF($B73="","",SUMIFS('سجل الإجازات والحالات'!$BD$6:$BD$505,'سجل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والحالات'!$AF$6:$AF$505,'سجل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والحالات'!$AR$6:$AR$505,'سجل الإجازات والحالات'!$B$6:$B$505,$B74))/cfg_DAYS_Y)</f>
        <v/>
      </c>
      <c r="AI74" s="130" t="str">
        <f aca="false">IF($B74="","",MAX(0,IF(OR(الموظفون!$AE74="",الموظفون!$AE74&gt;($E$3-1)),($E$3-1),الموظفون!$AE74)-الموظفون!$H74+1-SUMIFS('سجل الإجازات والحالات'!$AQ$6:$AQ$505,'سجل الإجازات والحالات'!$B$6:$B$505,$B74))/cfg_DAYS_Y)</f>
        <v/>
      </c>
      <c r="AJ74" s="57" t="str">
        <f aca="false">IF($B74="","",MAX(0,AK74-(SUMIFS('سجل الإجازات والحالات'!$AR$6:$AR$505,'سجل الإجازات والحالات'!$B$6:$B$505,$B74)-SUMIFS('سجل الإجازات والحالات'!$AQ$6:$AQ$505,'سجل الإجازات والحالات'!$B$6:$B$505,$B74))))</f>
        <v/>
      </c>
      <c r="AK74" s="57" t="str">
        <f aca="false">IF($B74="","",MAX(0,IF(OR(الموظفون!$AE74="",الموظفون!$AE74&gt;$F$3),$F$3,الموظفون!$AE74)-MAX($E$3,الموظفون!$H74)+1))</f>
        <v/>
      </c>
      <c r="AL74" s="126" t="str">
        <f aca="false">IF($B74="","",SUMIFS('سجل الإجازات والحالات'!$BD$6:$BD$505,'سجل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والحالات'!$AF$6:$AF$505,'سجل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والحالات'!$AR$6:$AR$505,'سجل الإجازات والحالات'!$B$6:$B$505,$B75))/cfg_DAYS_Y)</f>
        <v/>
      </c>
      <c r="AI75" s="135" t="str">
        <f aca="false">IF($B75="","",MAX(0,IF(OR(الموظفون!$AE75="",الموظفون!$AE75&gt;($E$3-1)),($E$3-1),الموظفون!$AE75)-الموظفون!$H75+1-SUMIFS('سجل الإجازات والحالات'!$AQ$6:$AQ$505,'سجل الإجازات والحالات'!$B$6:$B$505,$B75))/cfg_DAYS_Y)</f>
        <v/>
      </c>
      <c r="AJ75" s="110" t="str">
        <f aca="false">IF($B75="","",MAX(0,AK75-(SUMIFS('سجل الإجازات والحالات'!$AR$6:$AR$505,'سجل الإجازات والحالات'!$B$6:$B$505,$B75)-SUMIFS('سجل الإجازات والحالات'!$AQ$6:$AQ$505,'سجل الإجازات والحالات'!$B$6:$B$505,$B75))))</f>
        <v/>
      </c>
      <c r="AK75" s="110" t="str">
        <f aca="false">IF($B75="","",MAX(0,IF(OR(الموظفون!$AE75="",الموظفون!$AE75&gt;$F$3),$F$3,الموظفون!$AE75)-MAX($E$3,الموظفون!$H75)+1))</f>
        <v/>
      </c>
      <c r="AL75" s="131" t="str">
        <f aca="false">IF($B75="","",SUMIFS('سجل الإجازات والحالات'!$BD$6:$BD$505,'سجل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والحالات'!$AF$6:$AF$505,'سجل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والحالات'!$AR$6:$AR$505,'سجل الإجازات والحالات'!$B$6:$B$505,$B76))/cfg_DAYS_Y)</f>
        <v/>
      </c>
      <c r="AI76" s="130" t="str">
        <f aca="false">IF($B76="","",MAX(0,IF(OR(الموظفون!$AE76="",الموظفون!$AE76&gt;($E$3-1)),($E$3-1),الموظفون!$AE76)-الموظفون!$H76+1-SUMIFS('سجل الإجازات والحالات'!$AQ$6:$AQ$505,'سجل الإجازات والحالات'!$B$6:$B$505,$B76))/cfg_DAYS_Y)</f>
        <v/>
      </c>
      <c r="AJ76" s="57" t="str">
        <f aca="false">IF($B76="","",MAX(0,AK76-(SUMIFS('سجل الإجازات والحالات'!$AR$6:$AR$505,'سجل الإجازات والحالات'!$B$6:$B$505,$B76)-SUMIFS('سجل الإجازات والحالات'!$AQ$6:$AQ$505,'سجل الإجازات والحالات'!$B$6:$B$505,$B76))))</f>
        <v/>
      </c>
      <c r="AK76" s="57" t="str">
        <f aca="false">IF($B76="","",MAX(0,IF(OR(الموظفون!$AE76="",الموظفون!$AE76&gt;$F$3),$F$3,الموظفون!$AE76)-MAX($E$3,الموظفون!$H76)+1))</f>
        <v/>
      </c>
      <c r="AL76" s="126" t="str">
        <f aca="false">IF($B76="","",SUMIFS('سجل الإجازات والحالات'!$BD$6:$BD$505,'سجل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والحالات'!$AF$6:$AF$505,'سجل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والحالات'!$AR$6:$AR$505,'سجل الإجازات والحالات'!$B$6:$B$505,$B77))/cfg_DAYS_Y)</f>
        <v/>
      </c>
      <c r="AI77" s="135" t="str">
        <f aca="false">IF($B77="","",MAX(0,IF(OR(الموظفون!$AE77="",الموظفون!$AE77&gt;($E$3-1)),($E$3-1),الموظفون!$AE77)-الموظفون!$H77+1-SUMIFS('سجل الإجازات والحالات'!$AQ$6:$AQ$505,'سجل الإجازات والحالات'!$B$6:$B$505,$B77))/cfg_DAYS_Y)</f>
        <v/>
      </c>
      <c r="AJ77" s="110" t="str">
        <f aca="false">IF($B77="","",MAX(0,AK77-(SUMIFS('سجل الإجازات والحالات'!$AR$6:$AR$505,'سجل الإجازات والحالات'!$B$6:$B$505,$B77)-SUMIFS('سجل الإجازات والحالات'!$AQ$6:$AQ$505,'سجل الإجازات والحالات'!$B$6:$B$505,$B77))))</f>
        <v/>
      </c>
      <c r="AK77" s="110" t="str">
        <f aca="false">IF($B77="","",MAX(0,IF(OR(الموظفون!$AE77="",الموظفون!$AE77&gt;$F$3),$F$3,الموظفون!$AE77)-MAX($E$3,الموظفون!$H77)+1))</f>
        <v/>
      </c>
      <c r="AL77" s="131" t="str">
        <f aca="false">IF($B77="","",SUMIFS('سجل الإجازات والحالات'!$BD$6:$BD$505,'سجل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والحالات'!$AF$6:$AF$505,'سجل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والحالات'!$AR$6:$AR$505,'سجل الإجازات والحالات'!$B$6:$B$505,$B78))/cfg_DAYS_Y)</f>
        <v/>
      </c>
      <c r="AI78" s="130" t="str">
        <f aca="false">IF($B78="","",MAX(0,IF(OR(الموظفون!$AE78="",الموظفون!$AE78&gt;($E$3-1)),($E$3-1),الموظفون!$AE78)-الموظفون!$H78+1-SUMIFS('سجل الإجازات والحالات'!$AQ$6:$AQ$505,'سجل الإجازات والحالات'!$B$6:$B$505,$B78))/cfg_DAYS_Y)</f>
        <v/>
      </c>
      <c r="AJ78" s="57" t="str">
        <f aca="false">IF($B78="","",MAX(0,AK78-(SUMIFS('سجل الإجازات والحالات'!$AR$6:$AR$505,'سجل الإجازات والحالات'!$B$6:$B$505,$B78)-SUMIFS('سجل الإجازات والحالات'!$AQ$6:$AQ$505,'سجل الإجازات والحالات'!$B$6:$B$505,$B78))))</f>
        <v/>
      </c>
      <c r="AK78" s="57" t="str">
        <f aca="false">IF($B78="","",MAX(0,IF(OR(الموظفون!$AE78="",الموظفون!$AE78&gt;$F$3),$F$3,الموظفون!$AE78)-MAX($E$3,الموظفون!$H78)+1))</f>
        <v/>
      </c>
      <c r="AL78" s="126" t="str">
        <f aca="false">IF($B78="","",SUMIFS('سجل الإجازات والحالات'!$BD$6:$BD$505,'سجل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والحالات'!$AF$6:$AF$505,'سجل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والحالات'!$AR$6:$AR$505,'سجل الإجازات والحالات'!$B$6:$B$505,$B79))/cfg_DAYS_Y)</f>
        <v/>
      </c>
      <c r="AI79" s="135" t="str">
        <f aca="false">IF($B79="","",MAX(0,IF(OR(الموظفون!$AE79="",الموظفون!$AE79&gt;($E$3-1)),($E$3-1),الموظفون!$AE79)-الموظفون!$H79+1-SUMIFS('سجل الإجازات والحالات'!$AQ$6:$AQ$505,'سجل الإجازات والحالات'!$B$6:$B$505,$B79))/cfg_DAYS_Y)</f>
        <v/>
      </c>
      <c r="AJ79" s="110" t="str">
        <f aca="false">IF($B79="","",MAX(0,AK79-(SUMIFS('سجل الإجازات والحالات'!$AR$6:$AR$505,'سجل الإجازات والحالات'!$B$6:$B$505,$B79)-SUMIFS('سجل الإجازات والحالات'!$AQ$6:$AQ$505,'سجل الإجازات والحالات'!$B$6:$B$505,$B79))))</f>
        <v/>
      </c>
      <c r="AK79" s="110" t="str">
        <f aca="false">IF($B79="","",MAX(0,IF(OR(الموظفون!$AE79="",الموظفون!$AE79&gt;$F$3),$F$3,الموظفون!$AE79)-MAX($E$3,الموظفون!$H79)+1))</f>
        <v/>
      </c>
      <c r="AL79" s="131" t="str">
        <f aca="false">IF($B79="","",SUMIFS('سجل الإجازات والحالات'!$BD$6:$BD$505,'سجل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والحالات'!$AF$6:$AF$505,'سجل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والحالات'!$AR$6:$AR$505,'سجل الإجازات والحالات'!$B$6:$B$505,$B80))/cfg_DAYS_Y)</f>
        <v/>
      </c>
      <c r="AI80" s="130" t="str">
        <f aca="false">IF($B80="","",MAX(0,IF(OR(الموظفون!$AE80="",الموظفون!$AE80&gt;($E$3-1)),($E$3-1),الموظفون!$AE80)-الموظفون!$H80+1-SUMIFS('سجل الإجازات والحالات'!$AQ$6:$AQ$505,'سجل الإجازات والحالات'!$B$6:$B$505,$B80))/cfg_DAYS_Y)</f>
        <v/>
      </c>
      <c r="AJ80" s="57" t="str">
        <f aca="false">IF($B80="","",MAX(0,AK80-(SUMIFS('سجل الإجازات والحالات'!$AR$6:$AR$505,'سجل الإجازات والحالات'!$B$6:$B$505,$B80)-SUMIFS('سجل الإجازات والحالات'!$AQ$6:$AQ$505,'سجل الإجازات والحالات'!$B$6:$B$505,$B80))))</f>
        <v/>
      </c>
      <c r="AK80" s="57" t="str">
        <f aca="false">IF($B80="","",MAX(0,IF(OR(الموظفون!$AE80="",الموظفون!$AE80&gt;$F$3),$F$3,الموظفون!$AE80)-MAX($E$3,الموظفون!$H80)+1))</f>
        <v/>
      </c>
      <c r="AL80" s="126" t="str">
        <f aca="false">IF($B80="","",SUMIFS('سجل الإجازات والحالات'!$BD$6:$BD$505,'سجل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والحالات'!$AF$6:$AF$505,'سجل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والحالات'!$AR$6:$AR$505,'سجل الإجازات والحالات'!$B$6:$B$505,$B81))/cfg_DAYS_Y)</f>
        <v/>
      </c>
      <c r="AI81" s="135" t="str">
        <f aca="false">IF($B81="","",MAX(0,IF(OR(الموظفون!$AE81="",الموظفون!$AE81&gt;($E$3-1)),($E$3-1),الموظفون!$AE81)-الموظفون!$H81+1-SUMIFS('سجل الإجازات والحالات'!$AQ$6:$AQ$505,'سجل الإجازات والحالات'!$B$6:$B$505,$B81))/cfg_DAYS_Y)</f>
        <v/>
      </c>
      <c r="AJ81" s="110" t="str">
        <f aca="false">IF($B81="","",MAX(0,AK81-(SUMIFS('سجل الإجازات والحالات'!$AR$6:$AR$505,'سجل الإجازات والحالات'!$B$6:$B$505,$B81)-SUMIFS('سجل الإجازات والحالات'!$AQ$6:$AQ$505,'سجل الإجازات والحالات'!$B$6:$B$505,$B81))))</f>
        <v/>
      </c>
      <c r="AK81" s="110" t="str">
        <f aca="false">IF($B81="","",MAX(0,IF(OR(الموظفون!$AE81="",الموظفون!$AE81&gt;$F$3),$F$3,الموظفون!$AE81)-MAX($E$3,الموظفون!$H81)+1))</f>
        <v/>
      </c>
      <c r="AL81" s="131" t="str">
        <f aca="false">IF($B81="","",SUMIFS('سجل الإجازات والحالات'!$BD$6:$BD$505,'سجل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والحالات'!$AF$6:$AF$505,'سجل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والحالات'!$AR$6:$AR$505,'سجل الإجازات والحالات'!$B$6:$B$505,$B82))/cfg_DAYS_Y)</f>
        <v/>
      </c>
      <c r="AI82" s="130" t="str">
        <f aca="false">IF($B82="","",MAX(0,IF(OR(الموظفون!$AE82="",الموظفون!$AE82&gt;($E$3-1)),($E$3-1),الموظفون!$AE82)-الموظفون!$H82+1-SUMIFS('سجل الإجازات والحالات'!$AQ$6:$AQ$505,'سجل الإجازات والحالات'!$B$6:$B$505,$B82))/cfg_DAYS_Y)</f>
        <v/>
      </c>
      <c r="AJ82" s="57" t="str">
        <f aca="false">IF($B82="","",MAX(0,AK82-(SUMIFS('سجل الإجازات والحالات'!$AR$6:$AR$505,'سجل الإجازات والحالات'!$B$6:$B$505,$B82)-SUMIFS('سجل الإجازات والحالات'!$AQ$6:$AQ$505,'سجل الإجازات والحالات'!$B$6:$B$505,$B82))))</f>
        <v/>
      </c>
      <c r="AK82" s="57" t="str">
        <f aca="false">IF($B82="","",MAX(0,IF(OR(الموظفون!$AE82="",الموظفون!$AE82&gt;$F$3),$F$3,الموظفون!$AE82)-MAX($E$3,الموظفون!$H82)+1))</f>
        <v/>
      </c>
      <c r="AL82" s="126" t="str">
        <f aca="false">IF($B82="","",SUMIFS('سجل الإجازات والحالات'!$BD$6:$BD$505,'سجل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والحالات'!$AF$6:$AF$505,'سجل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والحالات'!$AR$6:$AR$505,'سجل الإجازات والحالات'!$B$6:$B$505,$B83))/cfg_DAYS_Y)</f>
        <v/>
      </c>
      <c r="AI83" s="135" t="str">
        <f aca="false">IF($B83="","",MAX(0,IF(OR(الموظفون!$AE83="",الموظفون!$AE83&gt;($E$3-1)),($E$3-1),الموظفون!$AE83)-الموظفون!$H83+1-SUMIFS('سجل الإجازات والحالات'!$AQ$6:$AQ$505,'سجل الإجازات والحالات'!$B$6:$B$505,$B83))/cfg_DAYS_Y)</f>
        <v/>
      </c>
      <c r="AJ83" s="110" t="str">
        <f aca="false">IF($B83="","",MAX(0,AK83-(SUMIFS('سجل الإجازات والحالات'!$AR$6:$AR$505,'سجل الإجازات والحالات'!$B$6:$B$505,$B83)-SUMIFS('سجل الإجازات والحالات'!$AQ$6:$AQ$505,'سجل الإجازات والحالات'!$B$6:$B$505,$B83))))</f>
        <v/>
      </c>
      <c r="AK83" s="110" t="str">
        <f aca="false">IF($B83="","",MAX(0,IF(OR(الموظفون!$AE83="",الموظفون!$AE83&gt;$F$3),$F$3,الموظفون!$AE83)-MAX($E$3,الموظفون!$H83)+1))</f>
        <v/>
      </c>
      <c r="AL83" s="131" t="str">
        <f aca="false">IF($B83="","",SUMIFS('سجل الإجازات والحالات'!$BD$6:$BD$505,'سجل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والحالات'!$AF$6:$AF$505,'سجل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والحالات'!$AR$6:$AR$505,'سجل الإجازات والحالات'!$B$6:$B$505,$B84))/cfg_DAYS_Y)</f>
        <v/>
      </c>
      <c r="AI84" s="130" t="str">
        <f aca="false">IF($B84="","",MAX(0,IF(OR(الموظفون!$AE84="",الموظفون!$AE84&gt;($E$3-1)),($E$3-1),الموظفون!$AE84)-الموظفون!$H84+1-SUMIFS('سجل الإجازات والحالات'!$AQ$6:$AQ$505,'سجل الإجازات والحالات'!$B$6:$B$505,$B84))/cfg_DAYS_Y)</f>
        <v/>
      </c>
      <c r="AJ84" s="57" t="str">
        <f aca="false">IF($B84="","",MAX(0,AK84-(SUMIFS('سجل الإجازات والحالات'!$AR$6:$AR$505,'سجل الإجازات والحالات'!$B$6:$B$505,$B84)-SUMIFS('سجل الإجازات والحالات'!$AQ$6:$AQ$505,'سجل الإجازات والحالات'!$B$6:$B$505,$B84))))</f>
        <v/>
      </c>
      <c r="AK84" s="57" t="str">
        <f aca="false">IF($B84="","",MAX(0,IF(OR(الموظفون!$AE84="",الموظفون!$AE84&gt;$F$3),$F$3,الموظفون!$AE84)-MAX($E$3,الموظفون!$H84)+1))</f>
        <v/>
      </c>
      <c r="AL84" s="126" t="str">
        <f aca="false">IF($B84="","",SUMIFS('سجل الإجازات والحالات'!$BD$6:$BD$505,'سجل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والحالات'!$AF$6:$AF$505,'سجل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والحالات'!$AR$6:$AR$505,'سجل الإجازات والحالات'!$B$6:$B$505,$B85))/cfg_DAYS_Y)</f>
        <v/>
      </c>
      <c r="AI85" s="135" t="str">
        <f aca="false">IF($B85="","",MAX(0,IF(OR(الموظفون!$AE85="",الموظفون!$AE85&gt;($E$3-1)),($E$3-1),الموظفون!$AE85)-الموظفون!$H85+1-SUMIFS('سجل الإجازات والحالات'!$AQ$6:$AQ$505,'سجل الإجازات والحالات'!$B$6:$B$505,$B85))/cfg_DAYS_Y)</f>
        <v/>
      </c>
      <c r="AJ85" s="110" t="str">
        <f aca="false">IF($B85="","",MAX(0,AK85-(SUMIFS('سجل الإجازات والحالات'!$AR$6:$AR$505,'سجل الإجازات والحالات'!$B$6:$B$505,$B85)-SUMIFS('سجل الإجازات والحالات'!$AQ$6:$AQ$505,'سجل الإجازات والحالات'!$B$6:$B$505,$B85))))</f>
        <v/>
      </c>
      <c r="AK85" s="110" t="str">
        <f aca="false">IF($B85="","",MAX(0,IF(OR(الموظفون!$AE85="",الموظفون!$AE85&gt;$F$3),$F$3,الموظفون!$AE85)-MAX($E$3,الموظفون!$H85)+1))</f>
        <v/>
      </c>
      <c r="AL85" s="131" t="str">
        <f aca="false">IF($B85="","",SUMIFS('سجل الإجازات والحالات'!$BD$6:$BD$505,'سجل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والحالات'!$AF$6:$AF$505,'سجل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والحالات'!$AR$6:$AR$505,'سجل الإجازات والحالات'!$B$6:$B$505,$B86))/cfg_DAYS_Y)</f>
        <v/>
      </c>
      <c r="AI86" s="130" t="str">
        <f aca="false">IF($B86="","",MAX(0,IF(OR(الموظفون!$AE86="",الموظفون!$AE86&gt;($E$3-1)),($E$3-1),الموظفون!$AE86)-الموظفون!$H86+1-SUMIFS('سجل الإجازات والحالات'!$AQ$6:$AQ$505,'سجل الإجازات والحالات'!$B$6:$B$505,$B86))/cfg_DAYS_Y)</f>
        <v/>
      </c>
      <c r="AJ86" s="57" t="str">
        <f aca="false">IF($B86="","",MAX(0,AK86-(SUMIFS('سجل الإجازات والحالات'!$AR$6:$AR$505,'سجل الإجازات والحالات'!$B$6:$B$505,$B86)-SUMIFS('سجل الإجازات والحالات'!$AQ$6:$AQ$505,'سجل الإجازات والحالات'!$B$6:$B$505,$B86))))</f>
        <v/>
      </c>
      <c r="AK86" s="57" t="str">
        <f aca="false">IF($B86="","",MAX(0,IF(OR(الموظفون!$AE86="",الموظفون!$AE86&gt;$F$3),$F$3,الموظفون!$AE86)-MAX($E$3,الموظفون!$H86)+1))</f>
        <v/>
      </c>
      <c r="AL86" s="126" t="str">
        <f aca="false">IF($B86="","",SUMIFS('سجل الإجازات والحالات'!$BD$6:$BD$505,'سجل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والحالات'!$AF$6:$AF$505,'سجل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والحالات'!$AR$6:$AR$505,'سجل الإجازات والحالات'!$B$6:$B$505,$B87))/cfg_DAYS_Y)</f>
        <v/>
      </c>
      <c r="AI87" s="135" t="str">
        <f aca="false">IF($B87="","",MAX(0,IF(OR(الموظفون!$AE87="",الموظفون!$AE87&gt;($E$3-1)),($E$3-1),الموظفون!$AE87)-الموظفون!$H87+1-SUMIFS('سجل الإجازات والحالات'!$AQ$6:$AQ$505,'سجل الإجازات والحالات'!$B$6:$B$505,$B87))/cfg_DAYS_Y)</f>
        <v/>
      </c>
      <c r="AJ87" s="110" t="str">
        <f aca="false">IF($B87="","",MAX(0,AK87-(SUMIFS('سجل الإجازات والحالات'!$AR$6:$AR$505,'سجل الإجازات والحالات'!$B$6:$B$505,$B87)-SUMIFS('سجل الإجازات والحالات'!$AQ$6:$AQ$505,'سجل الإجازات والحالات'!$B$6:$B$505,$B87))))</f>
        <v/>
      </c>
      <c r="AK87" s="110" t="str">
        <f aca="false">IF($B87="","",MAX(0,IF(OR(الموظفون!$AE87="",الموظفون!$AE87&gt;$F$3),$F$3,الموظفون!$AE87)-MAX($E$3,الموظفون!$H87)+1))</f>
        <v/>
      </c>
      <c r="AL87" s="131" t="str">
        <f aca="false">IF($B87="","",SUMIFS('سجل الإجازات والحالات'!$BD$6:$BD$505,'سجل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والحالات'!$AF$6:$AF$505,'سجل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والحالات'!$AR$6:$AR$505,'سجل الإجازات والحالات'!$B$6:$B$505,$B88))/cfg_DAYS_Y)</f>
        <v/>
      </c>
      <c r="AI88" s="130" t="str">
        <f aca="false">IF($B88="","",MAX(0,IF(OR(الموظفون!$AE88="",الموظفون!$AE88&gt;($E$3-1)),($E$3-1),الموظفون!$AE88)-الموظفون!$H88+1-SUMIFS('سجل الإجازات والحالات'!$AQ$6:$AQ$505,'سجل الإجازات والحالات'!$B$6:$B$505,$B88))/cfg_DAYS_Y)</f>
        <v/>
      </c>
      <c r="AJ88" s="57" t="str">
        <f aca="false">IF($B88="","",MAX(0,AK88-(SUMIFS('سجل الإجازات والحالات'!$AR$6:$AR$505,'سجل الإجازات والحالات'!$B$6:$B$505,$B88)-SUMIFS('سجل الإجازات والحالات'!$AQ$6:$AQ$505,'سجل الإجازات والحالات'!$B$6:$B$505,$B88))))</f>
        <v/>
      </c>
      <c r="AK88" s="57" t="str">
        <f aca="false">IF($B88="","",MAX(0,IF(OR(الموظفون!$AE88="",الموظفون!$AE88&gt;$F$3),$F$3,الموظفون!$AE88)-MAX($E$3,الموظفون!$H88)+1))</f>
        <v/>
      </c>
      <c r="AL88" s="126" t="str">
        <f aca="false">IF($B88="","",SUMIFS('سجل الإجازات والحالات'!$BD$6:$BD$505,'سجل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والحالات'!$AF$6:$AF$505,'سجل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والحالات'!$AR$6:$AR$505,'سجل الإجازات والحالات'!$B$6:$B$505,$B89))/cfg_DAYS_Y)</f>
        <v/>
      </c>
      <c r="AI89" s="135" t="str">
        <f aca="false">IF($B89="","",MAX(0,IF(OR(الموظفون!$AE89="",الموظفون!$AE89&gt;($E$3-1)),($E$3-1),الموظفون!$AE89)-الموظفون!$H89+1-SUMIFS('سجل الإجازات والحالات'!$AQ$6:$AQ$505,'سجل الإجازات والحالات'!$B$6:$B$505,$B89))/cfg_DAYS_Y)</f>
        <v/>
      </c>
      <c r="AJ89" s="110" t="str">
        <f aca="false">IF($B89="","",MAX(0,AK89-(SUMIFS('سجل الإجازات والحالات'!$AR$6:$AR$505,'سجل الإجازات والحالات'!$B$6:$B$505,$B89)-SUMIFS('سجل الإجازات والحالات'!$AQ$6:$AQ$505,'سجل الإجازات والحالات'!$B$6:$B$505,$B89))))</f>
        <v/>
      </c>
      <c r="AK89" s="110" t="str">
        <f aca="false">IF($B89="","",MAX(0,IF(OR(الموظفون!$AE89="",الموظفون!$AE89&gt;$F$3),$F$3,الموظفون!$AE89)-MAX($E$3,الموظفون!$H89)+1))</f>
        <v/>
      </c>
      <c r="AL89" s="131" t="str">
        <f aca="false">IF($B89="","",SUMIFS('سجل الإجازات والحالات'!$BD$6:$BD$505,'سجل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والحالات'!$AF$6:$AF$505,'سجل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والحالات'!$AR$6:$AR$505,'سجل الإجازات والحالات'!$B$6:$B$505,$B90))/cfg_DAYS_Y)</f>
        <v/>
      </c>
      <c r="AI90" s="130" t="str">
        <f aca="false">IF($B90="","",MAX(0,IF(OR(الموظفون!$AE90="",الموظفون!$AE90&gt;($E$3-1)),($E$3-1),الموظفون!$AE90)-الموظفون!$H90+1-SUMIFS('سجل الإجازات والحالات'!$AQ$6:$AQ$505,'سجل الإجازات والحالات'!$B$6:$B$505,$B90))/cfg_DAYS_Y)</f>
        <v/>
      </c>
      <c r="AJ90" s="57" t="str">
        <f aca="false">IF($B90="","",MAX(0,AK90-(SUMIFS('سجل الإجازات والحالات'!$AR$6:$AR$505,'سجل الإجازات والحالات'!$B$6:$B$505,$B90)-SUMIFS('سجل الإجازات والحالات'!$AQ$6:$AQ$505,'سجل الإجازات والحالات'!$B$6:$B$505,$B90))))</f>
        <v/>
      </c>
      <c r="AK90" s="57" t="str">
        <f aca="false">IF($B90="","",MAX(0,IF(OR(الموظفون!$AE90="",الموظفون!$AE90&gt;$F$3),$F$3,الموظفون!$AE90)-MAX($E$3,الموظفون!$H90)+1))</f>
        <v/>
      </c>
      <c r="AL90" s="126" t="str">
        <f aca="false">IF($B90="","",SUMIFS('سجل الإجازات والحالات'!$BD$6:$BD$505,'سجل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والحالات'!$AF$6:$AF$505,'سجل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والحالات'!$AR$6:$AR$505,'سجل الإجازات والحالات'!$B$6:$B$505,$B91))/cfg_DAYS_Y)</f>
        <v/>
      </c>
      <c r="AI91" s="135" t="str">
        <f aca="false">IF($B91="","",MAX(0,IF(OR(الموظفون!$AE91="",الموظفون!$AE91&gt;($E$3-1)),($E$3-1),الموظفون!$AE91)-الموظفون!$H91+1-SUMIFS('سجل الإجازات والحالات'!$AQ$6:$AQ$505,'سجل الإجازات والحالات'!$B$6:$B$505,$B91))/cfg_DAYS_Y)</f>
        <v/>
      </c>
      <c r="AJ91" s="110" t="str">
        <f aca="false">IF($B91="","",MAX(0,AK91-(SUMIFS('سجل الإجازات والحالات'!$AR$6:$AR$505,'سجل الإجازات والحالات'!$B$6:$B$505,$B91)-SUMIFS('سجل الإجازات والحالات'!$AQ$6:$AQ$505,'سجل الإجازات والحالات'!$B$6:$B$505,$B91))))</f>
        <v/>
      </c>
      <c r="AK91" s="110" t="str">
        <f aca="false">IF($B91="","",MAX(0,IF(OR(الموظفون!$AE91="",الموظفون!$AE91&gt;$F$3),$F$3,الموظفون!$AE91)-MAX($E$3,الموظفون!$H91)+1))</f>
        <v/>
      </c>
      <c r="AL91" s="131" t="str">
        <f aca="false">IF($B91="","",SUMIFS('سجل الإجازات والحالات'!$BD$6:$BD$505,'سجل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والحالات'!$AF$6:$AF$505,'سجل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والحالات'!$AR$6:$AR$505,'سجل الإجازات والحالات'!$B$6:$B$505,$B92))/cfg_DAYS_Y)</f>
        <v/>
      </c>
      <c r="AI92" s="130" t="str">
        <f aca="false">IF($B92="","",MAX(0,IF(OR(الموظفون!$AE92="",الموظفون!$AE92&gt;($E$3-1)),($E$3-1),الموظفون!$AE92)-الموظفون!$H92+1-SUMIFS('سجل الإجازات والحالات'!$AQ$6:$AQ$505,'سجل الإجازات والحالات'!$B$6:$B$505,$B92))/cfg_DAYS_Y)</f>
        <v/>
      </c>
      <c r="AJ92" s="57" t="str">
        <f aca="false">IF($B92="","",MAX(0,AK92-(SUMIFS('سجل الإجازات والحالات'!$AR$6:$AR$505,'سجل الإجازات والحالات'!$B$6:$B$505,$B92)-SUMIFS('سجل الإجازات والحالات'!$AQ$6:$AQ$505,'سجل الإجازات والحالات'!$B$6:$B$505,$B92))))</f>
        <v/>
      </c>
      <c r="AK92" s="57" t="str">
        <f aca="false">IF($B92="","",MAX(0,IF(OR(الموظفون!$AE92="",الموظفون!$AE92&gt;$F$3),$F$3,الموظفون!$AE92)-MAX($E$3,الموظفون!$H92)+1))</f>
        <v/>
      </c>
      <c r="AL92" s="126" t="str">
        <f aca="false">IF($B92="","",SUMIFS('سجل الإجازات والحالات'!$BD$6:$BD$505,'سجل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والحالات'!$AF$6:$AF$505,'سجل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والحالات'!$AR$6:$AR$505,'سجل الإجازات والحالات'!$B$6:$B$505,$B93))/cfg_DAYS_Y)</f>
        <v/>
      </c>
      <c r="AI93" s="135" t="str">
        <f aca="false">IF($B93="","",MAX(0,IF(OR(الموظفون!$AE93="",الموظفون!$AE93&gt;($E$3-1)),($E$3-1),الموظفون!$AE93)-الموظفون!$H93+1-SUMIFS('سجل الإجازات والحالات'!$AQ$6:$AQ$505,'سجل الإجازات والحالات'!$B$6:$B$505,$B93))/cfg_DAYS_Y)</f>
        <v/>
      </c>
      <c r="AJ93" s="110" t="str">
        <f aca="false">IF($B93="","",MAX(0,AK93-(SUMIFS('سجل الإجازات والحالات'!$AR$6:$AR$505,'سجل الإجازات والحالات'!$B$6:$B$505,$B93)-SUMIFS('سجل الإجازات والحالات'!$AQ$6:$AQ$505,'سجل الإجازات والحالات'!$B$6:$B$505,$B93))))</f>
        <v/>
      </c>
      <c r="AK93" s="110" t="str">
        <f aca="false">IF($B93="","",MAX(0,IF(OR(الموظفون!$AE93="",الموظفون!$AE93&gt;$F$3),$F$3,الموظفون!$AE93)-MAX($E$3,الموظفون!$H93)+1))</f>
        <v/>
      </c>
      <c r="AL93" s="131" t="str">
        <f aca="false">IF($B93="","",SUMIFS('سجل الإجازات والحالات'!$BD$6:$BD$505,'سجل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والحالات'!$AF$6:$AF$505,'سجل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والحالات'!$AR$6:$AR$505,'سجل الإجازات والحالات'!$B$6:$B$505,$B94))/cfg_DAYS_Y)</f>
        <v/>
      </c>
      <c r="AI94" s="130" t="str">
        <f aca="false">IF($B94="","",MAX(0,IF(OR(الموظفون!$AE94="",الموظفون!$AE94&gt;($E$3-1)),($E$3-1),الموظفون!$AE94)-الموظفون!$H94+1-SUMIFS('سجل الإجازات والحالات'!$AQ$6:$AQ$505,'سجل الإجازات والحالات'!$B$6:$B$505,$B94))/cfg_DAYS_Y)</f>
        <v/>
      </c>
      <c r="AJ94" s="57" t="str">
        <f aca="false">IF($B94="","",MAX(0,AK94-(SUMIFS('سجل الإجازات والحالات'!$AR$6:$AR$505,'سجل الإجازات والحالات'!$B$6:$B$505,$B94)-SUMIFS('سجل الإجازات والحالات'!$AQ$6:$AQ$505,'سجل الإجازات والحالات'!$B$6:$B$505,$B94))))</f>
        <v/>
      </c>
      <c r="AK94" s="57" t="str">
        <f aca="false">IF($B94="","",MAX(0,IF(OR(الموظفون!$AE94="",الموظفون!$AE94&gt;$F$3),$F$3,الموظفون!$AE94)-MAX($E$3,الموظفون!$H94)+1))</f>
        <v/>
      </c>
      <c r="AL94" s="126" t="str">
        <f aca="false">IF($B94="","",SUMIFS('سجل الإجازات والحالات'!$BD$6:$BD$505,'سجل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والحالات'!$AF$6:$AF$505,'سجل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والحالات'!$AR$6:$AR$505,'سجل الإجازات والحالات'!$B$6:$B$505,$B95))/cfg_DAYS_Y)</f>
        <v/>
      </c>
      <c r="AI95" s="135" t="str">
        <f aca="false">IF($B95="","",MAX(0,IF(OR(الموظفون!$AE95="",الموظفون!$AE95&gt;($E$3-1)),($E$3-1),الموظفون!$AE95)-الموظفون!$H95+1-SUMIFS('سجل الإجازات والحالات'!$AQ$6:$AQ$505,'سجل الإجازات والحالات'!$B$6:$B$505,$B95))/cfg_DAYS_Y)</f>
        <v/>
      </c>
      <c r="AJ95" s="110" t="str">
        <f aca="false">IF($B95="","",MAX(0,AK95-(SUMIFS('سجل الإجازات والحالات'!$AR$6:$AR$505,'سجل الإجازات والحالات'!$B$6:$B$505,$B95)-SUMIFS('سجل الإجازات والحالات'!$AQ$6:$AQ$505,'سجل الإجازات والحالات'!$B$6:$B$505,$B95))))</f>
        <v/>
      </c>
      <c r="AK95" s="110" t="str">
        <f aca="false">IF($B95="","",MAX(0,IF(OR(الموظفون!$AE95="",الموظفون!$AE95&gt;$F$3),$F$3,الموظفون!$AE95)-MAX($E$3,الموظفون!$H95)+1))</f>
        <v/>
      </c>
      <c r="AL95" s="131" t="str">
        <f aca="false">IF($B95="","",SUMIFS('سجل الإجازات والحالات'!$BD$6:$BD$505,'سجل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والحالات'!$AF$6:$AF$505,'سجل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والحالات'!$AR$6:$AR$505,'سجل الإجازات والحالات'!$B$6:$B$505,$B96))/cfg_DAYS_Y)</f>
        <v/>
      </c>
      <c r="AI96" s="130" t="str">
        <f aca="false">IF($B96="","",MAX(0,IF(OR(الموظفون!$AE96="",الموظفون!$AE96&gt;($E$3-1)),($E$3-1),الموظفون!$AE96)-الموظفون!$H96+1-SUMIFS('سجل الإجازات والحالات'!$AQ$6:$AQ$505,'سجل الإجازات والحالات'!$B$6:$B$505,$B96))/cfg_DAYS_Y)</f>
        <v/>
      </c>
      <c r="AJ96" s="57" t="str">
        <f aca="false">IF($B96="","",MAX(0,AK96-(SUMIFS('سجل الإجازات والحالات'!$AR$6:$AR$505,'سجل الإجازات والحالات'!$B$6:$B$505,$B96)-SUMIFS('سجل الإجازات والحالات'!$AQ$6:$AQ$505,'سجل الإجازات والحالات'!$B$6:$B$505,$B96))))</f>
        <v/>
      </c>
      <c r="AK96" s="57" t="str">
        <f aca="false">IF($B96="","",MAX(0,IF(OR(الموظفون!$AE96="",الموظفون!$AE96&gt;$F$3),$F$3,الموظفون!$AE96)-MAX($E$3,الموظفون!$H96)+1))</f>
        <v/>
      </c>
      <c r="AL96" s="126" t="str">
        <f aca="false">IF($B96="","",SUMIFS('سجل الإجازات والحالات'!$BD$6:$BD$505,'سجل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والحالات'!$AF$6:$AF$505,'سجل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والحالات'!$AR$6:$AR$505,'سجل الإجازات والحالات'!$B$6:$B$505,$B97))/cfg_DAYS_Y)</f>
        <v/>
      </c>
      <c r="AI97" s="135" t="str">
        <f aca="false">IF($B97="","",MAX(0,IF(OR(الموظفون!$AE97="",الموظفون!$AE97&gt;($E$3-1)),($E$3-1),الموظفون!$AE97)-الموظفون!$H97+1-SUMIFS('سجل الإجازات والحالات'!$AQ$6:$AQ$505,'سجل الإجازات والحالات'!$B$6:$B$505,$B97))/cfg_DAYS_Y)</f>
        <v/>
      </c>
      <c r="AJ97" s="110" t="str">
        <f aca="false">IF($B97="","",MAX(0,AK97-(SUMIFS('سجل الإجازات والحالات'!$AR$6:$AR$505,'سجل الإجازات والحالات'!$B$6:$B$505,$B97)-SUMIFS('سجل الإجازات والحالات'!$AQ$6:$AQ$505,'سجل الإجازات والحالات'!$B$6:$B$505,$B97))))</f>
        <v/>
      </c>
      <c r="AK97" s="110" t="str">
        <f aca="false">IF($B97="","",MAX(0,IF(OR(الموظفون!$AE97="",الموظفون!$AE97&gt;$F$3),$F$3,الموظفون!$AE97)-MAX($E$3,الموظفون!$H97)+1))</f>
        <v/>
      </c>
      <c r="AL97" s="131" t="str">
        <f aca="false">IF($B97="","",SUMIFS('سجل الإجازات والحالات'!$BD$6:$BD$505,'سجل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والحالات'!$AF$6:$AF$505,'سجل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والحالات'!$AR$6:$AR$505,'سجل الإجازات والحالات'!$B$6:$B$505,$B98))/cfg_DAYS_Y)</f>
        <v/>
      </c>
      <c r="AI98" s="130" t="str">
        <f aca="false">IF($B98="","",MAX(0,IF(OR(الموظفون!$AE98="",الموظفون!$AE98&gt;($E$3-1)),($E$3-1),الموظفون!$AE98)-الموظفون!$H98+1-SUMIFS('سجل الإجازات والحالات'!$AQ$6:$AQ$505,'سجل الإجازات والحالات'!$B$6:$B$505,$B98))/cfg_DAYS_Y)</f>
        <v/>
      </c>
      <c r="AJ98" s="57" t="str">
        <f aca="false">IF($B98="","",MAX(0,AK98-(SUMIFS('سجل الإجازات والحالات'!$AR$6:$AR$505,'سجل الإجازات والحالات'!$B$6:$B$505,$B98)-SUMIFS('سجل الإجازات والحالات'!$AQ$6:$AQ$505,'سجل الإجازات والحالات'!$B$6:$B$505,$B98))))</f>
        <v/>
      </c>
      <c r="AK98" s="57" t="str">
        <f aca="false">IF($B98="","",MAX(0,IF(OR(الموظفون!$AE98="",الموظفون!$AE98&gt;$F$3),$F$3,الموظفون!$AE98)-MAX($E$3,الموظفون!$H98)+1))</f>
        <v/>
      </c>
      <c r="AL98" s="126" t="str">
        <f aca="false">IF($B98="","",SUMIFS('سجل الإجازات والحالات'!$BD$6:$BD$505,'سجل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والحالات'!$AF$6:$AF$505,'سجل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والحالات'!$AR$6:$AR$505,'سجل الإجازات والحالات'!$B$6:$B$505,$B99))/cfg_DAYS_Y)</f>
        <v/>
      </c>
      <c r="AI99" s="135" t="str">
        <f aca="false">IF($B99="","",MAX(0,IF(OR(الموظفون!$AE99="",الموظفون!$AE99&gt;($E$3-1)),($E$3-1),الموظفون!$AE99)-الموظفون!$H99+1-SUMIFS('سجل الإجازات والحالات'!$AQ$6:$AQ$505,'سجل الإجازات والحالات'!$B$6:$B$505,$B99))/cfg_DAYS_Y)</f>
        <v/>
      </c>
      <c r="AJ99" s="110" t="str">
        <f aca="false">IF($B99="","",MAX(0,AK99-(SUMIFS('سجل الإجازات والحالات'!$AR$6:$AR$505,'سجل الإجازات والحالات'!$B$6:$B$505,$B99)-SUMIFS('سجل الإجازات والحالات'!$AQ$6:$AQ$505,'سجل الإجازات والحالات'!$B$6:$B$505,$B99))))</f>
        <v/>
      </c>
      <c r="AK99" s="110" t="str">
        <f aca="false">IF($B99="","",MAX(0,IF(OR(الموظفون!$AE99="",الموظفون!$AE99&gt;$F$3),$F$3,الموظفون!$AE99)-MAX($E$3,الموظفون!$H99)+1))</f>
        <v/>
      </c>
      <c r="AL99" s="131" t="str">
        <f aca="false">IF($B99="","",SUMIFS('سجل الإجازات والحالات'!$BD$6:$BD$505,'سجل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والحالات'!$AF$6:$AF$505,'سجل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والحالات'!$AR$6:$AR$505,'سجل الإجازات والحالات'!$B$6:$B$505,$B100))/cfg_DAYS_Y)</f>
        <v/>
      </c>
      <c r="AI100" s="130" t="str">
        <f aca="false">IF($B100="","",MAX(0,IF(OR(الموظفون!$AE100="",الموظفون!$AE100&gt;($E$3-1)),($E$3-1),الموظفون!$AE100)-الموظفون!$H100+1-SUMIFS('سجل الإجازات والحالات'!$AQ$6:$AQ$505,'سجل الإجازات والحالات'!$B$6:$B$505,$B100))/cfg_DAYS_Y)</f>
        <v/>
      </c>
      <c r="AJ100" s="57" t="str">
        <f aca="false">IF($B100="","",MAX(0,AK100-(SUMIFS('سجل الإجازات والحالات'!$AR$6:$AR$505,'سجل الإجازات والحالات'!$B$6:$B$505,$B100)-SUMIFS('سجل الإجازات والحالات'!$AQ$6:$AQ$505,'سجل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والحالات'!$BD$6:$BD$505,'سجل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والحالات'!$AF$6:$AF$505,'سجل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والحالات'!$AR$6:$AR$505,'سجل الإجازات والحالات'!$B$6:$B$505,$B101))/cfg_DAYS_Y)</f>
        <v/>
      </c>
      <c r="AI101" s="135" t="str">
        <f aca="false">IF($B101="","",MAX(0,IF(OR(الموظفون!$AE101="",الموظفون!$AE101&gt;($E$3-1)),($E$3-1),الموظفون!$AE101)-الموظفون!$H101+1-SUMIFS('سجل الإجازات والحالات'!$AQ$6:$AQ$505,'سجل الإجازات والحالات'!$B$6:$B$505,$B101))/cfg_DAYS_Y)</f>
        <v/>
      </c>
      <c r="AJ101" s="110" t="str">
        <f aca="false">IF($B101="","",MAX(0,AK101-(SUMIFS('سجل الإجازات والحالات'!$AR$6:$AR$505,'سجل الإجازات والحالات'!$B$6:$B$505,$B101)-SUMIFS('سجل الإجازات والحالات'!$AQ$6:$AQ$505,'سجل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والحالات'!$BD$6:$BD$505,'سجل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والحالات'!$AF$6:$AF$505,'سجل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والحالات'!$AR$6:$AR$505,'سجل الإجازات والحالات'!$B$6:$B$505,$B102))/cfg_DAYS_Y)</f>
        <v/>
      </c>
      <c r="AI102" s="130" t="str">
        <f aca="false">IF($B102="","",MAX(0,IF(OR(الموظفون!$AE102="",الموظفون!$AE102&gt;($E$3-1)),($E$3-1),الموظفون!$AE102)-الموظفون!$H102+1-SUMIFS('سجل الإجازات والحالات'!$AQ$6:$AQ$505,'سجل الإجازات والحالات'!$B$6:$B$505,$B102))/cfg_DAYS_Y)</f>
        <v/>
      </c>
      <c r="AJ102" s="57" t="str">
        <f aca="false">IF($B102="","",MAX(0,AK102-(SUMIFS('سجل الإجازات والحالات'!$AR$6:$AR$505,'سجل الإجازات والحالات'!$B$6:$B$505,$B102)-SUMIFS('سجل الإجازات والحالات'!$AQ$6:$AQ$505,'سجل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والحالات'!$BD$6:$BD$505,'سجل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والحالات'!$AF$6:$AF$505,'سجل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والحالات'!$AR$6:$AR$505,'سجل الإجازات والحالات'!$B$6:$B$505,$B103))/cfg_DAYS_Y)</f>
        <v/>
      </c>
      <c r="AI103" s="135" t="str">
        <f aca="false">IF($B103="","",MAX(0,IF(OR(الموظفون!$AE103="",الموظفون!$AE103&gt;($E$3-1)),($E$3-1),الموظفون!$AE103)-الموظفون!$H103+1-SUMIFS('سجل الإجازات والحالات'!$AQ$6:$AQ$505,'سجل الإجازات والحالات'!$B$6:$B$505,$B103))/cfg_DAYS_Y)</f>
        <v/>
      </c>
      <c r="AJ103" s="110" t="str">
        <f aca="false">IF($B103="","",MAX(0,AK103-(SUMIFS('سجل الإجازات والحالات'!$AR$6:$AR$505,'سجل الإجازات والحالات'!$B$6:$B$505,$B103)-SUMIFS('سجل الإجازات والحالات'!$AQ$6:$AQ$505,'سجل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والحالات'!$BD$6:$BD$505,'سجل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والحالات'!$AF$6:$AF$505,'سجل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والحالات'!$AR$6:$AR$505,'سجل الإجازات والحالات'!$B$6:$B$505,$B104))/cfg_DAYS_Y)</f>
        <v/>
      </c>
      <c r="AI104" s="130" t="str">
        <f aca="false">IF($B104="","",MAX(0,IF(OR(الموظفون!$AE104="",الموظفون!$AE104&gt;($E$3-1)),($E$3-1),الموظفون!$AE104)-الموظفون!$H104+1-SUMIFS('سجل الإجازات والحالات'!$AQ$6:$AQ$505,'سجل الإجازات والحالات'!$B$6:$B$505,$B104))/cfg_DAYS_Y)</f>
        <v/>
      </c>
      <c r="AJ104" s="57" t="str">
        <f aca="false">IF($B104="","",MAX(0,AK104-(SUMIFS('سجل الإجازات والحالات'!$AR$6:$AR$505,'سجل الإجازات والحالات'!$B$6:$B$505,$B104)-SUMIFS('سجل الإجازات والحالات'!$AQ$6:$AQ$505,'سجل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والحالات'!$BD$6:$BD$505,'سجل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والحالات'!$AF$6:$AF$505,'سجل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والحالات'!$AR$6:$AR$505,'سجل الإجازات والحالات'!$B$6:$B$505,$B105))/cfg_DAYS_Y)</f>
        <v/>
      </c>
      <c r="AI105" s="135" t="str">
        <f aca="false">IF($B105="","",MAX(0,IF(OR(الموظفون!$AE105="",الموظفون!$AE105&gt;($E$3-1)),($E$3-1),الموظفون!$AE105)-الموظفون!$H105+1-SUMIFS('سجل الإجازات والحالات'!$AQ$6:$AQ$505,'سجل الإجازات والحالات'!$B$6:$B$505,$B105))/cfg_DAYS_Y)</f>
        <v/>
      </c>
      <c r="AJ105" s="110" t="str">
        <f aca="false">IF($B105="","",MAX(0,AK105-(SUMIFS('سجل الإجازات والحالات'!$AR$6:$AR$505,'سجل الإجازات والحالات'!$B$6:$B$505,$B105)-SUMIFS('سجل الإجازات والحالات'!$AQ$6:$AQ$505,'سجل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والحالات'!$BD$6:$BD$505,'سجل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والحالات'!$AF$6:$AF$505,'سجل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330</v>
      </c>
      <c r="K106" s="103" t="n">
        <f aca="false">SUM(K6:K105)</f>
        <v>136500</v>
      </c>
      <c r="L106" s="103" t="n">
        <f aca="false">SUM(L6:L105)</f>
        <v>34125</v>
      </c>
      <c r="M106" s="103" t="n">
        <f aca="false">SUM(M6:M105)</f>
        <v>13650</v>
      </c>
      <c r="N106" s="103" t="n">
        <f aca="false">SUM(N6:N105)</f>
        <v>10300</v>
      </c>
      <c r="O106" s="136" t="n">
        <f aca="false">SUM(O6:O105)</f>
        <v>0</v>
      </c>
      <c r="P106" s="103" t="n">
        <f aca="false">SUM(P6:P105)</f>
        <v>0</v>
      </c>
      <c r="Q106" s="103" t="n">
        <f aca="false">SUM(Q6:Q105)</f>
        <v>0</v>
      </c>
      <c r="R106" s="103" t="n">
        <f aca="false">SUM(R6:R105)</f>
        <v>0</v>
      </c>
      <c r="S106" s="103" t="n">
        <f aca="false">SUM(S6:S105)</f>
        <v>0</v>
      </c>
      <c r="T106" s="103" t="n">
        <f aca="false">SUM(T6:T105)</f>
        <v>194575</v>
      </c>
      <c r="U106" s="103" t="n">
        <f aca="false">SUM(U6:U105)</f>
        <v>12370.3125</v>
      </c>
      <c r="V106" s="103" t="n">
        <f aca="false">SUM(V6:V105)</f>
        <v>0</v>
      </c>
      <c r="W106" s="103" t="n">
        <f aca="false">SUM(W6:W105)</f>
        <v>0</v>
      </c>
      <c r="X106" s="103" t="n">
        <f aca="false">SUM(X6:X105)</f>
        <v>12370.3125</v>
      </c>
      <c r="Y106" s="103" t="n">
        <f aca="false">SUM(Y6:Y105)</f>
        <v>182204.6875</v>
      </c>
      <c r="Z106" s="103" t="n">
        <f aca="false">SUM(Z6:Z105)</f>
        <v>15782.8125</v>
      </c>
      <c r="AA106" s="103" t="n">
        <f aca="false">SUM(AA6:AA105)</f>
        <v>13564.7260273973</v>
      </c>
      <c r="AB106" s="103" t="n">
        <f aca="false">SUM(AB6:AB105)</f>
        <v>14197.1917808219</v>
      </c>
      <c r="AC106" s="103" t="n">
        <f aca="false">SUM(AC6:AC105)</f>
        <v>821.917808219178</v>
      </c>
      <c r="AD106" s="103" t="n">
        <f aca="false">SUM(AD6:AD105)</f>
        <v>3416.66666666667</v>
      </c>
      <c r="AE106" s="103" t="n">
        <f aca="false">SUM(AE6:AE105)</f>
        <v>2650</v>
      </c>
      <c r="AF106" s="103" t="n">
        <f aca="false">SUM(AF6:AF105)</f>
        <v>400</v>
      </c>
      <c r="AG106" s="103" t="n">
        <f aca="false">SUM(AG6:AG105)</f>
        <v>245408.314783105</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أكتوبر'!A1" display="◀ الشهر السابق"/>
    <hyperlink ref="L3" location="'مسير ديسمب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ديسمبر "&amp;cfg_FY</f>
        <v>💵 مسير رواتب شهر ديسمبر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12</v>
      </c>
      <c r="D3" s="112" t="s">
        <v>434</v>
      </c>
      <c r="E3" s="114" t="n">
        <f aca="false">DATE(cfg_FY,C3,1)</f>
        <v>46357</v>
      </c>
      <c r="F3" s="114" t="n">
        <f aca="false">EOMONTH(E3,0)</f>
        <v>46387</v>
      </c>
      <c r="G3" s="115" t="str">
        <f aca="false">IF(C3&lt;=cfg_VAL_M,"✔ فعلي","⚠ متوقع")</f>
        <v>⚠ متوقع</v>
      </c>
      <c r="H3" s="115"/>
      <c r="J3" s="116" t="s">
        <v>468</v>
      </c>
      <c r="K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3210.41095890413</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والحالات'!$AS$6:$AS$505,'سجل الإجازات والحالات'!$B$6:$B$505,$B6))/cfg_DAYS_Y)</f>
        <v>14.972602739726</v>
      </c>
      <c r="AI6" s="130" t="n">
        <f aca="false">IF($B6="","",MAX(0,IF(OR(الموظفون!$AE6="",الموظفون!$AE6&gt;($E$3-1)),($E$3-1),الموظفون!$AE6)-الموظفون!$H6+1-SUMIFS('سجل الإجازات والحالات'!$AR$6:$AR$505,'سجل الإجازات والحالات'!$B$6:$B$505,$B6))/cfg_DAYS_Y)</f>
        <v>14.8876712328767</v>
      </c>
      <c r="AJ6" s="57" t="n">
        <f aca="false">IF($B6="","",MAX(0,AK6-(SUMIFS('سجل الإجازات والحالات'!$AS$6:$AS$505,'سجل الإجازات والحالات'!$B$6:$B$505,$B6)-SUMIFS('سجل الإجازات والحالات'!$AR$6:$AR$505,'سجل الإجازات والحالات'!$B$6:$B$505,$B6))))</f>
        <v>31</v>
      </c>
      <c r="AK6" s="57" t="n">
        <f aca="false">IF($B6="","",MAX(0,IF(OR(الموظفون!$AE6="",الموظفون!$AE6&gt;$F$3),$F$3,الموظفون!$AE6)-MAX($E$3,الموظفون!$H6)+1))</f>
        <v>31</v>
      </c>
      <c r="AL6" s="126" t="n">
        <f aca="false">IF($B6="","",SUMIFS('سجل الإجازات والحالات'!$BE$6:$BE$505,'سجل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والحالات'!$AG$6:$AG$505,'سجل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والحالات'!$AS$6:$AS$505,'سجل الإجازات والحالات'!$B$6:$B$505,$B7))/cfg_DAYS_Y)</f>
        <v>10.5917808219178</v>
      </c>
      <c r="AI7" s="135" t="n">
        <f aca="false">IF($B7="","",MAX(0,IF(OR(الموظفون!$AE7="",الموظفون!$AE7&gt;($E$3-1)),($E$3-1),الموظفون!$AE7)-الموظفون!$H7+1-SUMIFS('سجل الإجازات والحالات'!$AR$6:$AR$505,'سجل الإجازات والحالات'!$B$6:$B$505,$B7))/cfg_DAYS_Y)</f>
        <v>10.5068493150685</v>
      </c>
      <c r="AJ7" s="110" t="n">
        <f aca="false">IF($B7="","",MAX(0,AK7-(SUMIFS('سجل الإجازات والحالات'!$AS$6:$AS$505,'سجل الإجازات والحالات'!$B$6:$B$505,$B7)-SUMIFS('سجل الإجازات والحالات'!$AR$6:$AR$505,'سجل الإجازات والحالات'!$B$6:$B$505,$B7))))</f>
        <v>31</v>
      </c>
      <c r="AK7" s="110" t="n">
        <f aca="false">IF($B7="","",MAX(0,IF(OR(الموظفون!$AE7="",الموظفون!$AE7&gt;$F$3),$F$3,الموظفون!$AE7)-MAX($E$3,الموظفون!$H7)+1))</f>
        <v>31</v>
      </c>
      <c r="AL7" s="131" t="n">
        <f aca="false">IF($B7="","",SUMIFS('سجل الإجازات والحالات'!$BE$6:$BE$505,'سجل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والحالات'!$AG$6:$AG$505,'سجل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راتب إجازة مقدم</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30</v>
      </c>
      <c r="J8" s="126" t="n">
        <f aca="false">IF($B8="","",MAX(0,G8-H8-I8))</f>
        <v>0</v>
      </c>
      <c r="K8" s="97" t="n">
        <f aca="false">IF($B8="","",الموظفون!$L8*$J8/cfg_DAYS_M)</f>
        <v>0</v>
      </c>
      <c r="L8" s="97" t="n">
        <f aca="false">IF($B8="","",الموظفون!$M8*$J8/cfg_DAYS_M)</f>
        <v>0</v>
      </c>
      <c r="M8" s="97" t="n">
        <f aca="false">IF($B8="","",الموظفون!$N8*$J8/cfg_DAYS_M)</f>
        <v>0</v>
      </c>
      <c r="N8" s="97" t="n">
        <f aca="false">IF($B8="","",الموظفون!$O8*$J8/cfg_DAYS_M)</f>
        <v>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11475</v>
      </c>
      <c r="T8" s="127" t="n">
        <f aca="false">IF($B8="","",SUM(K8:N8)+SUM(P8:S8))</f>
        <v>11475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11475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14826.7351598174</v>
      </c>
      <c r="AH8" s="130" t="n">
        <f aca="false">IF($B8="","",MAX(0,IF(OR(الموظفون!$AE8="",الموظفون!$AE8&gt;$F$3),$F$3,الموظفون!$AE8)-الموظفون!$H8+1-SUMIFS('سجل الإجازات والحالات'!$AS$6:$AS$505,'سجل الإجازات والحالات'!$B$6:$B$505,$B8))/cfg_DAYS_Y)</f>
        <v>8.31506849315069</v>
      </c>
      <c r="AI8" s="130" t="n">
        <f aca="false">IF($B8="","",MAX(0,IF(OR(الموظفون!$AE8="",الموظفون!$AE8&gt;($E$3-1)),($E$3-1),الموظفون!$AE8)-الموظفون!$H8+1-SUMIFS('سجل الإجازات والحالات'!$AR$6:$AR$505,'سجل الإجازات والحالات'!$B$6:$B$505,$B8))/cfg_DAYS_Y)</f>
        <v>8.23013698630137</v>
      </c>
      <c r="AJ8" s="57" t="n">
        <f aca="false">IF($B8="","",MAX(0,AK8-(SUMIFS('سجل الإجازات والحالات'!$AS$6:$AS$505,'سجل الإجازات والحالات'!$B$6:$B$505,$B8)-SUMIFS('سجل الإجازات والحالات'!$AR$6:$AR$505,'سجل الإجازات والحالات'!$B$6:$B$505,$B8))))</f>
        <v>31</v>
      </c>
      <c r="AK8" s="57" t="n">
        <f aca="false">IF($B8="","",MAX(0,IF(OR(الموظفون!$AE8="",الموظفون!$AE8&gt;$F$3),$F$3,الموظفون!$AE8)-MAX($E$3,الموظفون!$H8)+1))</f>
        <v>31</v>
      </c>
      <c r="AL8" s="126" t="n">
        <f aca="false">IF($B8="","",SUMIFS('سجل الإجازات والحالات'!$BE$6:$BE$505,'سجل الإجازات والحالات'!$B$6:$B$505,$B8)+SUMIFS('الحركات الشهرية'!$K$6:$K$1005,'الحركات الشهرية'!$B$6:$B$1005,$B8,'الحركات الشهرية'!$A$6:$A$1005,$C$3))</f>
        <v>0</v>
      </c>
      <c r="AM8" s="97" t="n">
        <f aca="false">IF($B8="","",AL8*الموظفون!$R8/cfg_DAYS_M+S8)</f>
        <v>11475</v>
      </c>
      <c r="AN8" s="126" t="n">
        <f aca="false">IF($B8="","",SUMIFS('سجل الإجازات والحالات'!$AG$6:$AG$505,'سجل الإجازات والحالات'!$B$6:$B$505,$B8))</f>
        <v>30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والحالات'!$AS$6:$AS$505,'سجل الإجازات والحالات'!$B$6:$B$505,$B9))/cfg_DAYS_Y)</f>
        <v>7.92054794520548</v>
      </c>
      <c r="AI9" s="135" t="n">
        <f aca="false">IF($B9="","",MAX(0,IF(OR(الموظفون!$AE9="",الموظفون!$AE9&gt;($E$3-1)),($E$3-1),الموظفون!$AE9)-الموظفون!$H9+1-SUMIFS('سجل الإجازات والحالات'!$AR$6:$AR$505,'سجل الإجازات والحالات'!$B$6:$B$505,$B9))/cfg_DAYS_Y)</f>
        <v>7.83561643835617</v>
      </c>
      <c r="AJ9" s="110" t="n">
        <f aca="false">IF($B9="","",MAX(0,AK9-(SUMIFS('سجل الإجازات والحالات'!$AS$6:$AS$505,'سجل الإجازات والحالات'!$B$6:$B$505,$B9)-SUMIFS('سجل الإجازات والحالات'!$AR$6:$AR$505,'سجل الإجازات والحالات'!$B$6:$B$505,$B9))))</f>
        <v>31</v>
      </c>
      <c r="AK9" s="110" t="n">
        <f aca="false">IF($B9="","",MAX(0,IF(OR(الموظفون!$AE9="",الموظفون!$AE9&gt;$F$3),$F$3,الموظفون!$AE9)-MAX($E$3,الموظفون!$H9)+1))</f>
        <v>31</v>
      </c>
      <c r="AL9" s="131" t="n">
        <f aca="false">IF($B9="","",SUMIFS('سجل الإجازات والحالات'!$BE$6:$BE$505,'سجل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والحالات'!$AG$6:$AG$505,'سجل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والحالات'!$AS$6:$AS$505,'سجل الإجازات والحالات'!$B$6:$B$505,$B10))/cfg_DAYS_Y)</f>
        <v>6.72602739726027</v>
      </c>
      <c r="AI10" s="130" t="n">
        <f aca="false">IF($B10="","",MAX(0,IF(OR(الموظفون!$AE10="",الموظفون!$AE10&gt;($E$3-1)),($E$3-1),الموظفون!$AE10)-الموظفون!$H10+1-SUMIFS('سجل الإجازات والحالات'!$AR$6:$AR$505,'سجل الإجازات والحالات'!$B$6:$B$505,$B10))/cfg_DAYS_Y)</f>
        <v>6.64109589041096</v>
      </c>
      <c r="AJ10" s="57" t="n">
        <f aca="false">IF($B10="","",MAX(0,AK10-(SUMIFS('سجل الإجازات والحالات'!$AS$6:$AS$505,'سجل الإجازات والحالات'!$B$6:$B$505,$B10)-SUMIFS('سجل الإجازات والحالات'!$AR$6:$AR$505,'سجل الإجازات والحالات'!$B$6:$B$505,$B10))))</f>
        <v>31</v>
      </c>
      <c r="AK10" s="57" t="n">
        <f aca="false">IF($B10="","",MAX(0,IF(OR(الموظفون!$AE10="",الموظفون!$AE10&gt;$F$3),$F$3,الموظفون!$AE10)-MAX($E$3,الموظفون!$H10)+1))</f>
        <v>31</v>
      </c>
      <c r="AL10" s="126" t="n">
        <f aca="false">IF($B10="","",SUMIFS('سجل الإجازات والحالات'!$BE$6:$BE$505,'سجل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والحالات'!$AG$6:$AG$505,'سجل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والحالات'!$AS$6:$AS$505,'سجل الإجازات والحالات'!$B$6:$B$505,$B11))/cfg_DAYS_Y)</f>
        <v>9.07945205479452</v>
      </c>
      <c r="AI11" s="135" t="n">
        <f aca="false">IF($B11="","",MAX(0,IF(OR(الموظفون!$AE11="",الموظفون!$AE11&gt;($E$3-1)),($E$3-1),الموظفون!$AE11)-الموظفون!$H11+1-SUMIFS('سجل الإجازات والحالات'!$AR$6:$AR$505,'سجل الإجازات والحالات'!$B$6:$B$505,$B11))/cfg_DAYS_Y)</f>
        <v>8.99452054794521</v>
      </c>
      <c r="AJ11" s="110" t="n">
        <f aca="false">IF($B11="","",MAX(0,AK11-(SUMIFS('سجل الإجازات والحالات'!$AS$6:$AS$505,'سجل الإجازات والحالات'!$B$6:$B$505,$B11)-SUMIFS('سجل الإجازات والحالات'!$AR$6:$AR$505,'سجل الإجازات والحالات'!$B$6:$B$505,$B11))))</f>
        <v>31</v>
      </c>
      <c r="AK11" s="110" t="n">
        <f aca="false">IF($B11="","",MAX(0,IF(OR(الموظفون!$AE11="",الموظفون!$AE11&gt;$F$3),$F$3,الموظفون!$AE11)-MAX($E$3,الموظفون!$H11)+1))</f>
        <v>31</v>
      </c>
      <c r="AL11" s="131" t="n">
        <f aca="false">IF($B11="","",SUMIFS('سجل الإجازات والحالات'!$BE$6:$BE$505,'سجل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والحالات'!$AG$6:$AG$505,'سجل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1261.23287671232</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20283.8242009132</v>
      </c>
      <c r="AH12" s="130" t="n">
        <f aca="false">IF($B12="","",MAX(0,IF(OR(الموظفون!$AE12="",الموظفون!$AE12&gt;$F$3),$F$3,الموظفون!$AE12)-الموظفون!$H12+1-SUMIFS('سجل الإجازات والحالات'!$AS$6:$AS$505,'سجل الإجازات والحالات'!$B$6:$B$505,$B12))/cfg_DAYS_Y)</f>
        <v>5.95068493150685</v>
      </c>
      <c r="AI12" s="130" t="n">
        <f aca="false">IF($B12="","",MAX(0,IF(OR(الموظفون!$AE12="",الموظفون!$AE12&gt;($E$3-1)),($E$3-1),الموظفون!$AE12)-الموظفون!$H12+1-SUMIFS('سجل الإجازات والحالات'!$AR$6:$AR$505,'سجل الإجازات والحالات'!$B$6:$B$505,$B12))/cfg_DAYS_Y)</f>
        <v>5.86575342465754</v>
      </c>
      <c r="AJ12" s="57" t="n">
        <f aca="false">IF($B12="","",MAX(0,AK12-(SUMIFS('سجل الإجازات والحالات'!$AS$6:$AS$505,'سجل الإجازات والحالات'!$B$6:$B$505,$B12)-SUMIFS('سجل الإجازات والحالات'!$AR$6:$AR$505,'سجل الإجازات والحالات'!$B$6:$B$505,$B12))))</f>
        <v>31</v>
      </c>
      <c r="AK12" s="57" t="n">
        <f aca="false">IF($B12="","",MAX(0,IF(OR(الموظفون!$AE12="",الموظفون!$AE12&gt;$F$3),$F$3,الموظفون!$AE12)-MAX($E$3,الموظفون!$H12)+1))</f>
        <v>31</v>
      </c>
      <c r="AL12" s="126" t="n">
        <f aca="false">IF($B12="","",SUMIFS('سجل الإجازات والحالات'!$BE$6:$BE$505,'سجل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والحالات'!$AG$6:$AG$505,'سجل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والحالات'!$AS$6:$AS$505,'سجل الإجازات والحالات'!$B$6:$B$505,$B13))/cfg_DAYS_Y)</f>
        <v>3.83287671232877</v>
      </c>
      <c r="AI13" s="135" t="n">
        <f aca="false">IF($B13="","",MAX(0,IF(OR(الموظفون!$AE13="",الموظفون!$AE13&gt;($E$3-1)),($E$3-1),الموظفون!$AE13)-الموظفون!$H13+1-SUMIFS('سجل الإجازات والحالات'!$AR$6:$AR$505,'سجل الإجازات والحالات'!$B$6:$B$505,$B13))/cfg_DAYS_Y)</f>
        <v>3.74794520547945</v>
      </c>
      <c r="AJ13" s="110" t="n">
        <f aca="false">IF($B13="","",MAX(0,AK13-(SUMIFS('سجل الإجازات والحالات'!$AS$6:$AS$505,'سجل الإجازات والحالات'!$B$6:$B$505,$B13)-SUMIFS('سجل الإجازات والحالات'!$AR$6:$AR$505,'سجل الإجازات والحالات'!$B$6:$B$505,$B13))))</f>
        <v>31</v>
      </c>
      <c r="AK13" s="110" t="n">
        <f aca="false">IF($B13="","",MAX(0,IF(OR(الموظفون!$AE13="",الموظفون!$AE13&gt;$F$3),$F$3,الموظفون!$AE13)-MAX($E$3,الموظفون!$H13)+1))</f>
        <v>31</v>
      </c>
      <c r="AL13" s="131" t="n">
        <f aca="false">IF($B13="","",SUMIFS('سجل الإجازات والحالات'!$BE$6:$BE$505,'سجل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والحالات'!$AG$6:$AG$505,'سجل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والحالات'!$AS$6:$AS$505,'سجل الإجازات والحالات'!$B$6:$B$505,$B14))/cfg_DAYS_Y)</f>
        <v>12.3808219178082</v>
      </c>
      <c r="AI14" s="130" t="n">
        <f aca="false">IF($B14="","",MAX(0,IF(OR(الموظفون!$AE14="",الموظفون!$AE14&gt;($E$3-1)),($E$3-1),الموظفون!$AE14)-الموظفون!$H14+1-SUMIFS('سجل الإجازات والحالات'!$AR$6:$AR$505,'سجل الإجازات والحالات'!$B$6:$B$505,$B14))/cfg_DAYS_Y)</f>
        <v>12.2958904109589</v>
      </c>
      <c r="AJ14" s="57" t="n">
        <f aca="false">IF($B14="","",MAX(0,AK14-(SUMIFS('سجل الإجازات والحالات'!$AS$6:$AS$505,'سجل الإجازات والحالات'!$B$6:$B$505,$B14)-SUMIFS('سجل الإجازات والحالات'!$AR$6:$AR$505,'سجل الإجازات والحالات'!$B$6:$B$505,$B14))))</f>
        <v>31</v>
      </c>
      <c r="AK14" s="57" t="n">
        <f aca="false">IF($B14="","",MAX(0,IF(OR(الموظفون!$AE14="",الموظفون!$AE14&gt;$F$3),$F$3,الموظفون!$AE14)-MAX($E$3,الموظفون!$H14)+1))</f>
        <v>31</v>
      </c>
      <c r="AL14" s="126" t="n">
        <f aca="false">IF($B14="","",SUMIFS('سجل الإجازات والحالات'!$BE$6:$BE$505,'سجل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والحالات'!$AG$6:$AG$505,'سجل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والحالات'!$AS$6:$AS$505,'سجل الإجازات والحالات'!$B$6:$B$505,$B15))/cfg_DAYS_Y)</f>
        <v>0.715068493150685</v>
      </c>
      <c r="AI15" s="135" t="n">
        <f aca="false">IF($B15="","",MAX(0,IF(OR(الموظفون!$AE15="",الموظفون!$AE15&gt;($E$3-1)),($E$3-1),الموظفون!$AE15)-الموظفون!$H15+1-SUMIFS('سجل الإجازات والحالات'!$AR$6:$AR$505,'سجل الإجازات والحالات'!$B$6:$B$505,$B15))/cfg_DAYS_Y)</f>
        <v>0.63013698630137</v>
      </c>
      <c r="AJ15" s="110" t="n">
        <f aca="false">IF($B15="","",MAX(0,AK15-(SUMIFS('سجل الإجازات والحالات'!$AS$6:$AS$505,'سجل الإجازات والحالات'!$B$6:$B$505,$B15)-SUMIFS('سجل الإجازات والحالات'!$AR$6:$AR$505,'سجل الإجازات والحالات'!$B$6:$B$505,$B15))))</f>
        <v>31</v>
      </c>
      <c r="AK15" s="110" t="n">
        <f aca="false">IF($B15="","",MAX(0,IF(OR(الموظفون!$AE15="",الموظفون!$AE15&gt;$F$3),$F$3,الموظفون!$AE15)-MAX($E$3,الموظفون!$H15)+1))</f>
        <v>31</v>
      </c>
      <c r="AL15" s="131" t="n">
        <f aca="false">IF($B15="","",SUMIFS('سجل الإجازات والحالات'!$BE$6:$BE$505,'سجل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والحالات'!$AG$6:$AG$505,'سجل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والحالات'!$AS$6:$AS$505,'سجل الإجازات والحالات'!$B$6:$B$505,$B16))/cfg_DAYS_Y)</f>
        <v>7.33972602739726</v>
      </c>
      <c r="AI16" s="130" t="n">
        <f aca="false">IF($B16="","",MAX(0,IF(OR(الموظفون!$AE16="",الموظفون!$AE16&gt;($E$3-1)),($E$3-1),الموظفون!$AE16)-الموظفون!$H16+1-SUMIFS('سجل الإجازات والحالات'!$AR$6:$AR$505,'سجل الإجازات والحالات'!$B$6:$B$505,$B16))/cfg_DAYS_Y)</f>
        <v>7.33972602739726</v>
      </c>
      <c r="AJ16" s="57" t="n">
        <f aca="false">IF($B16="","",MAX(0,AK16-(SUMIFS('سجل الإجازات والحالات'!$AS$6:$AS$505,'سجل الإجازات والحالات'!$B$6:$B$505,$B16)-SUMIFS('سجل الإجازات والحالات'!$AR$6:$AR$505,'سجل الإجازات والحالات'!$B$6:$B$505,$B16))))</f>
        <v>0</v>
      </c>
      <c r="AK16" s="57" t="n">
        <f aca="false">IF($B16="","",MAX(0,IF(OR(الموظفون!$AE16="",الموظفون!$AE16&gt;$F$3),$F$3,الموظفون!$AE16)-MAX($E$3,الموظفون!$H16)+1))</f>
        <v>0</v>
      </c>
      <c r="AL16" s="126" t="n">
        <f aca="false">IF($B16="","",SUMIFS('سجل الإجازات والحالات'!$BE$6:$BE$505,'سجل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والحالات'!$AG$6:$AG$505,'سجل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687.945205479448</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والحالات'!$AS$6:$AS$505,'سجل الإجازات والحالات'!$B$6:$B$505,$B17))/cfg_DAYS_Y)</f>
        <v>4.48219178082192</v>
      </c>
      <c r="AI17" s="135" t="n">
        <f aca="false">IF($B17="","",MAX(0,IF(OR(الموظفون!$AE17="",الموظفون!$AE17&gt;($E$3-1)),($E$3-1),الموظفون!$AE17)-الموظفون!$H17+1-SUMIFS('سجل الإجازات والحالات'!$AR$6:$AR$505,'سجل الإجازات والحالات'!$B$6:$B$505,$B17))/cfg_DAYS_Y)</f>
        <v>4.3972602739726</v>
      </c>
      <c r="AJ17" s="110" t="n">
        <f aca="false">IF($B17="","",MAX(0,AK17-(SUMIFS('سجل الإجازات والحالات'!$AS$6:$AS$505,'سجل الإجازات والحالات'!$B$6:$B$505,$B17)-SUMIFS('سجل الإجازات والحالات'!$AR$6:$AR$505,'سجل الإجازات والحالات'!$B$6:$B$505,$B17))))</f>
        <v>31</v>
      </c>
      <c r="AK17" s="110" t="n">
        <f aca="false">IF($B17="","",MAX(0,IF(OR(الموظفون!$AE17="",الموظفون!$AE17&gt;$F$3),$F$3,الموظفون!$AE17)-MAX($E$3,الموظفون!$H17)+1))</f>
        <v>31</v>
      </c>
      <c r="AL17" s="131" t="n">
        <f aca="false">IF($B17="","",SUMIFS('سجل الإجازات والحالات'!$BE$6:$BE$505,'سجل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والحالات'!$AG$6:$AG$505,'سجل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والحالات'!$AS$6:$AS$505,'سجل الإجازات والحالات'!$B$6:$B$505,$B18))/cfg_DAYS_Y)</f>
        <v/>
      </c>
      <c r="AI18" s="130" t="str">
        <f aca="false">IF($B18="","",MAX(0,IF(OR(الموظفون!$AE18="",الموظفون!$AE18&gt;($E$3-1)),($E$3-1),الموظفون!$AE18)-الموظفون!$H18+1-SUMIFS('سجل الإجازات والحالات'!$AR$6:$AR$505,'سجل الإجازات والحالات'!$B$6:$B$505,$B18))/cfg_DAYS_Y)</f>
        <v/>
      </c>
      <c r="AJ18" s="57" t="str">
        <f aca="false">IF($B18="","",MAX(0,AK18-(SUMIFS('سجل الإجازات والحالات'!$AS$6:$AS$505,'سجل الإجازات والحالات'!$B$6:$B$505,$B18)-SUMIFS('سجل الإجازات والحالات'!$AR$6:$AR$505,'سجل الإجازات والحالات'!$B$6:$B$505,$B18))))</f>
        <v/>
      </c>
      <c r="AK18" s="57" t="str">
        <f aca="false">IF($B18="","",MAX(0,IF(OR(الموظفون!$AE18="",الموظفون!$AE18&gt;$F$3),$F$3,الموظفون!$AE18)-MAX($E$3,الموظفون!$H18)+1))</f>
        <v/>
      </c>
      <c r="AL18" s="126" t="str">
        <f aca="false">IF($B18="","",SUMIFS('سجل الإجازات والحالات'!$BE$6:$BE$505,'سجل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والحالات'!$AG$6:$AG$505,'سجل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والحالات'!$AS$6:$AS$505,'سجل الإجازات والحالات'!$B$6:$B$505,$B19))/cfg_DAYS_Y)</f>
        <v/>
      </c>
      <c r="AI19" s="135" t="str">
        <f aca="false">IF($B19="","",MAX(0,IF(OR(الموظفون!$AE19="",الموظفون!$AE19&gt;($E$3-1)),($E$3-1),الموظفون!$AE19)-الموظفون!$H19+1-SUMIFS('سجل الإجازات والحالات'!$AR$6:$AR$505,'سجل الإجازات والحالات'!$B$6:$B$505,$B19))/cfg_DAYS_Y)</f>
        <v/>
      </c>
      <c r="AJ19" s="110" t="str">
        <f aca="false">IF($B19="","",MAX(0,AK19-(SUMIFS('سجل الإجازات والحالات'!$AS$6:$AS$505,'سجل الإجازات والحالات'!$B$6:$B$505,$B19)-SUMIFS('سجل الإجازات والحالات'!$AR$6:$AR$505,'سجل الإجازات والحالات'!$B$6:$B$505,$B19))))</f>
        <v/>
      </c>
      <c r="AK19" s="110" t="str">
        <f aca="false">IF($B19="","",MAX(0,IF(OR(الموظفون!$AE19="",الموظفون!$AE19&gt;$F$3),$F$3,الموظفون!$AE19)-MAX($E$3,الموظفون!$H19)+1))</f>
        <v/>
      </c>
      <c r="AL19" s="131" t="str">
        <f aca="false">IF($B19="","",SUMIFS('سجل الإجازات والحالات'!$BE$6:$BE$505,'سجل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والحالات'!$AG$6:$AG$505,'سجل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والحالات'!$AS$6:$AS$505,'سجل الإجازات والحالات'!$B$6:$B$505,$B20))/cfg_DAYS_Y)</f>
        <v/>
      </c>
      <c r="AI20" s="130" t="str">
        <f aca="false">IF($B20="","",MAX(0,IF(OR(الموظفون!$AE20="",الموظفون!$AE20&gt;($E$3-1)),($E$3-1),الموظفون!$AE20)-الموظفون!$H20+1-SUMIFS('سجل الإجازات والحالات'!$AR$6:$AR$505,'سجل الإجازات والحالات'!$B$6:$B$505,$B20))/cfg_DAYS_Y)</f>
        <v/>
      </c>
      <c r="AJ20" s="57" t="str">
        <f aca="false">IF($B20="","",MAX(0,AK20-(SUMIFS('سجل الإجازات والحالات'!$AS$6:$AS$505,'سجل الإجازات والحالات'!$B$6:$B$505,$B20)-SUMIFS('سجل الإجازات والحالات'!$AR$6:$AR$505,'سجل الإجازات والحالات'!$B$6:$B$505,$B20))))</f>
        <v/>
      </c>
      <c r="AK20" s="57" t="str">
        <f aca="false">IF($B20="","",MAX(0,IF(OR(الموظفون!$AE20="",الموظفون!$AE20&gt;$F$3),$F$3,الموظفون!$AE20)-MAX($E$3,الموظفون!$H20)+1))</f>
        <v/>
      </c>
      <c r="AL20" s="126" t="str">
        <f aca="false">IF($B20="","",SUMIFS('سجل الإجازات والحالات'!$BE$6:$BE$505,'سجل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والحالات'!$AG$6:$AG$505,'سجل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والحالات'!$AS$6:$AS$505,'سجل الإجازات والحالات'!$B$6:$B$505,$B21))/cfg_DAYS_Y)</f>
        <v/>
      </c>
      <c r="AI21" s="135" t="str">
        <f aca="false">IF($B21="","",MAX(0,IF(OR(الموظفون!$AE21="",الموظفون!$AE21&gt;($E$3-1)),($E$3-1),الموظفون!$AE21)-الموظفون!$H21+1-SUMIFS('سجل الإجازات والحالات'!$AR$6:$AR$505,'سجل الإجازات والحالات'!$B$6:$B$505,$B21))/cfg_DAYS_Y)</f>
        <v/>
      </c>
      <c r="AJ21" s="110" t="str">
        <f aca="false">IF($B21="","",MAX(0,AK21-(SUMIFS('سجل الإجازات والحالات'!$AS$6:$AS$505,'سجل الإجازات والحالات'!$B$6:$B$505,$B21)-SUMIFS('سجل الإجازات والحالات'!$AR$6:$AR$505,'سجل الإجازات والحالات'!$B$6:$B$505,$B21))))</f>
        <v/>
      </c>
      <c r="AK21" s="110" t="str">
        <f aca="false">IF($B21="","",MAX(0,IF(OR(الموظفون!$AE21="",الموظفون!$AE21&gt;$F$3),$F$3,الموظفون!$AE21)-MAX($E$3,الموظفون!$H21)+1))</f>
        <v/>
      </c>
      <c r="AL21" s="131" t="str">
        <f aca="false">IF($B21="","",SUMIFS('سجل الإجازات والحالات'!$BE$6:$BE$505,'سجل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والحالات'!$AG$6:$AG$505,'سجل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والحالات'!$AS$6:$AS$505,'سجل الإجازات والحالات'!$B$6:$B$505,$B22))/cfg_DAYS_Y)</f>
        <v/>
      </c>
      <c r="AI22" s="130" t="str">
        <f aca="false">IF($B22="","",MAX(0,IF(OR(الموظفون!$AE22="",الموظفون!$AE22&gt;($E$3-1)),($E$3-1),الموظفون!$AE22)-الموظفون!$H22+1-SUMIFS('سجل الإجازات والحالات'!$AR$6:$AR$505,'سجل الإجازات والحالات'!$B$6:$B$505,$B22))/cfg_DAYS_Y)</f>
        <v/>
      </c>
      <c r="AJ22" s="57" t="str">
        <f aca="false">IF($B22="","",MAX(0,AK22-(SUMIFS('سجل الإجازات والحالات'!$AS$6:$AS$505,'سجل الإجازات والحالات'!$B$6:$B$505,$B22)-SUMIFS('سجل الإجازات والحالات'!$AR$6:$AR$505,'سجل الإجازات والحالات'!$B$6:$B$505,$B22))))</f>
        <v/>
      </c>
      <c r="AK22" s="57" t="str">
        <f aca="false">IF($B22="","",MAX(0,IF(OR(الموظفون!$AE22="",الموظفون!$AE22&gt;$F$3),$F$3,الموظفون!$AE22)-MAX($E$3,الموظفون!$H22)+1))</f>
        <v/>
      </c>
      <c r="AL22" s="126" t="str">
        <f aca="false">IF($B22="","",SUMIFS('سجل الإجازات والحالات'!$BE$6:$BE$505,'سجل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والحالات'!$AG$6:$AG$505,'سجل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والحالات'!$AS$6:$AS$505,'سجل الإجازات والحالات'!$B$6:$B$505,$B23))/cfg_DAYS_Y)</f>
        <v/>
      </c>
      <c r="AI23" s="135" t="str">
        <f aca="false">IF($B23="","",MAX(0,IF(OR(الموظفون!$AE23="",الموظفون!$AE23&gt;($E$3-1)),($E$3-1),الموظفون!$AE23)-الموظفون!$H23+1-SUMIFS('سجل الإجازات والحالات'!$AR$6:$AR$505,'سجل الإجازات والحالات'!$B$6:$B$505,$B23))/cfg_DAYS_Y)</f>
        <v/>
      </c>
      <c r="AJ23" s="110" t="str">
        <f aca="false">IF($B23="","",MAX(0,AK23-(SUMIFS('سجل الإجازات والحالات'!$AS$6:$AS$505,'سجل الإجازات والحالات'!$B$6:$B$505,$B23)-SUMIFS('سجل الإجازات والحالات'!$AR$6:$AR$505,'سجل الإجازات والحالات'!$B$6:$B$505,$B23))))</f>
        <v/>
      </c>
      <c r="AK23" s="110" t="str">
        <f aca="false">IF($B23="","",MAX(0,IF(OR(الموظفون!$AE23="",الموظفون!$AE23&gt;$F$3),$F$3,الموظفون!$AE23)-MAX($E$3,الموظفون!$H23)+1))</f>
        <v/>
      </c>
      <c r="AL23" s="131" t="str">
        <f aca="false">IF($B23="","",SUMIFS('سجل الإجازات والحالات'!$BE$6:$BE$505,'سجل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والحالات'!$AG$6:$AG$505,'سجل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والحالات'!$AS$6:$AS$505,'سجل الإجازات والحالات'!$B$6:$B$505,$B24))/cfg_DAYS_Y)</f>
        <v/>
      </c>
      <c r="AI24" s="130" t="str">
        <f aca="false">IF($B24="","",MAX(0,IF(OR(الموظفون!$AE24="",الموظفون!$AE24&gt;($E$3-1)),($E$3-1),الموظفون!$AE24)-الموظفون!$H24+1-SUMIFS('سجل الإجازات والحالات'!$AR$6:$AR$505,'سجل الإجازات والحالات'!$B$6:$B$505,$B24))/cfg_DAYS_Y)</f>
        <v/>
      </c>
      <c r="AJ24" s="57" t="str">
        <f aca="false">IF($B24="","",MAX(0,AK24-(SUMIFS('سجل الإجازات والحالات'!$AS$6:$AS$505,'سجل الإجازات والحالات'!$B$6:$B$505,$B24)-SUMIFS('سجل الإجازات والحالات'!$AR$6:$AR$505,'سجل الإجازات والحالات'!$B$6:$B$505,$B24))))</f>
        <v/>
      </c>
      <c r="AK24" s="57" t="str">
        <f aca="false">IF($B24="","",MAX(0,IF(OR(الموظفون!$AE24="",الموظفون!$AE24&gt;$F$3),$F$3,الموظفون!$AE24)-MAX($E$3,الموظفون!$H24)+1))</f>
        <v/>
      </c>
      <c r="AL24" s="126" t="str">
        <f aca="false">IF($B24="","",SUMIFS('سجل الإجازات والحالات'!$BE$6:$BE$505,'سجل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والحالات'!$AG$6:$AG$505,'سجل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والحالات'!$AS$6:$AS$505,'سجل الإجازات والحالات'!$B$6:$B$505,$B25))/cfg_DAYS_Y)</f>
        <v/>
      </c>
      <c r="AI25" s="135" t="str">
        <f aca="false">IF($B25="","",MAX(0,IF(OR(الموظفون!$AE25="",الموظفون!$AE25&gt;($E$3-1)),($E$3-1),الموظفون!$AE25)-الموظفون!$H25+1-SUMIFS('سجل الإجازات والحالات'!$AR$6:$AR$505,'سجل الإجازات والحالات'!$B$6:$B$505,$B25))/cfg_DAYS_Y)</f>
        <v/>
      </c>
      <c r="AJ25" s="110" t="str">
        <f aca="false">IF($B25="","",MAX(0,AK25-(SUMIFS('سجل الإجازات والحالات'!$AS$6:$AS$505,'سجل الإجازات والحالات'!$B$6:$B$505,$B25)-SUMIFS('سجل الإجازات والحالات'!$AR$6:$AR$505,'سجل الإجازات والحالات'!$B$6:$B$505,$B25))))</f>
        <v/>
      </c>
      <c r="AK25" s="110" t="str">
        <f aca="false">IF($B25="","",MAX(0,IF(OR(الموظفون!$AE25="",الموظفون!$AE25&gt;$F$3),$F$3,الموظفون!$AE25)-MAX($E$3,الموظفون!$H25)+1))</f>
        <v/>
      </c>
      <c r="AL25" s="131" t="str">
        <f aca="false">IF($B25="","",SUMIFS('سجل الإجازات والحالات'!$BE$6:$BE$505,'سجل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والحالات'!$AG$6:$AG$505,'سجل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والحالات'!$AS$6:$AS$505,'سجل الإجازات والحالات'!$B$6:$B$505,$B26))/cfg_DAYS_Y)</f>
        <v/>
      </c>
      <c r="AI26" s="130" t="str">
        <f aca="false">IF($B26="","",MAX(0,IF(OR(الموظفون!$AE26="",الموظفون!$AE26&gt;($E$3-1)),($E$3-1),الموظفون!$AE26)-الموظفون!$H26+1-SUMIFS('سجل الإجازات والحالات'!$AR$6:$AR$505,'سجل الإجازات والحالات'!$B$6:$B$505,$B26))/cfg_DAYS_Y)</f>
        <v/>
      </c>
      <c r="AJ26" s="57" t="str">
        <f aca="false">IF($B26="","",MAX(0,AK26-(SUMIFS('سجل الإجازات والحالات'!$AS$6:$AS$505,'سجل الإجازات والحالات'!$B$6:$B$505,$B26)-SUMIFS('سجل الإجازات والحالات'!$AR$6:$AR$505,'سجل الإجازات والحالات'!$B$6:$B$505,$B26))))</f>
        <v/>
      </c>
      <c r="AK26" s="57" t="str">
        <f aca="false">IF($B26="","",MAX(0,IF(OR(الموظفون!$AE26="",الموظفون!$AE26&gt;$F$3),$F$3,الموظفون!$AE26)-MAX($E$3,الموظفون!$H26)+1))</f>
        <v/>
      </c>
      <c r="AL26" s="126" t="str">
        <f aca="false">IF($B26="","",SUMIFS('سجل الإجازات والحالات'!$BE$6:$BE$505,'سجل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والحالات'!$AG$6:$AG$505,'سجل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والحالات'!$AS$6:$AS$505,'سجل الإجازات والحالات'!$B$6:$B$505,$B27))/cfg_DAYS_Y)</f>
        <v/>
      </c>
      <c r="AI27" s="135" t="str">
        <f aca="false">IF($B27="","",MAX(0,IF(OR(الموظفون!$AE27="",الموظفون!$AE27&gt;($E$3-1)),($E$3-1),الموظفون!$AE27)-الموظفون!$H27+1-SUMIFS('سجل الإجازات والحالات'!$AR$6:$AR$505,'سجل الإجازات والحالات'!$B$6:$B$505,$B27))/cfg_DAYS_Y)</f>
        <v/>
      </c>
      <c r="AJ27" s="110" t="str">
        <f aca="false">IF($B27="","",MAX(0,AK27-(SUMIFS('سجل الإجازات والحالات'!$AS$6:$AS$505,'سجل الإجازات والحالات'!$B$6:$B$505,$B27)-SUMIFS('سجل الإجازات والحالات'!$AR$6:$AR$505,'سجل الإجازات والحالات'!$B$6:$B$505,$B27))))</f>
        <v/>
      </c>
      <c r="AK27" s="110" t="str">
        <f aca="false">IF($B27="","",MAX(0,IF(OR(الموظفون!$AE27="",الموظفون!$AE27&gt;$F$3),$F$3,الموظفون!$AE27)-MAX($E$3,الموظفون!$H27)+1))</f>
        <v/>
      </c>
      <c r="AL27" s="131" t="str">
        <f aca="false">IF($B27="","",SUMIFS('سجل الإجازات والحالات'!$BE$6:$BE$505,'سجل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والحالات'!$AG$6:$AG$505,'سجل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والحالات'!$AS$6:$AS$505,'سجل الإجازات والحالات'!$B$6:$B$505,$B28))/cfg_DAYS_Y)</f>
        <v/>
      </c>
      <c r="AI28" s="130" t="str">
        <f aca="false">IF($B28="","",MAX(0,IF(OR(الموظفون!$AE28="",الموظفون!$AE28&gt;($E$3-1)),($E$3-1),الموظفون!$AE28)-الموظفون!$H28+1-SUMIFS('سجل الإجازات والحالات'!$AR$6:$AR$505,'سجل الإجازات والحالات'!$B$6:$B$505,$B28))/cfg_DAYS_Y)</f>
        <v/>
      </c>
      <c r="AJ28" s="57" t="str">
        <f aca="false">IF($B28="","",MAX(0,AK28-(SUMIFS('سجل الإجازات والحالات'!$AS$6:$AS$505,'سجل الإجازات والحالات'!$B$6:$B$505,$B28)-SUMIFS('سجل الإجازات والحالات'!$AR$6:$AR$505,'سجل الإجازات والحالات'!$B$6:$B$505,$B28))))</f>
        <v/>
      </c>
      <c r="AK28" s="57" t="str">
        <f aca="false">IF($B28="","",MAX(0,IF(OR(الموظفون!$AE28="",الموظفون!$AE28&gt;$F$3),$F$3,الموظفون!$AE28)-MAX($E$3,الموظفون!$H28)+1))</f>
        <v/>
      </c>
      <c r="AL28" s="126" t="str">
        <f aca="false">IF($B28="","",SUMIFS('سجل الإجازات والحالات'!$BE$6:$BE$505,'سجل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والحالات'!$AG$6:$AG$505,'سجل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والحالات'!$AS$6:$AS$505,'سجل الإجازات والحالات'!$B$6:$B$505,$B29))/cfg_DAYS_Y)</f>
        <v/>
      </c>
      <c r="AI29" s="135" t="str">
        <f aca="false">IF($B29="","",MAX(0,IF(OR(الموظفون!$AE29="",الموظفون!$AE29&gt;($E$3-1)),($E$3-1),الموظفون!$AE29)-الموظفون!$H29+1-SUMIFS('سجل الإجازات والحالات'!$AR$6:$AR$505,'سجل الإجازات والحالات'!$B$6:$B$505,$B29))/cfg_DAYS_Y)</f>
        <v/>
      </c>
      <c r="AJ29" s="110" t="str">
        <f aca="false">IF($B29="","",MAX(0,AK29-(SUMIFS('سجل الإجازات والحالات'!$AS$6:$AS$505,'سجل الإجازات والحالات'!$B$6:$B$505,$B29)-SUMIFS('سجل الإجازات والحالات'!$AR$6:$AR$505,'سجل الإجازات والحالات'!$B$6:$B$505,$B29))))</f>
        <v/>
      </c>
      <c r="AK29" s="110" t="str">
        <f aca="false">IF($B29="","",MAX(0,IF(OR(الموظفون!$AE29="",الموظفون!$AE29&gt;$F$3),$F$3,الموظفون!$AE29)-MAX($E$3,الموظفون!$H29)+1))</f>
        <v/>
      </c>
      <c r="AL29" s="131" t="str">
        <f aca="false">IF($B29="","",SUMIFS('سجل الإجازات والحالات'!$BE$6:$BE$505,'سجل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والحالات'!$AG$6:$AG$505,'سجل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والحالات'!$AS$6:$AS$505,'سجل الإجازات والحالات'!$B$6:$B$505,$B30))/cfg_DAYS_Y)</f>
        <v/>
      </c>
      <c r="AI30" s="130" t="str">
        <f aca="false">IF($B30="","",MAX(0,IF(OR(الموظفون!$AE30="",الموظفون!$AE30&gt;($E$3-1)),($E$3-1),الموظفون!$AE30)-الموظفون!$H30+1-SUMIFS('سجل الإجازات والحالات'!$AR$6:$AR$505,'سجل الإجازات والحالات'!$B$6:$B$505,$B30))/cfg_DAYS_Y)</f>
        <v/>
      </c>
      <c r="AJ30" s="57" t="str">
        <f aca="false">IF($B30="","",MAX(0,AK30-(SUMIFS('سجل الإجازات والحالات'!$AS$6:$AS$505,'سجل الإجازات والحالات'!$B$6:$B$505,$B30)-SUMIFS('سجل الإجازات والحالات'!$AR$6:$AR$505,'سجل الإجازات والحالات'!$B$6:$B$505,$B30))))</f>
        <v/>
      </c>
      <c r="AK30" s="57" t="str">
        <f aca="false">IF($B30="","",MAX(0,IF(OR(الموظفون!$AE30="",الموظفون!$AE30&gt;$F$3),$F$3,الموظفون!$AE30)-MAX($E$3,الموظفون!$H30)+1))</f>
        <v/>
      </c>
      <c r="AL30" s="126" t="str">
        <f aca="false">IF($B30="","",SUMIFS('سجل الإجازات والحالات'!$BE$6:$BE$505,'سجل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والحالات'!$AG$6:$AG$505,'سجل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والحالات'!$AS$6:$AS$505,'سجل الإجازات والحالات'!$B$6:$B$505,$B31))/cfg_DAYS_Y)</f>
        <v/>
      </c>
      <c r="AI31" s="135" t="str">
        <f aca="false">IF($B31="","",MAX(0,IF(OR(الموظفون!$AE31="",الموظفون!$AE31&gt;($E$3-1)),($E$3-1),الموظفون!$AE31)-الموظفون!$H31+1-SUMIFS('سجل الإجازات والحالات'!$AR$6:$AR$505,'سجل الإجازات والحالات'!$B$6:$B$505,$B31))/cfg_DAYS_Y)</f>
        <v/>
      </c>
      <c r="AJ31" s="110" t="str">
        <f aca="false">IF($B31="","",MAX(0,AK31-(SUMIFS('سجل الإجازات والحالات'!$AS$6:$AS$505,'سجل الإجازات والحالات'!$B$6:$B$505,$B31)-SUMIFS('سجل الإجازات والحالات'!$AR$6:$AR$505,'سجل الإجازات والحالات'!$B$6:$B$505,$B31))))</f>
        <v/>
      </c>
      <c r="AK31" s="110" t="str">
        <f aca="false">IF($B31="","",MAX(0,IF(OR(الموظفون!$AE31="",الموظفون!$AE31&gt;$F$3),$F$3,الموظفون!$AE31)-MAX($E$3,الموظفون!$H31)+1))</f>
        <v/>
      </c>
      <c r="AL31" s="131" t="str">
        <f aca="false">IF($B31="","",SUMIFS('سجل الإجازات والحالات'!$BE$6:$BE$505,'سجل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والحالات'!$AG$6:$AG$505,'سجل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والحالات'!$AS$6:$AS$505,'سجل الإجازات والحالات'!$B$6:$B$505,$B32))/cfg_DAYS_Y)</f>
        <v/>
      </c>
      <c r="AI32" s="130" t="str">
        <f aca="false">IF($B32="","",MAX(0,IF(OR(الموظفون!$AE32="",الموظفون!$AE32&gt;($E$3-1)),($E$3-1),الموظفون!$AE32)-الموظفون!$H32+1-SUMIFS('سجل الإجازات والحالات'!$AR$6:$AR$505,'سجل الإجازات والحالات'!$B$6:$B$505,$B32))/cfg_DAYS_Y)</f>
        <v/>
      </c>
      <c r="AJ32" s="57" t="str">
        <f aca="false">IF($B32="","",MAX(0,AK32-(SUMIFS('سجل الإجازات والحالات'!$AS$6:$AS$505,'سجل الإجازات والحالات'!$B$6:$B$505,$B32)-SUMIFS('سجل الإجازات والحالات'!$AR$6:$AR$505,'سجل الإجازات والحالات'!$B$6:$B$505,$B32))))</f>
        <v/>
      </c>
      <c r="AK32" s="57" t="str">
        <f aca="false">IF($B32="","",MAX(0,IF(OR(الموظفون!$AE32="",الموظفون!$AE32&gt;$F$3),$F$3,الموظفون!$AE32)-MAX($E$3,الموظفون!$H32)+1))</f>
        <v/>
      </c>
      <c r="AL32" s="126" t="str">
        <f aca="false">IF($B32="","",SUMIFS('سجل الإجازات والحالات'!$BE$6:$BE$505,'سجل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والحالات'!$AG$6:$AG$505,'سجل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والحالات'!$AS$6:$AS$505,'سجل الإجازات والحالات'!$B$6:$B$505,$B33))/cfg_DAYS_Y)</f>
        <v/>
      </c>
      <c r="AI33" s="135" t="str">
        <f aca="false">IF($B33="","",MAX(0,IF(OR(الموظفون!$AE33="",الموظفون!$AE33&gt;($E$3-1)),($E$3-1),الموظفون!$AE33)-الموظفون!$H33+1-SUMIFS('سجل الإجازات والحالات'!$AR$6:$AR$505,'سجل الإجازات والحالات'!$B$6:$B$505,$B33))/cfg_DAYS_Y)</f>
        <v/>
      </c>
      <c r="AJ33" s="110" t="str">
        <f aca="false">IF($B33="","",MAX(0,AK33-(SUMIFS('سجل الإجازات والحالات'!$AS$6:$AS$505,'سجل الإجازات والحالات'!$B$6:$B$505,$B33)-SUMIFS('سجل الإجازات والحالات'!$AR$6:$AR$505,'سجل الإجازات والحالات'!$B$6:$B$505,$B33))))</f>
        <v/>
      </c>
      <c r="AK33" s="110" t="str">
        <f aca="false">IF($B33="","",MAX(0,IF(OR(الموظفون!$AE33="",الموظفون!$AE33&gt;$F$3),$F$3,الموظفون!$AE33)-MAX($E$3,الموظفون!$H33)+1))</f>
        <v/>
      </c>
      <c r="AL33" s="131" t="str">
        <f aca="false">IF($B33="","",SUMIFS('سجل الإجازات والحالات'!$BE$6:$BE$505,'سجل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والحالات'!$AG$6:$AG$505,'سجل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والحالات'!$AS$6:$AS$505,'سجل الإجازات والحالات'!$B$6:$B$505,$B34))/cfg_DAYS_Y)</f>
        <v/>
      </c>
      <c r="AI34" s="130" t="str">
        <f aca="false">IF($B34="","",MAX(0,IF(OR(الموظفون!$AE34="",الموظفون!$AE34&gt;($E$3-1)),($E$3-1),الموظفون!$AE34)-الموظفون!$H34+1-SUMIFS('سجل الإجازات والحالات'!$AR$6:$AR$505,'سجل الإجازات والحالات'!$B$6:$B$505,$B34))/cfg_DAYS_Y)</f>
        <v/>
      </c>
      <c r="AJ34" s="57" t="str">
        <f aca="false">IF($B34="","",MAX(0,AK34-(SUMIFS('سجل الإجازات والحالات'!$AS$6:$AS$505,'سجل الإجازات والحالات'!$B$6:$B$505,$B34)-SUMIFS('سجل الإجازات والحالات'!$AR$6:$AR$505,'سجل الإجازات والحالات'!$B$6:$B$505,$B34))))</f>
        <v/>
      </c>
      <c r="AK34" s="57" t="str">
        <f aca="false">IF($B34="","",MAX(0,IF(OR(الموظفون!$AE34="",الموظفون!$AE34&gt;$F$3),$F$3,الموظفون!$AE34)-MAX($E$3,الموظفون!$H34)+1))</f>
        <v/>
      </c>
      <c r="AL34" s="126" t="str">
        <f aca="false">IF($B34="","",SUMIFS('سجل الإجازات والحالات'!$BE$6:$BE$505,'سجل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والحالات'!$AG$6:$AG$505,'سجل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والحالات'!$AS$6:$AS$505,'سجل الإجازات والحالات'!$B$6:$B$505,$B35))/cfg_DAYS_Y)</f>
        <v/>
      </c>
      <c r="AI35" s="135" t="str">
        <f aca="false">IF($B35="","",MAX(0,IF(OR(الموظفون!$AE35="",الموظفون!$AE35&gt;($E$3-1)),($E$3-1),الموظفون!$AE35)-الموظفون!$H35+1-SUMIFS('سجل الإجازات والحالات'!$AR$6:$AR$505,'سجل الإجازات والحالات'!$B$6:$B$505,$B35))/cfg_DAYS_Y)</f>
        <v/>
      </c>
      <c r="AJ35" s="110" t="str">
        <f aca="false">IF($B35="","",MAX(0,AK35-(SUMIFS('سجل الإجازات والحالات'!$AS$6:$AS$505,'سجل الإجازات والحالات'!$B$6:$B$505,$B35)-SUMIFS('سجل الإجازات والحالات'!$AR$6:$AR$505,'سجل الإجازات والحالات'!$B$6:$B$505,$B35))))</f>
        <v/>
      </c>
      <c r="AK35" s="110" t="str">
        <f aca="false">IF($B35="","",MAX(0,IF(OR(الموظفون!$AE35="",الموظفون!$AE35&gt;$F$3),$F$3,الموظفون!$AE35)-MAX($E$3,الموظفون!$H35)+1))</f>
        <v/>
      </c>
      <c r="AL35" s="131" t="str">
        <f aca="false">IF($B35="","",SUMIFS('سجل الإجازات والحالات'!$BE$6:$BE$505,'سجل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والحالات'!$AG$6:$AG$505,'سجل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والحالات'!$AS$6:$AS$505,'سجل الإجازات والحالات'!$B$6:$B$505,$B36))/cfg_DAYS_Y)</f>
        <v/>
      </c>
      <c r="AI36" s="130" t="str">
        <f aca="false">IF($B36="","",MAX(0,IF(OR(الموظفون!$AE36="",الموظفون!$AE36&gt;($E$3-1)),($E$3-1),الموظفون!$AE36)-الموظفون!$H36+1-SUMIFS('سجل الإجازات والحالات'!$AR$6:$AR$505,'سجل الإجازات والحالات'!$B$6:$B$505,$B36))/cfg_DAYS_Y)</f>
        <v/>
      </c>
      <c r="AJ36" s="57" t="str">
        <f aca="false">IF($B36="","",MAX(0,AK36-(SUMIFS('سجل الإجازات والحالات'!$AS$6:$AS$505,'سجل الإجازات والحالات'!$B$6:$B$505,$B36)-SUMIFS('سجل الإجازات والحالات'!$AR$6:$AR$505,'سجل الإجازات والحالات'!$B$6:$B$505,$B36))))</f>
        <v/>
      </c>
      <c r="AK36" s="57" t="str">
        <f aca="false">IF($B36="","",MAX(0,IF(OR(الموظفون!$AE36="",الموظفون!$AE36&gt;$F$3),$F$3,الموظفون!$AE36)-MAX($E$3,الموظفون!$H36)+1))</f>
        <v/>
      </c>
      <c r="AL36" s="126" t="str">
        <f aca="false">IF($B36="","",SUMIFS('سجل الإجازات والحالات'!$BE$6:$BE$505,'سجل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والحالات'!$AG$6:$AG$505,'سجل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والحالات'!$AS$6:$AS$505,'سجل الإجازات والحالات'!$B$6:$B$505,$B37))/cfg_DAYS_Y)</f>
        <v/>
      </c>
      <c r="AI37" s="135" t="str">
        <f aca="false">IF($B37="","",MAX(0,IF(OR(الموظفون!$AE37="",الموظفون!$AE37&gt;($E$3-1)),($E$3-1),الموظفون!$AE37)-الموظفون!$H37+1-SUMIFS('سجل الإجازات والحالات'!$AR$6:$AR$505,'سجل الإجازات والحالات'!$B$6:$B$505,$B37))/cfg_DAYS_Y)</f>
        <v/>
      </c>
      <c r="AJ37" s="110" t="str">
        <f aca="false">IF($B37="","",MAX(0,AK37-(SUMIFS('سجل الإجازات والحالات'!$AS$6:$AS$505,'سجل الإجازات والحالات'!$B$6:$B$505,$B37)-SUMIFS('سجل الإجازات والحالات'!$AR$6:$AR$505,'سجل الإجازات والحالات'!$B$6:$B$505,$B37))))</f>
        <v/>
      </c>
      <c r="AK37" s="110" t="str">
        <f aca="false">IF($B37="","",MAX(0,IF(OR(الموظفون!$AE37="",الموظفون!$AE37&gt;$F$3),$F$3,الموظفون!$AE37)-MAX($E$3,الموظفون!$H37)+1))</f>
        <v/>
      </c>
      <c r="AL37" s="131" t="str">
        <f aca="false">IF($B37="","",SUMIFS('سجل الإجازات والحالات'!$BE$6:$BE$505,'سجل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والحالات'!$AG$6:$AG$505,'سجل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والحالات'!$AS$6:$AS$505,'سجل الإجازات والحالات'!$B$6:$B$505,$B38))/cfg_DAYS_Y)</f>
        <v/>
      </c>
      <c r="AI38" s="130" t="str">
        <f aca="false">IF($B38="","",MAX(0,IF(OR(الموظفون!$AE38="",الموظفون!$AE38&gt;($E$3-1)),($E$3-1),الموظفون!$AE38)-الموظفون!$H38+1-SUMIFS('سجل الإجازات والحالات'!$AR$6:$AR$505,'سجل الإجازات والحالات'!$B$6:$B$505,$B38))/cfg_DAYS_Y)</f>
        <v/>
      </c>
      <c r="AJ38" s="57" t="str">
        <f aca="false">IF($B38="","",MAX(0,AK38-(SUMIFS('سجل الإجازات والحالات'!$AS$6:$AS$505,'سجل الإجازات والحالات'!$B$6:$B$505,$B38)-SUMIFS('سجل الإجازات والحالات'!$AR$6:$AR$505,'سجل الإجازات والحالات'!$B$6:$B$505,$B38))))</f>
        <v/>
      </c>
      <c r="AK38" s="57" t="str">
        <f aca="false">IF($B38="","",MAX(0,IF(OR(الموظفون!$AE38="",الموظفون!$AE38&gt;$F$3),$F$3,الموظفون!$AE38)-MAX($E$3,الموظفون!$H38)+1))</f>
        <v/>
      </c>
      <c r="AL38" s="126" t="str">
        <f aca="false">IF($B38="","",SUMIFS('سجل الإجازات والحالات'!$BE$6:$BE$505,'سجل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والحالات'!$AG$6:$AG$505,'سجل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والحالات'!$AS$6:$AS$505,'سجل الإجازات والحالات'!$B$6:$B$505,$B39))/cfg_DAYS_Y)</f>
        <v/>
      </c>
      <c r="AI39" s="135" t="str">
        <f aca="false">IF($B39="","",MAX(0,IF(OR(الموظفون!$AE39="",الموظفون!$AE39&gt;($E$3-1)),($E$3-1),الموظفون!$AE39)-الموظفون!$H39+1-SUMIFS('سجل الإجازات والحالات'!$AR$6:$AR$505,'سجل الإجازات والحالات'!$B$6:$B$505,$B39))/cfg_DAYS_Y)</f>
        <v/>
      </c>
      <c r="AJ39" s="110" t="str">
        <f aca="false">IF($B39="","",MAX(0,AK39-(SUMIFS('سجل الإجازات والحالات'!$AS$6:$AS$505,'سجل الإجازات والحالات'!$B$6:$B$505,$B39)-SUMIFS('سجل الإجازات والحالات'!$AR$6:$AR$505,'سجل الإجازات والحالات'!$B$6:$B$505,$B39))))</f>
        <v/>
      </c>
      <c r="AK39" s="110" t="str">
        <f aca="false">IF($B39="","",MAX(0,IF(OR(الموظفون!$AE39="",الموظفون!$AE39&gt;$F$3),$F$3,الموظفون!$AE39)-MAX($E$3,الموظفون!$H39)+1))</f>
        <v/>
      </c>
      <c r="AL39" s="131" t="str">
        <f aca="false">IF($B39="","",SUMIFS('سجل الإجازات والحالات'!$BE$6:$BE$505,'سجل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والحالات'!$AG$6:$AG$505,'سجل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والحالات'!$AS$6:$AS$505,'سجل الإجازات والحالات'!$B$6:$B$505,$B40))/cfg_DAYS_Y)</f>
        <v/>
      </c>
      <c r="AI40" s="130" t="str">
        <f aca="false">IF($B40="","",MAX(0,IF(OR(الموظفون!$AE40="",الموظفون!$AE40&gt;($E$3-1)),($E$3-1),الموظفون!$AE40)-الموظفون!$H40+1-SUMIFS('سجل الإجازات والحالات'!$AR$6:$AR$505,'سجل الإجازات والحالات'!$B$6:$B$505,$B40))/cfg_DAYS_Y)</f>
        <v/>
      </c>
      <c r="AJ40" s="57" t="str">
        <f aca="false">IF($B40="","",MAX(0,AK40-(SUMIFS('سجل الإجازات والحالات'!$AS$6:$AS$505,'سجل الإجازات والحالات'!$B$6:$B$505,$B40)-SUMIFS('سجل الإجازات والحالات'!$AR$6:$AR$505,'سجل الإجازات والحالات'!$B$6:$B$505,$B40))))</f>
        <v/>
      </c>
      <c r="AK40" s="57" t="str">
        <f aca="false">IF($B40="","",MAX(0,IF(OR(الموظفون!$AE40="",الموظفون!$AE40&gt;$F$3),$F$3,الموظفون!$AE40)-MAX($E$3,الموظفون!$H40)+1))</f>
        <v/>
      </c>
      <c r="AL40" s="126" t="str">
        <f aca="false">IF($B40="","",SUMIFS('سجل الإجازات والحالات'!$BE$6:$BE$505,'سجل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والحالات'!$AG$6:$AG$505,'سجل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والحالات'!$AS$6:$AS$505,'سجل الإجازات والحالات'!$B$6:$B$505,$B41))/cfg_DAYS_Y)</f>
        <v/>
      </c>
      <c r="AI41" s="135" t="str">
        <f aca="false">IF($B41="","",MAX(0,IF(OR(الموظفون!$AE41="",الموظفون!$AE41&gt;($E$3-1)),($E$3-1),الموظفون!$AE41)-الموظفون!$H41+1-SUMIFS('سجل الإجازات والحالات'!$AR$6:$AR$505,'سجل الإجازات والحالات'!$B$6:$B$505,$B41))/cfg_DAYS_Y)</f>
        <v/>
      </c>
      <c r="AJ41" s="110" t="str">
        <f aca="false">IF($B41="","",MAX(0,AK41-(SUMIFS('سجل الإجازات والحالات'!$AS$6:$AS$505,'سجل الإجازات والحالات'!$B$6:$B$505,$B41)-SUMIFS('سجل الإجازات والحالات'!$AR$6:$AR$505,'سجل الإجازات والحالات'!$B$6:$B$505,$B41))))</f>
        <v/>
      </c>
      <c r="AK41" s="110" t="str">
        <f aca="false">IF($B41="","",MAX(0,IF(OR(الموظفون!$AE41="",الموظفون!$AE41&gt;$F$3),$F$3,الموظفون!$AE41)-MAX($E$3,الموظفون!$H41)+1))</f>
        <v/>
      </c>
      <c r="AL41" s="131" t="str">
        <f aca="false">IF($B41="","",SUMIFS('سجل الإجازات والحالات'!$BE$6:$BE$505,'سجل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والحالات'!$AG$6:$AG$505,'سجل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والحالات'!$AS$6:$AS$505,'سجل الإجازات والحالات'!$B$6:$B$505,$B42))/cfg_DAYS_Y)</f>
        <v/>
      </c>
      <c r="AI42" s="130" t="str">
        <f aca="false">IF($B42="","",MAX(0,IF(OR(الموظفون!$AE42="",الموظفون!$AE42&gt;($E$3-1)),($E$3-1),الموظفون!$AE42)-الموظفون!$H42+1-SUMIFS('سجل الإجازات والحالات'!$AR$6:$AR$505,'سجل الإجازات والحالات'!$B$6:$B$505,$B42))/cfg_DAYS_Y)</f>
        <v/>
      </c>
      <c r="AJ42" s="57" t="str">
        <f aca="false">IF($B42="","",MAX(0,AK42-(SUMIFS('سجل الإجازات والحالات'!$AS$6:$AS$505,'سجل الإجازات والحالات'!$B$6:$B$505,$B42)-SUMIFS('سجل الإجازات والحالات'!$AR$6:$AR$505,'سجل الإجازات والحالات'!$B$6:$B$505,$B42))))</f>
        <v/>
      </c>
      <c r="AK42" s="57" t="str">
        <f aca="false">IF($B42="","",MAX(0,IF(OR(الموظفون!$AE42="",الموظفون!$AE42&gt;$F$3),$F$3,الموظفون!$AE42)-MAX($E$3,الموظفون!$H42)+1))</f>
        <v/>
      </c>
      <c r="AL42" s="126" t="str">
        <f aca="false">IF($B42="","",SUMIFS('سجل الإجازات والحالات'!$BE$6:$BE$505,'سجل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والحالات'!$AG$6:$AG$505,'سجل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والحالات'!$AS$6:$AS$505,'سجل الإجازات والحالات'!$B$6:$B$505,$B43))/cfg_DAYS_Y)</f>
        <v/>
      </c>
      <c r="AI43" s="135" t="str">
        <f aca="false">IF($B43="","",MAX(0,IF(OR(الموظفون!$AE43="",الموظفون!$AE43&gt;($E$3-1)),($E$3-1),الموظفون!$AE43)-الموظفون!$H43+1-SUMIFS('سجل الإجازات والحالات'!$AR$6:$AR$505,'سجل الإجازات والحالات'!$B$6:$B$505,$B43))/cfg_DAYS_Y)</f>
        <v/>
      </c>
      <c r="AJ43" s="110" t="str">
        <f aca="false">IF($B43="","",MAX(0,AK43-(SUMIFS('سجل الإجازات والحالات'!$AS$6:$AS$505,'سجل الإجازات والحالات'!$B$6:$B$505,$B43)-SUMIFS('سجل الإجازات والحالات'!$AR$6:$AR$505,'سجل الإجازات والحالات'!$B$6:$B$505,$B43))))</f>
        <v/>
      </c>
      <c r="AK43" s="110" t="str">
        <f aca="false">IF($B43="","",MAX(0,IF(OR(الموظفون!$AE43="",الموظفون!$AE43&gt;$F$3),$F$3,الموظفون!$AE43)-MAX($E$3,الموظفون!$H43)+1))</f>
        <v/>
      </c>
      <c r="AL43" s="131" t="str">
        <f aca="false">IF($B43="","",SUMIFS('سجل الإجازات والحالات'!$BE$6:$BE$505,'سجل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والحالات'!$AG$6:$AG$505,'سجل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والحالات'!$AS$6:$AS$505,'سجل الإجازات والحالات'!$B$6:$B$505,$B44))/cfg_DAYS_Y)</f>
        <v/>
      </c>
      <c r="AI44" s="130" t="str">
        <f aca="false">IF($B44="","",MAX(0,IF(OR(الموظفون!$AE44="",الموظفون!$AE44&gt;($E$3-1)),($E$3-1),الموظفون!$AE44)-الموظفون!$H44+1-SUMIFS('سجل الإجازات والحالات'!$AR$6:$AR$505,'سجل الإجازات والحالات'!$B$6:$B$505,$B44))/cfg_DAYS_Y)</f>
        <v/>
      </c>
      <c r="AJ44" s="57" t="str">
        <f aca="false">IF($B44="","",MAX(0,AK44-(SUMIFS('سجل الإجازات والحالات'!$AS$6:$AS$505,'سجل الإجازات والحالات'!$B$6:$B$505,$B44)-SUMIFS('سجل الإجازات والحالات'!$AR$6:$AR$505,'سجل الإجازات والحالات'!$B$6:$B$505,$B44))))</f>
        <v/>
      </c>
      <c r="AK44" s="57" t="str">
        <f aca="false">IF($B44="","",MAX(0,IF(OR(الموظفون!$AE44="",الموظفون!$AE44&gt;$F$3),$F$3,الموظفون!$AE44)-MAX($E$3,الموظفون!$H44)+1))</f>
        <v/>
      </c>
      <c r="AL44" s="126" t="str">
        <f aca="false">IF($B44="","",SUMIFS('سجل الإجازات والحالات'!$BE$6:$BE$505,'سجل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والحالات'!$AG$6:$AG$505,'سجل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والحالات'!$AS$6:$AS$505,'سجل الإجازات والحالات'!$B$6:$B$505,$B45))/cfg_DAYS_Y)</f>
        <v/>
      </c>
      <c r="AI45" s="135" t="str">
        <f aca="false">IF($B45="","",MAX(0,IF(OR(الموظفون!$AE45="",الموظفون!$AE45&gt;($E$3-1)),($E$3-1),الموظفون!$AE45)-الموظفون!$H45+1-SUMIFS('سجل الإجازات والحالات'!$AR$6:$AR$505,'سجل الإجازات والحالات'!$B$6:$B$505,$B45))/cfg_DAYS_Y)</f>
        <v/>
      </c>
      <c r="AJ45" s="110" t="str">
        <f aca="false">IF($B45="","",MAX(0,AK45-(SUMIFS('سجل الإجازات والحالات'!$AS$6:$AS$505,'سجل الإجازات والحالات'!$B$6:$B$505,$B45)-SUMIFS('سجل الإجازات والحالات'!$AR$6:$AR$505,'سجل الإجازات والحالات'!$B$6:$B$505,$B45))))</f>
        <v/>
      </c>
      <c r="AK45" s="110" t="str">
        <f aca="false">IF($B45="","",MAX(0,IF(OR(الموظفون!$AE45="",الموظفون!$AE45&gt;$F$3),$F$3,الموظفون!$AE45)-MAX($E$3,الموظفون!$H45)+1))</f>
        <v/>
      </c>
      <c r="AL45" s="131" t="str">
        <f aca="false">IF($B45="","",SUMIFS('سجل الإجازات والحالات'!$BE$6:$BE$505,'سجل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والحالات'!$AG$6:$AG$505,'سجل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والحالات'!$AS$6:$AS$505,'سجل الإجازات والحالات'!$B$6:$B$505,$B46))/cfg_DAYS_Y)</f>
        <v/>
      </c>
      <c r="AI46" s="130" t="str">
        <f aca="false">IF($B46="","",MAX(0,IF(OR(الموظفون!$AE46="",الموظفون!$AE46&gt;($E$3-1)),($E$3-1),الموظفون!$AE46)-الموظفون!$H46+1-SUMIFS('سجل الإجازات والحالات'!$AR$6:$AR$505,'سجل الإجازات والحالات'!$B$6:$B$505,$B46))/cfg_DAYS_Y)</f>
        <v/>
      </c>
      <c r="AJ46" s="57" t="str">
        <f aca="false">IF($B46="","",MAX(0,AK46-(SUMIFS('سجل الإجازات والحالات'!$AS$6:$AS$505,'سجل الإجازات والحالات'!$B$6:$B$505,$B46)-SUMIFS('سجل الإجازات والحالات'!$AR$6:$AR$505,'سجل الإجازات والحالات'!$B$6:$B$505,$B46))))</f>
        <v/>
      </c>
      <c r="AK46" s="57" t="str">
        <f aca="false">IF($B46="","",MAX(0,IF(OR(الموظفون!$AE46="",الموظفون!$AE46&gt;$F$3),$F$3,الموظفون!$AE46)-MAX($E$3,الموظفون!$H46)+1))</f>
        <v/>
      </c>
      <c r="AL46" s="126" t="str">
        <f aca="false">IF($B46="","",SUMIFS('سجل الإجازات والحالات'!$BE$6:$BE$505,'سجل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والحالات'!$AG$6:$AG$505,'سجل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والحالات'!$AS$6:$AS$505,'سجل الإجازات والحالات'!$B$6:$B$505,$B47))/cfg_DAYS_Y)</f>
        <v/>
      </c>
      <c r="AI47" s="135" t="str">
        <f aca="false">IF($B47="","",MAX(0,IF(OR(الموظفون!$AE47="",الموظفون!$AE47&gt;($E$3-1)),($E$3-1),الموظفون!$AE47)-الموظفون!$H47+1-SUMIFS('سجل الإجازات والحالات'!$AR$6:$AR$505,'سجل الإجازات والحالات'!$B$6:$B$505,$B47))/cfg_DAYS_Y)</f>
        <v/>
      </c>
      <c r="AJ47" s="110" t="str">
        <f aca="false">IF($B47="","",MAX(0,AK47-(SUMIFS('سجل الإجازات والحالات'!$AS$6:$AS$505,'سجل الإجازات والحالات'!$B$6:$B$505,$B47)-SUMIFS('سجل الإجازات والحالات'!$AR$6:$AR$505,'سجل الإجازات والحالات'!$B$6:$B$505,$B47))))</f>
        <v/>
      </c>
      <c r="AK47" s="110" t="str">
        <f aca="false">IF($B47="","",MAX(0,IF(OR(الموظفون!$AE47="",الموظفون!$AE47&gt;$F$3),$F$3,الموظفون!$AE47)-MAX($E$3,الموظفون!$H47)+1))</f>
        <v/>
      </c>
      <c r="AL47" s="131" t="str">
        <f aca="false">IF($B47="","",SUMIFS('سجل الإجازات والحالات'!$BE$6:$BE$505,'سجل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والحالات'!$AG$6:$AG$505,'سجل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والحالات'!$AS$6:$AS$505,'سجل الإجازات والحالات'!$B$6:$B$505,$B48))/cfg_DAYS_Y)</f>
        <v/>
      </c>
      <c r="AI48" s="130" t="str">
        <f aca="false">IF($B48="","",MAX(0,IF(OR(الموظفون!$AE48="",الموظفون!$AE48&gt;($E$3-1)),($E$3-1),الموظفون!$AE48)-الموظفون!$H48+1-SUMIFS('سجل الإجازات والحالات'!$AR$6:$AR$505,'سجل الإجازات والحالات'!$B$6:$B$505,$B48))/cfg_DAYS_Y)</f>
        <v/>
      </c>
      <c r="AJ48" s="57" t="str">
        <f aca="false">IF($B48="","",MAX(0,AK48-(SUMIFS('سجل الإجازات والحالات'!$AS$6:$AS$505,'سجل الإجازات والحالات'!$B$6:$B$505,$B48)-SUMIFS('سجل الإجازات والحالات'!$AR$6:$AR$505,'سجل الإجازات والحالات'!$B$6:$B$505,$B48))))</f>
        <v/>
      </c>
      <c r="AK48" s="57" t="str">
        <f aca="false">IF($B48="","",MAX(0,IF(OR(الموظفون!$AE48="",الموظفون!$AE48&gt;$F$3),$F$3,الموظفون!$AE48)-MAX($E$3,الموظفون!$H48)+1))</f>
        <v/>
      </c>
      <c r="AL48" s="126" t="str">
        <f aca="false">IF($B48="","",SUMIFS('سجل الإجازات والحالات'!$BE$6:$BE$505,'سجل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والحالات'!$AG$6:$AG$505,'سجل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والحالات'!$AS$6:$AS$505,'سجل الإجازات والحالات'!$B$6:$B$505,$B49))/cfg_DAYS_Y)</f>
        <v/>
      </c>
      <c r="AI49" s="135" t="str">
        <f aca="false">IF($B49="","",MAX(0,IF(OR(الموظفون!$AE49="",الموظفون!$AE49&gt;($E$3-1)),($E$3-1),الموظفون!$AE49)-الموظفون!$H49+1-SUMIFS('سجل الإجازات والحالات'!$AR$6:$AR$505,'سجل الإجازات والحالات'!$B$6:$B$505,$B49))/cfg_DAYS_Y)</f>
        <v/>
      </c>
      <c r="AJ49" s="110" t="str">
        <f aca="false">IF($B49="","",MAX(0,AK49-(SUMIFS('سجل الإجازات والحالات'!$AS$6:$AS$505,'سجل الإجازات والحالات'!$B$6:$B$505,$B49)-SUMIFS('سجل الإجازات والحالات'!$AR$6:$AR$505,'سجل الإجازات والحالات'!$B$6:$B$505,$B49))))</f>
        <v/>
      </c>
      <c r="AK49" s="110" t="str">
        <f aca="false">IF($B49="","",MAX(0,IF(OR(الموظفون!$AE49="",الموظفون!$AE49&gt;$F$3),$F$3,الموظفون!$AE49)-MAX($E$3,الموظفون!$H49)+1))</f>
        <v/>
      </c>
      <c r="AL49" s="131" t="str">
        <f aca="false">IF($B49="","",SUMIFS('سجل الإجازات والحالات'!$BE$6:$BE$505,'سجل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والحالات'!$AG$6:$AG$505,'سجل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والحالات'!$AS$6:$AS$505,'سجل الإجازات والحالات'!$B$6:$B$505,$B50))/cfg_DAYS_Y)</f>
        <v/>
      </c>
      <c r="AI50" s="130" t="str">
        <f aca="false">IF($B50="","",MAX(0,IF(OR(الموظفون!$AE50="",الموظفون!$AE50&gt;($E$3-1)),($E$3-1),الموظفون!$AE50)-الموظفون!$H50+1-SUMIFS('سجل الإجازات والحالات'!$AR$6:$AR$505,'سجل الإجازات والحالات'!$B$6:$B$505,$B50))/cfg_DAYS_Y)</f>
        <v/>
      </c>
      <c r="AJ50" s="57" t="str">
        <f aca="false">IF($B50="","",MAX(0,AK50-(SUMIFS('سجل الإجازات والحالات'!$AS$6:$AS$505,'سجل الإجازات والحالات'!$B$6:$B$505,$B50)-SUMIFS('سجل الإجازات والحالات'!$AR$6:$AR$505,'سجل الإجازات والحالات'!$B$6:$B$505,$B50))))</f>
        <v/>
      </c>
      <c r="AK50" s="57" t="str">
        <f aca="false">IF($B50="","",MAX(0,IF(OR(الموظفون!$AE50="",الموظفون!$AE50&gt;$F$3),$F$3,الموظفون!$AE50)-MAX($E$3,الموظفون!$H50)+1))</f>
        <v/>
      </c>
      <c r="AL50" s="126" t="str">
        <f aca="false">IF($B50="","",SUMIFS('سجل الإجازات والحالات'!$BE$6:$BE$505,'سجل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والحالات'!$AG$6:$AG$505,'سجل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والحالات'!$AS$6:$AS$505,'سجل الإجازات والحالات'!$B$6:$B$505,$B51))/cfg_DAYS_Y)</f>
        <v/>
      </c>
      <c r="AI51" s="135" t="str">
        <f aca="false">IF($B51="","",MAX(0,IF(OR(الموظفون!$AE51="",الموظفون!$AE51&gt;($E$3-1)),($E$3-1),الموظفون!$AE51)-الموظفون!$H51+1-SUMIFS('سجل الإجازات والحالات'!$AR$6:$AR$505,'سجل الإجازات والحالات'!$B$6:$B$505,$B51))/cfg_DAYS_Y)</f>
        <v/>
      </c>
      <c r="AJ51" s="110" t="str">
        <f aca="false">IF($B51="","",MAX(0,AK51-(SUMIFS('سجل الإجازات والحالات'!$AS$6:$AS$505,'سجل الإجازات والحالات'!$B$6:$B$505,$B51)-SUMIFS('سجل الإجازات والحالات'!$AR$6:$AR$505,'سجل الإجازات والحالات'!$B$6:$B$505,$B51))))</f>
        <v/>
      </c>
      <c r="AK51" s="110" t="str">
        <f aca="false">IF($B51="","",MAX(0,IF(OR(الموظفون!$AE51="",الموظفون!$AE51&gt;$F$3),$F$3,الموظفون!$AE51)-MAX($E$3,الموظفون!$H51)+1))</f>
        <v/>
      </c>
      <c r="AL51" s="131" t="str">
        <f aca="false">IF($B51="","",SUMIFS('سجل الإجازات والحالات'!$BE$6:$BE$505,'سجل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والحالات'!$AG$6:$AG$505,'سجل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والحالات'!$AS$6:$AS$505,'سجل الإجازات والحالات'!$B$6:$B$505,$B52))/cfg_DAYS_Y)</f>
        <v/>
      </c>
      <c r="AI52" s="130" t="str">
        <f aca="false">IF($B52="","",MAX(0,IF(OR(الموظفون!$AE52="",الموظفون!$AE52&gt;($E$3-1)),($E$3-1),الموظفون!$AE52)-الموظفون!$H52+1-SUMIFS('سجل الإجازات والحالات'!$AR$6:$AR$505,'سجل الإجازات والحالات'!$B$6:$B$505,$B52))/cfg_DAYS_Y)</f>
        <v/>
      </c>
      <c r="AJ52" s="57" t="str">
        <f aca="false">IF($B52="","",MAX(0,AK52-(SUMIFS('سجل الإجازات والحالات'!$AS$6:$AS$505,'سجل الإجازات والحالات'!$B$6:$B$505,$B52)-SUMIFS('سجل الإجازات والحالات'!$AR$6:$AR$505,'سجل الإجازات والحالات'!$B$6:$B$505,$B52))))</f>
        <v/>
      </c>
      <c r="AK52" s="57" t="str">
        <f aca="false">IF($B52="","",MAX(0,IF(OR(الموظفون!$AE52="",الموظفون!$AE52&gt;$F$3),$F$3,الموظفون!$AE52)-MAX($E$3,الموظفون!$H52)+1))</f>
        <v/>
      </c>
      <c r="AL52" s="126" t="str">
        <f aca="false">IF($B52="","",SUMIFS('سجل الإجازات والحالات'!$BE$6:$BE$505,'سجل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والحالات'!$AG$6:$AG$505,'سجل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والحالات'!$AS$6:$AS$505,'سجل الإجازات والحالات'!$B$6:$B$505,$B53))/cfg_DAYS_Y)</f>
        <v/>
      </c>
      <c r="AI53" s="135" t="str">
        <f aca="false">IF($B53="","",MAX(0,IF(OR(الموظفون!$AE53="",الموظفون!$AE53&gt;($E$3-1)),($E$3-1),الموظفون!$AE53)-الموظفون!$H53+1-SUMIFS('سجل الإجازات والحالات'!$AR$6:$AR$505,'سجل الإجازات والحالات'!$B$6:$B$505,$B53))/cfg_DAYS_Y)</f>
        <v/>
      </c>
      <c r="AJ53" s="110" t="str">
        <f aca="false">IF($B53="","",MAX(0,AK53-(SUMIFS('سجل الإجازات والحالات'!$AS$6:$AS$505,'سجل الإجازات والحالات'!$B$6:$B$505,$B53)-SUMIFS('سجل الإجازات والحالات'!$AR$6:$AR$505,'سجل الإجازات والحالات'!$B$6:$B$505,$B53))))</f>
        <v/>
      </c>
      <c r="AK53" s="110" t="str">
        <f aca="false">IF($B53="","",MAX(0,IF(OR(الموظفون!$AE53="",الموظفون!$AE53&gt;$F$3),$F$3,الموظفون!$AE53)-MAX($E$3,الموظفون!$H53)+1))</f>
        <v/>
      </c>
      <c r="AL53" s="131" t="str">
        <f aca="false">IF($B53="","",SUMIFS('سجل الإجازات والحالات'!$BE$6:$BE$505,'سجل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والحالات'!$AG$6:$AG$505,'سجل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والحالات'!$AS$6:$AS$505,'سجل الإجازات والحالات'!$B$6:$B$505,$B54))/cfg_DAYS_Y)</f>
        <v/>
      </c>
      <c r="AI54" s="130" t="str">
        <f aca="false">IF($B54="","",MAX(0,IF(OR(الموظفون!$AE54="",الموظفون!$AE54&gt;($E$3-1)),($E$3-1),الموظفون!$AE54)-الموظفون!$H54+1-SUMIFS('سجل الإجازات والحالات'!$AR$6:$AR$505,'سجل الإجازات والحالات'!$B$6:$B$505,$B54))/cfg_DAYS_Y)</f>
        <v/>
      </c>
      <c r="AJ54" s="57" t="str">
        <f aca="false">IF($B54="","",MAX(0,AK54-(SUMIFS('سجل الإجازات والحالات'!$AS$6:$AS$505,'سجل الإجازات والحالات'!$B$6:$B$505,$B54)-SUMIFS('سجل الإجازات والحالات'!$AR$6:$AR$505,'سجل الإجازات والحالات'!$B$6:$B$505,$B54))))</f>
        <v/>
      </c>
      <c r="AK54" s="57" t="str">
        <f aca="false">IF($B54="","",MAX(0,IF(OR(الموظفون!$AE54="",الموظفون!$AE54&gt;$F$3),$F$3,الموظفون!$AE54)-MAX($E$3,الموظفون!$H54)+1))</f>
        <v/>
      </c>
      <c r="AL54" s="126" t="str">
        <f aca="false">IF($B54="","",SUMIFS('سجل الإجازات والحالات'!$BE$6:$BE$505,'سجل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والحالات'!$AG$6:$AG$505,'سجل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والحالات'!$AS$6:$AS$505,'سجل الإجازات والحالات'!$B$6:$B$505,$B55))/cfg_DAYS_Y)</f>
        <v/>
      </c>
      <c r="AI55" s="135" t="str">
        <f aca="false">IF($B55="","",MAX(0,IF(OR(الموظفون!$AE55="",الموظفون!$AE55&gt;($E$3-1)),($E$3-1),الموظفون!$AE55)-الموظفون!$H55+1-SUMIFS('سجل الإجازات والحالات'!$AR$6:$AR$505,'سجل الإجازات والحالات'!$B$6:$B$505,$B55))/cfg_DAYS_Y)</f>
        <v/>
      </c>
      <c r="AJ55" s="110" t="str">
        <f aca="false">IF($B55="","",MAX(0,AK55-(SUMIFS('سجل الإجازات والحالات'!$AS$6:$AS$505,'سجل الإجازات والحالات'!$B$6:$B$505,$B55)-SUMIFS('سجل الإجازات والحالات'!$AR$6:$AR$505,'سجل الإجازات والحالات'!$B$6:$B$505,$B55))))</f>
        <v/>
      </c>
      <c r="AK55" s="110" t="str">
        <f aca="false">IF($B55="","",MAX(0,IF(OR(الموظفون!$AE55="",الموظفون!$AE55&gt;$F$3),$F$3,الموظفون!$AE55)-MAX($E$3,الموظفون!$H55)+1))</f>
        <v/>
      </c>
      <c r="AL55" s="131" t="str">
        <f aca="false">IF($B55="","",SUMIFS('سجل الإجازات والحالات'!$BE$6:$BE$505,'سجل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والحالات'!$AG$6:$AG$505,'سجل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والحالات'!$AS$6:$AS$505,'سجل الإجازات والحالات'!$B$6:$B$505,$B56))/cfg_DAYS_Y)</f>
        <v/>
      </c>
      <c r="AI56" s="130" t="str">
        <f aca="false">IF($B56="","",MAX(0,IF(OR(الموظفون!$AE56="",الموظفون!$AE56&gt;($E$3-1)),($E$3-1),الموظفون!$AE56)-الموظفون!$H56+1-SUMIFS('سجل الإجازات والحالات'!$AR$6:$AR$505,'سجل الإجازات والحالات'!$B$6:$B$505,$B56))/cfg_DAYS_Y)</f>
        <v/>
      </c>
      <c r="AJ56" s="57" t="str">
        <f aca="false">IF($B56="","",MAX(0,AK56-(SUMIFS('سجل الإجازات والحالات'!$AS$6:$AS$505,'سجل الإجازات والحالات'!$B$6:$B$505,$B56)-SUMIFS('سجل الإجازات والحالات'!$AR$6:$AR$505,'سجل الإجازات والحالات'!$B$6:$B$505,$B56))))</f>
        <v/>
      </c>
      <c r="AK56" s="57" t="str">
        <f aca="false">IF($B56="","",MAX(0,IF(OR(الموظفون!$AE56="",الموظفون!$AE56&gt;$F$3),$F$3,الموظفون!$AE56)-MAX($E$3,الموظفون!$H56)+1))</f>
        <v/>
      </c>
      <c r="AL56" s="126" t="str">
        <f aca="false">IF($B56="","",SUMIFS('سجل الإجازات والحالات'!$BE$6:$BE$505,'سجل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والحالات'!$AG$6:$AG$505,'سجل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والحالات'!$AS$6:$AS$505,'سجل الإجازات والحالات'!$B$6:$B$505,$B57))/cfg_DAYS_Y)</f>
        <v/>
      </c>
      <c r="AI57" s="135" t="str">
        <f aca="false">IF($B57="","",MAX(0,IF(OR(الموظفون!$AE57="",الموظفون!$AE57&gt;($E$3-1)),($E$3-1),الموظفون!$AE57)-الموظفون!$H57+1-SUMIFS('سجل الإجازات والحالات'!$AR$6:$AR$505,'سجل الإجازات والحالات'!$B$6:$B$505,$B57))/cfg_DAYS_Y)</f>
        <v/>
      </c>
      <c r="AJ57" s="110" t="str">
        <f aca="false">IF($B57="","",MAX(0,AK57-(SUMIFS('سجل الإجازات والحالات'!$AS$6:$AS$505,'سجل الإجازات والحالات'!$B$6:$B$505,$B57)-SUMIFS('سجل الإجازات والحالات'!$AR$6:$AR$505,'سجل الإجازات والحالات'!$B$6:$B$505,$B57))))</f>
        <v/>
      </c>
      <c r="AK57" s="110" t="str">
        <f aca="false">IF($B57="","",MAX(0,IF(OR(الموظفون!$AE57="",الموظفون!$AE57&gt;$F$3),$F$3,الموظفون!$AE57)-MAX($E$3,الموظفون!$H57)+1))</f>
        <v/>
      </c>
      <c r="AL57" s="131" t="str">
        <f aca="false">IF($B57="","",SUMIFS('سجل الإجازات والحالات'!$BE$6:$BE$505,'سجل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والحالات'!$AG$6:$AG$505,'سجل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والحالات'!$AS$6:$AS$505,'سجل الإجازات والحالات'!$B$6:$B$505,$B58))/cfg_DAYS_Y)</f>
        <v/>
      </c>
      <c r="AI58" s="130" t="str">
        <f aca="false">IF($B58="","",MAX(0,IF(OR(الموظفون!$AE58="",الموظفون!$AE58&gt;($E$3-1)),($E$3-1),الموظفون!$AE58)-الموظفون!$H58+1-SUMIFS('سجل الإجازات والحالات'!$AR$6:$AR$505,'سجل الإجازات والحالات'!$B$6:$B$505,$B58))/cfg_DAYS_Y)</f>
        <v/>
      </c>
      <c r="AJ58" s="57" t="str">
        <f aca="false">IF($B58="","",MAX(0,AK58-(SUMIFS('سجل الإجازات والحالات'!$AS$6:$AS$505,'سجل الإجازات والحالات'!$B$6:$B$505,$B58)-SUMIFS('سجل الإجازات والحالات'!$AR$6:$AR$505,'سجل الإجازات والحالات'!$B$6:$B$505,$B58))))</f>
        <v/>
      </c>
      <c r="AK58" s="57" t="str">
        <f aca="false">IF($B58="","",MAX(0,IF(OR(الموظفون!$AE58="",الموظفون!$AE58&gt;$F$3),$F$3,الموظفون!$AE58)-MAX($E$3,الموظفون!$H58)+1))</f>
        <v/>
      </c>
      <c r="AL58" s="126" t="str">
        <f aca="false">IF($B58="","",SUMIFS('سجل الإجازات والحالات'!$BE$6:$BE$505,'سجل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والحالات'!$AG$6:$AG$505,'سجل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والحالات'!$AS$6:$AS$505,'سجل الإجازات والحالات'!$B$6:$B$505,$B59))/cfg_DAYS_Y)</f>
        <v/>
      </c>
      <c r="AI59" s="135" t="str">
        <f aca="false">IF($B59="","",MAX(0,IF(OR(الموظفون!$AE59="",الموظفون!$AE59&gt;($E$3-1)),($E$3-1),الموظفون!$AE59)-الموظفون!$H59+1-SUMIFS('سجل الإجازات والحالات'!$AR$6:$AR$505,'سجل الإجازات والحالات'!$B$6:$B$505,$B59))/cfg_DAYS_Y)</f>
        <v/>
      </c>
      <c r="AJ59" s="110" t="str">
        <f aca="false">IF($B59="","",MAX(0,AK59-(SUMIFS('سجل الإجازات والحالات'!$AS$6:$AS$505,'سجل الإجازات والحالات'!$B$6:$B$505,$B59)-SUMIFS('سجل الإجازات والحالات'!$AR$6:$AR$505,'سجل الإجازات والحالات'!$B$6:$B$505,$B59))))</f>
        <v/>
      </c>
      <c r="AK59" s="110" t="str">
        <f aca="false">IF($B59="","",MAX(0,IF(OR(الموظفون!$AE59="",الموظفون!$AE59&gt;$F$3),$F$3,الموظفون!$AE59)-MAX($E$3,الموظفون!$H59)+1))</f>
        <v/>
      </c>
      <c r="AL59" s="131" t="str">
        <f aca="false">IF($B59="","",SUMIFS('سجل الإجازات والحالات'!$BE$6:$BE$505,'سجل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والحالات'!$AG$6:$AG$505,'سجل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والحالات'!$AS$6:$AS$505,'سجل الإجازات والحالات'!$B$6:$B$505,$B60))/cfg_DAYS_Y)</f>
        <v/>
      </c>
      <c r="AI60" s="130" t="str">
        <f aca="false">IF($B60="","",MAX(0,IF(OR(الموظفون!$AE60="",الموظفون!$AE60&gt;($E$3-1)),($E$3-1),الموظفون!$AE60)-الموظفون!$H60+1-SUMIFS('سجل الإجازات والحالات'!$AR$6:$AR$505,'سجل الإجازات والحالات'!$B$6:$B$505,$B60))/cfg_DAYS_Y)</f>
        <v/>
      </c>
      <c r="AJ60" s="57" t="str">
        <f aca="false">IF($B60="","",MAX(0,AK60-(SUMIFS('سجل الإجازات والحالات'!$AS$6:$AS$505,'سجل الإجازات والحالات'!$B$6:$B$505,$B60)-SUMIFS('سجل الإجازات والحالات'!$AR$6:$AR$505,'سجل الإجازات والحالات'!$B$6:$B$505,$B60))))</f>
        <v/>
      </c>
      <c r="AK60" s="57" t="str">
        <f aca="false">IF($B60="","",MAX(0,IF(OR(الموظفون!$AE60="",الموظفون!$AE60&gt;$F$3),$F$3,الموظفون!$AE60)-MAX($E$3,الموظفون!$H60)+1))</f>
        <v/>
      </c>
      <c r="AL60" s="126" t="str">
        <f aca="false">IF($B60="","",SUMIFS('سجل الإجازات والحالات'!$BE$6:$BE$505,'سجل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والحالات'!$AG$6:$AG$505,'سجل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والحالات'!$AS$6:$AS$505,'سجل الإجازات والحالات'!$B$6:$B$505,$B61))/cfg_DAYS_Y)</f>
        <v/>
      </c>
      <c r="AI61" s="135" t="str">
        <f aca="false">IF($B61="","",MAX(0,IF(OR(الموظفون!$AE61="",الموظفون!$AE61&gt;($E$3-1)),($E$3-1),الموظفون!$AE61)-الموظفون!$H61+1-SUMIFS('سجل الإجازات والحالات'!$AR$6:$AR$505,'سجل الإجازات والحالات'!$B$6:$B$505,$B61))/cfg_DAYS_Y)</f>
        <v/>
      </c>
      <c r="AJ61" s="110" t="str">
        <f aca="false">IF($B61="","",MAX(0,AK61-(SUMIFS('سجل الإجازات والحالات'!$AS$6:$AS$505,'سجل الإجازات والحالات'!$B$6:$B$505,$B61)-SUMIFS('سجل الإجازات والحالات'!$AR$6:$AR$505,'سجل الإجازات والحالات'!$B$6:$B$505,$B61))))</f>
        <v/>
      </c>
      <c r="AK61" s="110" t="str">
        <f aca="false">IF($B61="","",MAX(0,IF(OR(الموظفون!$AE61="",الموظفون!$AE61&gt;$F$3),$F$3,الموظفون!$AE61)-MAX($E$3,الموظفون!$H61)+1))</f>
        <v/>
      </c>
      <c r="AL61" s="131" t="str">
        <f aca="false">IF($B61="","",SUMIFS('سجل الإجازات والحالات'!$BE$6:$BE$505,'سجل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والحالات'!$AG$6:$AG$505,'سجل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والحالات'!$AS$6:$AS$505,'سجل الإجازات والحالات'!$B$6:$B$505,$B62))/cfg_DAYS_Y)</f>
        <v/>
      </c>
      <c r="AI62" s="130" t="str">
        <f aca="false">IF($B62="","",MAX(0,IF(OR(الموظفون!$AE62="",الموظفون!$AE62&gt;($E$3-1)),($E$3-1),الموظفون!$AE62)-الموظفون!$H62+1-SUMIFS('سجل الإجازات والحالات'!$AR$6:$AR$505,'سجل الإجازات والحالات'!$B$6:$B$505,$B62))/cfg_DAYS_Y)</f>
        <v/>
      </c>
      <c r="AJ62" s="57" t="str">
        <f aca="false">IF($B62="","",MAX(0,AK62-(SUMIFS('سجل الإجازات والحالات'!$AS$6:$AS$505,'سجل الإجازات والحالات'!$B$6:$B$505,$B62)-SUMIFS('سجل الإجازات والحالات'!$AR$6:$AR$505,'سجل الإجازات والحالات'!$B$6:$B$505,$B62))))</f>
        <v/>
      </c>
      <c r="AK62" s="57" t="str">
        <f aca="false">IF($B62="","",MAX(0,IF(OR(الموظفون!$AE62="",الموظفون!$AE62&gt;$F$3),$F$3,الموظفون!$AE62)-MAX($E$3,الموظفون!$H62)+1))</f>
        <v/>
      </c>
      <c r="AL62" s="126" t="str">
        <f aca="false">IF($B62="","",SUMIFS('سجل الإجازات والحالات'!$BE$6:$BE$505,'سجل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والحالات'!$AG$6:$AG$505,'سجل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والحالات'!$AS$6:$AS$505,'سجل الإجازات والحالات'!$B$6:$B$505,$B63))/cfg_DAYS_Y)</f>
        <v/>
      </c>
      <c r="AI63" s="135" t="str">
        <f aca="false">IF($B63="","",MAX(0,IF(OR(الموظفون!$AE63="",الموظفون!$AE63&gt;($E$3-1)),($E$3-1),الموظفون!$AE63)-الموظفون!$H63+1-SUMIFS('سجل الإجازات والحالات'!$AR$6:$AR$505,'سجل الإجازات والحالات'!$B$6:$B$505,$B63))/cfg_DAYS_Y)</f>
        <v/>
      </c>
      <c r="AJ63" s="110" t="str">
        <f aca="false">IF($B63="","",MAX(0,AK63-(SUMIFS('سجل الإجازات والحالات'!$AS$6:$AS$505,'سجل الإجازات والحالات'!$B$6:$B$505,$B63)-SUMIFS('سجل الإجازات والحالات'!$AR$6:$AR$505,'سجل الإجازات والحالات'!$B$6:$B$505,$B63))))</f>
        <v/>
      </c>
      <c r="AK63" s="110" t="str">
        <f aca="false">IF($B63="","",MAX(0,IF(OR(الموظفون!$AE63="",الموظفون!$AE63&gt;$F$3),$F$3,الموظفون!$AE63)-MAX($E$3,الموظفون!$H63)+1))</f>
        <v/>
      </c>
      <c r="AL63" s="131" t="str">
        <f aca="false">IF($B63="","",SUMIFS('سجل الإجازات والحالات'!$BE$6:$BE$505,'سجل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والحالات'!$AG$6:$AG$505,'سجل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والحالات'!$AS$6:$AS$505,'سجل الإجازات والحالات'!$B$6:$B$505,$B64))/cfg_DAYS_Y)</f>
        <v/>
      </c>
      <c r="AI64" s="130" t="str">
        <f aca="false">IF($B64="","",MAX(0,IF(OR(الموظفون!$AE64="",الموظفون!$AE64&gt;($E$3-1)),($E$3-1),الموظفون!$AE64)-الموظفون!$H64+1-SUMIFS('سجل الإجازات والحالات'!$AR$6:$AR$505,'سجل الإجازات والحالات'!$B$6:$B$505,$B64))/cfg_DAYS_Y)</f>
        <v/>
      </c>
      <c r="AJ64" s="57" t="str">
        <f aca="false">IF($B64="","",MAX(0,AK64-(SUMIFS('سجل الإجازات والحالات'!$AS$6:$AS$505,'سجل الإجازات والحالات'!$B$6:$B$505,$B64)-SUMIFS('سجل الإجازات والحالات'!$AR$6:$AR$505,'سجل الإجازات والحالات'!$B$6:$B$505,$B64))))</f>
        <v/>
      </c>
      <c r="AK64" s="57" t="str">
        <f aca="false">IF($B64="","",MAX(0,IF(OR(الموظفون!$AE64="",الموظفون!$AE64&gt;$F$3),$F$3,الموظفون!$AE64)-MAX($E$3,الموظفون!$H64)+1))</f>
        <v/>
      </c>
      <c r="AL64" s="126" t="str">
        <f aca="false">IF($B64="","",SUMIFS('سجل الإجازات والحالات'!$BE$6:$BE$505,'سجل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والحالات'!$AG$6:$AG$505,'سجل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والحالات'!$AS$6:$AS$505,'سجل الإجازات والحالات'!$B$6:$B$505,$B65))/cfg_DAYS_Y)</f>
        <v/>
      </c>
      <c r="AI65" s="135" t="str">
        <f aca="false">IF($B65="","",MAX(0,IF(OR(الموظفون!$AE65="",الموظفون!$AE65&gt;($E$3-1)),($E$3-1),الموظفون!$AE65)-الموظفون!$H65+1-SUMIFS('سجل الإجازات والحالات'!$AR$6:$AR$505,'سجل الإجازات والحالات'!$B$6:$B$505,$B65))/cfg_DAYS_Y)</f>
        <v/>
      </c>
      <c r="AJ65" s="110" t="str">
        <f aca="false">IF($B65="","",MAX(0,AK65-(SUMIFS('سجل الإجازات والحالات'!$AS$6:$AS$505,'سجل الإجازات والحالات'!$B$6:$B$505,$B65)-SUMIFS('سجل الإجازات والحالات'!$AR$6:$AR$505,'سجل الإجازات والحالات'!$B$6:$B$505,$B65))))</f>
        <v/>
      </c>
      <c r="AK65" s="110" t="str">
        <f aca="false">IF($B65="","",MAX(0,IF(OR(الموظفون!$AE65="",الموظفون!$AE65&gt;$F$3),$F$3,الموظفون!$AE65)-MAX($E$3,الموظفون!$H65)+1))</f>
        <v/>
      </c>
      <c r="AL65" s="131" t="str">
        <f aca="false">IF($B65="","",SUMIFS('سجل الإجازات والحالات'!$BE$6:$BE$505,'سجل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والحالات'!$AG$6:$AG$505,'سجل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والحالات'!$AS$6:$AS$505,'سجل الإجازات والحالات'!$B$6:$B$505,$B66))/cfg_DAYS_Y)</f>
        <v/>
      </c>
      <c r="AI66" s="130" t="str">
        <f aca="false">IF($B66="","",MAX(0,IF(OR(الموظفون!$AE66="",الموظفون!$AE66&gt;($E$3-1)),($E$3-1),الموظفون!$AE66)-الموظفون!$H66+1-SUMIFS('سجل الإجازات والحالات'!$AR$6:$AR$505,'سجل الإجازات والحالات'!$B$6:$B$505,$B66))/cfg_DAYS_Y)</f>
        <v/>
      </c>
      <c r="AJ66" s="57" t="str">
        <f aca="false">IF($B66="","",MAX(0,AK66-(SUMIFS('سجل الإجازات والحالات'!$AS$6:$AS$505,'سجل الإجازات والحالات'!$B$6:$B$505,$B66)-SUMIFS('سجل الإجازات والحالات'!$AR$6:$AR$505,'سجل الإجازات والحالات'!$B$6:$B$505,$B66))))</f>
        <v/>
      </c>
      <c r="AK66" s="57" t="str">
        <f aca="false">IF($B66="","",MAX(0,IF(OR(الموظفون!$AE66="",الموظفون!$AE66&gt;$F$3),$F$3,الموظفون!$AE66)-MAX($E$3,الموظفون!$H66)+1))</f>
        <v/>
      </c>
      <c r="AL66" s="126" t="str">
        <f aca="false">IF($B66="","",SUMIFS('سجل الإجازات والحالات'!$BE$6:$BE$505,'سجل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والحالات'!$AG$6:$AG$505,'سجل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والحالات'!$AS$6:$AS$505,'سجل الإجازات والحالات'!$B$6:$B$505,$B67))/cfg_DAYS_Y)</f>
        <v/>
      </c>
      <c r="AI67" s="135" t="str">
        <f aca="false">IF($B67="","",MAX(0,IF(OR(الموظفون!$AE67="",الموظفون!$AE67&gt;($E$3-1)),($E$3-1),الموظفون!$AE67)-الموظفون!$H67+1-SUMIFS('سجل الإجازات والحالات'!$AR$6:$AR$505,'سجل الإجازات والحالات'!$B$6:$B$505,$B67))/cfg_DAYS_Y)</f>
        <v/>
      </c>
      <c r="AJ67" s="110" t="str">
        <f aca="false">IF($B67="","",MAX(0,AK67-(SUMIFS('سجل الإجازات والحالات'!$AS$6:$AS$505,'سجل الإجازات والحالات'!$B$6:$B$505,$B67)-SUMIFS('سجل الإجازات والحالات'!$AR$6:$AR$505,'سجل الإجازات والحالات'!$B$6:$B$505,$B67))))</f>
        <v/>
      </c>
      <c r="AK67" s="110" t="str">
        <f aca="false">IF($B67="","",MAX(0,IF(OR(الموظفون!$AE67="",الموظفون!$AE67&gt;$F$3),$F$3,الموظفون!$AE67)-MAX($E$3,الموظفون!$H67)+1))</f>
        <v/>
      </c>
      <c r="AL67" s="131" t="str">
        <f aca="false">IF($B67="","",SUMIFS('سجل الإجازات والحالات'!$BE$6:$BE$505,'سجل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والحالات'!$AG$6:$AG$505,'سجل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والحالات'!$AS$6:$AS$505,'سجل الإجازات والحالات'!$B$6:$B$505,$B68))/cfg_DAYS_Y)</f>
        <v/>
      </c>
      <c r="AI68" s="130" t="str">
        <f aca="false">IF($B68="","",MAX(0,IF(OR(الموظفون!$AE68="",الموظفون!$AE68&gt;($E$3-1)),($E$3-1),الموظفون!$AE68)-الموظفون!$H68+1-SUMIFS('سجل الإجازات والحالات'!$AR$6:$AR$505,'سجل الإجازات والحالات'!$B$6:$B$505,$B68))/cfg_DAYS_Y)</f>
        <v/>
      </c>
      <c r="AJ68" s="57" t="str">
        <f aca="false">IF($B68="","",MAX(0,AK68-(SUMIFS('سجل الإجازات والحالات'!$AS$6:$AS$505,'سجل الإجازات والحالات'!$B$6:$B$505,$B68)-SUMIFS('سجل الإجازات والحالات'!$AR$6:$AR$505,'سجل الإجازات والحالات'!$B$6:$B$505,$B68))))</f>
        <v/>
      </c>
      <c r="AK68" s="57" t="str">
        <f aca="false">IF($B68="","",MAX(0,IF(OR(الموظفون!$AE68="",الموظفون!$AE68&gt;$F$3),$F$3,الموظفون!$AE68)-MAX($E$3,الموظفون!$H68)+1))</f>
        <v/>
      </c>
      <c r="AL68" s="126" t="str">
        <f aca="false">IF($B68="","",SUMIFS('سجل الإجازات والحالات'!$BE$6:$BE$505,'سجل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والحالات'!$AG$6:$AG$505,'سجل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والحالات'!$AS$6:$AS$505,'سجل الإجازات والحالات'!$B$6:$B$505,$B69))/cfg_DAYS_Y)</f>
        <v/>
      </c>
      <c r="AI69" s="135" t="str">
        <f aca="false">IF($B69="","",MAX(0,IF(OR(الموظفون!$AE69="",الموظفون!$AE69&gt;($E$3-1)),($E$3-1),الموظفون!$AE69)-الموظفون!$H69+1-SUMIFS('سجل الإجازات والحالات'!$AR$6:$AR$505,'سجل الإجازات والحالات'!$B$6:$B$505,$B69))/cfg_DAYS_Y)</f>
        <v/>
      </c>
      <c r="AJ69" s="110" t="str">
        <f aca="false">IF($B69="","",MAX(0,AK69-(SUMIFS('سجل الإجازات والحالات'!$AS$6:$AS$505,'سجل الإجازات والحالات'!$B$6:$B$505,$B69)-SUMIFS('سجل الإجازات والحالات'!$AR$6:$AR$505,'سجل الإجازات والحالات'!$B$6:$B$505,$B69))))</f>
        <v/>
      </c>
      <c r="AK69" s="110" t="str">
        <f aca="false">IF($B69="","",MAX(0,IF(OR(الموظفون!$AE69="",الموظفون!$AE69&gt;$F$3),$F$3,الموظفون!$AE69)-MAX($E$3,الموظفون!$H69)+1))</f>
        <v/>
      </c>
      <c r="AL69" s="131" t="str">
        <f aca="false">IF($B69="","",SUMIFS('سجل الإجازات والحالات'!$BE$6:$BE$505,'سجل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والحالات'!$AG$6:$AG$505,'سجل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والحالات'!$AS$6:$AS$505,'سجل الإجازات والحالات'!$B$6:$B$505,$B70))/cfg_DAYS_Y)</f>
        <v/>
      </c>
      <c r="AI70" s="130" t="str">
        <f aca="false">IF($B70="","",MAX(0,IF(OR(الموظفون!$AE70="",الموظفون!$AE70&gt;($E$3-1)),($E$3-1),الموظفون!$AE70)-الموظفون!$H70+1-SUMIFS('سجل الإجازات والحالات'!$AR$6:$AR$505,'سجل الإجازات والحالات'!$B$6:$B$505,$B70))/cfg_DAYS_Y)</f>
        <v/>
      </c>
      <c r="AJ70" s="57" t="str">
        <f aca="false">IF($B70="","",MAX(0,AK70-(SUMIFS('سجل الإجازات والحالات'!$AS$6:$AS$505,'سجل الإجازات والحالات'!$B$6:$B$505,$B70)-SUMIFS('سجل الإجازات والحالات'!$AR$6:$AR$505,'سجل الإجازات والحالات'!$B$6:$B$505,$B70))))</f>
        <v/>
      </c>
      <c r="AK70" s="57" t="str">
        <f aca="false">IF($B70="","",MAX(0,IF(OR(الموظفون!$AE70="",الموظفون!$AE70&gt;$F$3),$F$3,الموظفون!$AE70)-MAX($E$3,الموظفون!$H70)+1))</f>
        <v/>
      </c>
      <c r="AL70" s="126" t="str">
        <f aca="false">IF($B70="","",SUMIFS('سجل الإجازات والحالات'!$BE$6:$BE$505,'سجل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والحالات'!$AG$6:$AG$505,'سجل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والحالات'!$AS$6:$AS$505,'سجل الإجازات والحالات'!$B$6:$B$505,$B71))/cfg_DAYS_Y)</f>
        <v/>
      </c>
      <c r="AI71" s="135" t="str">
        <f aca="false">IF($B71="","",MAX(0,IF(OR(الموظفون!$AE71="",الموظفون!$AE71&gt;($E$3-1)),($E$3-1),الموظفون!$AE71)-الموظفون!$H71+1-SUMIFS('سجل الإجازات والحالات'!$AR$6:$AR$505,'سجل الإجازات والحالات'!$B$6:$B$505,$B71))/cfg_DAYS_Y)</f>
        <v/>
      </c>
      <c r="AJ71" s="110" t="str">
        <f aca="false">IF($B71="","",MAX(0,AK71-(SUMIFS('سجل الإجازات والحالات'!$AS$6:$AS$505,'سجل الإجازات والحالات'!$B$6:$B$505,$B71)-SUMIFS('سجل الإجازات والحالات'!$AR$6:$AR$505,'سجل الإجازات والحالات'!$B$6:$B$505,$B71))))</f>
        <v/>
      </c>
      <c r="AK71" s="110" t="str">
        <f aca="false">IF($B71="","",MAX(0,IF(OR(الموظفون!$AE71="",الموظفون!$AE71&gt;$F$3),$F$3,الموظفون!$AE71)-MAX($E$3,الموظفون!$H71)+1))</f>
        <v/>
      </c>
      <c r="AL71" s="131" t="str">
        <f aca="false">IF($B71="","",SUMIFS('سجل الإجازات والحالات'!$BE$6:$BE$505,'سجل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والحالات'!$AG$6:$AG$505,'سجل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والحالات'!$AS$6:$AS$505,'سجل الإجازات والحالات'!$B$6:$B$505,$B72))/cfg_DAYS_Y)</f>
        <v/>
      </c>
      <c r="AI72" s="130" t="str">
        <f aca="false">IF($B72="","",MAX(0,IF(OR(الموظفون!$AE72="",الموظفون!$AE72&gt;($E$3-1)),($E$3-1),الموظفون!$AE72)-الموظفون!$H72+1-SUMIFS('سجل الإجازات والحالات'!$AR$6:$AR$505,'سجل الإجازات والحالات'!$B$6:$B$505,$B72))/cfg_DAYS_Y)</f>
        <v/>
      </c>
      <c r="AJ72" s="57" t="str">
        <f aca="false">IF($B72="","",MAX(0,AK72-(SUMIFS('سجل الإجازات والحالات'!$AS$6:$AS$505,'سجل الإجازات والحالات'!$B$6:$B$505,$B72)-SUMIFS('سجل الإجازات والحالات'!$AR$6:$AR$505,'سجل الإجازات والحالات'!$B$6:$B$505,$B72))))</f>
        <v/>
      </c>
      <c r="AK72" s="57" t="str">
        <f aca="false">IF($B72="","",MAX(0,IF(OR(الموظفون!$AE72="",الموظفون!$AE72&gt;$F$3),$F$3,الموظفون!$AE72)-MAX($E$3,الموظفون!$H72)+1))</f>
        <v/>
      </c>
      <c r="AL72" s="126" t="str">
        <f aca="false">IF($B72="","",SUMIFS('سجل الإجازات والحالات'!$BE$6:$BE$505,'سجل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والحالات'!$AG$6:$AG$505,'سجل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والحالات'!$AS$6:$AS$505,'سجل الإجازات والحالات'!$B$6:$B$505,$B73))/cfg_DAYS_Y)</f>
        <v/>
      </c>
      <c r="AI73" s="135" t="str">
        <f aca="false">IF($B73="","",MAX(0,IF(OR(الموظفون!$AE73="",الموظفون!$AE73&gt;($E$3-1)),($E$3-1),الموظفون!$AE73)-الموظفون!$H73+1-SUMIFS('سجل الإجازات والحالات'!$AR$6:$AR$505,'سجل الإجازات والحالات'!$B$6:$B$505,$B73))/cfg_DAYS_Y)</f>
        <v/>
      </c>
      <c r="AJ73" s="110" t="str">
        <f aca="false">IF($B73="","",MAX(0,AK73-(SUMIFS('سجل الإجازات والحالات'!$AS$6:$AS$505,'سجل الإجازات والحالات'!$B$6:$B$505,$B73)-SUMIFS('سجل الإجازات والحالات'!$AR$6:$AR$505,'سجل الإجازات والحالات'!$B$6:$B$505,$B73))))</f>
        <v/>
      </c>
      <c r="AK73" s="110" t="str">
        <f aca="false">IF($B73="","",MAX(0,IF(OR(الموظفون!$AE73="",الموظفون!$AE73&gt;$F$3),$F$3,الموظفون!$AE73)-MAX($E$3,الموظفون!$H73)+1))</f>
        <v/>
      </c>
      <c r="AL73" s="131" t="str">
        <f aca="false">IF($B73="","",SUMIFS('سجل الإجازات والحالات'!$BE$6:$BE$505,'سجل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والحالات'!$AG$6:$AG$505,'سجل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والحالات'!$AS$6:$AS$505,'سجل الإجازات والحالات'!$B$6:$B$505,$B74))/cfg_DAYS_Y)</f>
        <v/>
      </c>
      <c r="AI74" s="130" t="str">
        <f aca="false">IF($B74="","",MAX(0,IF(OR(الموظفون!$AE74="",الموظفون!$AE74&gt;($E$3-1)),($E$3-1),الموظفون!$AE74)-الموظفون!$H74+1-SUMIFS('سجل الإجازات والحالات'!$AR$6:$AR$505,'سجل الإجازات والحالات'!$B$6:$B$505,$B74))/cfg_DAYS_Y)</f>
        <v/>
      </c>
      <c r="AJ74" s="57" t="str">
        <f aca="false">IF($B74="","",MAX(0,AK74-(SUMIFS('سجل الإجازات والحالات'!$AS$6:$AS$505,'سجل الإجازات والحالات'!$B$6:$B$505,$B74)-SUMIFS('سجل الإجازات والحالات'!$AR$6:$AR$505,'سجل الإجازات والحالات'!$B$6:$B$505,$B74))))</f>
        <v/>
      </c>
      <c r="AK74" s="57" t="str">
        <f aca="false">IF($B74="","",MAX(0,IF(OR(الموظفون!$AE74="",الموظفون!$AE74&gt;$F$3),$F$3,الموظفون!$AE74)-MAX($E$3,الموظفون!$H74)+1))</f>
        <v/>
      </c>
      <c r="AL74" s="126" t="str">
        <f aca="false">IF($B74="","",SUMIFS('سجل الإجازات والحالات'!$BE$6:$BE$505,'سجل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والحالات'!$AG$6:$AG$505,'سجل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والحالات'!$AS$6:$AS$505,'سجل الإجازات والحالات'!$B$6:$B$505,$B75))/cfg_DAYS_Y)</f>
        <v/>
      </c>
      <c r="AI75" s="135" t="str">
        <f aca="false">IF($B75="","",MAX(0,IF(OR(الموظفون!$AE75="",الموظفون!$AE75&gt;($E$3-1)),($E$3-1),الموظفون!$AE75)-الموظفون!$H75+1-SUMIFS('سجل الإجازات والحالات'!$AR$6:$AR$505,'سجل الإجازات والحالات'!$B$6:$B$505,$B75))/cfg_DAYS_Y)</f>
        <v/>
      </c>
      <c r="AJ75" s="110" t="str">
        <f aca="false">IF($B75="","",MAX(0,AK75-(SUMIFS('سجل الإجازات والحالات'!$AS$6:$AS$505,'سجل الإجازات والحالات'!$B$6:$B$505,$B75)-SUMIFS('سجل الإجازات والحالات'!$AR$6:$AR$505,'سجل الإجازات والحالات'!$B$6:$B$505,$B75))))</f>
        <v/>
      </c>
      <c r="AK75" s="110" t="str">
        <f aca="false">IF($B75="","",MAX(0,IF(OR(الموظفون!$AE75="",الموظفون!$AE75&gt;$F$3),$F$3,الموظفون!$AE75)-MAX($E$3,الموظفون!$H75)+1))</f>
        <v/>
      </c>
      <c r="AL75" s="131" t="str">
        <f aca="false">IF($B75="","",SUMIFS('سجل الإجازات والحالات'!$BE$6:$BE$505,'سجل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والحالات'!$AG$6:$AG$505,'سجل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والحالات'!$AS$6:$AS$505,'سجل الإجازات والحالات'!$B$6:$B$505,$B76))/cfg_DAYS_Y)</f>
        <v/>
      </c>
      <c r="AI76" s="130" t="str">
        <f aca="false">IF($B76="","",MAX(0,IF(OR(الموظفون!$AE76="",الموظفون!$AE76&gt;($E$3-1)),($E$3-1),الموظفون!$AE76)-الموظفون!$H76+1-SUMIFS('سجل الإجازات والحالات'!$AR$6:$AR$505,'سجل الإجازات والحالات'!$B$6:$B$505,$B76))/cfg_DAYS_Y)</f>
        <v/>
      </c>
      <c r="AJ76" s="57" t="str">
        <f aca="false">IF($B76="","",MAX(0,AK76-(SUMIFS('سجل الإجازات والحالات'!$AS$6:$AS$505,'سجل الإجازات والحالات'!$B$6:$B$505,$B76)-SUMIFS('سجل الإجازات والحالات'!$AR$6:$AR$505,'سجل الإجازات والحالات'!$B$6:$B$505,$B76))))</f>
        <v/>
      </c>
      <c r="AK76" s="57" t="str">
        <f aca="false">IF($B76="","",MAX(0,IF(OR(الموظفون!$AE76="",الموظفون!$AE76&gt;$F$3),$F$3,الموظفون!$AE76)-MAX($E$3,الموظفون!$H76)+1))</f>
        <v/>
      </c>
      <c r="AL76" s="126" t="str">
        <f aca="false">IF($B76="","",SUMIFS('سجل الإجازات والحالات'!$BE$6:$BE$505,'سجل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والحالات'!$AG$6:$AG$505,'سجل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والحالات'!$AS$6:$AS$505,'سجل الإجازات والحالات'!$B$6:$B$505,$B77))/cfg_DAYS_Y)</f>
        <v/>
      </c>
      <c r="AI77" s="135" t="str">
        <f aca="false">IF($B77="","",MAX(0,IF(OR(الموظفون!$AE77="",الموظفون!$AE77&gt;($E$3-1)),($E$3-1),الموظفون!$AE77)-الموظفون!$H77+1-SUMIFS('سجل الإجازات والحالات'!$AR$6:$AR$505,'سجل الإجازات والحالات'!$B$6:$B$505,$B77))/cfg_DAYS_Y)</f>
        <v/>
      </c>
      <c r="AJ77" s="110" t="str">
        <f aca="false">IF($B77="","",MAX(0,AK77-(SUMIFS('سجل الإجازات والحالات'!$AS$6:$AS$505,'سجل الإجازات والحالات'!$B$6:$B$505,$B77)-SUMIFS('سجل الإجازات والحالات'!$AR$6:$AR$505,'سجل الإجازات والحالات'!$B$6:$B$505,$B77))))</f>
        <v/>
      </c>
      <c r="AK77" s="110" t="str">
        <f aca="false">IF($B77="","",MAX(0,IF(OR(الموظفون!$AE77="",الموظفون!$AE77&gt;$F$3),$F$3,الموظفون!$AE77)-MAX($E$3,الموظفون!$H77)+1))</f>
        <v/>
      </c>
      <c r="AL77" s="131" t="str">
        <f aca="false">IF($B77="","",SUMIFS('سجل الإجازات والحالات'!$BE$6:$BE$505,'سجل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والحالات'!$AG$6:$AG$505,'سجل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والحالات'!$AS$6:$AS$505,'سجل الإجازات والحالات'!$B$6:$B$505,$B78))/cfg_DAYS_Y)</f>
        <v/>
      </c>
      <c r="AI78" s="130" t="str">
        <f aca="false">IF($B78="","",MAX(0,IF(OR(الموظفون!$AE78="",الموظفون!$AE78&gt;($E$3-1)),($E$3-1),الموظفون!$AE78)-الموظفون!$H78+1-SUMIFS('سجل الإجازات والحالات'!$AR$6:$AR$505,'سجل الإجازات والحالات'!$B$6:$B$505,$B78))/cfg_DAYS_Y)</f>
        <v/>
      </c>
      <c r="AJ78" s="57" t="str">
        <f aca="false">IF($B78="","",MAX(0,AK78-(SUMIFS('سجل الإجازات والحالات'!$AS$6:$AS$505,'سجل الإجازات والحالات'!$B$6:$B$505,$B78)-SUMIFS('سجل الإجازات والحالات'!$AR$6:$AR$505,'سجل الإجازات والحالات'!$B$6:$B$505,$B78))))</f>
        <v/>
      </c>
      <c r="AK78" s="57" t="str">
        <f aca="false">IF($B78="","",MAX(0,IF(OR(الموظفون!$AE78="",الموظفون!$AE78&gt;$F$3),$F$3,الموظفون!$AE78)-MAX($E$3,الموظفون!$H78)+1))</f>
        <v/>
      </c>
      <c r="AL78" s="126" t="str">
        <f aca="false">IF($B78="","",SUMIFS('سجل الإجازات والحالات'!$BE$6:$BE$505,'سجل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والحالات'!$AG$6:$AG$505,'سجل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والحالات'!$AS$6:$AS$505,'سجل الإجازات والحالات'!$B$6:$B$505,$B79))/cfg_DAYS_Y)</f>
        <v/>
      </c>
      <c r="AI79" s="135" t="str">
        <f aca="false">IF($B79="","",MAX(0,IF(OR(الموظفون!$AE79="",الموظفون!$AE79&gt;($E$3-1)),($E$3-1),الموظفون!$AE79)-الموظفون!$H79+1-SUMIFS('سجل الإجازات والحالات'!$AR$6:$AR$505,'سجل الإجازات والحالات'!$B$6:$B$505,$B79))/cfg_DAYS_Y)</f>
        <v/>
      </c>
      <c r="AJ79" s="110" t="str">
        <f aca="false">IF($B79="","",MAX(0,AK79-(SUMIFS('سجل الإجازات والحالات'!$AS$6:$AS$505,'سجل الإجازات والحالات'!$B$6:$B$505,$B79)-SUMIFS('سجل الإجازات والحالات'!$AR$6:$AR$505,'سجل الإجازات والحالات'!$B$6:$B$505,$B79))))</f>
        <v/>
      </c>
      <c r="AK79" s="110" t="str">
        <f aca="false">IF($B79="","",MAX(0,IF(OR(الموظفون!$AE79="",الموظفون!$AE79&gt;$F$3),$F$3,الموظفون!$AE79)-MAX($E$3,الموظفون!$H79)+1))</f>
        <v/>
      </c>
      <c r="AL79" s="131" t="str">
        <f aca="false">IF($B79="","",SUMIFS('سجل الإجازات والحالات'!$BE$6:$BE$505,'سجل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والحالات'!$AG$6:$AG$505,'سجل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والحالات'!$AS$6:$AS$505,'سجل الإجازات والحالات'!$B$6:$B$505,$B80))/cfg_DAYS_Y)</f>
        <v/>
      </c>
      <c r="AI80" s="130" t="str">
        <f aca="false">IF($B80="","",MAX(0,IF(OR(الموظفون!$AE80="",الموظفون!$AE80&gt;($E$3-1)),($E$3-1),الموظفون!$AE80)-الموظفون!$H80+1-SUMIFS('سجل الإجازات والحالات'!$AR$6:$AR$505,'سجل الإجازات والحالات'!$B$6:$B$505,$B80))/cfg_DAYS_Y)</f>
        <v/>
      </c>
      <c r="AJ80" s="57" t="str">
        <f aca="false">IF($B80="","",MAX(0,AK80-(SUMIFS('سجل الإجازات والحالات'!$AS$6:$AS$505,'سجل الإجازات والحالات'!$B$6:$B$505,$B80)-SUMIFS('سجل الإجازات والحالات'!$AR$6:$AR$505,'سجل الإجازات والحالات'!$B$6:$B$505,$B80))))</f>
        <v/>
      </c>
      <c r="AK80" s="57" t="str">
        <f aca="false">IF($B80="","",MAX(0,IF(OR(الموظفون!$AE80="",الموظفون!$AE80&gt;$F$3),$F$3,الموظفون!$AE80)-MAX($E$3,الموظفون!$H80)+1))</f>
        <v/>
      </c>
      <c r="AL80" s="126" t="str">
        <f aca="false">IF($B80="","",SUMIFS('سجل الإجازات والحالات'!$BE$6:$BE$505,'سجل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والحالات'!$AG$6:$AG$505,'سجل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والحالات'!$AS$6:$AS$505,'سجل الإجازات والحالات'!$B$6:$B$505,$B81))/cfg_DAYS_Y)</f>
        <v/>
      </c>
      <c r="AI81" s="135" t="str">
        <f aca="false">IF($B81="","",MAX(0,IF(OR(الموظفون!$AE81="",الموظفون!$AE81&gt;($E$3-1)),($E$3-1),الموظفون!$AE81)-الموظفون!$H81+1-SUMIFS('سجل الإجازات والحالات'!$AR$6:$AR$505,'سجل الإجازات والحالات'!$B$6:$B$505,$B81))/cfg_DAYS_Y)</f>
        <v/>
      </c>
      <c r="AJ81" s="110" t="str">
        <f aca="false">IF($B81="","",MAX(0,AK81-(SUMIFS('سجل الإجازات والحالات'!$AS$6:$AS$505,'سجل الإجازات والحالات'!$B$6:$B$505,$B81)-SUMIFS('سجل الإجازات والحالات'!$AR$6:$AR$505,'سجل الإجازات والحالات'!$B$6:$B$505,$B81))))</f>
        <v/>
      </c>
      <c r="AK81" s="110" t="str">
        <f aca="false">IF($B81="","",MAX(0,IF(OR(الموظفون!$AE81="",الموظفون!$AE81&gt;$F$3),$F$3,الموظفون!$AE81)-MAX($E$3,الموظفون!$H81)+1))</f>
        <v/>
      </c>
      <c r="AL81" s="131" t="str">
        <f aca="false">IF($B81="","",SUMIFS('سجل الإجازات والحالات'!$BE$6:$BE$505,'سجل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والحالات'!$AG$6:$AG$505,'سجل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والحالات'!$AS$6:$AS$505,'سجل الإجازات والحالات'!$B$6:$B$505,$B82))/cfg_DAYS_Y)</f>
        <v/>
      </c>
      <c r="AI82" s="130" t="str">
        <f aca="false">IF($B82="","",MAX(0,IF(OR(الموظفون!$AE82="",الموظفون!$AE82&gt;($E$3-1)),($E$3-1),الموظفون!$AE82)-الموظفون!$H82+1-SUMIFS('سجل الإجازات والحالات'!$AR$6:$AR$505,'سجل الإجازات والحالات'!$B$6:$B$505,$B82))/cfg_DAYS_Y)</f>
        <v/>
      </c>
      <c r="AJ82" s="57" t="str">
        <f aca="false">IF($B82="","",MAX(0,AK82-(SUMIFS('سجل الإجازات والحالات'!$AS$6:$AS$505,'سجل الإجازات والحالات'!$B$6:$B$505,$B82)-SUMIFS('سجل الإجازات والحالات'!$AR$6:$AR$505,'سجل الإجازات والحالات'!$B$6:$B$505,$B82))))</f>
        <v/>
      </c>
      <c r="AK82" s="57" t="str">
        <f aca="false">IF($B82="","",MAX(0,IF(OR(الموظفون!$AE82="",الموظفون!$AE82&gt;$F$3),$F$3,الموظفون!$AE82)-MAX($E$3,الموظفون!$H82)+1))</f>
        <v/>
      </c>
      <c r="AL82" s="126" t="str">
        <f aca="false">IF($B82="","",SUMIFS('سجل الإجازات والحالات'!$BE$6:$BE$505,'سجل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والحالات'!$AG$6:$AG$505,'سجل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والحالات'!$AS$6:$AS$505,'سجل الإجازات والحالات'!$B$6:$B$505,$B83))/cfg_DAYS_Y)</f>
        <v/>
      </c>
      <c r="AI83" s="135" t="str">
        <f aca="false">IF($B83="","",MAX(0,IF(OR(الموظفون!$AE83="",الموظفون!$AE83&gt;($E$3-1)),($E$3-1),الموظفون!$AE83)-الموظفون!$H83+1-SUMIFS('سجل الإجازات والحالات'!$AR$6:$AR$505,'سجل الإجازات والحالات'!$B$6:$B$505,$B83))/cfg_DAYS_Y)</f>
        <v/>
      </c>
      <c r="AJ83" s="110" t="str">
        <f aca="false">IF($B83="","",MAX(0,AK83-(SUMIFS('سجل الإجازات والحالات'!$AS$6:$AS$505,'سجل الإجازات والحالات'!$B$6:$B$505,$B83)-SUMIFS('سجل الإجازات والحالات'!$AR$6:$AR$505,'سجل الإجازات والحالات'!$B$6:$B$505,$B83))))</f>
        <v/>
      </c>
      <c r="AK83" s="110" t="str">
        <f aca="false">IF($B83="","",MAX(0,IF(OR(الموظفون!$AE83="",الموظفون!$AE83&gt;$F$3),$F$3,الموظفون!$AE83)-MAX($E$3,الموظفون!$H83)+1))</f>
        <v/>
      </c>
      <c r="AL83" s="131" t="str">
        <f aca="false">IF($B83="","",SUMIFS('سجل الإجازات والحالات'!$BE$6:$BE$505,'سجل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والحالات'!$AG$6:$AG$505,'سجل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والحالات'!$AS$6:$AS$505,'سجل الإجازات والحالات'!$B$6:$B$505,$B84))/cfg_DAYS_Y)</f>
        <v/>
      </c>
      <c r="AI84" s="130" t="str">
        <f aca="false">IF($B84="","",MAX(0,IF(OR(الموظفون!$AE84="",الموظفون!$AE84&gt;($E$3-1)),($E$3-1),الموظفون!$AE84)-الموظفون!$H84+1-SUMIFS('سجل الإجازات والحالات'!$AR$6:$AR$505,'سجل الإجازات والحالات'!$B$6:$B$505,$B84))/cfg_DAYS_Y)</f>
        <v/>
      </c>
      <c r="AJ84" s="57" t="str">
        <f aca="false">IF($B84="","",MAX(0,AK84-(SUMIFS('سجل الإجازات والحالات'!$AS$6:$AS$505,'سجل الإجازات والحالات'!$B$6:$B$505,$B84)-SUMIFS('سجل الإجازات والحالات'!$AR$6:$AR$505,'سجل الإجازات والحالات'!$B$6:$B$505,$B84))))</f>
        <v/>
      </c>
      <c r="AK84" s="57" t="str">
        <f aca="false">IF($B84="","",MAX(0,IF(OR(الموظفون!$AE84="",الموظفون!$AE84&gt;$F$3),$F$3,الموظفون!$AE84)-MAX($E$3,الموظفون!$H84)+1))</f>
        <v/>
      </c>
      <c r="AL84" s="126" t="str">
        <f aca="false">IF($B84="","",SUMIFS('سجل الإجازات والحالات'!$BE$6:$BE$505,'سجل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والحالات'!$AG$6:$AG$505,'سجل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والحالات'!$AS$6:$AS$505,'سجل الإجازات والحالات'!$B$6:$B$505,$B85))/cfg_DAYS_Y)</f>
        <v/>
      </c>
      <c r="AI85" s="135" t="str">
        <f aca="false">IF($B85="","",MAX(0,IF(OR(الموظفون!$AE85="",الموظفون!$AE85&gt;($E$3-1)),($E$3-1),الموظفون!$AE85)-الموظفون!$H85+1-SUMIFS('سجل الإجازات والحالات'!$AR$6:$AR$505,'سجل الإجازات والحالات'!$B$6:$B$505,$B85))/cfg_DAYS_Y)</f>
        <v/>
      </c>
      <c r="AJ85" s="110" t="str">
        <f aca="false">IF($B85="","",MAX(0,AK85-(SUMIFS('سجل الإجازات والحالات'!$AS$6:$AS$505,'سجل الإجازات والحالات'!$B$6:$B$505,$B85)-SUMIFS('سجل الإجازات والحالات'!$AR$6:$AR$505,'سجل الإجازات والحالات'!$B$6:$B$505,$B85))))</f>
        <v/>
      </c>
      <c r="AK85" s="110" t="str">
        <f aca="false">IF($B85="","",MAX(0,IF(OR(الموظفون!$AE85="",الموظفون!$AE85&gt;$F$3),$F$3,الموظفون!$AE85)-MAX($E$3,الموظفون!$H85)+1))</f>
        <v/>
      </c>
      <c r="AL85" s="131" t="str">
        <f aca="false">IF($B85="","",SUMIFS('سجل الإجازات والحالات'!$BE$6:$BE$505,'سجل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والحالات'!$AG$6:$AG$505,'سجل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والحالات'!$AS$6:$AS$505,'سجل الإجازات والحالات'!$B$6:$B$505,$B86))/cfg_DAYS_Y)</f>
        <v/>
      </c>
      <c r="AI86" s="130" t="str">
        <f aca="false">IF($B86="","",MAX(0,IF(OR(الموظفون!$AE86="",الموظفون!$AE86&gt;($E$3-1)),($E$3-1),الموظفون!$AE86)-الموظفون!$H86+1-SUMIFS('سجل الإجازات والحالات'!$AR$6:$AR$505,'سجل الإجازات والحالات'!$B$6:$B$505,$B86))/cfg_DAYS_Y)</f>
        <v/>
      </c>
      <c r="AJ86" s="57" t="str">
        <f aca="false">IF($B86="","",MAX(0,AK86-(SUMIFS('سجل الإجازات والحالات'!$AS$6:$AS$505,'سجل الإجازات والحالات'!$B$6:$B$505,$B86)-SUMIFS('سجل الإجازات والحالات'!$AR$6:$AR$505,'سجل الإجازات والحالات'!$B$6:$B$505,$B86))))</f>
        <v/>
      </c>
      <c r="AK86" s="57" t="str">
        <f aca="false">IF($B86="","",MAX(0,IF(OR(الموظفون!$AE86="",الموظفون!$AE86&gt;$F$3),$F$3,الموظفون!$AE86)-MAX($E$3,الموظفون!$H86)+1))</f>
        <v/>
      </c>
      <c r="AL86" s="126" t="str">
        <f aca="false">IF($B86="","",SUMIFS('سجل الإجازات والحالات'!$BE$6:$BE$505,'سجل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والحالات'!$AG$6:$AG$505,'سجل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والحالات'!$AS$6:$AS$505,'سجل الإجازات والحالات'!$B$6:$B$505,$B87))/cfg_DAYS_Y)</f>
        <v/>
      </c>
      <c r="AI87" s="135" t="str">
        <f aca="false">IF($B87="","",MAX(0,IF(OR(الموظفون!$AE87="",الموظفون!$AE87&gt;($E$3-1)),($E$3-1),الموظفون!$AE87)-الموظفون!$H87+1-SUMIFS('سجل الإجازات والحالات'!$AR$6:$AR$505,'سجل الإجازات والحالات'!$B$6:$B$505,$B87))/cfg_DAYS_Y)</f>
        <v/>
      </c>
      <c r="AJ87" s="110" t="str">
        <f aca="false">IF($B87="","",MAX(0,AK87-(SUMIFS('سجل الإجازات والحالات'!$AS$6:$AS$505,'سجل الإجازات والحالات'!$B$6:$B$505,$B87)-SUMIFS('سجل الإجازات والحالات'!$AR$6:$AR$505,'سجل الإجازات والحالات'!$B$6:$B$505,$B87))))</f>
        <v/>
      </c>
      <c r="AK87" s="110" t="str">
        <f aca="false">IF($B87="","",MAX(0,IF(OR(الموظفون!$AE87="",الموظفون!$AE87&gt;$F$3),$F$3,الموظفون!$AE87)-MAX($E$3,الموظفون!$H87)+1))</f>
        <v/>
      </c>
      <c r="AL87" s="131" t="str">
        <f aca="false">IF($B87="","",SUMIFS('سجل الإجازات والحالات'!$BE$6:$BE$505,'سجل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والحالات'!$AG$6:$AG$505,'سجل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والحالات'!$AS$6:$AS$505,'سجل الإجازات والحالات'!$B$6:$B$505,$B88))/cfg_DAYS_Y)</f>
        <v/>
      </c>
      <c r="AI88" s="130" t="str">
        <f aca="false">IF($B88="","",MAX(0,IF(OR(الموظفون!$AE88="",الموظفون!$AE88&gt;($E$3-1)),($E$3-1),الموظفون!$AE88)-الموظفون!$H88+1-SUMIFS('سجل الإجازات والحالات'!$AR$6:$AR$505,'سجل الإجازات والحالات'!$B$6:$B$505,$B88))/cfg_DAYS_Y)</f>
        <v/>
      </c>
      <c r="AJ88" s="57" t="str">
        <f aca="false">IF($B88="","",MAX(0,AK88-(SUMIFS('سجل الإجازات والحالات'!$AS$6:$AS$505,'سجل الإجازات والحالات'!$B$6:$B$505,$B88)-SUMIFS('سجل الإجازات والحالات'!$AR$6:$AR$505,'سجل الإجازات والحالات'!$B$6:$B$505,$B88))))</f>
        <v/>
      </c>
      <c r="AK88" s="57" t="str">
        <f aca="false">IF($B88="","",MAX(0,IF(OR(الموظفون!$AE88="",الموظفون!$AE88&gt;$F$3),$F$3,الموظفون!$AE88)-MAX($E$3,الموظفون!$H88)+1))</f>
        <v/>
      </c>
      <c r="AL88" s="126" t="str">
        <f aca="false">IF($B88="","",SUMIFS('سجل الإجازات والحالات'!$BE$6:$BE$505,'سجل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والحالات'!$AG$6:$AG$505,'سجل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والحالات'!$AS$6:$AS$505,'سجل الإجازات والحالات'!$B$6:$B$505,$B89))/cfg_DAYS_Y)</f>
        <v/>
      </c>
      <c r="AI89" s="135" t="str">
        <f aca="false">IF($B89="","",MAX(0,IF(OR(الموظفون!$AE89="",الموظفون!$AE89&gt;($E$3-1)),($E$3-1),الموظفون!$AE89)-الموظفون!$H89+1-SUMIFS('سجل الإجازات والحالات'!$AR$6:$AR$505,'سجل الإجازات والحالات'!$B$6:$B$505,$B89))/cfg_DAYS_Y)</f>
        <v/>
      </c>
      <c r="AJ89" s="110" t="str">
        <f aca="false">IF($B89="","",MAX(0,AK89-(SUMIFS('سجل الإجازات والحالات'!$AS$6:$AS$505,'سجل الإجازات والحالات'!$B$6:$B$505,$B89)-SUMIFS('سجل الإجازات والحالات'!$AR$6:$AR$505,'سجل الإجازات والحالات'!$B$6:$B$505,$B89))))</f>
        <v/>
      </c>
      <c r="AK89" s="110" t="str">
        <f aca="false">IF($B89="","",MAX(0,IF(OR(الموظفون!$AE89="",الموظفون!$AE89&gt;$F$3),$F$3,الموظفون!$AE89)-MAX($E$3,الموظفون!$H89)+1))</f>
        <v/>
      </c>
      <c r="AL89" s="131" t="str">
        <f aca="false">IF($B89="","",SUMIFS('سجل الإجازات والحالات'!$BE$6:$BE$505,'سجل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والحالات'!$AG$6:$AG$505,'سجل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والحالات'!$AS$6:$AS$505,'سجل الإجازات والحالات'!$B$6:$B$505,$B90))/cfg_DAYS_Y)</f>
        <v/>
      </c>
      <c r="AI90" s="130" t="str">
        <f aca="false">IF($B90="","",MAX(0,IF(OR(الموظفون!$AE90="",الموظفون!$AE90&gt;($E$3-1)),($E$3-1),الموظفون!$AE90)-الموظفون!$H90+1-SUMIFS('سجل الإجازات والحالات'!$AR$6:$AR$505,'سجل الإجازات والحالات'!$B$6:$B$505,$B90))/cfg_DAYS_Y)</f>
        <v/>
      </c>
      <c r="AJ90" s="57" t="str">
        <f aca="false">IF($B90="","",MAX(0,AK90-(SUMIFS('سجل الإجازات والحالات'!$AS$6:$AS$505,'سجل الإجازات والحالات'!$B$6:$B$505,$B90)-SUMIFS('سجل الإجازات والحالات'!$AR$6:$AR$505,'سجل الإجازات والحالات'!$B$6:$B$505,$B90))))</f>
        <v/>
      </c>
      <c r="AK90" s="57" t="str">
        <f aca="false">IF($B90="","",MAX(0,IF(OR(الموظفون!$AE90="",الموظفون!$AE90&gt;$F$3),$F$3,الموظفون!$AE90)-MAX($E$3,الموظفون!$H90)+1))</f>
        <v/>
      </c>
      <c r="AL90" s="126" t="str">
        <f aca="false">IF($B90="","",SUMIFS('سجل الإجازات والحالات'!$BE$6:$BE$505,'سجل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والحالات'!$AG$6:$AG$505,'سجل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والحالات'!$AS$6:$AS$505,'سجل الإجازات والحالات'!$B$6:$B$505,$B91))/cfg_DAYS_Y)</f>
        <v/>
      </c>
      <c r="AI91" s="135" t="str">
        <f aca="false">IF($B91="","",MAX(0,IF(OR(الموظفون!$AE91="",الموظفون!$AE91&gt;($E$3-1)),($E$3-1),الموظفون!$AE91)-الموظفون!$H91+1-SUMIFS('سجل الإجازات والحالات'!$AR$6:$AR$505,'سجل الإجازات والحالات'!$B$6:$B$505,$B91))/cfg_DAYS_Y)</f>
        <v/>
      </c>
      <c r="AJ91" s="110" t="str">
        <f aca="false">IF($B91="","",MAX(0,AK91-(SUMIFS('سجل الإجازات والحالات'!$AS$6:$AS$505,'سجل الإجازات والحالات'!$B$6:$B$505,$B91)-SUMIFS('سجل الإجازات والحالات'!$AR$6:$AR$505,'سجل الإجازات والحالات'!$B$6:$B$505,$B91))))</f>
        <v/>
      </c>
      <c r="AK91" s="110" t="str">
        <f aca="false">IF($B91="","",MAX(0,IF(OR(الموظفون!$AE91="",الموظفون!$AE91&gt;$F$3),$F$3,الموظفون!$AE91)-MAX($E$3,الموظفون!$H91)+1))</f>
        <v/>
      </c>
      <c r="AL91" s="131" t="str">
        <f aca="false">IF($B91="","",SUMIFS('سجل الإجازات والحالات'!$BE$6:$BE$505,'سجل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والحالات'!$AG$6:$AG$505,'سجل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والحالات'!$AS$6:$AS$505,'سجل الإجازات والحالات'!$B$6:$B$505,$B92))/cfg_DAYS_Y)</f>
        <v/>
      </c>
      <c r="AI92" s="130" t="str">
        <f aca="false">IF($B92="","",MAX(0,IF(OR(الموظفون!$AE92="",الموظفون!$AE92&gt;($E$3-1)),($E$3-1),الموظفون!$AE92)-الموظفون!$H92+1-SUMIFS('سجل الإجازات والحالات'!$AR$6:$AR$505,'سجل الإجازات والحالات'!$B$6:$B$505,$B92))/cfg_DAYS_Y)</f>
        <v/>
      </c>
      <c r="AJ92" s="57" t="str">
        <f aca="false">IF($B92="","",MAX(0,AK92-(SUMIFS('سجل الإجازات والحالات'!$AS$6:$AS$505,'سجل الإجازات والحالات'!$B$6:$B$505,$B92)-SUMIFS('سجل الإجازات والحالات'!$AR$6:$AR$505,'سجل الإجازات والحالات'!$B$6:$B$505,$B92))))</f>
        <v/>
      </c>
      <c r="AK92" s="57" t="str">
        <f aca="false">IF($B92="","",MAX(0,IF(OR(الموظفون!$AE92="",الموظفون!$AE92&gt;$F$3),$F$3,الموظفون!$AE92)-MAX($E$3,الموظفون!$H92)+1))</f>
        <v/>
      </c>
      <c r="AL92" s="126" t="str">
        <f aca="false">IF($B92="","",SUMIFS('سجل الإجازات والحالات'!$BE$6:$BE$505,'سجل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والحالات'!$AG$6:$AG$505,'سجل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والحالات'!$AS$6:$AS$505,'سجل الإجازات والحالات'!$B$6:$B$505,$B93))/cfg_DAYS_Y)</f>
        <v/>
      </c>
      <c r="AI93" s="135" t="str">
        <f aca="false">IF($B93="","",MAX(0,IF(OR(الموظفون!$AE93="",الموظفون!$AE93&gt;($E$3-1)),($E$3-1),الموظفون!$AE93)-الموظفون!$H93+1-SUMIFS('سجل الإجازات والحالات'!$AR$6:$AR$505,'سجل الإجازات والحالات'!$B$6:$B$505,$B93))/cfg_DAYS_Y)</f>
        <v/>
      </c>
      <c r="AJ93" s="110" t="str">
        <f aca="false">IF($B93="","",MAX(0,AK93-(SUMIFS('سجل الإجازات والحالات'!$AS$6:$AS$505,'سجل الإجازات والحالات'!$B$6:$B$505,$B93)-SUMIFS('سجل الإجازات والحالات'!$AR$6:$AR$505,'سجل الإجازات والحالات'!$B$6:$B$505,$B93))))</f>
        <v/>
      </c>
      <c r="AK93" s="110" t="str">
        <f aca="false">IF($B93="","",MAX(0,IF(OR(الموظفون!$AE93="",الموظفون!$AE93&gt;$F$3),$F$3,الموظفون!$AE93)-MAX($E$3,الموظفون!$H93)+1))</f>
        <v/>
      </c>
      <c r="AL93" s="131" t="str">
        <f aca="false">IF($B93="","",SUMIFS('سجل الإجازات والحالات'!$BE$6:$BE$505,'سجل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والحالات'!$AG$6:$AG$505,'سجل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والحالات'!$AS$6:$AS$505,'سجل الإجازات والحالات'!$B$6:$B$505,$B94))/cfg_DAYS_Y)</f>
        <v/>
      </c>
      <c r="AI94" s="130" t="str">
        <f aca="false">IF($B94="","",MAX(0,IF(OR(الموظفون!$AE94="",الموظفون!$AE94&gt;($E$3-1)),($E$3-1),الموظفون!$AE94)-الموظفون!$H94+1-SUMIFS('سجل الإجازات والحالات'!$AR$6:$AR$505,'سجل الإجازات والحالات'!$B$6:$B$505,$B94))/cfg_DAYS_Y)</f>
        <v/>
      </c>
      <c r="AJ94" s="57" t="str">
        <f aca="false">IF($B94="","",MAX(0,AK94-(SUMIFS('سجل الإجازات والحالات'!$AS$6:$AS$505,'سجل الإجازات والحالات'!$B$6:$B$505,$B94)-SUMIFS('سجل الإجازات والحالات'!$AR$6:$AR$505,'سجل الإجازات والحالات'!$B$6:$B$505,$B94))))</f>
        <v/>
      </c>
      <c r="AK94" s="57" t="str">
        <f aca="false">IF($B94="","",MAX(0,IF(OR(الموظفون!$AE94="",الموظفون!$AE94&gt;$F$3),$F$3,الموظفون!$AE94)-MAX($E$3,الموظفون!$H94)+1))</f>
        <v/>
      </c>
      <c r="AL94" s="126" t="str">
        <f aca="false">IF($B94="","",SUMIFS('سجل الإجازات والحالات'!$BE$6:$BE$505,'سجل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والحالات'!$AG$6:$AG$505,'سجل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والحالات'!$AS$6:$AS$505,'سجل الإجازات والحالات'!$B$6:$B$505,$B95))/cfg_DAYS_Y)</f>
        <v/>
      </c>
      <c r="AI95" s="135" t="str">
        <f aca="false">IF($B95="","",MAX(0,IF(OR(الموظفون!$AE95="",الموظفون!$AE95&gt;($E$3-1)),($E$3-1),الموظفون!$AE95)-الموظفون!$H95+1-SUMIFS('سجل الإجازات والحالات'!$AR$6:$AR$505,'سجل الإجازات والحالات'!$B$6:$B$505,$B95))/cfg_DAYS_Y)</f>
        <v/>
      </c>
      <c r="AJ95" s="110" t="str">
        <f aca="false">IF($B95="","",MAX(0,AK95-(SUMIFS('سجل الإجازات والحالات'!$AS$6:$AS$505,'سجل الإجازات والحالات'!$B$6:$B$505,$B95)-SUMIFS('سجل الإجازات والحالات'!$AR$6:$AR$505,'سجل الإجازات والحالات'!$B$6:$B$505,$B95))))</f>
        <v/>
      </c>
      <c r="AK95" s="110" t="str">
        <f aca="false">IF($B95="","",MAX(0,IF(OR(الموظفون!$AE95="",الموظفون!$AE95&gt;$F$3),$F$3,الموظفون!$AE95)-MAX($E$3,الموظفون!$H95)+1))</f>
        <v/>
      </c>
      <c r="AL95" s="131" t="str">
        <f aca="false">IF($B95="","",SUMIFS('سجل الإجازات والحالات'!$BE$6:$BE$505,'سجل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والحالات'!$AG$6:$AG$505,'سجل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والحالات'!$AS$6:$AS$505,'سجل الإجازات والحالات'!$B$6:$B$505,$B96))/cfg_DAYS_Y)</f>
        <v/>
      </c>
      <c r="AI96" s="130" t="str">
        <f aca="false">IF($B96="","",MAX(0,IF(OR(الموظفون!$AE96="",الموظفون!$AE96&gt;($E$3-1)),($E$3-1),الموظفون!$AE96)-الموظفون!$H96+1-SUMIFS('سجل الإجازات والحالات'!$AR$6:$AR$505,'سجل الإجازات والحالات'!$B$6:$B$505,$B96))/cfg_DAYS_Y)</f>
        <v/>
      </c>
      <c r="AJ96" s="57" t="str">
        <f aca="false">IF($B96="","",MAX(0,AK96-(SUMIFS('سجل الإجازات والحالات'!$AS$6:$AS$505,'سجل الإجازات والحالات'!$B$6:$B$505,$B96)-SUMIFS('سجل الإجازات والحالات'!$AR$6:$AR$505,'سجل الإجازات والحالات'!$B$6:$B$505,$B96))))</f>
        <v/>
      </c>
      <c r="AK96" s="57" t="str">
        <f aca="false">IF($B96="","",MAX(0,IF(OR(الموظفون!$AE96="",الموظفون!$AE96&gt;$F$3),$F$3,الموظفون!$AE96)-MAX($E$3,الموظفون!$H96)+1))</f>
        <v/>
      </c>
      <c r="AL96" s="126" t="str">
        <f aca="false">IF($B96="","",SUMIFS('سجل الإجازات والحالات'!$BE$6:$BE$505,'سجل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والحالات'!$AG$6:$AG$505,'سجل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والحالات'!$AS$6:$AS$505,'سجل الإجازات والحالات'!$B$6:$B$505,$B97))/cfg_DAYS_Y)</f>
        <v/>
      </c>
      <c r="AI97" s="135" t="str">
        <f aca="false">IF($B97="","",MAX(0,IF(OR(الموظفون!$AE97="",الموظفون!$AE97&gt;($E$3-1)),($E$3-1),الموظفون!$AE97)-الموظفون!$H97+1-SUMIFS('سجل الإجازات والحالات'!$AR$6:$AR$505,'سجل الإجازات والحالات'!$B$6:$B$505,$B97))/cfg_DAYS_Y)</f>
        <v/>
      </c>
      <c r="AJ97" s="110" t="str">
        <f aca="false">IF($B97="","",MAX(0,AK97-(SUMIFS('سجل الإجازات والحالات'!$AS$6:$AS$505,'سجل الإجازات والحالات'!$B$6:$B$505,$B97)-SUMIFS('سجل الإجازات والحالات'!$AR$6:$AR$505,'سجل الإجازات والحالات'!$B$6:$B$505,$B97))))</f>
        <v/>
      </c>
      <c r="AK97" s="110" t="str">
        <f aca="false">IF($B97="","",MAX(0,IF(OR(الموظفون!$AE97="",الموظفون!$AE97&gt;$F$3),$F$3,الموظفون!$AE97)-MAX($E$3,الموظفون!$H97)+1))</f>
        <v/>
      </c>
      <c r="AL97" s="131" t="str">
        <f aca="false">IF($B97="","",SUMIFS('سجل الإجازات والحالات'!$BE$6:$BE$505,'سجل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والحالات'!$AG$6:$AG$505,'سجل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والحالات'!$AS$6:$AS$505,'سجل الإجازات والحالات'!$B$6:$B$505,$B98))/cfg_DAYS_Y)</f>
        <v/>
      </c>
      <c r="AI98" s="130" t="str">
        <f aca="false">IF($B98="","",MAX(0,IF(OR(الموظفون!$AE98="",الموظفون!$AE98&gt;($E$3-1)),($E$3-1),الموظفون!$AE98)-الموظفون!$H98+1-SUMIFS('سجل الإجازات والحالات'!$AR$6:$AR$505,'سجل الإجازات والحالات'!$B$6:$B$505,$B98))/cfg_DAYS_Y)</f>
        <v/>
      </c>
      <c r="AJ98" s="57" t="str">
        <f aca="false">IF($B98="","",MAX(0,AK98-(SUMIFS('سجل الإجازات والحالات'!$AS$6:$AS$505,'سجل الإجازات والحالات'!$B$6:$B$505,$B98)-SUMIFS('سجل الإجازات والحالات'!$AR$6:$AR$505,'سجل الإجازات والحالات'!$B$6:$B$505,$B98))))</f>
        <v/>
      </c>
      <c r="AK98" s="57" t="str">
        <f aca="false">IF($B98="","",MAX(0,IF(OR(الموظفون!$AE98="",الموظفون!$AE98&gt;$F$3),$F$3,الموظفون!$AE98)-MAX($E$3,الموظفون!$H98)+1))</f>
        <v/>
      </c>
      <c r="AL98" s="126" t="str">
        <f aca="false">IF($B98="","",SUMIFS('سجل الإجازات والحالات'!$BE$6:$BE$505,'سجل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والحالات'!$AG$6:$AG$505,'سجل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والحالات'!$AS$6:$AS$505,'سجل الإجازات والحالات'!$B$6:$B$505,$B99))/cfg_DAYS_Y)</f>
        <v/>
      </c>
      <c r="AI99" s="135" t="str">
        <f aca="false">IF($B99="","",MAX(0,IF(OR(الموظفون!$AE99="",الموظفون!$AE99&gt;($E$3-1)),($E$3-1),الموظفون!$AE99)-الموظفون!$H99+1-SUMIFS('سجل الإجازات والحالات'!$AR$6:$AR$505,'سجل الإجازات والحالات'!$B$6:$B$505,$B99))/cfg_DAYS_Y)</f>
        <v/>
      </c>
      <c r="AJ99" s="110" t="str">
        <f aca="false">IF($B99="","",MAX(0,AK99-(SUMIFS('سجل الإجازات والحالات'!$AS$6:$AS$505,'سجل الإجازات والحالات'!$B$6:$B$505,$B99)-SUMIFS('سجل الإجازات والحالات'!$AR$6:$AR$505,'سجل الإجازات والحالات'!$B$6:$B$505,$B99))))</f>
        <v/>
      </c>
      <c r="AK99" s="110" t="str">
        <f aca="false">IF($B99="","",MAX(0,IF(OR(الموظفون!$AE99="",الموظفون!$AE99&gt;$F$3),$F$3,الموظفون!$AE99)-MAX($E$3,الموظفون!$H99)+1))</f>
        <v/>
      </c>
      <c r="AL99" s="131" t="str">
        <f aca="false">IF($B99="","",SUMIFS('سجل الإجازات والحالات'!$BE$6:$BE$505,'سجل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والحالات'!$AG$6:$AG$505,'سجل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والحالات'!$AS$6:$AS$505,'سجل الإجازات والحالات'!$B$6:$B$505,$B100))/cfg_DAYS_Y)</f>
        <v/>
      </c>
      <c r="AI100" s="130" t="str">
        <f aca="false">IF($B100="","",MAX(0,IF(OR(الموظفون!$AE100="",الموظفون!$AE100&gt;($E$3-1)),($E$3-1),الموظفون!$AE100)-الموظفون!$H100+1-SUMIFS('سجل الإجازات والحالات'!$AR$6:$AR$505,'سجل الإجازات والحالات'!$B$6:$B$505,$B100))/cfg_DAYS_Y)</f>
        <v/>
      </c>
      <c r="AJ100" s="57" t="str">
        <f aca="false">IF($B100="","",MAX(0,AK100-(SUMIFS('سجل الإجازات والحالات'!$AS$6:$AS$505,'سجل الإجازات والحالات'!$B$6:$B$505,$B100)-SUMIFS('سجل الإجازات والحالات'!$AR$6:$AR$505,'سجل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والحالات'!$BE$6:$BE$505,'سجل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والحالات'!$AG$6:$AG$505,'سجل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والحالات'!$AS$6:$AS$505,'سجل الإجازات والحالات'!$B$6:$B$505,$B101))/cfg_DAYS_Y)</f>
        <v/>
      </c>
      <c r="AI101" s="135" t="str">
        <f aca="false">IF($B101="","",MAX(0,IF(OR(الموظفون!$AE101="",الموظفون!$AE101&gt;($E$3-1)),($E$3-1),الموظفون!$AE101)-الموظفون!$H101+1-SUMIFS('سجل الإجازات والحالات'!$AR$6:$AR$505,'سجل الإجازات والحالات'!$B$6:$B$505,$B101))/cfg_DAYS_Y)</f>
        <v/>
      </c>
      <c r="AJ101" s="110" t="str">
        <f aca="false">IF($B101="","",MAX(0,AK101-(SUMIFS('سجل الإجازات والحالات'!$AS$6:$AS$505,'سجل الإجازات والحالات'!$B$6:$B$505,$B101)-SUMIFS('سجل الإجازات والحالات'!$AR$6:$AR$505,'سجل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والحالات'!$BE$6:$BE$505,'سجل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والحالات'!$AG$6:$AG$505,'سجل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والحالات'!$AS$6:$AS$505,'سجل الإجازات والحالات'!$B$6:$B$505,$B102))/cfg_DAYS_Y)</f>
        <v/>
      </c>
      <c r="AI102" s="130" t="str">
        <f aca="false">IF($B102="","",MAX(0,IF(OR(الموظفون!$AE102="",الموظفون!$AE102&gt;($E$3-1)),($E$3-1),الموظفون!$AE102)-الموظفون!$H102+1-SUMIFS('سجل الإجازات والحالات'!$AR$6:$AR$505,'سجل الإجازات والحالات'!$B$6:$B$505,$B102))/cfg_DAYS_Y)</f>
        <v/>
      </c>
      <c r="AJ102" s="57" t="str">
        <f aca="false">IF($B102="","",MAX(0,AK102-(SUMIFS('سجل الإجازات والحالات'!$AS$6:$AS$505,'سجل الإجازات والحالات'!$B$6:$B$505,$B102)-SUMIFS('سجل الإجازات والحالات'!$AR$6:$AR$505,'سجل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والحالات'!$BE$6:$BE$505,'سجل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والحالات'!$AG$6:$AG$505,'سجل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والحالات'!$AS$6:$AS$505,'سجل الإجازات والحالات'!$B$6:$B$505,$B103))/cfg_DAYS_Y)</f>
        <v/>
      </c>
      <c r="AI103" s="135" t="str">
        <f aca="false">IF($B103="","",MAX(0,IF(OR(الموظفون!$AE103="",الموظفون!$AE103&gt;($E$3-1)),($E$3-1),الموظفون!$AE103)-الموظفون!$H103+1-SUMIFS('سجل الإجازات والحالات'!$AR$6:$AR$505,'سجل الإجازات والحالات'!$B$6:$B$505,$B103))/cfg_DAYS_Y)</f>
        <v/>
      </c>
      <c r="AJ103" s="110" t="str">
        <f aca="false">IF($B103="","",MAX(0,AK103-(SUMIFS('سجل الإجازات والحالات'!$AS$6:$AS$505,'سجل الإجازات والحالات'!$B$6:$B$505,$B103)-SUMIFS('سجل الإجازات والحالات'!$AR$6:$AR$505,'سجل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والحالات'!$BE$6:$BE$505,'سجل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والحالات'!$AG$6:$AG$505,'سجل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والحالات'!$AS$6:$AS$505,'سجل الإجازات والحالات'!$B$6:$B$505,$B104))/cfg_DAYS_Y)</f>
        <v/>
      </c>
      <c r="AI104" s="130" t="str">
        <f aca="false">IF($B104="","",MAX(0,IF(OR(الموظفون!$AE104="",الموظفون!$AE104&gt;($E$3-1)),($E$3-1),الموظفون!$AE104)-الموظفون!$H104+1-SUMIFS('سجل الإجازات والحالات'!$AR$6:$AR$505,'سجل الإجازات والحالات'!$B$6:$B$505,$B104))/cfg_DAYS_Y)</f>
        <v/>
      </c>
      <c r="AJ104" s="57" t="str">
        <f aca="false">IF($B104="","",MAX(0,AK104-(SUMIFS('سجل الإجازات والحالات'!$AS$6:$AS$505,'سجل الإجازات والحالات'!$B$6:$B$505,$B104)-SUMIFS('سجل الإجازات والحالات'!$AR$6:$AR$505,'سجل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والحالات'!$BE$6:$BE$505,'سجل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والحالات'!$AG$6:$AG$505,'سجل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والحالات'!$AS$6:$AS$505,'سجل الإجازات والحالات'!$B$6:$B$505,$B105))/cfg_DAYS_Y)</f>
        <v/>
      </c>
      <c r="AI105" s="135" t="str">
        <f aca="false">IF($B105="","",MAX(0,IF(OR(الموظفون!$AE105="",الموظفون!$AE105&gt;($E$3-1)),($E$3-1),الموظفون!$AE105)-الموظفون!$H105+1-SUMIFS('سجل الإجازات والحالات'!$AR$6:$AR$505,'سجل الإجازات والحالات'!$B$6:$B$505,$B105))/cfg_DAYS_Y)</f>
        <v/>
      </c>
      <c r="AJ105" s="110" t="str">
        <f aca="false">IF($B105="","",MAX(0,AK105-(SUMIFS('سجل الإجازات والحالات'!$AS$6:$AS$505,'سجل الإجازات والحالات'!$B$6:$B$505,$B105)-SUMIFS('سجل الإجازات والحالات'!$AR$6:$AR$505,'سجل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والحالات'!$BE$6:$BE$505,'سجل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والحالات'!$AG$6:$AG$505,'سجل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1 بدون راتب</v>
      </c>
      <c r="G106" s="103"/>
      <c r="H106" s="136" t="n">
        <f aca="false">SUM(H6:H105)</f>
        <v>0</v>
      </c>
      <c r="I106" s="136" t="n">
        <f aca="false">SUM(I6:I105)</f>
        <v>30</v>
      </c>
      <c r="J106" s="136" t="n">
        <f aca="false">SUM(J6:J105)</f>
        <v>300</v>
      </c>
      <c r="K106" s="103" t="n">
        <f aca="false">SUM(K6:K105)</f>
        <v>128000</v>
      </c>
      <c r="L106" s="103" t="n">
        <f aca="false">SUM(L6:L105)</f>
        <v>32000</v>
      </c>
      <c r="M106" s="103" t="n">
        <f aca="false">SUM(M6:M105)</f>
        <v>12800</v>
      </c>
      <c r="N106" s="103" t="n">
        <f aca="false">SUM(N6:N105)</f>
        <v>9800</v>
      </c>
      <c r="O106" s="136" t="n">
        <f aca="false">SUM(O6:O105)</f>
        <v>0</v>
      </c>
      <c r="P106" s="103" t="n">
        <f aca="false">SUM(P6:P105)</f>
        <v>0</v>
      </c>
      <c r="Q106" s="103" t="n">
        <f aca="false">SUM(Q6:Q105)</f>
        <v>0</v>
      </c>
      <c r="R106" s="103" t="n">
        <f aca="false">SUM(R6:R105)</f>
        <v>0</v>
      </c>
      <c r="S106" s="103" t="n">
        <f aca="false">SUM(S6:S105)</f>
        <v>11475</v>
      </c>
      <c r="T106" s="103" t="n">
        <f aca="false">SUM(T6:T105)</f>
        <v>194075</v>
      </c>
      <c r="U106" s="103" t="n">
        <f aca="false">SUM(U6:U105)</f>
        <v>12370.3125</v>
      </c>
      <c r="V106" s="103" t="n">
        <f aca="false">SUM(V6:V105)</f>
        <v>0</v>
      </c>
      <c r="W106" s="103" t="n">
        <f aca="false">SUM(W6:W105)</f>
        <v>0</v>
      </c>
      <c r="X106" s="103" t="n">
        <f aca="false">SUM(X6:X105)</f>
        <v>12370.3125</v>
      </c>
      <c r="Y106" s="103" t="n">
        <f aca="false">SUM(Y6:Y105)</f>
        <v>181704.6875</v>
      </c>
      <c r="Z106" s="103" t="n">
        <f aca="false">SUM(Z6:Z105)</f>
        <v>15782.8125</v>
      </c>
      <c r="AA106" s="103" t="n">
        <f aca="false">SUM(AA6:AA105)</f>
        <v>14016.8835616439</v>
      </c>
      <c r="AB106" s="103" t="n">
        <f aca="false">SUM(AB6:AB105)</f>
        <v>14670.4315068493</v>
      </c>
      <c r="AC106" s="103" t="n">
        <f aca="false">SUM(AC6:AC105)</f>
        <v>849.315068493151</v>
      </c>
      <c r="AD106" s="103" t="n">
        <f aca="false">SUM(AD6:AD105)</f>
        <v>3416.66666666667</v>
      </c>
      <c r="AE106" s="103" t="n">
        <f aca="false">SUM(AE6:AE105)</f>
        <v>2650</v>
      </c>
      <c r="AF106" s="103" t="n">
        <f aca="false">SUM(AF6:AF105)</f>
        <v>400</v>
      </c>
      <c r="AG106" s="103" t="n">
        <f aca="false">SUM(AG6:AG105)</f>
        <v>245861.109303653</v>
      </c>
      <c r="AH106" s="103"/>
      <c r="AI106" s="103"/>
      <c r="AJ106" s="103"/>
      <c r="AK106" s="103"/>
      <c r="AL106" s="136" t="n">
        <f aca="false">SUM(AL6:AL105)</f>
        <v>0</v>
      </c>
      <c r="AM106" s="103" t="n">
        <f aca="false">SUM(AM6:AM105)</f>
        <v>11475</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5">
    <mergeCell ref="A1:AG1"/>
    <mergeCell ref="A2:AG2"/>
    <mergeCell ref="G3:H3"/>
    <mergeCell ref="J3:K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نوفمبر'!A1" display="◀ الشهر السابق"/>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35B1"/>
    <pageSetUpPr fitToPage="true"/>
  </sheetPr>
  <dimension ref="B1:V20"/>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1"/>
    <col collapsed="false" customWidth="true" hidden="false" outlineLevel="0" max="3" min="3" style="0" width="6"/>
    <col collapsed="false" customWidth="true" hidden="false" outlineLevel="0" max="5" min="4" style="0" width="9"/>
    <col collapsed="false" customWidth="true" hidden="false" outlineLevel="0" max="7" min="6" style="0" width="14"/>
    <col collapsed="false" customWidth="true" hidden="false" outlineLevel="0" max="8" min="8" style="0" width="12"/>
    <col collapsed="false" customWidth="true" hidden="false" outlineLevel="0" max="10" min="9" style="0" width="13"/>
    <col collapsed="false" customWidth="true" hidden="false" outlineLevel="0" max="11" min="11" style="0" width="15"/>
    <col collapsed="false" customWidth="true" hidden="false" outlineLevel="0" max="13" min="12" style="0" width="12"/>
    <col collapsed="false" customWidth="true" hidden="false" outlineLevel="0" max="14" min="14" style="0" width="15"/>
    <col collapsed="false" customWidth="true" hidden="false" outlineLevel="0" max="16" min="15" style="0" width="13"/>
    <col collapsed="false" customWidth="true" hidden="false" outlineLevel="0" max="18" min="17" style="0" width="12"/>
    <col collapsed="false" customWidth="true" hidden="false" outlineLevel="0" max="19" min="19" style="0" width="14"/>
    <col collapsed="false" customWidth="true" hidden="false" outlineLevel="0" max="20" min="20" style="0" width="12"/>
    <col collapsed="false" customWidth="true" hidden="false" outlineLevel="0" max="21" min="21" style="0" width="15"/>
    <col collapsed="false" customWidth="true" hidden="false" outlineLevel="0" max="22" min="22" style="0" width="11"/>
  </cols>
  <sheetData>
    <row r="1" customFormat="false" ht="37.5" hidden="false" customHeight="true" outlineLevel="0" collapsed="false">
      <c r="B1" s="1" t="s">
        <v>469</v>
      </c>
      <c r="C1" s="1"/>
      <c r="D1" s="1"/>
      <c r="E1" s="1"/>
      <c r="F1" s="1"/>
      <c r="G1" s="1"/>
      <c r="H1" s="1"/>
      <c r="I1" s="1"/>
      <c r="J1" s="1"/>
      <c r="K1" s="1"/>
      <c r="L1" s="1"/>
      <c r="M1" s="1"/>
      <c r="N1" s="1"/>
      <c r="O1" s="1"/>
      <c r="P1" s="1"/>
      <c r="Q1" s="1"/>
      <c r="R1" s="1"/>
      <c r="S1" s="1"/>
      <c r="T1" s="1"/>
      <c r="U1" s="1"/>
      <c r="V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c r="T2" s="2"/>
      <c r="U2" s="2"/>
      <c r="V2" s="2"/>
    </row>
    <row r="3" customFormat="false" ht="25.5" hidden="false" customHeight="true" outlineLevel="0" collapsed="false">
      <c r="B3" s="25" t="s">
        <v>80</v>
      </c>
      <c r="C3" s="12" t="s">
        <v>138</v>
      </c>
      <c r="D3" s="26" t="s">
        <v>81</v>
      </c>
      <c r="E3" s="26" t="s">
        <v>82</v>
      </c>
      <c r="F3" s="27" t="s">
        <v>83</v>
      </c>
      <c r="G3" s="26" t="s">
        <v>84</v>
      </c>
      <c r="H3" s="28" t="s">
        <v>85</v>
      </c>
      <c r="I3" s="26" t="s">
        <v>139</v>
      </c>
      <c r="J3" s="26" t="s">
        <v>140</v>
      </c>
    </row>
    <row r="4" customFormat="false" ht="7.5" hidden="false" customHeight="true" outlineLevel="0" collapsed="false"/>
    <row r="5" customFormat="false" ht="43.5" hidden="false" customHeight="true" outlineLevel="0" collapsed="false">
      <c r="B5" s="6" t="s">
        <v>129</v>
      </c>
      <c r="C5" s="6" t="s">
        <v>470</v>
      </c>
      <c r="D5" s="6" t="s">
        <v>123</v>
      </c>
      <c r="E5" s="6" t="s">
        <v>471</v>
      </c>
      <c r="F5" s="6" t="s">
        <v>472</v>
      </c>
      <c r="G5" s="6" t="s">
        <v>473</v>
      </c>
      <c r="H5" s="6" t="s">
        <v>474</v>
      </c>
      <c r="I5" s="6" t="s">
        <v>475</v>
      </c>
      <c r="J5" s="6" t="s">
        <v>476</v>
      </c>
      <c r="K5" s="6" t="s">
        <v>93</v>
      </c>
      <c r="L5" s="6" t="s">
        <v>477</v>
      </c>
      <c r="M5" s="6" t="s">
        <v>131</v>
      </c>
      <c r="N5" s="6" t="s">
        <v>130</v>
      </c>
      <c r="O5" s="6" t="s">
        <v>478</v>
      </c>
      <c r="P5" s="6" t="s">
        <v>37</v>
      </c>
      <c r="Q5" s="6" t="s">
        <v>102</v>
      </c>
      <c r="R5" s="6" t="s">
        <v>479</v>
      </c>
      <c r="S5" s="6" t="s">
        <v>480</v>
      </c>
      <c r="T5" s="6" t="s">
        <v>481</v>
      </c>
      <c r="U5" s="6" t="s">
        <v>96</v>
      </c>
      <c r="V5" s="6" t="s">
        <v>394</v>
      </c>
    </row>
    <row r="6" customFormat="false" ht="15" hidden="false" customHeight="false" outlineLevel="0" collapsed="false">
      <c r="B6" s="137" t="s">
        <v>162</v>
      </c>
      <c r="C6" s="93" t="n">
        <v>1</v>
      </c>
      <c r="D6" s="57" t="n">
        <f aca="false">COUNTIF('مسير يناير'!$G$6:$G$105,"&gt;0")</f>
        <v>11</v>
      </c>
      <c r="E6" s="57" t="n">
        <f aca="false">COUNTIF('مسير يناير'!$I$6:$I$105,"&gt;0")</f>
        <v>0</v>
      </c>
      <c r="F6" s="97" t="n">
        <f aca="false">'مسير يناير'!K106</f>
        <v>132283.333333333</v>
      </c>
      <c r="G6" s="97" t="n">
        <f aca="false">'مسير يناير'!L106+'مسير يناير'!M106+'مسير يناير'!N106</f>
        <v>56589.1666666667</v>
      </c>
      <c r="H6" s="97" t="n">
        <f aca="false">'مسير يناير'!P106</f>
        <v>1838.33333333333</v>
      </c>
      <c r="I6" s="97" t="n">
        <f aca="false">'مسير يناير'!Q106+'مسير يناير'!R106</f>
        <v>0</v>
      </c>
      <c r="J6" s="97" t="n">
        <f aca="false">'مسير يناير'!S106</f>
        <v>0</v>
      </c>
      <c r="K6" s="97" t="n">
        <f aca="false">'مسير يناير'!T106</f>
        <v>190710.833333333</v>
      </c>
      <c r="L6" s="97" t="n">
        <f aca="false">'مسير يناير'!U106</f>
        <v>11273.4375</v>
      </c>
      <c r="M6" s="97" t="n">
        <f aca="false">'مسير يناير'!V106+'مسير يناير'!W106</f>
        <v>1100</v>
      </c>
      <c r="N6" s="97" t="n">
        <f aca="false">'مسير يناير'!Y106</f>
        <v>178337.395833333</v>
      </c>
      <c r="O6" s="97" t="n">
        <f aca="false">'مسير يناير'!Z106</f>
        <v>14585.9375</v>
      </c>
      <c r="P6" s="97" t="n">
        <f aca="false">'مسير يناير'!AA106</f>
        <v>13708.0479452055</v>
      </c>
      <c r="Q6" s="97" t="n">
        <f aca="false">'مسير يناير'!AB106</f>
        <v>14521.3767123288</v>
      </c>
      <c r="R6" s="97" t="n">
        <f aca="false">'مسير يناير'!AC106</f>
        <v>959.72602739726</v>
      </c>
      <c r="S6" s="97" t="n">
        <f aca="false">'مسير يناير'!AD106+'مسير يناير'!AF106</f>
        <v>4670.83333333333</v>
      </c>
      <c r="T6" s="97" t="n">
        <f aca="false">'مسير يناير'!AE106</f>
        <v>2600</v>
      </c>
      <c r="U6" s="97" t="n">
        <f aca="false">'مسير يناير'!AG106</f>
        <v>241756.754851598</v>
      </c>
      <c r="V6" s="80" t="str">
        <f aca="false">IF(C6&lt;=cfg_VAL_M,"✔ فعلي","⚠ متوقع")</f>
        <v>✔ فعلي</v>
      </c>
    </row>
    <row r="7" customFormat="false" ht="15" hidden="false" customHeight="false" outlineLevel="0" collapsed="false">
      <c r="B7" s="138" t="s">
        <v>170</v>
      </c>
      <c r="C7" s="100" t="n">
        <v>2</v>
      </c>
      <c r="D7" s="110" t="n">
        <f aca="false">COUNTIF('مسير فبراير'!$G$6:$G$105,"&gt;0")</f>
        <v>11</v>
      </c>
      <c r="E7" s="110" t="n">
        <f aca="false">COUNTIF('مسير فبراير'!$I$6:$I$105,"&gt;0")</f>
        <v>0</v>
      </c>
      <c r="F7" s="101" t="n">
        <f aca="false">'مسير فبراير'!K106</f>
        <v>132500</v>
      </c>
      <c r="G7" s="101" t="n">
        <f aca="false">'مسير فبراير'!L106+'مسير فبراير'!M106+'مسير فبراير'!N106</f>
        <v>56675</v>
      </c>
      <c r="H7" s="101" t="n">
        <f aca="false">'مسير فبراير'!P106</f>
        <v>540.833333333333</v>
      </c>
      <c r="I7" s="101" t="n">
        <f aca="false">'مسير فبراير'!Q106+'مسير فبراير'!R106</f>
        <v>5000</v>
      </c>
      <c r="J7" s="101" t="n">
        <f aca="false">'مسير فبراير'!S106</f>
        <v>0</v>
      </c>
      <c r="K7" s="101" t="n">
        <f aca="false">'مسير فبراير'!T106</f>
        <v>194715.833333333</v>
      </c>
      <c r="L7" s="101" t="n">
        <f aca="false">'مسير فبراير'!U106</f>
        <v>11273.4375</v>
      </c>
      <c r="M7" s="101" t="n">
        <f aca="false">'مسير فبراير'!V106+'مسير فبراير'!W106</f>
        <v>1000</v>
      </c>
      <c r="N7" s="101" t="n">
        <f aca="false">'مسير فبراير'!Y106</f>
        <v>182442.395833333</v>
      </c>
      <c r="O7" s="101" t="n">
        <f aca="false">'مسير فبراير'!Z106</f>
        <v>14585.9375</v>
      </c>
      <c r="P7" s="101" t="n">
        <f aca="false">'مسير فبراير'!AA106</f>
        <v>12712.1917808219</v>
      </c>
      <c r="Q7" s="101" t="n">
        <f aca="false">'مسير فبراير'!AB106</f>
        <v>13116.0821917808</v>
      </c>
      <c r="R7" s="101" t="n">
        <f aca="false">'مسير فبراير'!AC106</f>
        <v>866.849315068493</v>
      </c>
      <c r="S7" s="101" t="n">
        <f aca="false">'مسير فبراير'!AD106+'مسير فبراير'!AF106</f>
        <v>4670.83333333333</v>
      </c>
      <c r="T7" s="101" t="n">
        <f aca="false">'مسير فبراير'!AE106</f>
        <v>2600</v>
      </c>
      <c r="U7" s="101" t="n">
        <f aca="false">'مسير فبراير'!AG106</f>
        <v>243267.727454338</v>
      </c>
      <c r="V7" s="102" t="str">
        <f aca="false">IF(C7&lt;=cfg_VAL_M,"✔ فعلي","⚠ متوقع")</f>
        <v>✔ فعلي</v>
      </c>
    </row>
    <row r="8" customFormat="false" ht="15" hidden="false" customHeight="false" outlineLevel="0" collapsed="false">
      <c r="B8" s="137" t="s">
        <v>177</v>
      </c>
      <c r="C8" s="93" t="n">
        <v>3</v>
      </c>
      <c r="D8" s="57" t="n">
        <f aca="false">COUNTIF('مسير مارس'!$G$6:$G$105,"&gt;0")</f>
        <v>11</v>
      </c>
      <c r="E8" s="57" t="n">
        <f aca="false">COUNTIF('مسير مارس'!$I$6:$I$105,"&gt;0")</f>
        <v>0</v>
      </c>
      <c r="F8" s="97" t="n">
        <f aca="false">'مسير مارس'!K106</f>
        <v>132500</v>
      </c>
      <c r="G8" s="97" t="n">
        <f aca="false">'مسير مارس'!L106+'مسير مارس'!M106+'مسير مارس'!N106</f>
        <v>56675</v>
      </c>
      <c r="H8" s="97" t="n">
        <f aca="false">'مسير مارس'!P106</f>
        <v>881.25</v>
      </c>
      <c r="I8" s="97" t="n">
        <f aca="false">'مسير مارس'!Q106+'مسير مارس'!R106</f>
        <v>0</v>
      </c>
      <c r="J8" s="97" t="n">
        <f aca="false">'مسير مارس'!S106</f>
        <v>0</v>
      </c>
      <c r="K8" s="97" t="n">
        <f aca="false">'مسير مارس'!T106</f>
        <v>190056.25</v>
      </c>
      <c r="L8" s="97" t="n">
        <f aca="false">'مسير مارس'!U106</f>
        <v>11273.4375</v>
      </c>
      <c r="M8" s="97" t="n">
        <f aca="false">'مسير مارس'!V106+'مسير مارس'!W106</f>
        <v>1000</v>
      </c>
      <c r="N8" s="97" t="n">
        <f aca="false">'مسير مارس'!Y106</f>
        <v>177782.8125</v>
      </c>
      <c r="O8" s="97" t="n">
        <f aca="false">'مسير مارس'!Z106</f>
        <v>14585.9375</v>
      </c>
      <c r="P8" s="97" t="n">
        <f aca="false">'مسير مارس'!AA106</f>
        <v>14074.2123287672</v>
      </c>
      <c r="Q8" s="97" t="n">
        <f aca="false">'مسير مارس'!AB106</f>
        <v>14521.3767123288</v>
      </c>
      <c r="R8" s="97" t="n">
        <f aca="false">'مسير مارس'!AC106</f>
        <v>959.72602739726</v>
      </c>
      <c r="S8" s="97" t="n">
        <f aca="false">'مسير مارس'!AD106+'مسير مارس'!AF106</f>
        <v>4670.83333333333</v>
      </c>
      <c r="T8" s="97" t="n">
        <f aca="false">'مسير مارس'!AE106</f>
        <v>2600</v>
      </c>
      <c r="U8" s="97" t="n">
        <f aca="false">'مسير مارس'!AG106</f>
        <v>241468.335901827</v>
      </c>
      <c r="V8" s="80" t="str">
        <f aca="false">IF(C8&lt;=cfg_VAL_M,"✔ فعلي","⚠ متوقع")</f>
        <v>✔ فعلي</v>
      </c>
    </row>
    <row r="9" customFormat="false" ht="15" hidden="false" customHeight="false" outlineLevel="0" collapsed="false">
      <c r="B9" s="138" t="s">
        <v>184</v>
      </c>
      <c r="C9" s="100" t="n">
        <v>4</v>
      </c>
      <c r="D9" s="110" t="n">
        <f aca="false">COUNTIF('مسير أبريل'!$G$6:$G$105,"&gt;0")</f>
        <v>12</v>
      </c>
      <c r="E9" s="110" t="n">
        <f aca="false">COUNTIF('مسير أبريل'!$I$6:$I$105,"&gt;0")</f>
        <v>0</v>
      </c>
      <c r="F9" s="101" t="n">
        <f aca="false">'مسير أبريل'!K106</f>
        <v>136500</v>
      </c>
      <c r="G9" s="101" t="n">
        <f aca="false">'مسير أبريل'!L106+'مسير أبريل'!M106+'مسير أبريل'!N106</f>
        <v>57975</v>
      </c>
      <c r="H9" s="101" t="n">
        <f aca="false">'مسير أبريل'!P106</f>
        <v>0</v>
      </c>
      <c r="I9" s="101" t="n">
        <f aca="false">'مسير أبريل'!Q106+'مسير أبريل'!R106</f>
        <v>0</v>
      </c>
      <c r="J9" s="101" t="n">
        <f aca="false">'مسير أبريل'!S106</f>
        <v>0</v>
      </c>
      <c r="K9" s="101" t="n">
        <f aca="false">'مسير أبريل'!T106</f>
        <v>194475</v>
      </c>
      <c r="L9" s="101" t="n">
        <f aca="false">'مسير أبريل'!U106</f>
        <v>11858.4375</v>
      </c>
      <c r="M9" s="101" t="n">
        <f aca="false">'مسير أبريل'!V106+'مسير أبريل'!W106</f>
        <v>1000</v>
      </c>
      <c r="N9" s="101" t="n">
        <f aca="false">'مسير أبريل'!Y106</f>
        <v>181616.5625</v>
      </c>
      <c r="O9" s="101" t="n">
        <f aca="false">'مسير أبريل'!Z106</f>
        <v>15290.9375</v>
      </c>
      <c r="P9" s="101" t="n">
        <f aca="false">'مسير أبريل'!AA106</f>
        <v>13886.506849315</v>
      </c>
      <c r="Q9" s="101" t="n">
        <f aca="false">'مسير أبريل'!AB106</f>
        <v>14425.7671232877</v>
      </c>
      <c r="R9" s="101" t="n">
        <f aca="false">'مسير أبريل'!AC106</f>
        <v>928.767123287671</v>
      </c>
      <c r="S9" s="101" t="n">
        <f aca="false">'مسير أبريل'!AD106+'مسير أبريل'!AF106</f>
        <v>4670.83333333333</v>
      </c>
      <c r="T9" s="101" t="n">
        <f aca="false">'مسير أبريل'!AE106</f>
        <v>2706.66666666667</v>
      </c>
      <c r="U9" s="101" t="n">
        <f aca="false">'مسير أبريل'!AG106</f>
        <v>246384.47859589</v>
      </c>
      <c r="V9" s="102" t="str">
        <f aca="false">IF(C9&lt;=cfg_VAL_M,"✔ فعلي","⚠ متوقع")</f>
        <v>✔ فعلي</v>
      </c>
    </row>
    <row r="10" customFormat="false" ht="15" hidden="false" customHeight="false" outlineLevel="0" collapsed="false">
      <c r="B10" s="137" t="s">
        <v>191</v>
      </c>
      <c r="C10" s="93" t="n">
        <v>5</v>
      </c>
      <c r="D10" s="57" t="n">
        <f aca="false">COUNTIF('مسير مايو'!$G$6:$G$105,"&gt;0")</f>
        <v>12</v>
      </c>
      <c r="E10" s="57" t="n">
        <f aca="false">COUNTIF('مسير مايو'!$I$6:$I$105,"&gt;0")</f>
        <v>0</v>
      </c>
      <c r="F10" s="97" t="n">
        <f aca="false">'مسير مايو'!K106</f>
        <v>141500</v>
      </c>
      <c r="G10" s="97" t="n">
        <f aca="false">'مسير مايو'!L106+'مسير مايو'!M106+'مسير مايو'!N106</f>
        <v>59825</v>
      </c>
      <c r="H10" s="97" t="n">
        <f aca="false">'مسير مايو'!P106</f>
        <v>1156.66666666667</v>
      </c>
      <c r="I10" s="97" t="n">
        <f aca="false">'مسير مايو'!Q106+'مسير مايو'!R106</f>
        <v>0</v>
      </c>
      <c r="J10" s="97" t="n">
        <f aca="false">'مسير مايو'!S106</f>
        <v>0</v>
      </c>
      <c r="K10" s="97" t="n">
        <f aca="false">'مسير مايو'!T106</f>
        <v>202481.666666667</v>
      </c>
      <c r="L10" s="97" t="n">
        <f aca="false">'مسير مايو'!U106</f>
        <v>12370.3125</v>
      </c>
      <c r="M10" s="97" t="n">
        <f aca="false">'مسير مايو'!V106+'مسير مايو'!W106</f>
        <v>1000</v>
      </c>
      <c r="N10" s="97" t="n">
        <f aca="false">'مسير مايو'!Y106</f>
        <v>189111.354166667</v>
      </c>
      <c r="O10" s="97" t="n">
        <f aca="false">'مسير مايو'!Z106</f>
        <v>15907.8125</v>
      </c>
      <c r="P10" s="97" t="n">
        <f aca="false">'مسير مايو'!AA106</f>
        <v>14590.1712328767</v>
      </c>
      <c r="Q10" s="97" t="n">
        <f aca="false">'مسير مايو'!AB106</f>
        <v>15243.7191780822</v>
      </c>
      <c r="R10" s="97" t="n">
        <f aca="false">'مسير مايو'!AC106</f>
        <v>959.72602739726</v>
      </c>
      <c r="S10" s="97" t="n">
        <f aca="false">'مسير مايو'!AD106+'مسير مايو'!AF106</f>
        <v>4670.83333333333</v>
      </c>
      <c r="T10" s="97" t="n">
        <f aca="false">'مسير مايو'!AE106</f>
        <v>2800</v>
      </c>
      <c r="U10" s="97" t="n">
        <f aca="false">'مسير مايو'!AG106</f>
        <v>256653.928938356</v>
      </c>
      <c r="V10" s="80" t="str">
        <f aca="false">IF(C10&lt;=cfg_VAL_M,"✔ فعلي","⚠ متوقع")</f>
        <v>✔ فعلي</v>
      </c>
    </row>
    <row r="11" customFormat="false" ht="15" hidden="false" customHeight="false" outlineLevel="0" collapsed="false">
      <c r="B11" s="138" t="s">
        <v>196</v>
      </c>
      <c r="C11" s="100" t="n">
        <v>6</v>
      </c>
      <c r="D11" s="110" t="n">
        <f aca="false">COUNTIF('مسير يونيو'!$G$6:$G$105,"&gt;0")</f>
        <v>12</v>
      </c>
      <c r="E11" s="110" t="n">
        <f aca="false">COUNTIF('مسير يونيو'!$I$6:$I$105,"&gt;0")</f>
        <v>1</v>
      </c>
      <c r="F11" s="101" t="n">
        <f aca="false">'مسير يونيو'!K106</f>
        <v>135000</v>
      </c>
      <c r="G11" s="101" t="n">
        <f aca="false">'مسير يونيو'!L106+'مسير يونيو'!M106+'مسير يونيو'!N106</f>
        <v>57250</v>
      </c>
      <c r="H11" s="101" t="n">
        <f aca="false">'مسير يونيو'!P106</f>
        <v>0</v>
      </c>
      <c r="I11" s="101" t="n">
        <f aca="false">'مسير يونيو'!Q106+'مسير يونيو'!R106</f>
        <v>6500</v>
      </c>
      <c r="J11" s="101" t="n">
        <f aca="false">'مسير يونيو'!S106</f>
        <v>8775</v>
      </c>
      <c r="K11" s="101" t="n">
        <f aca="false">'مسير يونيو'!T106</f>
        <v>207525</v>
      </c>
      <c r="L11" s="101" t="n">
        <f aca="false">'مسير يونيو'!U106</f>
        <v>12370.3125</v>
      </c>
      <c r="M11" s="101" t="n">
        <f aca="false">'مسير يونيو'!V106+'مسير يونيو'!W106</f>
        <v>0</v>
      </c>
      <c r="N11" s="101" t="n">
        <f aca="false">'مسير يونيو'!Y106</f>
        <v>195154.6875</v>
      </c>
      <c r="O11" s="101" t="n">
        <f aca="false">'مسير يونيو'!Z106</f>
        <v>15907.8125</v>
      </c>
      <c r="P11" s="101" t="n">
        <f aca="false">'مسير يونيو'!AA106</f>
        <v>14119.5205479452</v>
      </c>
      <c r="Q11" s="101" t="n">
        <f aca="false">'مسير يونيو'!AB106</f>
        <v>14751.9863013699</v>
      </c>
      <c r="R11" s="101" t="n">
        <f aca="false">'مسير يونيو'!AC106</f>
        <v>928.767123287671</v>
      </c>
      <c r="S11" s="101" t="n">
        <f aca="false">'مسير يونيو'!AD106+'مسير يونيو'!AF106</f>
        <v>4670.83333333333</v>
      </c>
      <c r="T11" s="101" t="n">
        <f aca="false">'مسير يونيو'!AE106</f>
        <v>2800</v>
      </c>
      <c r="U11" s="101" t="n">
        <f aca="false">'مسير يونيو'!AG106</f>
        <v>260703.919805936</v>
      </c>
      <c r="V11" s="102" t="str">
        <f aca="false">IF(C11&lt;=cfg_VAL_M,"✔ فعلي","⚠ متوقع")</f>
        <v>✔ فعلي</v>
      </c>
    </row>
    <row r="12" customFormat="false" ht="15" hidden="false" customHeight="false" outlineLevel="0" collapsed="false">
      <c r="B12" s="137" t="s">
        <v>201</v>
      </c>
      <c r="C12" s="93" t="n">
        <v>7</v>
      </c>
      <c r="D12" s="57" t="n">
        <f aca="false">COUNTIF('مسير يوليو'!$G$6:$G$105,"&gt;0")</f>
        <v>11</v>
      </c>
      <c r="E12" s="57" t="n">
        <f aca="false">COUNTIF('مسير يوليو'!$I$6:$I$105,"&gt;0")</f>
        <v>0</v>
      </c>
      <c r="F12" s="97" t="n">
        <f aca="false">'مسير يوليو'!K106</f>
        <v>136500</v>
      </c>
      <c r="G12" s="97" t="n">
        <f aca="false">'مسير يوليو'!L106+'مسير يوليو'!M106+'مسير يوليو'!N106</f>
        <v>58075</v>
      </c>
      <c r="H12" s="97" t="n">
        <f aca="false">'مسير يوليو'!P106</f>
        <v>0</v>
      </c>
      <c r="I12" s="97" t="n">
        <f aca="false">'مسير يوليو'!Q106+'مسير يوليو'!R106</f>
        <v>8297.2602739726</v>
      </c>
      <c r="J12" s="97" t="n">
        <f aca="false">'مسير يوليو'!S106</f>
        <v>0</v>
      </c>
      <c r="K12" s="97" t="n">
        <f aca="false">'مسير يوليو'!T106</f>
        <v>202872.260273973</v>
      </c>
      <c r="L12" s="97" t="n">
        <f aca="false">'مسير يوليو'!U106</f>
        <v>12370.3125</v>
      </c>
      <c r="M12" s="97" t="n">
        <f aca="false">'مسير يوليو'!V106+'مسير يوليو'!W106</f>
        <v>0</v>
      </c>
      <c r="N12" s="97" t="n">
        <f aca="false">'مسير يوليو'!Y106</f>
        <v>190501.947773973</v>
      </c>
      <c r="O12" s="97" t="n">
        <f aca="false">'مسير يوليو'!Z106</f>
        <v>15782.8125</v>
      </c>
      <c r="P12" s="97" t="n">
        <f aca="false">'مسير يوليو'!AA106</f>
        <v>14016.8835616438</v>
      </c>
      <c r="Q12" s="97" t="n">
        <f aca="false">'مسير يوليو'!AB106</f>
        <v>14670.4315068493</v>
      </c>
      <c r="R12" s="97" t="n">
        <f aca="false">'مسير يوليو'!AC106</f>
        <v>849.315068493151</v>
      </c>
      <c r="S12" s="97" t="n">
        <f aca="false">'مسير يوليو'!AD106+'مسير يوليو'!AF106</f>
        <v>3816.66666666667</v>
      </c>
      <c r="T12" s="97" t="n">
        <f aca="false">'مسير يوليو'!AE106</f>
        <v>2650</v>
      </c>
      <c r="U12" s="97" t="n">
        <f aca="false">'مسير يوليو'!AG106</f>
        <v>254658.369577626</v>
      </c>
      <c r="V12" s="80" t="str">
        <f aca="false">IF(C12&lt;=cfg_VAL_M,"✔ فعلي","⚠ متوقع")</f>
        <v>✔ فعلي</v>
      </c>
    </row>
    <row r="13" customFormat="false" ht="15" hidden="false" customHeight="false" outlineLevel="0" collapsed="false">
      <c r="B13" s="138" t="s">
        <v>206</v>
      </c>
      <c r="C13" s="100" t="n">
        <v>8</v>
      </c>
      <c r="D13" s="110" t="n">
        <f aca="false">COUNTIF('مسير أغسطس'!$G$6:$G$105,"&gt;0")</f>
        <v>11</v>
      </c>
      <c r="E13" s="110" t="n">
        <f aca="false">COUNTIF('مسير أغسطس'!$I$6:$I$105,"&gt;0")</f>
        <v>2</v>
      </c>
      <c r="F13" s="101" t="n">
        <f aca="false">'مسير أغسطس'!K106</f>
        <v>129450</v>
      </c>
      <c r="G13" s="101" t="n">
        <f aca="false">'مسير أغسطس'!L106+'مسير أغسطس'!M106+'مسير أغسطس'!N106</f>
        <v>55117.5</v>
      </c>
      <c r="H13" s="101" t="n">
        <f aca="false">'مسير أغسطس'!P106</f>
        <v>0</v>
      </c>
      <c r="I13" s="101" t="n">
        <f aca="false">'مسير أغسطس'!Q106+'مسير أغسطس'!R106</f>
        <v>0</v>
      </c>
      <c r="J13" s="101" t="n">
        <f aca="false">'مسير أغسطس'!S106</f>
        <v>8505</v>
      </c>
      <c r="K13" s="101" t="n">
        <f aca="false">'مسير أغسطس'!T106</f>
        <v>193072.5</v>
      </c>
      <c r="L13" s="101" t="n">
        <f aca="false">'مسير أغسطس'!U106</f>
        <v>12370.3125</v>
      </c>
      <c r="M13" s="101" t="n">
        <f aca="false">'مسير أغسطس'!V106+'مسير أغسطس'!W106</f>
        <v>0</v>
      </c>
      <c r="N13" s="101" t="n">
        <f aca="false">'مسير أغسطس'!Y106</f>
        <v>180702.1875</v>
      </c>
      <c r="O13" s="101" t="n">
        <f aca="false">'مسير أغسطس'!Z106</f>
        <v>15782.8125</v>
      </c>
      <c r="P13" s="101" t="n">
        <f aca="false">'مسير أغسطس'!AA106</f>
        <v>13975.2739726027</v>
      </c>
      <c r="Q13" s="101" t="n">
        <f aca="false">'مسير أغسطس'!AB106</f>
        <v>14612.1780821918</v>
      </c>
      <c r="R13" s="101" t="n">
        <f aca="false">'مسير أغسطس'!AC106</f>
        <v>849.315068493151</v>
      </c>
      <c r="S13" s="101" t="n">
        <f aca="false">'مسير أغسطس'!AD106+'مسير أغسطس'!AF106</f>
        <v>3816.66666666667</v>
      </c>
      <c r="T13" s="101" t="n">
        <f aca="false">'مسير أغسطس'!AE106</f>
        <v>2650</v>
      </c>
      <c r="U13" s="101" t="n">
        <f aca="false">'مسير أغسطس'!AG106</f>
        <v>244758.746289954</v>
      </c>
      <c r="V13" s="102" t="str">
        <f aca="false">IF(C13&lt;=cfg_VAL_M,"✔ فعلي","⚠ متوقع")</f>
        <v>✔ فعلي</v>
      </c>
    </row>
    <row r="14" customFormat="false" ht="15" hidden="false" customHeight="false" outlineLevel="0" collapsed="false">
      <c r="B14" s="137" t="s">
        <v>211</v>
      </c>
      <c r="C14" s="93" t="n">
        <v>9</v>
      </c>
      <c r="D14" s="57" t="n">
        <f aca="false">COUNTIF('مسير سبتمبر'!$G$6:$G$105,"&gt;0")</f>
        <v>11</v>
      </c>
      <c r="E14" s="57" t="n">
        <f aca="false">COUNTIF('مسير سبتمبر'!$I$6:$I$105,"&gt;0")</f>
        <v>2</v>
      </c>
      <c r="F14" s="97" t="n">
        <f aca="false">'مسير سبتمبر'!K106</f>
        <v>130733.333333333</v>
      </c>
      <c r="G14" s="97" t="n">
        <f aca="false">'مسير سبتمبر'!L106+'مسير سبتمبر'!M106+'مسير سبتمبر'!N106</f>
        <v>55015</v>
      </c>
      <c r="H14" s="97" t="n">
        <f aca="false">'مسير سبتمبر'!P106</f>
        <v>416.25</v>
      </c>
      <c r="I14" s="97" t="n">
        <f aca="false">'مسير سبتمبر'!Q106+'مسير سبتمبر'!R106</f>
        <v>1500</v>
      </c>
      <c r="J14" s="97" t="n">
        <f aca="false">'مسير سبتمبر'!S106</f>
        <v>0</v>
      </c>
      <c r="K14" s="97" t="n">
        <f aca="false">'مسير سبتمبر'!T106</f>
        <v>187664.583333333</v>
      </c>
      <c r="L14" s="97" t="n">
        <f aca="false">'مسير سبتمبر'!U106</f>
        <v>12370.3125</v>
      </c>
      <c r="M14" s="97" t="n">
        <f aca="false">'مسير سبتمبر'!V106+'مسير سبتمبر'!W106</f>
        <v>250</v>
      </c>
      <c r="N14" s="97" t="n">
        <f aca="false">'مسير سبتمبر'!Y106</f>
        <v>175044.270833333</v>
      </c>
      <c r="O14" s="97" t="n">
        <f aca="false">'مسير سبتمبر'!Z106</f>
        <v>15782.8125</v>
      </c>
      <c r="P14" s="97" t="n">
        <f aca="false">'مسير سبتمبر'!AA106</f>
        <v>13035.8219178082</v>
      </c>
      <c r="Q14" s="97" t="n">
        <f aca="false">'مسير سبتمبر'!AB106</f>
        <v>13668.2876712329</v>
      </c>
      <c r="R14" s="97" t="n">
        <f aca="false">'مسير سبتمبر'!AC106</f>
        <v>821.917808219178</v>
      </c>
      <c r="S14" s="97" t="n">
        <f aca="false">'مسير سبتمبر'!AD106+'مسير سبتمبر'!AF106</f>
        <v>3816.66666666667</v>
      </c>
      <c r="T14" s="97" t="n">
        <f aca="false">'مسير سبتمبر'!AE106</f>
        <v>2650</v>
      </c>
      <c r="U14" s="97" t="n">
        <f aca="false">'مسير سبتمبر'!AG106</f>
        <v>237440.08989726</v>
      </c>
      <c r="V14" s="80" t="str">
        <f aca="false">IF(C14&lt;=cfg_VAL_M,"✔ فعلي","⚠ متوقع")</f>
        <v>✔ فعلي</v>
      </c>
    </row>
    <row r="15" customFormat="false" ht="15" hidden="false" customHeight="false" outlineLevel="0" collapsed="false">
      <c r="B15" s="138" t="s">
        <v>216</v>
      </c>
      <c r="C15" s="100" t="n">
        <v>10</v>
      </c>
      <c r="D15" s="110" t="n">
        <f aca="false">COUNTIF('مسير أكتوبر'!$G$6:$G$105,"&gt;0")</f>
        <v>11</v>
      </c>
      <c r="E15" s="110" t="n">
        <f aca="false">COUNTIF('مسير أكتوبر'!$I$6:$I$105,"&gt;0")</f>
        <v>1</v>
      </c>
      <c r="F15" s="101" t="n">
        <f aca="false">'مسير أكتوبر'!K106</f>
        <v>128266.666666667</v>
      </c>
      <c r="G15" s="101" t="n">
        <f aca="false">'مسير أكتوبر'!L106+'مسير أكتوبر'!M106+'مسير أكتوبر'!N106</f>
        <v>53610</v>
      </c>
      <c r="H15" s="101" t="n">
        <f aca="false">'مسير أكتوبر'!P106</f>
        <v>0</v>
      </c>
      <c r="I15" s="101" t="n">
        <f aca="false">'مسير أكتوبر'!Q106+'مسير أكتوبر'!R106</f>
        <v>0</v>
      </c>
      <c r="J15" s="101" t="n">
        <f aca="false">'مسير أكتوبر'!S106</f>
        <v>0</v>
      </c>
      <c r="K15" s="101" t="n">
        <f aca="false">'مسير أكتوبر'!T106</f>
        <v>181876.666666667</v>
      </c>
      <c r="L15" s="101" t="n">
        <f aca="false">'مسير أكتوبر'!U106</f>
        <v>12370.3125</v>
      </c>
      <c r="M15" s="101" t="n">
        <f aca="false">'مسير أكتوبر'!V106+'مسير أكتوبر'!W106</f>
        <v>0</v>
      </c>
      <c r="N15" s="101" t="n">
        <f aca="false">'مسير أكتوبر'!Y106</f>
        <v>169506.354166667</v>
      </c>
      <c r="O15" s="101" t="n">
        <f aca="false">'مسير أكتوبر'!Z106</f>
        <v>15782.8125</v>
      </c>
      <c r="P15" s="101" t="n">
        <f aca="false">'مسير أكتوبر'!AA106</f>
        <v>13103.3219178082</v>
      </c>
      <c r="Q15" s="101" t="n">
        <f aca="false">'مسير أكتوبر'!AB106</f>
        <v>13756.8698630137</v>
      </c>
      <c r="R15" s="101" t="n">
        <f aca="false">'مسير أكتوبر'!AC106</f>
        <v>849.315068493151</v>
      </c>
      <c r="S15" s="101" t="n">
        <f aca="false">'مسير أكتوبر'!AD106+'مسير أكتوبر'!AF106</f>
        <v>3816.66666666667</v>
      </c>
      <c r="T15" s="101" t="n">
        <f aca="false">'مسير أكتوبر'!AE106</f>
        <v>2650</v>
      </c>
      <c r="U15" s="101" t="n">
        <f aca="false">'مسير أكتوبر'!AG106</f>
        <v>231835.652682648</v>
      </c>
      <c r="V15" s="102" t="str">
        <f aca="false">IF(C15&lt;=cfg_VAL_M,"✔ فعلي","⚠ متوقع")</f>
        <v>⚠ متوقع</v>
      </c>
    </row>
    <row r="16" customFormat="false" ht="15" hidden="false" customHeight="false" outlineLevel="0" collapsed="false">
      <c r="B16" s="137" t="s">
        <v>220</v>
      </c>
      <c r="C16" s="93" t="n">
        <v>11</v>
      </c>
      <c r="D16" s="57" t="n">
        <f aca="false">COUNTIF('مسير نوفمبر'!$G$6:$G$105,"&gt;0")</f>
        <v>11</v>
      </c>
      <c r="E16" s="57" t="n">
        <f aca="false">COUNTIF('مسير نوفمبر'!$I$6:$I$105,"&gt;0")</f>
        <v>0</v>
      </c>
      <c r="F16" s="97" t="n">
        <f aca="false">'مسير نوفمبر'!K106</f>
        <v>136500</v>
      </c>
      <c r="G16" s="97" t="n">
        <f aca="false">'مسير نوفمبر'!L106+'مسير نوفمبر'!M106+'مسير نوفمبر'!N106</f>
        <v>58075</v>
      </c>
      <c r="H16" s="97" t="n">
        <f aca="false">'مسير نوفمبر'!P106</f>
        <v>0</v>
      </c>
      <c r="I16" s="97" t="n">
        <f aca="false">'مسير نوفمبر'!Q106+'مسير نوفمبر'!R106</f>
        <v>0</v>
      </c>
      <c r="J16" s="97" t="n">
        <f aca="false">'مسير نوفمبر'!S106</f>
        <v>0</v>
      </c>
      <c r="K16" s="97" t="n">
        <f aca="false">'مسير نوفمبر'!T106</f>
        <v>194575</v>
      </c>
      <c r="L16" s="97" t="n">
        <f aca="false">'مسير نوفمبر'!U106</f>
        <v>12370.3125</v>
      </c>
      <c r="M16" s="97" t="n">
        <f aca="false">'مسير نوفمبر'!V106+'مسير نوفمبر'!W106</f>
        <v>0</v>
      </c>
      <c r="N16" s="97" t="n">
        <f aca="false">'مسير نوفمبر'!Y106</f>
        <v>182204.6875</v>
      </c>
      <c r="O16" s="97" t="n">
        <f aca="false">'مسير نوفمبر'!Z106</f>
        <v>15782.8125</v>
      </c>
      <c r="P16" s="97" t="n">
        <f aca="false">'مسير نوفمبر'!AA106</f>
        <v>13564.7260273973</v>
      </c>
      <c r="Q16" s="97" t="n">
        <f aca="false">'مسير نوفمبر'!AB106</f>
        <v>14197.1917808219</v>
      </c>
      <c r="R16" s="97" t="n">
        <f aca="false">'مسير نوفمبر'!AC106</f>
        <v>821.917808219178</v>
      </c>
      <c r="S16" s="97" t="n">
        <f aca="false">'مسير نوفمبر'!AD106+'مسير نوفمبر'!AF106</f>
        <v>3816.66666666667</v>
      </c>
      <c r="T16" s="97" t="n">
        <f aca="false">'مسير نوفمبر'!AE106</f>
        <v>2650</v>
      </c>
      <c r="U16" s="97" t="n">
        <f aca="false">'مسير نوفمبر'!AG106</f>
        <v>245408.314783105</v>
      </c>
      <c r="V16" s="80" t="str">
        <f aca="false">IF(C16&lt;=cfg_VAL_M,"✔ فعلي","⚠ متوقع")</f>
        <v>⚠ متوقع</v>
      </c>
    </row>
    <row r="17" customFormat="false" ht="15" hidden="false" customHeight="false" outlineLevel="0" collapsed="false">
      <c r="B17" s="138" t="s">
        <v>223</v>
      </c>
      <c r="C17" s="100" t="n">
        <v>12</v>
      </c>
      <c r="D17" s="110" t="n">
        <f aca="false">COUNTIF('مسير ديسمبر'!$G$6:$G$105,"&gt;0")</f>
        <v>11</v>
      </c>
      <c r="E17" s="110" t="n">
        <f aca="false">COUNTIF('مسير ديسمبر'!$I$6:$I$105,"&gt;0")</f>
        <v>1</v>
      </c>
      <c r="F17" s="101" t="n">
        <f aca="false">'مسير ديسمبر'!K106</f>
        <v>128000</v>
      </c>
      <c r="G17" s="101" t="n">
        <f aca="false">'مسير ديسمبر'!L106+'مسير ديسمبر'!M106+'مسير ديسمبر'!N106</f>
        <v>54600</v>
      </c>
      <c r="H17" s="101" t="n">
        <f aca="false">'مسير ديسمبر'!P106</f>
        <v>0</v>
      </c>
      <c r="I17" s="101" t="n">
        <f aca="false">'مسير ديسمبر'!Q106+'مسير ديسمبر'!R106</f>
        <v>0</v>
      </c>
      <c r="J17" s="101" t="n">
        <f aca="false">'مسير ديسمبر'!S106</f>
        <v>11475</v>
      </c>
      <c r="K17" s="101" t="n">
        <f aca="false">'مسير ديسمبر'!T106</f>
        <v>194075</v>
      </c>
      <c r="L17" s="101" t="n">
        <f aca="false">'مسير ديسمبر'!U106</f>
        <v>12370.3125</v>
      </c>
      <c r="M17" s="101" t="n">
        <f aca="false">'مسير ديسمبر'!V106+'مسير ديسمبر'!W106</f>
        <v>0</v>
      </c>
      <c r="N17" s="101" t="n">
        <f aca="false">'مسير ديسمبر'!Y106</f>
        <v>181704.6875</v>
      </c>
      <c r="O17" s="101" t="n">
        <f aca="false">'مسير ديسمبر'!Z106</f>
        <v>15782.8125</v>
      </c>
      <c r="P17" s="101" t="n">
        <f aca="false">'مسير ديسمبر'!AA106</f>
        <v>14016.8835616439</v>
      </c>
      <c r="Q17" s="101" t="n">
        <f aca="false">'مسير ديسمبر'!AB106</f>
        <v>14670.4315068493</v>
      </c>
      <c r="R17" s="101" t="n">
        <f aca="false">'مسير ديسمبر'!AC106</f>
        <v>849.315068493151</v>
      </c>
      <c r="S17" s="101" t="n">
        <f aca="false">'مسير ديسمبر'!AD106+'مسير ديسمبر'!AF106</f>
        <v>3816.66666666667</v>
      </c>
      <c r="T17" s="101" t="n">
        <f aca="false">'مسير ديسمبر'!AE106</f>
        <v>2650</v>
      </c>
      <c r="U17" s="101" t="n">
        <f aca="false">'مسير ديسمبر'!AG106</f>
        <v>245861.109303653</v>
      </c>
      <c r="V17" s="102" t="str">
        <f aca="false">IF(C17&lt;=cfg_VAL_M,"✔ فعلي","⚠ متوقع")</f>
        <v>⚠ متوقع</v>
      </c>
    </row>
    <row r="18" customFormat="false" ht="24" hidden="false" customHeight="true" outlineLevel="0" collapsed="false">
      <c r="B18" s="103" t="s">
        <v>135</v>
      </c>
      <c r="C18" s="103"/>
      <c r="D18" s="103"/>
      <c r="E18" s="103"/>
      <c r="F18" s="103" t="n">
        <f aca="false">SUM(F6:F17)</f>
        <v>1599733.33333333</v>
      </c>
      <c r="G18" s="103" t="n">
        <f aca="false">SUM(G6:G17)</f>
        <v>679481.666666667</v>
      </c>
      <c r="H18" s="103" t="n">
        <f aca="false">SUM(H6:H17)</f>
        <v>4833.33333333333</v>
      </c>
      <c r="I18" s="103" t="n">
        <f aca="false">SUM(I6:I17)</f>
        <v>21297.2602739726</v>
      </c>
      <c r="J18" s="103" t="n">
        <f aca="false">SUM(J6:J17)</f>
        <v>28755</v>
      </c>
      <c r="K18" s="103" t="n">
        <f aca="false">SUM(K6:K17)</f>
        <v>2334100.59360731</v>
      </c>
      <c r="L18" s="103" t="n">
        <f aca="false">SUM(L6:L17)</f>
        <v>144641.25</v>
      </c>
      <c r="M18" s="103" t="n">
        <f aca="false">SUM(M6:M17)</f>
        <v>5350</v>
      </c>
      <c r="N18" s="103" t="n">
        <f aca="false">SUM(N6:N17)</f>
        <v>2184109.34360731</v>
      </c>
      <c r="O18" s="103" t="n">
        <f aca="false">SUM(O6:O17)</f>
        <v>185561.25</v>
      </c>
      <c r="P18" s="103" t="n">
        <f aca="false">SUM(P6:P17)</f>
        <v>164803.561643836</v>
      </c>
      <c r="Q18" s="103" t="n">
        <f aca="false">SUM(Q6:Q17)</f>
        <v>172155.698630137</v>
      </c>
      <c r="R18" s="103" t="n">
        <f aca="false">SUM(R6:R17)</f>
        <v>10644.6575342466</v>
      </c>
      <c r="S18" s="103" t="n">
        <f aca="false">SUM(S6:S17)</f>
        <v>50925</v>
      </c>
      <c r="T18" s="103" t="n">
        <f aca="false">SUM(T6:T17)</f>
        <v>32006.6666666667</v>
      </c>
      <c r="U18" s="103" t="n">
        <f aca="false">SUM(U6:U17)</f>
        <v>2950197.42808219</v>
      </c>
      <c r="V18" s="103"/>
    </row>
    <row r="19" customFormat="false" ht="15" hidden="false" customHeight="false" outlineLevel="0" collapsed="false">
      <c r="B19" s="139" t="str">
        <f aca="false">"حتى "&amp;INDEX(L_MONTH,cfg_VAL_M)</f>
        <v>حتى سبتمبر</v>
      </c>
      <c r="C19" s="140"/>
      <c r="D19" s="141" t="n">
        <f aca="false">INDEX(D6:D17,cfg_VAL_M)</f>
        <v>11</v>
      </c>
      <c r="E19" s="140"/>
      <c r="F19" s="142" t="n">
        <f aca="false">SUMIF($C$6:$C$17,"&lt;="&amp;cfg_VAL_M,F6:F17)</f>
        <v>1206966.66666667</v>
      </c>
      <c r="G19" s="142" t="n">
        <f aca="false">SUMIF($C$6:$C$17,"&lt;="&amp;cfg_VAL_M,G6:G17)</f>
        <v>513196.666666667</v>
      </c>
      <c r="H19" s="142" t="n">
        <f aca="false">SUMIF($C$6:$C$17,"&lt;="&amp;cfg_VAL_M,H6:H17)</f>
        <v>4833.33333333333</v>
      </c>
      <c r="I19" s="142" t="n">
        <f aca="false">SUMIF($C$6:$C$17,"&lt;="&amp;cfg_VAL_M,I6:I17)</f>
        <v>21297.2602739726</v>
      </c>
      <c r="J19" s="142" t="n">
        <f aca="false">SUMIF($C$6:$C$17,"&lt;="&amp;cfg_VAL_M,J6:J17)</f>
        <v>17280</v>
      </c>
      <c r="K19" s="142" t="n">
        <f aca="false">SUMIF($C$6:$C$17,"&lt;="&amp;cfg_VAL_M,K6:K17)</f>
        <v>1763573.92694064</v>
      </c>
      <c r="L19" s="142" t="n">
        <f aca="false">SUMIF($C$6:$C$17,"&lt;="&amp;cfg_VAL_M,L6:L17)</f>
        <v>107530.3125</v>
      </c>
      <c r="M19" s="142" t="n">
        <f aca="false">SUMIF($C$6:$C$17,"&lt;="&amp;cfg_VAL_M,M6:M17)</f>
        <v>5350</v>
      </c>
      <c r="N19" s="142" t="n">
        <f aca="false">SUMIF($C$6:$C$17,"&lt;="&amp;cfg_VAL_M,N6:N17)</f>
        <v>1650693.61444064</v>
      </c>
      <c r="O19" s="142" t="n">
        <f aca="false">SUMIF($C$6:$C$17,"&lt;="&amp;cfg_VAL_M,O6:O17)</f>
        <v>138212.8125</v>
      </c>
      <c r="P19" s="142" t="n">
        <f aca="false">SUMIF($C$6:$C$17,"&lt;="&amp;cfg_VAL_M,P6:P17)</f>
        <v>124118.630136986</v>
      </c>
      <c r="Q19" s="142" t="n">
        <f aca="false">SUMIF($C$6:$C$17,"&lt;="&amp;cfg_VAL_M,Q6:Q17)</f>
        <v>129531.205479452</v>
      </c>
      <c r="R19" s="142" t="n">
        <f aca="false">SUMIF($C$6:$C$17,"&lt;="&amp;cfg_VAL_M,R6:R17)</f>
        <v>8124.1095890411</v>
      </c>
      <c r="S19" s="142" t="n">
        <f aca="false">SUMIF($C$6:$C$17,"&lt;="&amp;cfg_VAL_M,S6:S17)</f>
        <v>39475</v>
      </c>
      <c r="T19" s="142" t="n">
        <f aca="false">SUMIF($C$6:$C$17,"&lt;="&amp;cfg_VAL_M,T6:T17)</f>
        <v>24056.6666666667</v>
      </c>
      <c r="U19" s="142" t="n">
        <f aca="false">SUMIF($C$6:$C$17,"&lt;="&amp;cfg_VAL_M,U6:U17)</f>
        <v>2227092.35131279</v>
      </c>
      <c r="V19" s="140"/>
    </row>
    <row r="20" customFormat="false" ht="30" hidden="false" customHeight="true" outlineLevel="0" collapsed="false">
      <c r="B20" s="24" t="s">
        <v>482</v>
      </c>
      <c r="C20" s="24"/>
      <c r="D20" s="24"/>
      <c r="E20" s="24"/>
      <c r="F20" s="24"/>
      <c r="G20" s="24"/>
      <c r="H20" s="24"/>
      <c r="I20" s="24"/>
      <c r="J20" s="24"/>
      <c r="K20" s="24"/>
      <c r="L20" s="24"/>
      <c r="M20" s="24"/>
      <c r="N20" s="24"/>
      <c r="O20" s="24"/>
      <c r="P20" s="24"/>
      <c r="Q20" s="24"/>
      <c r="R20" s="24"/>
      <c r="S20" s="24"/>
      <c r="T20" s="24"/>
      <c r="U20" s="24"/>
      <c r="V20" s="24"/>
    </row>
  </sheetData>
  <mergeCells count="3">
    <mergeCell ref="B1:V1"/>
    <mergeCell ref="B2:V2"/>
    <mergeCell ref="B20:V20"/>
  </mergeCells>
  <conditionalFormatting sqref="V6:V17">
    <cfRule type="expression" priority="2" aboveAverage="0" equalAverage="0" bottom="0" percent="0" rank="0" text="" dxfId="0">
      <formula>ISNUMBER(SEARCH("✔",V6))</formula>
    </cfRule>
    <cfRule type="expression" priority="3" aboveAverage="0" equalAverage="0" bottom="0" percent="0" rank="0" text="" dxfId="1">
      <formula>ISNUMBER(SEARCH("✖",V6))</formula>
    </cfRule>
    <cfRule type="expression" priority="4" aboveAverage="0" equalAverage="0" bottom="0" percent="0" rank="0" text="" dxfId="2">
      <formula>ISNUMBER(SEARCH("⚠",V6))</formula>
    </cfRule>
    <cfRule type="expression" priority="5" aboveAverage="0" equalAverage="0" bottom="0" percent="0" rank="0" text="" dxfId="3">
      <formula>ISNUMBER(SEARCH("✈",V6))</formula>
    </cfRule>
    <cfRule type="expression" priority="6" aboveAverage="0" equalAverage="0" bottom="0" percent="0" rank="0" text="" dxfId="1">
      <formula>ISNUMBER(SEARCH("⛔",V6))</formula>
    </cfRule>
    <cfRule type="expression" priority="7" aboveAverage="0" equalAverage="0" bottom="0" percent="0" rank="0" text="" dxfId="0">
      <formula>ISNUMBER(SEARCH("🌴",V6))</formula>
    </cfRule>
    <cfRule type="expression" priority="8" aboveAverage="0" equalAverage="0" bottom="0" percent="0" rank="0" text="" dxfId="4">
      <formula>ISNUMBER(SEARCH("⏳",V6))</formula>
    </cfRule>
  </conditionalFormatting>
  <conditionalFormatting sqref="B6:U17">
    <cfRule type="expression" priority="9" aboveAverage="0" equalAverage="0" bottom="0" percent="0" rank="0" text="" dxfId="5">
      <formula>$C6=cfg_VAL_M</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قيود الرواتب'!A1" display="🧾 القيود"/>
    <hyperlink ref="J3" location="'قسيمة الراتب'!A1" display="💳 القسيمة"/>
    <hyperlink ref="B6" location="'مسير يناير'!A1" display="يناير"/>
    <hyperlink ref="B7" location="'مسير فبراير'!A1" display="فبراير"/>
    <hyperlink ref="B8" location="'مسير مارس'!A1" display="مارس"/>
    <hyperlink ref="B9" location="'مسير أبريل'!A1" display="أبريل"/>
    <hyperlink ref="B10" location="'مسير مايو'!A1" display="مايو"/>
    <hyperlink ref="B11" location="'مسير يونيو'!A1" display="يونيو"/>
    <hyperlink ref="B12" location="'مسير يوليو'!A1" display="يوليو"/>
    <hyperlink ref="B13" location="'مسير أغسطس'!A1" display="أغسطس"/>
    <hyperlink ref="B14" location="'مسير سبتمبر'!A1" display="سبتمبر"/>
    <hyperlink ref="B15" location="'مسير أكتوبر'!A1" display="أكتوبر"/>
    <hyperlink ref="B16" location="'مسير نوفمبر'!A1" display="نوفمبر"/>
    <hyperlink ref="B17" location="'مسير ديسمبر'!A1" display="ديسمبر"/>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35B1"/>
    <pageSetUpPr fitToPage="true"/>
  </sheetPr>
  <dimension ref="B1:AH106"/>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24"/>
    <col collapsed="false" customWidth="true" hidden="false" outlineLevel="0" max="4" min="4" style="0" width="15"/>
    <col collapsed="false" customWidth="true" hidden="false" outlineLevel="0" max="5" min="5" style="0" width="10"/>
    <col collapsed="false" customWidth="true" hidden="false" outlineLevel="0" max="17" min="6" style="0" width="10.5"/>
    <col collapsed="false" customWidth="true" hidden="false" outlineLevel="0" max="18" min="18" style="0" width="14"/>
    <col collapsed="false" customWidth="true" hidden="false" outlineLevel="0" max="19" min="19" style="0" width="3"/>
    <col collapsed="false" customWidth="true" hidden="false" outlineLevel="0" max="31" min="20" style="0" width="10.5"/>
    <col collapsed="false" customWidth="true" hidden="false" outlineLevel="0" max="34" min="32" style="0" width="14"/>
  </cols>
  <sheetData>
    <row r="1" customFormat="false" ht="37.5" hidden="false" customHeight="true" outlineLevel="0" collapsed="false">
      <c r="B1" s="1" t="s">
        <v>483</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row>
    <row r="3" customFormat="false" ht="25.5" hidden="false" customHeight="true" outlineLevel="0" collapsed="false">
      <c r="B3" s="25" t="s">
        <v>80</v>
      </c>
      <c r="C3" s="12" t="s">
        <v>138</v>
      </c>
      <c r="D3" s="26" t="s">
        <v>81</v>
      </c>
      <c r="E3" s="26" t="s">
        <v>82</v>
      </c>
      <c r="F3" s="27" t="s">
        <v>83</v>
      </c>
      <c r="G3" s="26" t="s">
        <v>84</v>
      </c>
      <c r="H3" s="28" t="s">
        <v>85</v>
      </c>
      <c r="I3" s="26" t="s">
        <v>39</v>
      </c>
      <c r="J3" s="26" t="s">
        <v>139</v>
      </c>
    </row>
    <row r="4" customFormat="false" ht="21.75" hidden="false" customHeight="true" outlineLevel="0" collapsed="false">
      <c r="F4" s="20" t="s">
        <v>484</v>
      </c>
      <c r="G4" s="20"/>
      <c r="H4" s="20"/>
      <c r="I4" s="20"/>
      <c r="J4" s="20"/>
      <c r="K4" s="20"/>
      <c r="L4" s="20"/>
      <c r="M4" s="20"/>
      <c r="N4" s="20"/>
      <c r="O4" s="20"/>
      <c r="P4" s="20"/>
      <c r="Q4" s="20"/>
      <c r="R4" s="20"/>
      <c r="T4" s="69" t="s">
        <v>485</v>
      </c>
      <c r="U4" s="69"/>
      <c r="V4" s="69"/>
      <c r="W4" s="69"/>
      <c r="X4" s="69"/>
      <c r="Y4" s="69"/>
      <c r="Z4" s="69"/>
      <c r="AA4" s="69"/>
      <c r="AB4" s="69"/>
      <c r="AC4" s="69"/>
      <c r="AD4" s="69"/>
      <c r="AE4" s="69"/>
      <c r="AF4" s="69"/>
    </row>
    <row r="5" customFormat="false" ht="39.75" hidden="false" customHeight="true" outlineLevel="0" collapsed="false">
      <c r="B5" s="6" t="s">
        <v>486</v>
      </c>
      <c r="C5" s="6" t="s">
        <v>274</v>
      </c>
      <c r="D5" s="6" t="s">
        <v>122</v>
      </c>
      <c r="E5" s="6" t="s">
        <v>108</v>
      </c>
      <c r="F5" s="6" t="s">
        <v>162</v>
      </c>
      <c r="G5" s="6" t="s">
        <v>170</v>
      </c>
      <c r="H5" s="6" t="s">
        <v>177</v>
      </c>
      <c r="I5" s="6" t="s">
        <v>184</v>
      </c>
      <c r="J5" s="6" t="s">
        <v>191</v>
      </c>
      <c r="K5" s="6" t="s">
        <v>196</v>
      </c>
      <c r="L5" s="6" t="s">
        <v>201</v>
      </c>
      <c r="M5" s="6" t="s">
        <v>206</v>
      </c>
      <c r="N5" s="6" t="s">
        <v>211</v>
      </c>
      <c r="O5" s="6" t="s">
        <v>216</v>
      </c>
      <c r="P5" s="6" t="s">
        <v>220</v>
      </c>
      <c r="Q5" s="6" t="s">
        <v>223</v>
      </c>
      <c r="R5" s="6" t="s">
        <v>487</v>
      </c>
      <c r="T5" s="6" t="s">
        <v>162</v>
      </c>
      <c r="U5" s="6" t="s">
        <v>170</v>
      </c>
      <c r="V5" s="6" t="s">
        <v>177</v>
      </c>
      <c r="W5" s="6" t="s">
        <v>184</v>
      </c>
      <c r="X5" s="6" t="s">
        <v>191</v>
      </c>
      <c r="Y5" s="6" t="s">
        <v>196</v>
      </c>
      <c r="Z5" s="6" t="s">
        <v>201</v>
      </c>
      <c r="AA5" s="6" t="s">
        <v>206</v>
      </c>
      <c r="AB5" s="6" t="s">
        <v>211</v>
      </c>
      <c r="AC5" s="6" t="s">
        <v>216</v>
      </c>
      <c r="AD5" s="6" t="s">
        <v>220</v>
      </c>
      <c r="AE5" s="6" t="s">
        <v>223</v>
      </c>
      <c r="AF5" s="6" t="s">
        <v>488</v>
      </c>
      <c r="AG5" s="6" t="s">
        <v>489</v>
      </c>
      <c r="AH5" s="6" t="s">
        <v>490</v>
      </c>
    </row>
    <row r="6" customFormat="false" ht="15" hidden="false" customHeight="false" outlineLevel="0" collapsed="false">
      <c r="B6" s="80" t="str">
        <f aca="false">IF(الموظفون!$B6="","",الموظفون!$B6)</f>
        <v>E001</v>
      </c>
      <c r="C6" s="80" t="str">
        <f aca="false">IF(الموظفون!$B6="","",الموظفون!$C6)</f>
        <v>عبدالله محمد العتيبي</v>
      </c>
      <c r="D6" s="80" t="str">
        <f aca="false">IF(الموظفون!$B6="","",الموظفون!$F6)</f>
        <v>الإدارة العليا</v>
      </c>
      <c r="E6" s="80" t="str">
        <f aca="false">IF(الموظفون!$B6="","",الموظفون!$E6)</f>
        <v>سعودي</v>
      </c>
      <c r="F6" s="97" t="n">
        <f aca="false">IF($B6="","",'مسير يناير'!T6)</f>
        <v>40800</v>
      </c>
      <c r="G6" s="97" t="n">
        <f aca="false">IF($B6="","",'مسير فبراير'!T6)</f>
        <v>40800</v>
      </c>
      <c r="H6" s="97" t="n">
        <f aca="false">IF($B6="","",'مسير مارس'!T6)</f>
        <v>40800</v>
      </c>
      <c r="I6" s="97" t="n">
        <f aca="false">IF($B6="","",'مسير أبريل'!T6)</f>
        <v>40800</v>
      </c>
      <c r="J6" s="97" t="n">
        <f aca="false">IF($B6="","",'مسير مايو'!T6)</f>
        <v>40800</v>
      </c>
      <c r="K6" s="97" t="n">
        <f aca="false">IF($B6="","",'مسير يونيو'!T6)</f>
        <v>40800</v>
      </c>
      <c r="L6" s="97" t="n">
        <f aca="false">IF($B6="","",'مسير يوليو'!T6)</f>
        <v>40800</v>
      </c>
      <c r="M6" s="97" t="n">
        <f aca="false">IF($B6="","",'مسير أغسطس'!T6)</f>
        <v>40800</v>
      </c>
      <c r="N6" s="97" t="n">
        <f aca="false">IF($B6="","",'مسير سبتمبر'!T6)</f>
        <v>40800</v>
      </c>
      <c r="O6" s="97" t="n">
        <f aca="false">IF($B6="","",'مسير أكتوبر'!T6)</f>
        <v>40800</v>
      </c>
      <c r="P6" s="97" t="n">
        <f aca="false">IF($B6="","",'مسير نوفمبر'!T6)</f>
        <v>40800</v>
      </c>
      <c r="Q6" s="97" t="n">
        <f aca="false">IF($B6="","",'مسير ديسمبر'!T6)</f>
        <v>40800</v>
      </c>
      <c r="R6" s="143" t="n">
        <f aca="false">IF($B6="","",IF(1&lt;=cfg_VAL_M,'مسير يناير'!T6,0)+IF(2&lt;=cfg_VAL_M,'مسير فبراير'!T6,0)+IF(3&lt;=cfg_VAL_M,'مسير مارس'!T6,0)+IF(4&lt;=cfg_VAL_M,'مسير أبريل'!T6,0)+IF(5&lt;=cfg_VAL_M,'مسير مايو'!T6,0)+IF(6&lt;=cfg_VAL_M,'مسير يونيو'!T6,0)+IF(7&lt;=cfg_VAL_M,'مسير يوليو'!T6,0)+IF(8&lt;=cfg_VAL_M,'مسير أغسطس'!T6,0)+IF(9&lt;=cfg_VAL_M,'مسير سبتمبر'!T6,0)+IF(10&lt;=cfg_VAL_M,'مسير أكتوبر'!T6,0)+IF(11&lt;=cfg_VAL_M,'مسير نوفمبر'!T6,0)+IF(12&lt;=cfg_VAL_M,'مسير ديسمبر'!T6,0))</f>
        <v>367200</v>
      </c>
      <c r="T6" s="97" t="n">
        <f aca="false">IF($B6="","",'مسير يناير'!AG6)</f>
        <v>51733.3219178082</v>
      </c>
      <c r="U6" s="97" t="n">
        <f aca="false">IF($B6="","",'مسير فبراير'!AG6)</f>
        <v>51111.9520547946</v>
      </c>
      <c r="V6" s="97" t="n">
        <f aca="false">IF($B6="","",'مسير مارس'!AG6)</f>
        <v>51733.3219178082</v>
      </c>
      <c r="W6" s="97" t="n">
        <f aca="false">IF($B6="","",'مسير أبريل'!AG6)</f>
        <v>51526.198630137</v>
      </c>
      <c r="X6" s="97" t="n">
        <f aca="false">IF($B6="","",'مسير مايو'!AG6)</f>
        <v>51733.3219178082</v>
      </c>
      <c r="Y6" s="97" t="n">
        <f aca="false">IF($B6="","",'مسير يونيو'!AG6)</f>
        <v>51526.198630137</v>
      </c>
      <c r="Z6" s="97" t="n">
        <f aca="false">IF($B6="","",'مسير يوليو'!AG6)</f>
        <v>51733.3219178082</v>
      </c>
      <c r="AA6" s="97" t="n">
        <f aca="false">IF($B6="","",'مسير أغسطس'!AG6)</f>
        <v>51733.3219178082</v>
      </c>
      <c r="AB6" s="97" t="n">
        <f aca="false">IF($B6="","",'مسير سبتمبر'!AG6)</f>
        <v>51526.198630137</v>
      </c>
      <c r="AC6" s="97" t="n">
        <f aca="false">IF($B6="","",'مسير أكتوبر'!AG6)</f>
        <v>51733.3219178082</v>
      </c>
      <c r="AD6" s="97" t="n">
        <f aca="false">IF($B6="","",'مسير نوفمبر'!AG6)</f>
        <v>51526.198630137</v>
      </c>
      <c r="AE6" s="97" t="n">
        <f aca="false">IF($B6="","",'مسير ديسمبر'!AG6)</f>
        <v>51733.3219178082</v>
      </c>
      <c r="AF6" s="143" t="n">
        <f aca="false">IF($B6="","",IF(1&lt;=cfg_VAL_M,'مسير يناير'!AG6,0)+IF(2&lt;=cfg_VAL_M,'مسير فبراير'!AG6,0)+IF(3&lt;=cfg_VAL_M,'مسير مارس'!AG6,0)+IF(4&lt;=cfg_VAL_M,'مسير أبريل'!AG6,0)+IF(5&lt;=cfg_VAL_M,'مسير مايو'!AG6,0)+IF(6&lt;=cfg_VAL_M,'مسير يونيو'!AG6,0)+IF(7&lt;=cfg_VAL_M,'مسير يوليو'!AG6,0)+IF(8&lt;=cfg_VAL_M,'مسير أغسطس'!AG6,0)+IF(9&lt;=cfg_VAL_M,'مسير سبتمبر'!AG6,0)+IF(10&lt;=cfg_VAL_M,'مسير أكتوبر'!AG6,0)+IF(11&lt;=cfg_VAL_M,'مسير نوفمبر'!AG6,0)+IF(12&lt;=cfg_VAL_M,'مسير ديسمبر'!AG6,0))</f>
        <v>464357.157534247</v>
      </c>
      <c r="AG6" s="143" t="n">
        <f aca="false">IF($B6="","",IF(1&lt;=cfg_VAL_M,'مسير يناير'!Y6,0)+IF(2&lt;=cfg_VAL_M,'مسير فبراير'!Y6,0)+IF(3&lt;=cfg_VAL_M,'مسير مارس'!Y6,0)+IF(4&lt;=cfg_VAL_M,'مسير أبريل'!Y6,0)+IF(5&lt;=cfg_VAL_M,'مسير مايو'!Y6,0)+IF(6&lt;=cfg_VAL_M,'مسير يونيو'!Y6,0)+IF(7&lt;=cfg_VAL_M,'مسير يوليو'!Y6,0)+IF(8&lt;=cfg_VAL_M,'مسير أغسطس'!Y6,0)+IF(9&lt;=cfg_VAL_M,'مسير سبتمبر'!Y6,0)+IF(10&lt;=cfg_VAL_M,'مسير أكتوبر'!Y6,0)+IF(11&lt;=cfg_VAL_M,'مسير نوفمبر'!Y6,0)+IF(12&lt;=cfg_VAL_M,'مسير ديسمبر'!Y6,0))</f>
        <v>336487.5</v>
      </c>
      <c r="AH6" s="97" t="n">
        <f aca="false">IF($B6="","",AF6/cfg_VAL_M)</f>
        <v>51595.2397260274</v>
      </c>
    </row>
    <row r="7" customFormat="false" ht="15" hidden="false" customHeight="false" outlineLevel="0" collapsed="false">
      <c r="B7" s="102" t="str">
        <f aca="false">IF(الموظفون!$B7="","",الموظفون!$B7)</f>
        <v>E002</v>
      </c>
      <c r="C7" s="102" t="str">
        <f aca="false">IF(الموظفون!$B7="","",الموظفون!$C7)</f>
        <v>أحمد سعيد القحطاني</v>
      </c>
      <c r="D7" s="102" t="str">
        <f aca="false">IF(الموظفون!$B7="","",الموظفون!$F7)</f>
        <v>المالية</v>
      </c>
      <c r="E7" s="102" t="str">
        <f aca="false">IF(الموظفون!$B7="","",الموظفون!$E7)</f>
        <v>سعودي</v>
      </c>
      <c r="F7" s="101" t="n">
        <f aca="false">IF($B7="","",'مسير يناير'!T7)</f>
        <v>25300</v>
      </c>
      <c r="G7" s="101" t="n">
        <f aca="false">IF($B7="","",'مسير فبراير'!T7)</f>
        <v>25300</v>
      </c>
      <c r="H7" s="101" t="n">
        <f aca="false">IF($B7="","",'مسير مارس'!T7)</f>
        <v>25300</v>
      </c>
      <c r="I7" s="101" t="n">
        <f aca="false">IF($B7="","",'مسير أبريل'!T7)</f>
        <v>25300</v>
      </c>
      <c r="J7" s="101" t="n">
        <f aca="false">IF($B7="","",'مسير مايو'!T7)</f>
        <v>25300</v>
      </c>
      <c r="K7" s="101" t="n">
        <f aca="false">IF($B7="","",'مسير يونيو'!T7)</f>
        <v>25300</v>
      </c>
      <c r="L7" s="101" t="n">
        <f aca="false">IF($B7="","",'مسير يوليو'!T7)</f>
        <v>25300</v>
      </c>
      <c r="M7" s="101" t="n">
        <f aca="false">IF($B7="","",'مسير أغسطس'!T7)</f>
        <v>25300</v>
      </c>
      <c r="N7" s="101" t="n">
        <f aca="false">IF($B7="","",'مسير سبتمبر'!T7)</f>
        <v>25300</v>
      </c>
      <c r="O7" s="101" t="n">
        <f aca="false">IF($B7="","",'مسير أكتوبر'!T7)</f>
        <v>25300</v>
      </c>
      <c r="P7" s="101" t="n">
        <f aca="false">IF($B7="","",'مسير نوفمبر'!T7)</f>
        <v>25300</v>
      </c>
      <c r="Q7" s="101" t="n">
        <f aca="false">IF($B7="","",'مسير ديسمبر'!T7)</f>
        <v>25300</v>
      </c>
      <c r="R7" s="144" t="n">
        <f aca="false">IF($B7="","",IF(1&lt;=cfg_VAL_M,'مسير يناير'!T7,0)+IF(2&lt;=cfg_VAL_M,'مسير فبراير'!T7,0)+IF(3&lt;=cfg_VAL_M,'مسير مارس'!T7,0)+IF(4&lt;=cfg_VAL_M,'مسير أبريل'!T7,0)+IF(5&lt;=cfg_VAL_M,'مسير مايو'!T7,0)+IF(6&lt;=cfg_VAL_M,'مسير يونيو'!T7,0)+IF(7&lt;=cfg_VAL_M,'مسير يوليو'!T7,0)+IF(8&lt;=cfg_VAL_M,'مسير أغسطس'!T7,0)+IF(9&lt;=cfg_VAL_M,'مسير سبتمبر'!T7,0)+IF(10&lt;=cfg_VAL_M,'مسير أكتوبر'!T7,0)+IF(11&lt;=cfg_VAL_M,'مسير نوفمبر'!T7,0)+IF(12&lt;=cfg_VAL_M,'مسير ديسمبر'!T7,0))</f>
        <v>227700</v>
      </c>
      <c r="T7" s="101" t="n">
        <f aca="false">IF($B7="","",'مسير يناير'!AG7)</f>
        <v>32371.4212328767</v>
      </c>
      <c r="U7" s="101" t="n">
        <f aca="false">IF($B7="","",'مسير فبراير'!AG7)</f>
        <v>31971.9691780822</v>
      </c>
      <c r="V7" s="101" t="n">
        <f aca="false">IF($B7="","",'مسير مارس'!AG7)</f>
        <v>32371.4212328767</v>
      </c>
      <c r="W7" s="101" t="n">
        <f aca="false">IF($B7="","",'مسير أبريل'!AG7)</f>
        <v>32238.2705479452</v>
      </c>
      <c r="X7" s="101" t="n">
        <f aca="false">IF($B7="","",'مسير مايو'!AG7)</f>
        <v>32371.4212328767</v>
      </c>
      <c r="Y7" s="101" t="n">
        <f aca="false">IF($B7="","",'مسير يونيو'!AG7)</f>
        <v>32238.2705479452</v>
      </c>
      <c r="Z7" s="101" t="n">
        <f aca="false">IF($B7="","",'مسير يوليو'!AG7)</f>
        <v>32371.4212328767</v>
      </c>
      <c r="AA7" s="101" t="n">
        <f aca="false">IF($B7="","",'مسير أغسطس'!AG7)</f>
        <v>32371.4212328767</v>
      </c>
      <c r="AB7" s="101" t="n">
        <f aca="false">IF($B7="","",'مسير سبتمبر'!AG7)</f>
        <v>32238.2705479452</v>
      </c>
      <c r="AC7" s="101" t="n">
        <f aca="false">IF($B7="","",'مسير أكتوبر'!AG7)</f>
        <v>32371.4212328767</v>
      </c>
      <c r="AD7" s="101" t="n">
        <f aca="false">IF($B7="","",'مسير نوفمبر'!AG7)</f>
        <v>32238.2705479452</v>
      </c>
      <c r="AE7" s="101" t="n">
        <f aca="false">IF($B7="","",'مسير ديسمبر'!AG7)</f>
        <v>32371.4212328767</v>
      </c>
      <c r="AF7" s="144" t="n">
        <f aca="false">IF($B7="","",IF(1&lt;=cfg_VAL_M,'مسير يناير'!AG7,0)+IF(2&lt;=cfg_VAL_M,'مسير فبراير'!AG7,0)+IF(3&lt;=cfg_VAL_M,'مسير مارس'!AG7,0)+IF(4&lt;=cfg_VAL_M,'مسير أبريل'!AG7,0)+IF(5&lt;=cfg_VAL_M,'مسير مايو'!AG7,0)+IF(6&lt;=cfg_VAL_M,'مسير يونيو'!AG7,0)+IF(7&lt;=cfg_VAL_M,'مسير يوليو'!AG7,0)+IF(8&lt;=cfg_VAL_M,'مسير أغسطس'!AG7,0)+IF(9&lt;=cfg_VAL_M,'مسير سبتمبر'!AG7,0)+IF(10&lt;=cfg_VAL_M,'مسير أكتوبر'!AG7,0)+IF(11&lt;=cfg_VAL_M,'مسير نوفمبر'!AG7,0)+IF(12&lt;=cfg_VAL_M,'مسير ديسمبر'!AG7,0))</f>
        <v>290543.886986301</v>
      </c>
      <c r="AG7" s="144" t="n">
        <f aca="false">IF($B7="","",IF(1&lt;=cfg_VAL_M,'مسير يناير'!Y7,0)+IF(2&lt;=cfg_VAL_M,'مسير فبراير'!Y7,0)+IF(3&lt;=cfg_VAL_M,'مسير مارس'!Y7,0)+IF(4&lt;=cfg_VAL_M,'مسير أبريل'!Y7,0)+IF(5&lt;=cfg_VAL_M,'مسير مايو'!Y7,0)+IF(6&lt;=cfg_VAL_M,'مسير يونيو'!Y7,0)+IF(7&lt;=cfg_VAL_M,'مسير يوليو'!Y7,0)+IF(8&lt;=cfg_VAL_M,'مسير أغسطس'!Y7,0)+IF(9&lt;=cfg_VAL_M,'مسير سبتمبر'!Y7,0)+IF(10&lt;=cfg_VAL_M,'مسير أكتوبر'!Y7,0)+IF(11&lt;=cfg_VAL_M,'مسير نوفمبر'!Y7,0)+IF(12&lt;=cfg_VAL_M,'مسير ديسمبر'!Y7,0))</f>
        <v>207956.25</v>
      </c>
      <c r="AH7" s="101" t="n">
        <f aca="false">IF($B7="","",AF7/cfg_VAL_M)</f>
        <v>32282.654109589</v>
      </c>
    </row>
    <row r="8" customFormat="false" ht="15" hidden="false" customHeight="false" outlineLevel="0" collapsed="false">
      <c r="B8" s="80" t="str">
        <f aca="false">IF(الموظفون!$B8="","",الموظفون!$B8)</f>
        <v>E003</v>
      </c>
      <c r="C8" s="80" t="str">
        <f aca="false">IF(الموظفون!$B8="","",الموظفون!$C8)</f>
        <v>محمد علي حسن</v>
      </c>
      <c r="D8" s="80" t="str">
        <f aca="false">IF(الموظفون!$B8="","",الموظفون!$F8)</f>
        <v>المالية</v>
      </c>
      <c r="E8" s="80" t="str">
        <f aca="false">IF(الموظفون!$B8="","",الموظفون!$E8)</f>
        <v>غير سعودي</v>
      </c>
      <c r="F8" s="97" t="n">
        <f aca="false">IF($B8="","",'مسير يناير'!T8)</f>
        <v>12786.25</v>
      </c>
      <c r="G8" s="97" t="n">
        <f aca="false">IF($B8="","",'مسير فبراير'!T8)</f>
        <v>12515.8333333333</v>
      </c>
      <c r="H8" s="97" t="n">
        <f aca="false">IF($B8="","",'مسير مارس'!T8)</f>
        <v>11975</v>
      </c>
      <c r="I8" s="97" t="n">
        <f aca="false">IF($B8="","",'مسير أبريل'!T8)</f>
        <v>11975</v>
      </c>
      <c r="J8" s="97" t="n">
        <f aca="false">IF($B8="","",'مسير مايو'!T8)</f>
        <v>11975</v>
      </c>
      <c r="K8" s="97" t="n">
        <f aca="false">IF($B8="","",'مسير يونيو'!T8)</f>
        <v>11975</v>
      </c>
      <c r="L8" s="97" t="n">
        <f aca="false">IF($B8="","",'مسير يوليو'!T8)</f>
        <v>11975</v>
      </c>
      <c r="M8" s="97" t="n">
        <f aca="false">IF($B8="","",'مسير أغسطس'!T8)</f>
        <v>11975</v>
      </c>
      <c r="N8" s="97" t="n">
        <f aca="false">IF($B8="","",'مسير سبتمبر'!T8)</f>
        <v>11975</v>
      </c>
      <c r="O8" s="97" t="n">
        <f aca="false">IF($B8="","",'مسير أكتوبر'!T8)</f>
        <v>11975</v>
      </c>
      <c r="P8" s="97" t="n">
        <f aca="false">IF($B8="","",'مسير نوفمبر'!T8)</f>
        <v>11975</v>
      </c>
      <c r="Q8" s="97" t="n">
        <f aca="false">IF($B8="","",'مسير ديسمبر'!T8)</f>
        <v>11475</v>
      </c>
      <c r="R8" s="143" t="n">
        <f aca="false">IF($B8="","",IF(1&lt;=cfg_VAL_M,'مسير يناير'!T8,0)+IF(2&lt;=cfg_VAL_M,'مسير فبراير'!T8,0)+IF(3&lt;=cfg_VAL_M,'مسير مارس'!T8,0)+IF(4&lt;=cfg_VAL_M,'مسير أبريل'!T8,0)+IF(5&lt;=cfg_VAL_M,'مسير مايو'!T8,0)+IF(6&lt;=cfg_VAL_M,'مسير يونيو'!T8,0)+IF(7&lt;=cfg_VAL_M,'مسير يوليو'!T8,0)+IF(8&lt;=cfg_VAL_M,'مسير أغسطس'!T8,0)+IF(9&lt;=cfg_VAL_M,'مسير سبتمبر'!T8,0)+IF(10&lt;=cfg_VAL_M,'مسير أكتوبر'!T8,0)+IF(11&lt;=cfg_VAL_M,'مسير نوفمبر'!T8,0)+IF(12&lt;=cfg_VAL_M,'مسير ديسمبر'!T8,0))</f>
        <v>109127.083333333</v>
      </c>
      <c r="T8" s="97" t="n">
        <f aca="false">IF($B8="","",'مسير يناير'!AG8)</f>
        <v>16137.9851598174</v>
      </c>
      <c r="U8" s="97" t="n">
        <f aca="false">IF($B8="","",'مسير فبراير'!AG8)</f>
        <v>15665.7876712329</v>
      </c>
      <c r="V8" s="97" t="n">
        <f aca="false">IF($B8="","",'مسير مارس'!AG8)</f>
        <v>15326.7351598174</v>
      </c>
      <c r="W8" s="97" t="n">
        <f aca="false">IF($B8="","",'مسير أبريل'!AG8)</f>
        <v>15259.4748858448</v>
      </c>
      <c r="X8" s="97" t="n">
        <f aca="false">IF($B8="","",'مسير مايو'!AG8)</f>
        <v>15326.7351598173</v>
      </c>
      <c r="Y8" s="97" t="n">
        <f aca="false">IF($B8="","",'مسير يونيو'!AG8)</f>
        <v>15259.4748858448</v>
      </c>
      <c r="Z8" s="97" t="n">
        <f aca="false">IF($B8="","",'مسير يوليو'!AG8)</f>
        <v>15326.7351598173</v>
      </c>
      <c r="AA8" s="97" t="n">
        <f aca="false">IF($B8="","",'مسير أغسطس'!AG8)</f>
        <v>15326.7351598174</v>
      </c>
      <c r="AB8" s="97" t="n">
        <f aca="false">IF($B8="","",'مسير سبتمبر'!AG8)</f>
        <v>15259.4748858447</v>
      </c>
      <c r="AC8" s="97" t="n">
        <f aca="false">IF($B8="","",'مسير أكتوبر'!AG8)</f>
        <v>15326.7351598174</v>
      </c>
      <c r="AD8" s="97" t="n">
        <f aca="false">IF($B8="","",'مسير نوفمبر'!AG8)</f>
        <v>15259.4748858447</v>
      </c>
      <c r="AE8" s="97" t="n">
        <f aca="false">IF($B8="","",'مسير ديسمبر'!AG8)</f>
        <v>14826.7351598174</v>
      </c>
      <c r="AF8" s="143" t="n">
        <f aca="false">IF($B8="","",IF(1&lt;=cfg_VAL_M,'مسير يناير'!AG8,0)+IF(2&lt;=cfg_VAL_M,'مسير فبراير'!AG8,0)+IF(3&lt;=cfg_VAL_M,'مسير مارس'!AG8,0)+IF(4&lt;=cfg_VAL_M,'مسير أبريل'!AG8,0)+IF(5&lt;=cfg_VAL_M,'مسير مايو'!AG8,0)+IF(6&lt;=cfg_VAL_M,'مسير يونيو'!AG8,0)+IF(7&lt;=cfg_VAL_M,'مسير يوليو'!AG8,0)+IF(8&lt;=cfg_VAL_M,'مسير أغسطس'!AG8,0)+IF(9&lt;=cfg_VAL_M,'مسير سبتمبر'!AG8,0)+IF(10&lt;=cfg_VAL_M,'مسير أكتوبر'!AG8,0)+IF(11&lt;=cfg_VAL_M,'مسير نوفمبر'!AG8,0)+IF(12&lt;=cfg_VAL_M,'مسير ديسمبر'!AG8,0))</f>
        <v>138889.138127854</v>
      </c>
      <c r="AG8" s="143" t="n">
        <f aca="false">IF($B8="","",IF(1&lt;=cfg_VAL_M,'مسير يناير'!Y8,0)+IF(2&lt;=cfg_VAL_M,'مسير فبراير'!Y8,0)+IF(3&lt;=cfg_VAL_M,'مسير مارس'!Y8,0)+IF(4&lt;=cfg_VAL_M,'مسير أبريل'!Y8,0)+IF(5&lt;=cfg_VAL_M,'مسير مايو'!Y8,0)+IF(6&lt;=cfg_VAL_M,'مسير يونيو'!Y8,0)+IF(7&lt;=cfg_VAL_M,'مسير يوليو'!Y8,0)+IF(8&lt;=cfg_VAL_M,'مسير أغسطس'!Y8,0)+IF(9&lt;=cfg_VAL_M,'مسير سبتمبر'!Y8,0)+IF(10&lt;=cfg_VAL_M,'مسير أكتوبر'!Y8,0)+IF(11&lt;=cfg_VAL_M,'مسير نوفمبر'!Y8,0)+IF(12&lt;=cfg_VAL_M,'مسير ديسمبر'!Y8,0))</f>
        <v>104127.083333333</v>
      </c>
      <c r="AH8" s="97" t="n">
        <f aca="false">IF($B8="","",AF8/cfg_VAL_M)</f>
        <v>15432.1264586504</v>
      </c>
    </row>
    <row r="9" customFormat="false" ht="15" hidden="false" customHeight="false" outlineLevel="0" collapsed="false">
      <c r="B9" s="102" t="str">
        <f aca="false">IF(الموظفون!$B9="","",الموظفون!$B9)</f>
        <v>E004</v>
      </c>
      <c r="C9" s="102" t="str">
        <f aca="false">IF(الموظفون!$B9="","",الموظفون!$C9)</f>
        <v>نورة خالد الدوسري</v>
      </c>
      <c r="D9" s="102" t="str">
        <f aca="false">IF(الموظفون!$B9="","",الموظفون!$F9)</f>
        <v>الموارد البشرية</v>
      </c>
      <c r="E9" s="102" t="str">
        <f aca="false">IF(الموظفون!$B9="","",الموظفون!$E9)</f>
        <v>سعودي</v>
      </c>
      <c r="F9" s="101" t="n">
        <f aca="false">IF($B9="","",'مسير يناير'!T9)</f>
        <v>18900</v>
      </c>
      <c r="G9" s="101" t="n">
        <f aca="false">IF($B9="","",'مسير فبراير'!T9)</f>
        <v>18900</v>
      </c>
      <c r="H9" s="101" t="n">
        <f aca="false">IF($B9="","",'مسير مارس'!T9)</f>
        <v>18900</v>
      </c>
      <c r="I9" s="101" t="n">
        <f aca="false">IF($B9="","",'مسير أبريل'!T9)</f>
        <v>18900</v>
      </c>
      <c r="J9" s="101" t="n">
        <f aca="false">IF($B9="","",'مسير مايو'!T9)</f>
        <v>18900</v>
      </c>
      <c r="K9" s="101" t="n">
        <f aca="false">IF($B9="","",'مسير يونيو'!T9)</f>
        <v>18900</v>
      </c>
      <c r="L9" s="101" t="n">
        <f aca="false">IF($B9="","",'مسير يوليو'!T9)</f>
        <v>18900</v>
      </c>
      <c r="M9" s="101" t="n">
        <f aca="false">IF($B9="","",'مسير أغسطس'!T9)</f>
        <v>18900</v>
      </c>
      <c r="N9" s="101" t="n">
        <f aca="false">IF($B9="","",'مسير سبتمبر'!T9)</f>
        <v>18900</v>
      </c>
      <c r="O9" s="101" t="n">
        <f aca="false">IF($B9="","",'مسير أكتوبر'!T9)</f>
        <v>18900</v>
      </c>
      <c r="P9" s="101" t="n">
        <f aca="false">IF($B9="","",'مسير نوفمبر'!T9)</f>
        <v>18900</v>
      </c>
      <c r="Q9" s="101" t="n">
        <f aca="false">IF($B9="","",'مسير ديسمبر'!T9)</f>
        <v>18900</v>
      </c>
      <c r="R9" s="144" t="n">
        <f aca="false">IF($B9="","",IF(1&lt;=cfg_VAL_M,'مسير يناير'!T9,0)+IF(2&lt;=cfg_VAL_M,'مسير فبراير'!T9,0)+IF(3&lt;=cfg_VAL_M,'مسير مارس'!T9,0)+IF(4&lt;=cfg_VAL_M,'مسير أبريل'!T9,0)+IF(5&lt;=cfg_VAL_M,'مسير مايو'!T9,0)+IF(6&lt;=cfg_VAL_M,'مسير يونيو'!T9,0)+IF(7&lt;=cfg_VAL_M,'مسير يوليو'!T9,0)+IF(8&lt;=cfg_VAL_M,'مسير أغسطس'!T9,0)+IF(9&lt;=cfg_VAL_M,'مسير سبتمبر'!T9,0)+IF(10&lt;=cfg_VAL_M,'مسير أكتوبر'!T9,0)+IF(11&lt;=cfg_VAL_M,'مسير نوفمبر'!T9,0)+IF(12&lt;=cfg_VAL_M,'مسير ديسمبر'!T9,0))</f>
        <v>170100</v>
      </c>
      <c r="T9" s="101" t="n">
        <f aca="false">IF($B9="","",'مسير يناير'!AG9)</f>
        <v>24466.6609589041</v>
      </c>
      <c r="U9" s="101" t="n">
        <f aca="false">IF($B9="","",'مسير فبراير'!AG9)</f>
        <v>24155.9760273973</v>
      </c>
      <c r="V9" s="101" t="n">
        <f aca="false">IF($B9="","",'مسير مارس'!AG9)</f>
        <v>24466.6609589041</v>
      </c>
      <c r="W9" s="101" t="n">
        <f aca="false">IF($B9="","",'مسير أبريل'!AG9)</f>
        <v>24363.0993150685</v>
      </c>
      <c r="X9" s="101" t="n">
        <f aca="false">IF($B9="","",'مسير مايو'!AG9)</f>
        <v>24466.6609589041</v>
      </c>
      <c r="Y9" s="101" t="n">
        <f aca="false">IF($B9="","",'مسير يونيو'!AG9)</f>
        <v>24363.0993150685</v>
      </c>
      <c r="Z9" s="101" t="n">
        <f aca="false">IF($B9="","",'مسير يوليو'!AG9)</f>
        <v>24466.6609589041</v>
      </c>
      <c r="AA9" s="101" t="n">
        <f aca="false">IF($B9="","",'مسير أغسطس'!AG9)</f>
        <v>24466.6609589041</v>
      </c>
      <c r="AB9" s="101" t="n">
        <f aca="false">IF($B9="","",'مسير سبتمبر'!AG9)</f>
        <v>24363.0993150685</v>
      </c>
      <c r="AC9" s="101" t="n">
        <f aca="false">IF($B9="","",'مسير أكتوبر'!AG9)</f>
        <v>24466.6609589041</v>
      </c>
      <c r="AD9" s="101" t="n">
        <f aca="false">IF($B9="","",'مسير نوفمبر'!AG9)</f>
        <v>24363.0993150685</v>
      </c>
      <c r="AE9" s="101" t="n">
        <f aca="false">IF($B9="","",'مسير ديسمبر'!AG9)</f>
        <v>24466.6609589041</v>
      </c>
      <c r="AF9" s="144" t="n">
        <f aca="false">IF($B9="","",IF(1&lt;=cfg_VAL_M,'مسير يناير'!AG9,0)+IF(2&lt;=cfg_VAL_M,'مسير فبراير'!AG9,0)+IF(3&lt;=cfg_VAL_M,'مسير مارس'!AG9,0)+IF(4&lt;=cfg_VAL_M,'مسير أبريل'!AG9,0)+IF(5&lt;=cfg_VAL_M,'مسير مايو'!AG9,0)+IF(6&lt;=cfg_VAL_M,'مسير يونيو'!AG9,0)+IF(7&lt;=cfg_VAL_M,'مسير يوليو'!AG9,0)+IF(8&lt;=cfg_VAL_M,'مسير أغسطس'!AG9,0)+IF(9&lt;=cfg_VAL_M,'مسير سبتمبر'!AG9,0)+IF(10&lt;=cfg_VAL_M,'مسير أكتوبر'!AG9,0)+IF(11&lt;=cfg_VAL_M,'مسير نوفمبر'!AG9,0)+IF(12&lt;=cfg_VAL_M,'مسير ديسمبر'!AG9,0))</f>
        <v>219578.578767123</v>
      </c>
      <c r="AG9" s="144" t="n">
        <f aca="false">IF($B9="","",IF(1&lt;=cfg_VAL_M,'مسير يناير'!Y9,0)+IF(2&lt;=cfg_VAL_M,'مسير فبراير'!Y9,0)+IF(3&lt;=cfg_VAL_M,'مسير مارس'!Y9,0)+IF(4&lt;=cfg_VAL_M,'مسير أبريل'!Y9,0)+IF(5&lt;=cfg_VAL_M,'مسير مايو'!Y9,0)+IF(6&lt;=cfg_VAL_M,'مسير يونيو'!Y9,0)+IF(7&lt;=cfg_VAL_M,'مسير يوليو'!Y9,0)+IF(8&lt;=cfg_VAL_M,'مسير أغسطس'!Y9,0)+IF(9&lt;=cfg_VAL_M,'مسير سبتمبر'!Y9,0)+IF(10&lt;=cfg_VAL_M,'مسير أكتوبر'!Y9,0)+IF(11&lt;=cfg_VAL_M,'مسير نوفمبر'!Y9,0)+IF(12&lt;=cfg_VAL_M,'مسير ديسمبر'!Y9,0))</f>
        <v>154743.75</v>
      </c>
      <c r="AH9" s="101" t="n">
        <f aca="false">IF($B9="","",AF9/cfg_VAL_M)</f>
        <v>24397.6198630137</v>
      </c>
    </row>
    <row r="10" customFormat="false" ht="15" hidden="false" customHeight="false" outlineLevel="0" collapsed="false">
      <c r="B10" s="80" t="str">
        <f aca="false">IF(الموظفون!$B10="","",الموظفون!$B10)</f>
        <v>E005</v>
      </c>
      <c r="C10" s="80" t="str">
        <f aca="false">IF(الموظفون!$B10="","",الموظفون!$C10)</f>
        <v>راجيش كومار</v>
      </c>
      <c r="D10" s="80" t="str">
        <f aca="false">IF(الموظفون!$B10="","",الموظفون!$F10)</f>
        <v>تقنية المعلومات</v>
      </c>
      <c r="E10" s="80" t="str">
        <f aca="false">IF(الموظفون!$B10="","",الموظفون!$E10)</f>
        <v>غير سعودي</v>
      </c>
      <c r="F10" s="97" t="n">
        <f aca="false">IF($B10="","",'مسير يناير'!T10)</f>
        <v>12850</v>
      </c>
      <c r="G10" s="97" t="n">
        <f aca="false">IF($B10="","",'مسير فبراير'!T10)</f>
        <v>12850</v>
      </c>
      <c r="H10" s="97" t="n">
        <f aca="false">IF($B10="","",'مسير مارس'!T10)</f>
        <v>12850</v>
      </c>
      <c r="I10" s="97" t="n">
        <f aca="false">IF($B10="","",'مسير أبريل'!T10)</f>
        <v>12850</v>
      </c>
      <c r="J10" s="97" t="n">
        <f aca="false">IF($B10="","",'مسير مايو'!T10)</f>
        <v>14006.6666666667</v>
      </c>
      <c r="K10" s="97" t="n">
        <f aca="false">IF($B10="","",'مسير يونيو'!T10)</f>
        <v>12850</v>
      </c>
      <c r="L10" s="97" t="n">
        <f aca="false">IF($B10="","",'مسير يوليو'!T10)</f>
        <v>12850</v>
      </c>
      <c r="M10" s="97" t="n">
        <f aca="false">IF($B10="","",'مسير أغسطس'!T10)</f>
        <v>12360</v>
      </c>
      <c r="N10" s="97" t="n">
        <f aca="false">IF($B10="","",'مسير سبتمبر'!T10)</f>
        <v>12850</v>
      </c>
      <c r="O10" s="97" t="n">
        <f aca="false">IF($B10="","",'مسير أكتوبر'!T10)</f>
        <v>12850</v>
      </c>
      <c r="P10" s="97" t="n">
        <f aca="false">IF($B10="","",'مسير نوفمبر'!T10)</f>
        <v>12850</v>
      </c>
      <c r="Q10" s="97" t="n">
        <f aca="false">IF($B10="","",'مسير ديسمبر'!T10)</f>
        <v>12850</v>
      </c>
      <c r="R10" s="143" t="n">
        <f aca="false">IF($B10="","",IF(1&lt;=cfg_VAL_M,'مسير يناير'!T10,0)+IF(2&lt;=cfg_VAL_M,'مسير فبراير'!T10,0)+IF(3&lt;=cfg_VAL_M,'مسير مارس'!T10,0)+IF(4&lt;=cfg_VAL_M,'مسير أبريل'!T10,0)+IF(5&lt;=cfg_VAL_M,'مسير مايو'!T10,0)+IF(6&lt;=cfg_VAL_M,'مسير يونيو'!T10,0)+IF(7&lt;=cfg_VAL_M,'مسير يوليو'!T10,0)+IF(8&lt;=cfg_VAL_M,'مسير أغسطس'!T10,0)+IF(9&lt;=cfg_VAL_M,'مسير سبتمبر'!T10,0)+IF(10&lt;=cfg_VAL_M,'مسير أكتوبر'!T10,0)+IF(11&lt;=cfg_VAL_M,'مسير نوفمبر'!T10,0)+IF(12&lt;=cfg_VAL_M,'مسير ديسمبر'!T10,0))</f>
        <v>116316.666666667</v>
      </c>
      <c r="T10" s="97" t="n">
        <f aca="false">IF($B10="","",'مسير يناير'!AG10)</f>
        <v>16430.8105022831</v>
      </c>
      <c r="U10" s="97" t="n">
        <f aca="false">IF($B10="","",'مسير فبراير'!AG10)</f>
        <v>16208.0707762557</v>
      </c>
      <c r="V10" s="97" t="n">
        <f aca="false">IF($B10="","",'مسير مارس'!AG10)</f>
        <v>16430.8105022831</v>
      </c>
      <c r="W10" s="97" t="n">
        <f aca="false">IF($B10="","",'مسير أبريل'!AG10)</f>
        <v>16356.5639269406</v>
      </c>
      <c r="X10" s="97" t="n">
        <f aca="false">IF($B10="","",'مسير مايو'!AG10)</f>
        <v>17587.4771689498</v>
      </c>
      <c r="Y10" s="97" t="n">
        <f aca="false">IF($B10="","",'مسير يونيو'!AG10)</f>
        <v>16356.5639269406</v>
      </c>
      <c r="Z10" s="97" t="n">
        <f aca="false">IF($B10="","",'مسير يوليو'!AG10)</f>
        <v>16430.8105022831</v>
      </c>
      <c r="AA10" s="97" t="n">
        <f aca="false">IF($B10="","",'مسير أغسطس'!AG10)</f>
        <v>15940.8105022831</v>
      </c>
      <c r="AB10" s="97" t="n">
        <f aca="false">IF($B10="","",'مسير سبتمبر'!AG10)</f>
        <v>16356.5639269406</v>
      </c>
      <c r="AC10" s="97" t="n">
        <f aca="false">IF($B10="","",'مسير أكتوبر'!AG10)</f>
        <v>16430.8105022831</v>
      </c>
      <c r="AD10" s="97" t="n">
        <f aca="false">IF($B10="","",'مسير نوفمبر'!AG10)</f>
        <v>16356.5639269406</v>
      </c>
      <c r="AE10" s="97" t="n">
        <f aca="false">IF($B10="","",'مسير ديسمبر'!AG10)</f>
        <v>16430.8105022831</v>
      </c>
      <c r="AF10" s="143" t="n">
        <f aca="false">IF($B10="","",IF(1&lt;=cfg_VAL_M,'مسير يناير'!AG10,0)+IF(2&lt;=cfg_VAL_M,'مسير فبراير'!AG10,0)+IF(3&lt;=cfg_VAL_M,'مسير مارس'!AG10,0)+IF(4&lt;=cfg_VAL_M,'مسير أبريل'!AG10,0)+IF(5&lt;=cfg_VAL_M,'مسير مايو'!AG10,0)+IF(6&lt;=cfg_VAL_M,'مسير يونيو'!AG10,0)+IF(7&lt;=cfg_VAL_M,'مسير يوليو'!AG10,0)+IF(8&lt;=cfg_VAL_M,'مسير أغسطس'!AG10,0)+IF(9&lt;=cfg_VAL_M,'مسير سبتمبر'!AG10,0)+IF(10&lt;=cfg_VAL_M,'مسير أكتوبر'!AG10,0)+IF(11&lt;=cfg_VAL_M,'مسير نوفمبر'!AG10,0)+IF(12&lt;=cfg_VAL_M,'مسير ديسمبر'!AG10,0))</f>
        <v>148098.48173516</v>
      </c>
      <c r="AG10" s="143" t="n">
        <f aca="false">IF($B10="","",IF(1&lt;=cfg_VAL_M,'مسير يناير'!Y10,0)+IF(2&lt;=cfg_VAL_M,'مسير فبراير'!Y10,0)+IF(3&lt;=cfg_VAL_M,'مسير مارس'!Y10,0)+IF(4&lt;=cfg_VAL_M,'مسير أبريل'!Y10,0)+IF(5&lt;=cfg_VAL_M,'مسير مايو'!Y10,0)+IF(6&lt;=cfg_VAL_M,'مسير يونيو'!Y10,0)+IF(7&lt;=cfg_VAL_M,'مسير يوليو'!Y10,0)+IF(8&lt;=cfg_VAL_M,'مسير أغسطس'!Y10,0)+IF(9&lt;=cfg_VAL_M,'مسير سبتمبر'!Y10,0)+IF(10&lt;=cfg_VAL_M,'مسير أكتوبر'!Y10,0)+IF(11&lt;=cfg_VAL_M,'مسير نوفمبر'!Y10,0)+IF(12&lt;=cfg_VAL_M,'مسير ديسمبر'!Y10,0))</f>
        <v>116316.666666667</v>
      </c>
      <c r="AH10" s="97" t="n">
        <f aca="false">IF($B10="","",AF10/cfg_VAL_M)</f>
        <v>16455.3868594622</v>
      </c>
    </row>
    <row r="11" customFormat="false" ht="15" hidden="false" customHeight="false" outlineLevel="0" collapsed="false">
      <c r="B11" s="102" t="str">
        <f aca="false">IF(الموظفون!$B11="","",الموظفون!$B11)</f>
        <v>E006</v>
      </c>
      <c r="C11" s="102" t="str">
        <f aca="false">IF(الموظفون!$B11="","",الموظفون!$C11)</f>
        <v>فهد ناصر الشمري</v>
      </c>
      <c r="D11" s="102" t="str">
        <f aca="false">IF(الموظفون!$B11="","",الموظفون!$F11)</f>
        <v>المبيعات</v>
      </c>
      <c r="E11" s="102" t="str">
        <f aca="false">IF(الموظفون!$B11="","",الموظفون!$E11)</f>
        <v>سعودي</v>
      </c>
      <c r="F11" s="101" t="n">
        <f aca="false">IF($B11="","",'مسير يناير'!T11)</f>
        <v>20050</v>
      </c>
      <c r="G11" s="101" t="n">
        <f aca="false">IF($B11="","",'مسير فبراير'!T11)</f>
        <v>25050</v>
      </c>
      <c r="H11" s="101" t="n">
        <f aca="false">IF($B11="","",'مسير مارس'!T11)</f>
        <v>20050</v>
      </c>
      <c r="I11" s="101" t="n">
        <f aca="false">IF($B11="","",'مسير أبريل'!T11)</f>
        <v>20050</v>
      </c>
      <c r="J11" s="101" t="n">
        <f aca="false">IF($B11="","",'مسير مايو'!T11)</f>
        <v>20050</v>
      </c>
      <c r="K11" s="101" t="n">
        <f aca="false">IF($B11="","",'مسير يونيو'!T11)</f>
        <v>26550</v>
      </c>
      <c r="L11" s="101" t="n">
        <f aca="false">IF($B11="","",'مسير يوليو'!T11)</f>
        <v>20050</v>
      </c>
      <c r="M11" s="101" t="n">
        <f aca="false">IF($B11="","",'مسير أغسطس'!T11)</f>
        <v>20050</v>
      </c>
      <c r="N11" s="101" t="n">
        <f aca="false">IF($B11="","",'مسير سبتمبر'!T11)</f>
        <v>12698.3333333333</v>
      </c>
      <c r="O11" s="101" t="n">
        <f aca="false">IF($B11="","",'مسير أكتوبر'!T11)</f>
        <v>7351.66666666667</v>
      </c>
      <c r="P11" s="101" t="n">
        <f aca="false">IF($B11="","",'مسير نوفمبر'!T11)</f>
        <v>20050</v>
      </c>
      <c r="Q11" s="101" t="n">
        <f aca="false">IF($B11="","",'مسير ديسمبر'!T11)</f>
        <v>20050</v>
      </c>
      <c r="R11" s="144" t="n">
        <f aca="false">IF($B11="","",IF(1&lt;=cfg_VAL_M,'مسير يناير'!T11,0)+IF(2&lt;=cfg_VAL_M,'مسير فبراير'!T11,0)+IF(3&lt;=cfg_VAL_M,'مسير مارس'!T11,0)+IF(4&lt;=cfg_VAL_M,'مسير أبريل'!T11,0)+IF(5&lt;=cfg_VAL_M,'مسير مايو'!T11,0)+IF(6&lt;=cfg_VAL_M,'مسير يونيو'!T11,0)+IF(7&lt;=cfg_VAL_M,'مسير يوليو'!T11,0)+IF(8&lt;=cfg_VAL_M,'مسير أغسطس'!T11,0)+IF(9&lt;=cfg_VAL_M,'مسير سبتمبر'!T11,0)+IF(10&lt;=cfg_VAL_M,'مسير أكتوبر'!T11,0)+IF(11&lt;=cfg_VAL_M,'مسير نوفمبر'!T11,0)+IF(12&lt;=cfg_VAL_M,'مسير ديسمبر'!T11,0))</f>
        <v>184598.333333333</v>
      </c>
      <c r="T11" s="101" t="n">
        <f aca="false">IF($B11="","",'مسير يناير'!AG11)</f>
        <v>25240.470890411</v>
      </c>
      <c r="U11" s="101" t="n">
        <f aca="false">IF($B11="","",'مسير فبراير'!AG11)</f>
        <v>29951.977739726</v>
      </c>
      <c r="V11" s="101" t="n">
        <f aca="false">IF($B11="","",'مسير مارس'!AG11)</f>
        <v>25240.470890411</v>
      </c>
      <c r="W11" s="101" t="n">
        <f aca="false">IF($B11="","",'مسير أبريل'!AG11)</f>
        <v>25144.3065068493</v>
      </c>
      <c r="X11" s="101" t="n">
        <f aca="false">IF($B11="","",'مسير مايو'!AG11)</f>
        <v>25240.470890411</v>
      </c>
      <c r="Y11" s="101" t="n">
        <f aca="false">IF($B11="","",'مسير يونيو'!AG11)</f>
        <v>31644.3065068493</v>
      </c>
      <c r="Z11" s="101" t="n">
        <f aca="false">IF($B11="","",'مسير يوليو'!AG11)</f>
        <v>25240.4708904109</v>
      </c>
      <c r="AA11" s="101" t="n">
        <f aca="false">IF($B11="","",'مسير أغسطس'!AG11)</f>
        <v>25240.470890411</v>
      </c>
      <c r="AB11" s="101" t="n">
        <f aca="false">IF($B11="","",'مسير سبتمبر'!AG11)</f>
        <v>16734.8316210046</v>
      </c>
      <c r="AC11" s="101" t="n">
        <f aca="false">IF($B11="","",'مسير أكتوبر'!AG11)</f>
        <v>10715.0142694064</v>
      </c>
      <c r="AD11" s="101" t="n">
        <f aca="false">IF($B11="","",'مسير نوفمبر'!AG11)</f>
        <v>25144.3065068493</v>
      </c>
      <c r="AE11" s="101" t="n">
        <f aca="false">IF($B11="","",'مسير ديسمبر'!AG11)</f>
        <v>25240.470890411</v>
      </c>
      <c r="AF11" s="144" t="n">
        <f aca="false">IF($B11="","",IF(1&lt;=cfg_VAL_M,'مسير يناير'!AG11,0)+IF(2&lt;=cfg_VAL_M,'مسير فبراير'!AG11,0)+IF(3&lt;=cfg_VAL_M,'مسير مارس'!AG11,0)+IF(4&lt;=cfg_VAL_M,'مسير أبريل'!AG11,0)+IF(5&lt;=cfg_VAL_M,'مسير مايو'!AG11,0)+IF(6&lt;=cfg_VAL_M,'مسير يونيو'!AG11,0)+IF(7&lt;=cfg_VAL_M,'مسير يوليو'!AG11,0)+IF(8&lt;=cfg_VAL_M,'مسير أغسطس'!AG11,0)+IF(9&lt;=cfg_VAL_M,'مسير سبتمبر'!AG11,0)+IF(10&lt;=cfg_VAL_M,'مسير أكتوبر'!AG11,0)+IF(11&lt;=cfg_VAL_M,'مسير نوفمبر'!AG11,0)+IF(12&lt;=cfg_VAL_M,'مسير ديسمبر'!AG11,0))</f>
        <v>229677.776826484</v>
      </c>
      <c r="AG11" s="144" t="n">
        <f aca="false">IF($B11="","",IF(1&lt;=cfg_VAL_M,'مسير يناير'!Y11,0)+IF(2&lt;=cfg_VAL_M,'مسير فبراير'!Y11,0)+IF(3&lt;=cfg_VAL_M,'مسير مارس'!Y11,0)+IF(4&lt;=cfg_VAL_M,'مسير أبريل'!Y11,0)+IF(5&lt;=cfg_VAL_M,'مسير مايو'!Y11,0)+IF(6&lt;=cfg_VAL_M,'مسير يونيو'!Y11,0)+IF(7&lt;=cfg_VAL_M,'مسير يوليو'!Y11,0)+IF(8&lt;=cfg_VAL_M,'مسير أغسطس'!Y11,0)+IF(9&lt;=cfg_VAL_M,'مسير سبتمبر'!Y11,0)+IF(10&lt;=cfg_VAL_M,'مسير أكتوبر'!Y11,0)+IF(11&lt;=cfg_VAL_M,'مسير نوفمبر'!Y11,0)+IF(12&lt;=cfg_VAL_M,'مسير ديسمبر'!Y11,0))</f>
        <v>170088.958333333</v>
      </c>
      <c r="AH11" s="101" t="n">
        <f aca="false">IF($B11="","",AF11/cfg_VAL_M)</f>
        <v>25519.7529807204</v>
      </c>
    </row>
    <row r="12" customFormat="false" ht="15" hidden="false" customHeight="false" outlineLevel="0" collapsed="false">
      <c r="B12" s="80" t="str">
        <f aca="false">IF(الموظفون!$B12="","",الموظفون!$B12)</f>
        <v>E007</v>
      </c>
      <c r="C12" s="80" t="str">
        <f aca="false">IF(الموظفون!$B12="","",الموظفون!$C12)</f>
        <v>خالد يوسف الأحمد</v>
      </c>
      <c r="D12" s="80" t="str">
        <f aca="false">IF(الموظفون!$B12="","",الموظفون!$F12)</f>
        <v>المشاريع</v>
      </c>
      <c r="E12" s="80" t="str">
        <f aca="false">IF(الموظفون!$B12="","",الموظفون!$E12)</f>
        <v>غير سعودي</v>
      </c>
      <c r="F12" s="97" t="n">
        <f aca="false">IF($B12="","",'مسير يناير'!T12)</f>
        <v>15650</v>
      </c>
      <c r="G12" s="97" t="n">
        <f aca="false">IF($B12="","",'مسير فبراير'!T12)</f>
        <v>15650</v>
      </c>
      <c r="H12" s="97" t="n">
        <f aca="false">IF($B12="","",'مسير مارس'!T12)</f>
        <v>16531.25</v>
      </c>
      <c r="I12" s="97" t="n">
        <f aca="false">IF($B12="","",'مسير أبريل'!T12)</f>
        <v>15650</v>
      </c>
      <c r="J12" s="97" t="n">
        <f aca="false">IF($B12="","",'مسير مايو'!T12)</f>
        <v>15650</v>
      </c>
      <c r="K12" s="97" t="n">
        <f aca="false">IF($B12="","",'مسير يونيو'!T12)</f>
        <v>15650</v>
      </c>
      <c r="L12" s="97" t="n">
        <f aca="false">IF($B12="","",'مسير يوليو'!T12)</f>
        <v>15650</v>
      </c>
      <c r="M12" s="97" t="n">
        <f aca="false">IF($B12="","",'مسير أغسطس'!T12)</f>
        <v>15650</v>
      </c>
      <c r="N12" s="97" t="n">
        <f aca="false">IF($B12="","",'مسير سبتمبر'!T12)</f>
        <v>15650</v>
      </c>
      <c r="O12" s="97" t="n">
        <f aca="false">IF($B12="","",'مسير أكتوبر'!T12)</f>
        <v>15650</v>
      </c>
      <c r="P12" s="97" t="n">
        <f aca="false">IF($B12="","",'مسير نوفمبر'!T12)</f>
        <v>15650</v>
      </c>
      <c r="Q12" s="97" t="n">
        <f aca="false">IF($B12="","",'مسير ديسمبر'!T12)</f>
        <v>15650</v>
      </c>
      <c r="R12" s="143" t="n">
        <f aca="false">IF($B12="","",IF(1&lt;=cfg_VAL_M,'مسير يناير'!T12,0)+IF(2&lt;=cfg_VAL_M,'مسير فبراير'!T12,0)+IF(3&lt;=cfg_VAL_M,'مسير مارس'!T12,0)+IF(4&lt;=cfg_VAL_M,'مسير أبريل'!T12,0)+IF(5&lt;=cfg_VAL_M,'مسير مايو'!T12,0)+IF(6&lt;=cfg_VAL_M,'مسير يونيو'!T12,0)+IF(7&lt;=cfg_VAL_M,'مسير يوليو'!T12,0)+IF(8&lt;=cfg_VAL_M,'مسير أغسطس'!T12,0)+IF(9&lt;=cfg_VAL_M,'مسير سبتمبر'!T12,0)+IF(10&lt;=cfg_VAL_M,'مسير أكتوبر'!T12,0)+IF(11&lt;=cfg_VAL_M,'مسير نوفمبر'!T12,0)+IF(12&lt;=cfg_VAL_M,'مسير ديسمبر'!T12,0))</f>
        <v>141731.25</v>
      </c>
      <c r="T12" s="97" t="n">
        <f aca="false">IF($B12="","",'مسير يناير'!AG12)</f>
        <v>19917.6598173516</v>
      </c>
      <c r="U12" s="97" t="n">
        <f aca="false">IF($B12="","",'مسير فبراير'!AG12)</f>
        <v>20002.7283105023</v>
      </c>
      <c r="V12" s="97" t="n">
        <f aca="false">IF($B12="","",'مسير مارس'!AG12)</f>
        <v>21165.0742009133</v>
      </c>
      <c r="W12" s="97" t="n">
        <f aca="false">IF($B12="","",'مسير أبريل'!AG12)</f>
        <v>20190.1255707763</v>
      </c>
      <c r="X12" s="97" t="n">
        <f aca="false">IF($B12="","",'مسير مايو'!AG12)</f>
        <v>20283.8242009132</v>
      </c>
      <c r="Y12" s="97" t="n">
        <f aca="false">IF($B12="","",'مسير يونيو'!AG12)</f>
        <v>20190.1255707763</v>
      </c>
      <c r="Z12" s="97" t="n">
        <f aca="false">IF($B12="","",'مسير يوليو'!AG12)</f>
        <v>20283.8242009132</v>
      </c>
      <c r="AA12" s="97" t="n">
        <f aca="false">IF($B12="","",'مسير أغسطس'!AG12)</f>
        <v>20283.8242009133</v>
      </c>
      <c r="AB12" s="97" t="n">
        <f aca="false">IF($B12="","",'مسير سبتمبر'!AG12)</f>
        <v>20190.1255707762</v>
      </c>
      <c r="AC12" s="97" t="n">
        <f aca="false">IF($B12="","",'مسير أكتوبر'!AG12)</f>
        <v>20283.8242009133</v>
      </c>
      <c r="AD12" s="97" t="n">
        <f aca="false">IF($B12="","",'مسير نوفمبر'!AG12)</f>
        <v>20190.1255707763</v>
      </c>
      <c r="AE12" s="97" t="n">
        <f aca="false">IF($B12="","",'مسير ديسمبر'!AG12)</f>
        <v>20283.8242009132</v>
      </c>
      <c r="AF12" s="143" t="n">
        <f aca="false">IF($B12="","",IF(1&lt;=cfg_VAL_M,'مسير يناير'!AG12,0)+IF(2&lt;=cfg_VAL_M,'مسير فبراير'!AG12,0)+IF(3&lt;=cfg_VAL_M,'مسير مارس'!AG12,0)+IF(4&lt;=cfg_VAL_M,'مسير أبريل'!AG12,0)+IF(5&lt;=cfg_VAL_M,'مسير مايو'!AG12,0)+IF(6&lt;=cfg_VAL_M,'مسير يونيو'!AG12,0)+IF(7&lt;=cfg_VAL_M,'مسير يوليو'!AG12,0)+IF(8&lt;=cfg_VAL_M,'مسير أغسطس'!AG12,0)+IF(9&lt;=cfg_VAL_M,'مسير سبتمبر'!AG12,0)+IF(10&lt;=cfg_VAL_M,'مسير أكتوبر'!AG12,0)+IF(11&lt;=cfg_VAL_M,'مسير نوفمبر'!AG12,0)+IF(12&lt;=cfg_VAL_M,'مسير ديسمبر'!AG12,0))</f>
        <v>182507.311643836</v>
      </c>
      <c r="AG12" s="143" t="n">
        <f aca="false">IF($B12="","",IF(1&lt;=cfg_VAL_M,'مسير يناير'!Y12,0)+IF(2&lt;=cfg_VAL_M,'مسير فبراير'!Y12,0)+IF(3&lt;=cfg_VAL_M,'مسير مارس'!Y12,0)+IF(4&lt;=cfg_VAL_M,'مسير أبريل'!Y12,0)+IF(5&lt;=cfg_VAL_M,'مسير مايو'!Y12,0)+IF(6&lt;=cfg_VAL_M,'مسير يونيو'!Y12,0)+IF(7&lt;=cfg_VAL_M,'مسير يوليو'!Y12,0)+IF(8&lt;=cfg_VAL_M,'مسير أغسطس'!Y12,0)+IF(9&lt;=cfg_VAL_M,'مسير سبتمبر'!Y12,0)+IF(10&lt;=cfg_VAL_M,'مسير أكتوبر'!Y12,0)+IF(11&lt;=cfg_VAL_M,'مسير نوفمبر'!Y12,0)+IF(12&lt;=cfg_VAL_M,'مسير ديسمبر'!Y12,0))</f>
        <v>141731.25</v>
      </c>
      <c r="AH12" s="97" t="n">
        <f aca="false">IF($B12="","",AF12/cfg_VAL_M)</f>
        <v>20278.5901826484</v>
      </c>
    </row>
    <row r="13" customFormat="false" ht="15" hidden="false" customHeight="false" outlineLevel="0" collapsed="false">
      <c r="B13" s="102" t="str">
        <f aca="false">IF(الموظفون!$B13="","",الموظفون!$B13)</f>
        <v>E008</v>
      </c>
      <c r="C13" s="102" t="str">
        <f aca="false">IF(الموظفون!$B13="","",الموظفون!$C13)</f>
        <v>سارة عبدالرحمن الزهراني</v>
      </c>
      <c r="D13" s="102" t="str">
        <f aca="false">IF(الموظفون!$B13="","",الموظفون!$F13)</f>
        <v>المالية</v>
      </c>
      <c r="E13" s="102" t="str">
        <f aca="false">IF(الموظفون!$B13="","",الموظفون!$E13)</f>
        <v>سعودي</v>
      </c>
      <c r="F13" s="101" t="n">
        <f aca="false">IF($B13="","",'مسير يناير'!T13)</f>
        <v>10125</v>
      </c>
      <c r="G13" s="101" t="n">
        <f aca="false">IF($B13="","",'مسير فبراير'!T13)</f>
        <v>10125</v>
      </c>
      <c r="H13" s="101" t="n">
        <f aca="false">IF($B13="","",'مسير مارس'!T13)</f>
        <v>10125</v>
      </c>
      <c r="I13" s="101" t="n">
        <f aca="false">IF($B13="","",'مسير أبريل'!T13)</f>
        <v>10125</v>
      </c>
      <c r="J13" s="101" t="n">
        <f aca="false">IF($B13="","",'مسير مايو'!T13)</f>
        <v>10125</v>
      </c>
      <c r="K13" s="101" t="n">
        <f aca="false">IF($B13="","",'مسير يونيو'!T13)</f>
        <v>10125</v>
      </c>
      <c r="L13" s="101" t="n">
        <f aca="false">IF($B13="","",'مسير يوليو'!T13)</f>
        <v>10125</v>
      </c>
      <c r="M13" s="101" t="n">
        <f aca="false">IF($B13="","",'مسير أغسطس'!T13)</f>
        <v>9112.5</v>
      </c>
      <c r="N13" s="101" t="n">
        <f aca="false">IF($B13="","",'مسير سبتمبر'!T13)</f>
        <v>10125</v>
      </c>
      <c r="O13" s="101" t="n">
        <f aca="false">IF($B13="","",'مسير أكتوبر'!T13)</f>
        <v>10125</v>
      </c>
      <c r="P13" s="101" t="n">
        <f aca="false">IF($B13="","",'مسير نوفمبر'!T13)</f>
        <v>10125</v>
      </c>
      <c r="Q13" s="101" t="n">
        <f aca="false">IF($B13="","",'مسير ديسمبر'!T13)</f>
        <v>10125</v>
      </c>
      <c r="R13" s="144" t="n">
        <f aca="false">IF($B13="","",IF(1&lt;=cfg_VAL_M,'مسير يناير'!T13,0)+IF(2&lt;=cfg_VAL_M,'مسير فبراير'!T13,0)+IF(3&lt;=cfg_VAL_M,'مسير مارس'!T13,0)+IF(4&lt;=cfg_VAL_M,'مسير أبريل'!T13,0)+IF(5&lt;=cfg_VAL_M,'مسير مايو'!T13,0)+IF(6&lt;=cfg_VAL_M,'مسير يونيو'!T13,0)+IF(7&lt;=cfg_VAL_M,'مسير يوليو'!T13,0)+IF(8&lt;=cfg_VAL_M,'مسير أغسطس'!T13,0)+IF(9&lt;=cfg_VAL_M,'مسير سبتمبر'!T13,0)+IF(10&lt;=cfg_VAL_M,'مسير أكتوبر'!T13,0)+IF(11&lt;=cfg_VAL_M,'مسير نوفمبر'!T13,0)+IF(12&lt;=cfg_VAL_M,'مسير ديسمبر'!T13,0))</f>
        <v>90112.5</v>
      </c>
      <c r="T13" s="101" t="n">
        <f aca="false">IF($B13="","",'مسير يناير'!AG13)</f>
        <v>12458.4803082192</v>
      </c>
      <c r="U13" s="101" t="n">
        <f aca="false">IF($B13="","",'مسير فبراير'!AG13)</f>
        <v>12358.6172945205</v>
      </c>
      <c r="V13" s="101" t="n">
        <f aca="false">IF($B13="","",'مسير مارس'!AG13)</f>
        <v>12458.4803082192</v>
      </c>
      <c r="W13" s="101" t="n">
        <f aca="false">IF($B13="","",'مسير أبريل'!AG13)</f>
        <v>12425.1926369863</v>
      </c>
      <c r="X13" s="101" t="n">
        <f aca="false">IF($B13="","",'مسير مايو'!AG13)</f>
        <v>12458.4803082192</v>
      </c>
      <c r="Y13" s="101" t="n">
        <f aca="false">IF($B13="","",'مسير يونيو'!AG13)</f>
        <v>12425.1926369863</v>
      </c>
      <c r="Z13" s="101" t="n">
        <f aca="false">IF($B13="","",'مسير يوليو'!AG13)</f>
        <v>12458.4803082192</v>
      </c>
      <c r="AA13" s="101" t="n">
        <f aca="false">IF($B13="","",'مسير أغسطس'!AG13)</f>
        <v>11346.1172945205</v>
      </c>
      <c r="AB13" s="101" t="n">
        <f aca="false">IF($B13="","",'مسير سبتمبر'!AG13)</f>
        <v>12425.1926369863</v>
      </c>
      <c r="AC13" s="101" t="n">
        <f aca="false">IF($B13="","",'مسير أكتوبر'!AG13)</f>
        <v>12458.4803082192</v>
      </c>
      <c r="AD13" s="101" t="n">
        <f aca="false">IF($B13="","",'مسير نوفمبر'!AG13)</f>
        <v>12425.1926369863</v>
      </c>
      <c r="AE13" s="101" t="n">
        <f aca="false">IF($B13="","",'مسير ديسمبر'!AG13)</f>
        <v>12458.4803082192</v>
      </c>
      <c r="AF13" s="144" t="n">
        <f aca="false">IF($B13="","",IF(1&lt;=cfg_VAL_M,'مسير يناير'!AG13,0)+IF(2&lt;=cfg_VAL_M,'مسير فبراير'!AG13,0)+IF(3&lt;=cfg_VAL_M,'مسير مارس'!AG13,0)+IF(4&lt;=cfg_VAL_M,'مسير أبريل'!AG13,0)+IF(5&lt;=cfg_VAL_M,'مسير مايو'!AG13,0)+IF(6&lt;=cfg_VAL_M,'مسير يونيو'!AG13,0)+IF(7&lt;=cfg_VAL_M,'مسير يوليو'!AG13,0)+IF(8&lt;=cfg_VAL_M,'مسير أغسطس'!AG13,0)+IF(9&lt;=cfg_VAL_M,'مسير سبتمبر'!AG13,0)+IF(10&lt;=cfg_VAL_M,'مسير أكتوبر'!AG13,0)+IF(11&lt;=cfg_VAL_M,'مسير نوفمبر'!AG13,0)+IF(12&lt;=cfg_VAL_M,'مسير ديسمبر'!AG13,0))</f>
        <v>110814.233732877</v>
      </c>
      <c r="AG13" s="144" t="n">
        <f aca="false">IF($B13="","",IF(1&lt;=cfg_VAL_M,'مسير يناير'!Y13,0)+IF(2&lt;=cfg_VAL_M,'مسير فبراير'!Y13,0)+IF(3&lt;=cfg_VAL_M,'مسير مارس'!Y13,0)+IF(4&lt;=cfg_VAL_M,'مسير أبريل'!Y13,0)+IF(5&lt;=cfg_VAL_M,'مسير مايو'!Y13,0)+IF(6&lt;=cfg_VAL_M,'مسير يونيو'!Y13,0)+IF(7&lt;=cfg_VAL_M,'مسير يوليو'!Y13,0)+IF(8&lt;=cfg_VAL_M,'مسير أغسطس'!Y13,0)+IF(9&lt;=cfg_VAL_M,'مسير سبتمبر'!Y13,0)+IF(10&lt;=cfg_VAL_M,'مسير أكتوبر'!Y13,0)+IF(11&lt;=cfg_VAL_M,'مسير نوفمبر'!Y13,0)+IF(12&lt;=cfg_VAL_M,'مسير ديسمبر'!Y13,0))</f>
        <v>81885.9375</v>
      </c>
      <c r="AH13" s="101" t="n">
        <f aca="false">IF($B13="","",AF13/cfg_VAL_M)</f>
        <v>12312.6926369863</v>
      </c>
    </row>
    <row r="14" customFormat="false" ht="15" hidden="false" customHeight="false" outlineLevel="0" collapsed="false">
      <c r="B14" s="80" t="str">
        <f aca="false">IF(الموظفون!$B14="","",الموظفون!$B14)</f>
        <v>E009</v>
      </c>
      <c r="C14" s="80" t="str">
        <f aca="false">IF(الموظفون!$B14="","",الموظفون!$C14)</f>
        <v>محمد رفيق</v>
      </c>
      <c r="D14" s="80" t="str">
        <f aca="false">IF(الموظفون!$B14="","",الموظفون!$F14)</f>
        <v>العمليات</v>
      </c>
      <c r="E14" s="80" t="str">
        <f aca="false">IF(الموظفون!$B14="","",الموظفون!$E14)</f>
        <v>غير سعودي</v>
      </c>
      <c r="F14" s="97" t="n">
        <f aca="false">IF($B14="","",'مسير يناير'!T14)</f>
        <v>9799.58333333333</v>
      </c>
      <c r="G14" s="97" t="n">
        <f aca="false">IF($B14="","",'مسير فبراير'!T14)</f>
        <v>9075</v>
      </c>
      <c r="H14" s="97" t="n">
        <f aca="false">IF($B14="","",'مسير مارس'!T14)</f>
        <v>9075</v>
      </c>
      <c r="I14" s="97" t="n">
        <f aca="false">IF($B14="","",'مسير أبريل'!T14)</f>
        <v>9075</v>
      </c>
      <c r="J14" s="97" t="n">
        <f aca="false">IF($B14="","",'مسير مايو'!T14)</f>
        <v>9075</v>
      </c>
      <c r="K14" s="97" t="n">
        <f aca="false">IF($B14="","",'مسير يونيو'!T14)</f>
        <v>8775</v>
      </c>
      <c r="L14" s="97" t="n">
        <f aca="false">IF($B14="","",'مسير يوليو'!T14)</f>
        <v>9075</v>
      </c>
      <c r="M14" s="97" t="n">
        <f aca="false">IF($B14="","",'مسير أغسطس'!T14)</f>
        <v>9075</v>
      </c>
      <c r="N14" s="97" t="n">
        <f aca="false">IF($B14="","",'مسير سبتمبر'!T14)</f>
        <v>9075</v>
      </c>
      <c r="O14" s="97" t="n">
        <f aca="false">IF($B14="","",'مسير أكتوبر'!T14)</f>
        <v>9075</v>
      </c>
      <c r="P14" s="97" t="n">
        <f aca="false">IF($B14="","",'مسير نوفمبر'!T14)</f>
        <v>9075</v>
      </c>
      <c r="Q14" s="97" t="n">
        <f aca="false">IF($B14="","",'مسير ديسمبر'!T14)</f>
        <v>9075</v>
      </c>
      <c r="R14" s="143" t="n">
        <f aca="false">IF($B14="","",IF(1&lt;=cfg_VAL_M,'مسير يناير'!T14,0)+IF(2&lt;=cfg_VAL_M,'مسير فبراير'!T14,0)+IF(3&lt;=cfg_VAL_M,'مسير مارس'!T14,0)+IF(4&lt;=cfg_VAL_M,'مسير أبريل'!T14,0)+IF(5&lt;=cfg_VAL_M,'مسير مايو'!T14,0)+IF(6&lt;=cfg_VAL_M,'مسير يونيو'!T14,0)+IF(7&lt;=cfg_VAL_M,'مسير يوليو'!T14,0)+IF(8&lt;=cfg_VAL_M,'مسير أغسطس'!T14,0)+IF(9&lt;=cfg_VAL_M,'مسير سبتمبر'!T14,0)+IF(10&lt;=cfg_VAL_M,'مسير أكتوبر'!T14,0)+IF(11&lt;=cfg_VAL_M,'مسير نوفمبر'!T14,0)+IF(12&lt;=cfg_VAL_M,'مسير ديسمبر'!T14,0))</f>
        <v>82099.5833333333</v>
      </c>
      <c r="T14" s="97" t="n">
        <f aca="false">IF($B14="","",'مسير يناير'!AG14)</f>
        <v>12550.2226027397</v>
      </c>
      <c r="U14" s="97" t="n">
        <f aca="false">IF($B14="","",'مسير فبراير'!AG14)</f>
        <v>11672.3515981735</v>
      </c>
      <c r="V14" s="97" t="n">
        <f aca="false">IF($B14="","",'مسير مارس'!AG14)</f>
        <v>11825.6392694064</v>
      </c>
      <c r="W14" s="97" t="n">
        <f aca="false">IF($B14="","",'مسير أبريل'!AG14)</f>
        <v>11774.5433789954</v>
      </c>
      <c r="X14" s="97" t="n">
        <f aca="false">IF($B14="","",'مسير مايو'!AG14)</f>
        <v>11825.6392694064</v>
      </c>
      <c r="Y14" s="97" t="n">
        <f aca="false">IF($B14="","",'مسير يونيو'!AG14)</f>
        <v>11474.5433789954</v>
      </c>
      <c r="Z14" s="97" t="n">
        <f aca="false">IF($B14="","",'مسير يوليو'!AG14)</f>
        <v>11825.6392694064</v>
      </c>
      <c r="AA14" s="97" t="n">
        <f aca="false">IF($B14="","",'مسير أغسطس'!AG14)</f>
        <v>11825.6392694064</v>
      </c>
      <c r="AB14" s="97" t="n">
        <f aca="false">IF($B14="","",'مسير سبتمبر'!AG14)</f>
        <v>11774.5433789954</v>
      </c>
      <c r="AC14" s="97" t="n">
        <f aca="false">IF($B14="","",'مسير أكتوبر'!AG14)</f>
        <v>11825.6392694064</v>
      </c>
      <c r="AD14" s="97" t="n">
        <f aca="false">IF($B14="","",'مسير نوفمبر'!AG14)</f>
        <v>11774.5433789954</v>
      </c>
      <c r="AE14" s="97" t="n">
        <f aca="false">IF($B14="","",'مسير ديسمبر'!AG14)</f>
        <v>11825.6392694064</v>
      </c>
      <c r="AF14" s="143" t="n">
        <f aca="false">IF($B14="","",IF(1&lt;=cfg_VAL_M,'مسير يناير'!AG14,0)+IF(2&lt;=cfg_VAL_M,'مسير فبراير'!AG14,0)+IF(3&lt;=cfg_VAL_M,'مسير مارس'!AG14,0)+IF(4&lt;=cfg_VAL_M,'مسير أبريل'!AG14,0)+IF(5&lt;=cfg_VAL_M,'مسير مايو'!AG14,0)+IF(6&lt;=cfg_VAL_M,'مسير يونيو'!AG14,0)+IF(7&lt;=cfg_VAL_M,'مسير يوليو'!AG14,0)+IF(8&lt;=cfg_VAL_M,'مسير أغسطس'!AG14,0)+IF(9&lt;=cfg_VAL_M,'مسير سبتمبر'!AG14,0)+IF(10&lt;=cfg_VAL_M,'مسير أكتوبر'!AG14,0)+IF(11&lt;=cfg_VAL_M,'مسير نوفمبر'!AG14,0)+IF(12&lt;=cfg_VAL_M,'مسير ديسمبر'!AG14,0))</f>
        <v>106548.761415525</v>
      </c>
      <c r="AG14" s="143" t="n">
        <f aca="false">IF($B14="","",IF(1&lt;=cfg_VAL_M,'مسير يناير'!Y14,0)+IF(2&lt;=cfg_VAL_M,'مسير فبراير'!Y14,0)+IF(3&lt;=cfg_VAL_M,'مسير مارس'!Y14,0)+IF(4&lt;=cfg_VAL_M,'مسير أبريل'!Y14,0)+IF(5&lt;=cfg_VAL_M,'مسير مايو'!Y14,0)+IF(6&lt;=cfg_VAL_M,'مسير يونيو'!Y14,0)+IF(7&lt;=cfg_VAL_M,'مسير يوليو'!Y14,0)+IF(8&lt;=cfg_VAL_M,'مسير أغسطس'!Y14,0)+IF(9&lt;=cfg_VAL_M,'مسير سبتمبر'!Y14,0)+IF(10&lt;=cfg_VAL_M,'مسير أكتوبر'!Y14,0)+IF(11&lt;=cfg_VAL_M,'مسير نوفمبر'!Y14,0)+IF(12&lt;=cfg_VAL_M,'مسير ديسمبر'!Y14,0))</f>
        <v>81999.5833333333</v>
      </c>
      <c r="AH14" s="97" t="n">
        <f aca="false">IF($B14="","",AF14/cfg_VAL_M)</f>
        <v>11838.7512683917</v>
      </c>
    </row>
    <row r="15" customFormat="false" ht="15" hidden="false" customHeight="false" outlineLevel="0" collapsed="false">
      <c r="B15" s="102" t="str">
        <f aca="false">IF(الموظفون!$B15="","",الموظفون!$B15)</f>
        <v>E010</v>
      </c>
      <c r="C15" s="102" t="str">
        <f aca="false">IF(الموظفون!$B15="","",الموظفون!$C15)</f>
        <v>ريم سلطان المطيري</v>
      </c>
      <c r="D15" s="102" t="str">
        <f aca="false">IF(الموظفون!$B15="","",الموظفون!$F15)</f>
        <v>المبيعات</v>
      </c>
      <c r="E15" s="102" t="str">
        <f aca="false">IF(الموظفون!$B15="","",الموظفون!$E15)</f>
        <v>سعودي</v>
      </c>
      <c r="F15" s="101" t="n">
        <f aca="false">IF($B15="","",'مسير يناير'!T15)</f>
        <v>0</v>
      </c>
      <c r="G15" s="101" t="n">
        <f aca="false">IF($B15="","",'مسير فبراير'!T15)</f>
        <v>0</v>
      </c>
      <c r="H15" s="101" t="n">
        <f aca="false">IF($B15="","",'مسير مارس'!T15)</f>
        <v>0</v>
      </c>
      <c r="I15" s="101" t="n">
        <f aca="false">IF($B15="","",'مسير أبريل'!T15)</f>
        <v>6480</v>
      </c>
      <c r="J15" s="101" t="n">
        <f aca="false">IF($B15="","",'مسير مايو'!T15)</f>
        <v>12150</v>
      </c>
      <c r="K15" s="101" t="n">
        <f aca="false">IF($B15="","",'مسير يونيو'!T15)</f>
        <v>12150</v>
      </c>
      <c r="L15" s="101" t="n">
        <f aca="false">IF($B15="","",'مسير يوليو'!T15)</f>
        <v>12150</v>
      </c>
      <c r="M15" s="101" t="n">
        <f aca="false">IF($B15="","",'مسير أغسطس'!T15)</f>
        <v>12150</v>
      </c>
      <c r="N15" s="101" t="n">
        <f aca="false">IF($B15="","",'مسير سبتمبر'!T15)</f>
        <v>14066.25</v>
      </c>
      <c r="O15" s="101" t="n">
        <f aca="false">IF($B15="","",'مسير أكتوبر'!T15)</f>
        <v>12150</v>
      </c>
      <c r="P15" s="101" t="n">
        <f aca="false">IF($B15="","",'مسير نوفمبر'!T15)</f>
        <v>12150</v>
      </c>
      <c r="Q15" s="101" t="n">
        <f aca="false">IF($B15="","",'مسير ديسمبر'!T15)</f>
        <v>12150</v>
      </c>
      <c r="R15" s="144" t="n">
        <f aca="false">IF($B15="","",IF(1&lt;=cfg_VAL_M,'مسير يناير'!T15,0)+IF(2&lt;=cfg_VAL_M,'مسير فبراير'!T15,0)+IF(3&lt;=cfg_VAL_M,'مسير مارس'!T15,0)+IF(4&lt;=cfg_VAL_M,'مسير أبريل'!T15,0)+IF(5&lt;=cfg_VAL_M,'مسير مايو'!T15,0)+IF(6&lt;=cfg_VAL_M,'مسير يونيو'!T15,0)+IF(7&lt;=cfg_VAL_M,'مسير يوليو'!T15,0)+IF(8&lt;=cfg_VAL_M,'مسير أغسطس'!T15,0)+IF(9&lt;=cfg_VAL_M,'مسير سبتمبر'!T15,0)+IF(10&lt;=cfg_VAL_M,'مسير أكتوبر'!T15,0)+IF(11&lt;=cfg_VAL_M,'مسير نوفمبر'!T15,0)+IF(12&lt;=cfg_VAL_M,'مسير ديسمبر'!T15,0))</f>
        <v>69146.25</v>
      </c>
      <c r="T15" s="101" t="n">
        <f aca="false">IF($B15="","",'مسير يناير'!AG15)</f>
        <v>0</v>
      </c>
      <c r="U15" s="101" t="n">
        <f aca="false">IF($B15="","",'مسير فبراير'!AG15)</f>
        <v>0</v>
      </c>
      <c r="V15" s="101" t="n">
        <f aca="false">IF($B15="","",'مسير مارس'!AG15)</f>
        <v>0</v>
      </c>
      <c r="W15" s="101" t="n">
        <f aca="false">IF($B15="","",'مسير أبريل'!AG15)</f>
        <v>7930.7899543379</v>
      </c>
      <c r="X15" s="101" t="n">
        <f aca="false">IF($B15="","",'مسير مايو'!AG15)</f>
        <v>14910.176369863</v>
      </c>
      <c r="Y15" s="101" t="n">
        <f aca="false">IF($B15="","",'مسير يونيو'!AG15)</f>
        <v>14870.2311643836</v>
      </c>
      <c r="Z15" s="101" t="n">
        <f aca="false">IF($B15="","",'مسير يوليو'!AG15)</f>
        <v>14910.176369863</v>
      </c>
      <c r="AA15" s="101" t="n">
        <f aca="false">IF($B15="","",'مسير أغسطس'!AG15)</f>
        <v>14910.176369863</v>
      </c>
      <c r="AB15" s="101" t="n">
        <f aca="false">IF($B15="","",'مسير سبتمبر'!AG15)</f>
        <v>16786.4811643836</v>
      </c>
      <c r="AC15" s="101" t="n">
        <f aca="false">IF($B15="","",'مسير أكتوبر'!AG15)</f>
        <v>14910.176369863</v>
      </c>
      <c r="AD15" s="101" t="n">
        <f aca="false">IF($B15="","",'مسير نوفمبر'!AG15)</f>
        <v>14870.2311643836</v>
      </c>
      <c r="AE15" s="101" t="n">
        <f aca="false">IF($B15="","",'مسير ديسمبر'!AG15)</f>
        <v>14910.176369863</v>
      </c>
      <c r="AF15" s="144" t="n">
        <f aca="false">IF($B15="","",IF(1&lt;=cfg_VAL_M,'مسير يناير'!AG15,0)+IF(2&lt;=cfg_VAL_M,'مسير فبراير'!AG15,0)+IF(3&lt;=cfg_VAL_M,'مسير مارس'!AG15,0)+IF(4&lt;=cfg_VAL_M,'مسير أبريل'!AG15,0)+IF(5&lt;=cfg_VAL_M,'مسير مايو'!AG15,0)+IF(6&lt;=cfg_VAL_M,'مسير يونيو'!AG15,0)+IF(7&lt;=cfg_VAL_M,'مسير يوليو'!AG15,0)+IF(8&lt;=cfg_VAL_M,'مسير أغسطس'!AG15,0)+IF(9&lt;=cfg_VAL_M,'مسير سبتمبر'!AG15,0)+IF(10&lt;=cfg_VAL_M,'مسير أكتوبر'!AG15,0)+IF(11&lt;=cfg_VAL_M,'مسير نوفمبر'!AG15,0)+IF(12&lt;=cfg_VAL_M,'مسير ديسمبر'!AG15,0))</f>
        <v>84318.0313926941</v>
      </c>
      <c r="AG15" s="144" t="n">
        <f aca="false">IF($B15="","",IF(1&lt;=cfg_VAL_M,'مسير يناير'!Y15,0)+IF(2&lt;=cfg_VAL_M,'مسير فبراير'!Y15,0)+IF(3&lt;=cfg_VAL_M,'مسير مارس'!Y15,0)+IF(4&lt;=cfg_VAL_M,'مسير أبريل'!Y15,0)+IF(5&lt;=cfg_VAL_M,'مسير مايو'!Y15,0)+IF(6&lt;=cfg_VAL_M,'مسير يونيو'!Y15,0)+IF(7&lt;=cfg_VAL_M,'مسير يوليو'!Y15,0)+IF(8&lt;=cfg_VAL_M,'مسير أغسطس'!Y15,0)+IF(9&lt;=cfg_VAL_M,'مسير سبتمبر'!Y15,0)+IF(10&lt;=cfg_VAL_M,'مسير أكتوبر'!Y15,0)+IF(11&lt;=cfg_VAL_M,'مسير نوفمبر'!Y15,0)+IF(12&lt;=cfg_VAL_M,'مسير ديسمبر'!Y15,0))</f>
        <v>63076.875</v>
      </c>
      <c r="AH15" s="101" t="n">
        <f aca="false">IF($B15="","",AF15/cfg_VAL_M)</f>
        <v>9368.67015474378</v>
      </c>
    </row>
    <row r="16" customFormat="false" ht="15" hidden="false" customHeight="false" outlineLevel="0" collapsed="false">
      <c r="B16" s="80" t="str">
        <f aca="false">IF(الموظفون!$B16="","",الموظفون!$B16)</f>
        <v>E011</v>
      </c>
      <c r="C16" s="80" t="str">
        <f aca="false">IF(الموظفون!$B16="","",الموظفون!$C16)</f>
        <v>جون ماتيو</v>
      </c>
      <c r="D16" s="80" t="str">
        <f aca="false">IF(الموظفون!$B16="","",الموظفون!$F16)</f>
        <v>العمليات</v>
      </c>
      <c r="E16" s="80" t="str">
        <f aca="false">IF(الموظفون!$B16="","",الموظفون!$E16)</f>
        <v>غير سعودي</v>
      </c>
      <c r="F16" s="97" t="n">
        <f aca="false">IF($B16="","",'مسير يناير'!T16)</f>
        <v>6750</v>
      </c>
      <c r="G16" s="97" t="n">
        <f aca="false">IF($B16="","",'مسير فبراير'!T16)</f>
        <v>6750</v>
      </c>
      <c r="H16" s="97" t="n">
        <f aca="false">IF($B16="","",'مسير مارس'!T16)</f>
        <v>6750</v>
      </c>
      <c r="I16" s="97" t="n">
        <f aca="false">IF($B16="","",'مسير أبريل'!T16)</f>
        <v>6750</v>
      </c>
      <c r="J16" s="97" t="n">
        <f aca="false">IF($B16="","",'مسير مايو'!T16)</f>
        <v>6750</v>
      </c>
      <c r="K16" s="97" t="n">
        <f aca="false">IF($B16="","",'مسير يونيو'!T16)</f>
        <v>6750</v>
      </c>
      <c r="L16" s="97" t="n">
        <f aca="false">IF($B16="","",'مسير يوليو'!T16)</f>
        <v>8297.2602739726</v>
      </c>
      <c r="M16" s="97" t="n">
        <f aca="false">IF($B16="","",'مسير أغسطس'!T16)</f>
        <v>0</v>
      </c>
      <c r="N16" s="97" t="n">
        <f aca="false">IF($B16="","",'مسير سبتمبر'!T16)</f>
        <v>0</v>
      </c>
      <c r="O16" s="97" t="n">
        <f aca="false">IF($B16="","",'مسير أكتوبر'!T16)</f>
        <v>0</v>
      </c>
      <c r="P16" s="97" t="n">
        <f aca="false">IF($B16="","",'مسير نوفمبر'!T16)</f>
        <v>0</v>
      </c>
      <c r="Q16" s="97" t="n">
        <f aca="false">IF($B16="","",'مسير ديسمبر'!T16)</f>
        <v>0</v>
      </c>
      <c r="R16" s="143" t="n">
        <f aca="false">IF($B16="","",IF(1&lt;=cfg_VAL_M,'مسير يناير'!T16,0)+IF(2&lt;=cfg_VAL_M,'مسير فبراير'!T16,0)+IF(3&lt;=cfg_VAL_M,'مسير مارس'!T16,0)+IF(4&lt;=cfg_VAL_M,'مسير أبريل'!T16,0)+IF(5&lt;=cfg_VAL_M,'مسير مايو'!T16,0)+IF(6&lt;=cfg_VAL_M,'مسير يونيو'!T16,0)+IF(7&lt;=cfg_VAL_M,'مسير يوليو'!T16,0)+IF(8&lt;=cfg_VAL_M,'مسير أغسطس'!T16,0)+IF(9&lt;=cfg_VAL_M,'مسير سبتمبر'!T16,0)+IF(10&lt;=cfg_VAL_M,'مسير أكتوبر'!T16,0)+IF(11&lt;=cfg_VAL_M,'مسير نوفمبر'!T16,0)+IF(12&lt;=cfg_VAL_M,'مسير ديسمبر'!T16,0))</f>
        <v>48797.2602739726</v>
      </c>
      <c r="T16" s="97" t="n">
        <f aca="false">IF($B16="","",'مسير يناير'!AG16)</f>
        <v>9136.15296803653</v>
      </c>
      <c r="U16" s="97" t="n">
        <f aca="false">IF($B16="","",'مسير فبراير'!AG16)</f>
        <v>9014.50913242009</v>
      </c>
      <c r="V16" s="97" t="n">
        <f aca="false">IF($B16="","",'مسير مارس'!AG16)</f>
        <v>9136.15296803653</v>
      </c>
      <c r="W16" s="97" t="n">
        <f aca="false">IF($B16="","",'مسير أبريل'!AG16)</f>
        <v>9095.60502283105</v>
      </c>
      <c r="X16" s="97" t="n">
        <f aca="false">IF($B16="","",'مسير مايو'!AG16)</f>
        <v>9136.15296803653</v>
      </c>
      <c r="Y16" s="97" t="n">
        <f aca="false">IF($B16="","",'مسير يونيو'!AG16)</f>
        <v>9095.60502283105</v>
      </c>
      <c r="Z16" s="97" t="n">
        <f aca="false">IF($B16="","",'مسير يوليو'!AG16)</f>
        <v>8297.2602739726</v>
      </c>
      <c r="AA16" s="97" t="n">
        <f aca="false">IF($B16="","",'مسير أغسطس'!AG16)</f>
        <v>0</v>
      </c>
      <c r="AB16" s="97" t="n">
        <f aca="false">IF($B16="","",'مسير سبتمبر'!AG16)</f>
        <v>0</v>
      </c>
      <c r="AC16" s="97" t="n">
        <f aca="false">IF($B16="","",'مسير أكتوبر'!AG16)</f>
        <v>0</v>
      </c>
      <c r="AD16" s="97" t="n">
        <f aca="false">IF($B16="","",'مسير نوفمبر'!AG16)</f>
        <v>0</v>
      </c>
      <c r="AE16" s="97" t="n">
        <f aca="false">IF($B16="","",'مسير ديسمبر'!AG16)</f>
        <v>0</v>
      </c>
      <c r="AF16" s="143" t="n">
        <f aca="false">IF($B16="","",IF(1&lt;=cfg_VAL_M,'مسير يناير'!AG16,0)+IF(2&lt;=cfg_VAL_M,'مسير فبراير'!AG16,0)+IF(3&lt;=cfg_VAL_M,'مسير مارس'!AG16,0)+IF(4&lt;=cfg_VAL_M,'مسير أبريل'!AG16,0)+IF(5&lt;=cfg_VAL_M,'مسير مايو'!AG16,0)+IF(6&lt;=cfg_VAL_M,'مسير يونيو'!AG16,0)+IF(7&lt;=cfg_VAL_M,'مسير يوليو'!AG16,0)+IF(8&lt;=cfg_VAL_M,'مسير أغسطس'!AG16,0)+IF(9&lt;=cfg_VAL_M,'مسير سبتمبر'!AG16,0)+IF(10&lt;=cfg_VAL_M,'مسير أكتوبر'!AG16,0)+IF(11&lt;=cfg_VAL_M,'مسير نوفمبر'!AG16,0)+IF(12&lt;=cfg_VAL_M,'مسير ديسمبر'!AG16,0))</f>
        <v>62911.4383561644</v>
      </c>
      <c r="AG16" s="143" t="n">
        <f aca="false">IF($B16="","",IF(1&lt;=cfg_VAL_M,'مسير يناير'!Y16,0)+IF(2&lt;=cfg_VAL_M,'مسير فبراير'!Y16,0)+IF(3&lt;=cfg_VAL_M,'مسير مارس'!Y16,0)+IF(4&lt;=cfg_VAL_M,'مسير أبريل'!Y16,0)+IF(5&lt;=cfg_VAL_M,'مسير مايو'!Y16,0)+IF(6&lt;=cfg_VAL_M,'مسير يونيو'!Y16,0)+IF(7&lt;=cfg_VAL_M,'مسير يوليو'!Y16,0)+IF(8&lt;=cfg_VAL_M,'مسير أغسطس'!Y16,0)+IF(9&lt;=cfg_VAL_M,'مسير سبتمبر'!Y16,0)+IF(10&lt;=cfg_VAL_M,'مسير أكتوبر'!Y16,0)+IF(11&lt;=cfg_VAL_M,'مسير نوفمبر'!Y16,0)+IF(12&lt;=cfg_VAL_M,'مسير ديسمبر'!Y16,0))</f>
        <v>48797.2602739726</v>
      </c>
      <c r="AH16" s="97" t="n">
        <f aca="false">IF($B16="","",AF16/cfg_VAL_M)</f>
        <v>6990.1598173516</v>
      </c>
    </row>
    <row r="17" customFormat="false" ht="15" hidden="false" customHeight="false" outlineLevel="0" collapsed="false">
      <c r="B17" s="102" t="str">
        <f aca="false">IF(الموظفون!$B17="","",الموظفون!$B17)</f>
        <v>E012</v>
      </c>
      <c r="C17" s="102" t="str">
        <f aca="false">IF(الموظفون!$B17="","",الموظفون!$C17)</f>
        <v>عمر حسين البيشي</v>
      </c>
      <c r="D17" s="102" t="str">
        <f aca="false">IF(الموظفون!$B17="","",الموظفون!$F17)</f>
        <v>تقنية المعلومات</v>
      </c>
      <c r="E17" s="102" t="str">
        <f aca="false">IF(الموظفون!$B17="","",الموظفون!$E17)</f>
        <v>سعودي</v>
      </c>
      <c r="F17" s="101" t="n">
        <f aca="false">IF($B17="","",'مسير يناير'!T17)</f>
        <v>17700</v>
      </c>
      <c r="G17" s="101" t="n">
        <f aca="false">IF($B17="","",'مسير فبراير'!T17)</f>
        <v>17700</v>
      </c>
      <c r="H17" s="101" t="n">
        <f aca="false">IF($B17="","",'مسير مارس'!T17)</f>
        <v>17700</v>
      </c>
      <c r="I17" s="101" t="n">
        <f aca="false">IF($B17="","",'مسير أبريل'!T17)</f>
        <v>16520</v>
      </c>
      <c r="J17" s="101" t="n">
        <f aca="false">IF($B17="","",'مسير مايو'!T17)</f>
        <v>17700</v>
      </c>
      <c r="K17" s="101" t="n">
        <f aca="false">IF($B17="","",'مسير يونيو'!T17)</f>
        <v>17700</v>
      </c>
      <c r="L17" s="101" t="n">
        <f aca="false">IF($B17="","",'مسير يوليو'!T17)</f>
        <v>17700</v>
      </c>
      <c r="M17" s="101" t="n">
        <f aca="false">IF($B17="","",'مسير أغسطس'!T17)</f>
        <v>17700</v>
      </c>
      <c r="N17" s="101" t="n">
        <f aca="false">IF($B17="","",'مسير سبتمبر'!T17)</f>
        <v>16225</v>
      </c>
      <c r="O17" s="101" t="n">
        <f aca="false">IF($B17="","",'مسير أكتوبر'!T17)</f>
        <v>17700</v>
      </c>
      <c r="P17" s="101" t="n">
        <f aca="false">IF($B17="","",'مسير نوفمبر'!T17)</f>
        <v>17700</v>
      </c>
      <c r="Q17" s="101" t="n">
        <f aca="false">IF($B17="","",'مسير ديسمبر'!T17)</f>
        <v>17700</v>
      </c>
      <c r="R17" s="144" t="n">
        <f aca="false">IF($B17="","",IF(1&lt;=cfg_VAL_M,'مسير يناير'!T17,0)+IF(2&lt;=cfg_VAL_M,'مسير فبراير'!T17,0)+IF(3&lt;=cfg_VAL_M,'مسير مارس'!T17,0)+IF(4&lt;=cfg_VAL_M,'مسير أبريل'!T17,0)+IF(5&lt;=cfg_VAL_M,'مسير مايو'!T17,0)+IF(6&lt;=cfg_VAL_M,'مسير يونيو'!T17,0)+IF(7&lt;=cfg_VAL_M,'مسير يوليو'!T17,0)+IF(8&lt;=cfg_VAL_M,'مسير أغسطس'!T17,0)+IF(9&lt;=cfg_VAL_M,'مسير سبتمبر'!T17,0)+IF(10&lt;=cfg_VAL_M,'مسير أكتوبر'!T17,0)+IF(11&lt;=cfg_VAL_M,'مسير نوفمبر'!T17,0)+IF(12&lt;=cfg_VAL_M,'مسير ديسمبر'!T17,0))</f>
        <v>156645</v>
      </c>
      <c r="T17" s="101" t="n">
        <f aca="false">IF($B17="","",'مسير يناير'!AG17)</f>
        <v>21313.5684931507</v>
      </c>
      <c r="U17" s="101" t="n">
        <f aca="false">IF($B17="","",'مسير فبراير'!AG17)</f>
        <v>21153.7876712329</v>
      </c>
      <c r="V17" s="101" t="n">
        <f aca="false">IF($B17="","",'مسير مارس'!AG17)</f>
        <v>21313.5684931507</v>
      </c>
      <c r="W17" s="101" t="n">
        <f aca="false">IF($B17="","",'مسير أبريل'!AG17)</f>
        <v>20080.3082191781</v>
      </c>
      <c r="X17" s="101" t="n">
        <f aca="false">IF($B17="","",'مسير مايو'!AG17)</f>
        <v>21313.5684931507</v>
      </c>
      <c r="Y17" s="101" t="n">
        <f aca="false">IF($B17="","",'مسير يونيو'!AG17)</f>
        <v>21260.3082191781</v>
      </c>
      <c r="Z17" s="101" t="n">
        <f aca="false">IF($B17="","",'مسير يوليو'!AG17)</f>
        <v>21313.5684931507</v>
      </c>
      <c r="AA17" s="101" t="n">
        <f aca="false">IF($B17="","",'مسير أغسطس'!AG17)</f>
        <v>21313.5684931507</v>
      </c>
      <c r="AB17" s="101" t="n">
        <f aca="false">IF($B17="","",'مسير سبتمبر'!AG17)</f>
        <v>19785.3082191781</v>
      </c>
      <c r="AC17" s="101" t="n">
        <f aca="false">IF($B17="","",'مسير أكتوبر'!AG17)</f>
        <v>21313.5684931507</v>
      </c>
      <c r="AD17" s="101" t="n">
        <f aca="false">IF($B17="","",'مسير نوفمبر'!AG17)</f>
        <v>21260.3082191781</v>
      </c>
      <c r="AE17" s="101" t="n">
        <f aca="false">IF($B17="","",'مسير ديسمبر'!AG17)</f>
        <v>21313.5684931507</v>
      </c>
      <c r="AF17" s="144" t="n">
        <f aca="false">IF($B17="","",IF(1&lt;=cfg_VAL_M,'مسير يناير'!AG17,0)+IF(2&lt;=cfg_VAL_M,'مسير فبراير'!AG17,0)+IF(3&lt;=cfg_VAL_M,'مسير مارس'!AG17,0)+IF(4&lt;=cfg_VAL_M,'مسير أبريل'!AG17,0)+IF(5&lt;=cfg_VAL_M,'مسير مايو'!AG17,0)+IF(6&lt;=cfg_VAL_M,'مسير يونيو'!AG17,0)+IF(7&lt;=cfg_VAL_M,'مسير يوليو'!AG17,0)+IF(8&lt;=cfg_VAL_M,'مسير أغسطس'!AG17,0)+IF(9&lt;=cfg_VAL_M,'مسير سبتمبر'!AG17,0)+IF(10&lt;=cfg_VAL_M,'مسير أكتوبر'!AG17,0)+IF(11&lt;=cfg_VAL_M,'مسير نوفمبر'!AG17,0)+IF(12&lt;=cfg_VAL_M,'مسير ديسمبر'!AG17,0))</f>
        <v>188847.554794521</v>
      </c>
      <c r="AG17" s="144" t="n">
        <f aca="false">IF($B17="","",IF(1&lt;=cfg_VAL_M,'مسير يناير'!Y17,0)+IF(2&lt;=cfg_VAL_M,'مسير فبراير'!Y17,0)+IF(3&lt;=cfg_VAL_M,'مسير مارس'!Y17,0)+IF(4&lt;=cfg_VAL_M,'مسير أبريل'!Y17,0)+IF(5&lt;=cfg_VAL_M,'مسير مايو'!Y17,0)+IF(6&lt;=cfg_VAL_M,'مسير يونيو'!Y17,0)+IF(7&lt;=cfg_VAL_M,'مسير يوليو'!Y17,0)+IF(8&lt;=cfg_VAL_M,'مسير أغسطس'!Y17,0)+IF(9&lt;=cfg_VAL_M,'مسير سبتمبر'!Y17,0)+IF(10&lt;=cfg_VAL_M,'مسير أكتوبر'!Y17,0)+IF(11&lt;=cfg_VAL_M,'مسير نوفمبر'!Y17,0)+IF(12&lt;=cfg_VAL_M,'مسير ديسمبر'!Y17,0))</f>
        <v>143482.5</v>
      </c>
      <c r="AH17" s="101" t="n">
        <f aca="false">IF($B17="","",AF17/cfg_VAL_M)</f>
        <v>20983.0616438356</v>
      </c>
    </row>
    <row r="18" customFormat="false" ht="15" hidden="false" customHeight="false" outlineLevel="0" collapsed="false">
      <c r="B18" s="80" t="str">
        <f aca="false">IF(الموظفون!$B18="","",الموظفون!$B18)</f>
        <v/>
      </c>
      <c r="C18" s="80" t="str">
        <f aca="false">IF(الموظفون!$B18="","",الموظفون!$C18)</f>
        <v/>
      </c>
      <c r="D18" s="80" t="str">
        <f aca="false">IF(الموظفون!$B18="","",الموظفون!$F18)</f>
        <v/>
      </c>
      <c r="E18" s="80" t="str">
        <f aca="false">IF(الموظفون!$B18="","",الموظفون!$E18)</f>
        <v/>
      </c>
      <c r="F18" s="97" t="str">
        <f aca="false">IF($B18="","",'مسير يناير'!T18)</f>
        <v/>
      </c>
      <c r="G18" s="97" t="str">
        <f aca="false">IF($B18="","",'مسير فبراير'!T18)</f>
        <v/>
      </c>
      <c r="H18" s="97" t="str">
        <f aca="false">IF($B18="","",'مسير مارس'!T18)</f>
        <v/>
      </c>
      <c r="I18" s="97" t="str">
        <f aca="false">IF($B18="","",'مسير أبريل'!T18)</f>
        <v/>
      </c>
      <c r="J18" s="97" t="str">
        <f aca="false">IF($B18="","",'مسير مايو'!T18)</f>
        <v/>
      </c>
      <c r="K18" s="97" t="str">
        <f aca="false">IF($B18="","",'مسير يونيو'!T18)</f>
        <v/>
      </c>
      <c r="L18" s="97" t="str">
        <f aca="false">IF($B18="","",'مسير يوليو'!T18)</f>
        <v/>
      </c>
      <c r="M18" s="97" t="str">
        <f aca="false">IF($B18="","",'مسير أغسطس'!T18)</f>
        <v/>
      </c>
      <c r="N18" s="97" t="str">
        <f aca="false">IF($B18="","",'مسير سبتمبر'!T18)</f>
        <v/>
      </c>
      <c r="O18" s="97" t="str">
        <f aca="false">IF($B18="","",'مسير أكتوبر'!T18)</f>
        <v/>
      </c>
      <c r="P18" s="97" t="str">
        <f aca="false">IF($B18="","",'مسير نوفمبر'!T18)</f>
        <v/>
      </c>
      <c r="Q18" s="97" t="str">
        <f aca="false">IF($B18="","",'مسير ديسمبر'!T18)</f>
        <v/>
      </c>
      <c r="R18" s="143" t="str">
        <f aca="false">IF($B18="","",IF(1&lt;=cfg_VAL_M,'مسير يناير'!T18,0)+IF(2&lt;=cfg_VAL_M,'مسير فبراير'!T18,0)+IF(3&lt;=cfg_VAL_M,'مسير مارس'!T18,0)+IF(4&lt;=cfg_VAL_M,'مسير أبريل'!T18,0)+IF(5&lt;=cfg_VAL_M,'مسير مايو'!T18,0)+IF(6&lt;=cfg_VAL_M,'مسير يونيو'!T18,0)+IF(7&lt;=cfg_VAL_M,'مسير يوليو'!T18,0)+IF(8&lt;=cfg_VAL_M,'مسير أغسطس'!T18,0)+IF(9&lt;=cfg_VAL_M,'مسير سبتمبر'!T18,0)+IF(10&lt;=cfg_VAL_M,'مسير أكتوبر'!T18,0)+IF(11&lt;=cfg_VAL_M,'مسير نوفمبر'!T18,0)+IF(12&lt;=cfg_VAL_M,'مسير ديسمبر'!T18,0))</f>
        <v/>
      </c>
      <c r="T18" s="97" t="str">
        <f aca="false">IF($B18="","",'مسير يناير'!AG18)</f>
        <v/>
      </c>
      <c r="U18" s="97" t="str">
        <f aca="false">IF($B18="","",'مسير فبراير'!AG18)</f>
        <v/>
      </c>
      <c r="V18" s="97" t="str">
        <f aca="false">IF($B18="","",'مسير مارس'!AG18)</f>
        <v/>
      </c>
      <c r="W18" s="97" t="str">
        <f aca="false">IF($B18="","",'مسير أبريل'!AG18)</f>
        <v/>
      </c>
      <c r="X18" s="97" t="str">
        <f aca="false">IF($B18="","",'مسير مايو'!AG18)</f>
        <v/>
      </c>
      <c r="Y18" s="97" t="str">
        <f aca="false">IF($B18="","",'مسير يونيو'!AG18)</f>
        <v/>
      </c>
      <c r="Z18" s="97" t="str">
        <f aca="false">IF($B18="","",'مسير يوليو'!AG18)</f>
        <v/>
      </c>
      <c r="AA18" s="97" t="str">
        <f aca="false">IF($B18="","",'مسير أغسطس'!AG18)</f>
        <v/>
      </c>
      <c r="AB18" s="97" t="str">
        <f aca="false">IF($B18="","",'مسير سبتمبر'!AG18)</f>
        <v/>
      </c>
      <c r="AC18" s="97" t="str">
        <f aca="false">IF($B18="","",'مسير أكتوبر'!AG18)</f>
        <v/>
      </c>
      <c r="AD18" s="97" t="str">
        <f aca="false">IF($B18="","",'مسير نوفمبر'!AG18)</f>
        <v/>
      </c>
      <c r="AE18" s="97" t="str">
        <f aca="false">IF($B18="","",'مسير ديسمبر'!AG18)</f>
        <v/>
      </c>
      <c r="AF18" s="143" t="str">
        <f aca="false">IF($B18="","",IF(1&lt;=cfg_VAL_M,'مسير يناير'!AG18,0)+IF(2&lt;=cfg_VAL_M,'مسير فبراير'!AG18,0)+IF(3&lt;=cfg_VAL_M,'مسير مارس'!AG18,0)+IF(4&lt;=cfg_VAL_M,'مسير أبريل'!AG18,0)+IF(5&lt;=cfg_VAL_M,'مسير مايو'!AG18,0)+IF(6&lt;=cfg_VAL_M,'مسير يونيو'!AG18,0)+IF(7&lt;=cfg_VAL_M,'مسير يوليو'!AG18,0)+IF(8&lt;=cfg_VAL_M,'مسير أغسطس'!AG18,0)+IF(9&lt;=cfg_VAL_M,'مسير سبتمبر'!AG18,0)+IF(10&lt;=cfg_VAL_M,'مسير أكتوبر'!AG18,0)+IF(11&lt;=cfg_VAL_M,'مسير نوفمبر'!AG18,0)+IF(12&lt;=cfg_VAL_M,'مسير ديسمبر'!AG18,0))</f>
        <v/>
      </c>
      <c r="AG18" s="143" t="str">
        <f aca="false">IF($B18="","",IF(1&lt;=cfg_VAL_M,'مسير يناير'!Y18,0)+IF(2&lt;=cfg_VAL_M,'مسير فبراير'!Y18,0)+IF(3&lt;=cfg_VAL_M,'مسير مارس'!Y18,0)+IF(4&lt;=cfg_VAL_M,'مسير أبريل'!Y18,0)+IF(5&lt;=cfg_VAL_M,'مسير مايو'!Y18,0)+IF(6&lt;=cfg_VAL_M,'مسير يونيو'!Y18,0)+IF(7&lt;=cfg_VAL_M,'مسير يوليو'!Y18,0)+IF(8&lt;=cfg_VAL_M,'مسير أغسطس'!Y18,0)+IF(9&lt;=cfg_VAL_M,'مسير سبتمبر'!Y18,0)+IF(10&lt;=cfg_VAL_M,'مسير أكتوبر'!Y18,0)+IF(11&lt;=cfg_VAL_M,'مسير نوفمبر'!Y18,0)+IF(12&lt;=cfg_VAL_M,'مسير ديسمبر'!Y18,0))</f>
        <v/>
      </c>
      <c r="AH18" s="97" t="str">
        <f aca="false">IF($B18="","",AF18/cfg_VAL_M)</f>
        <v/>
      </c>
    </row>
    <row r="19" customFormat="false" ht="15" hidden="false" customHeight="false" outlineLevel="0" collapsed="false">
      <c r="B19" s="102" t="str">
        <f aca="false">IF(الموظفون!$B19="","",الموظفون!$B19)</f>
        <v/>
      </c>
      <c r="C19" s="102" t="str">
        <f aca="false">IF(الموظفون!$B19="","",الموظفون!$C19)</f>
        <v/>
      </c>
      <c r="D19" s="102" t="str">
        <f aca="false">IF(الموظفون!$B19="","",الموظفون!$F19)</f>
        <v/>
      </c>
      <c r="E19" s="102" t="str">
        <f aca="false">IF(الموظفون!$B19="","",الموظفون!$E19)</f>
        <v/>
      </c>
      <c r="F19" s="101" t="str">
        <f aca="false">IF($B19="","",'مسير يناير'!T19)</f>
        <v/>
      </c>
      <c r="G19" s="101" t="str">
        <f aca="false">IF($B19="","",'مسير فبراير'!T19)</f>
        <v/>
      </c>
      <c r="H19" s="101" t="str">
        <f aca="false">IF($B19="","",'مسير مارس'!T19)</f>
        <v/>
      </c>
      <c r="I19" s="101" t="str">
        <f aca="false">IF($B19="","",'مسير أبريل'!T19)</f>
        <v/>
      </c>
      <c r="J19" s="101" t="str">
        <f aca="false">IF($B19="","",'مسير مايو'!T19)</f>
        <v/>
      </c>
      <c r="K19" s="101" t="str">
        <f aca="false">IF($B19="","",'مسير يونيو'!T19)</f>
        <v/>
      </c>
      <c r="L19" s="101" t="str">
        <f aca="false">IF($B19="","",'مسير يوليو'!T19)</f>
        <v/>
      </c>
      <c r="M19" s="101" t="str">
        <f aca="false">IF($B19="","",'مسير أغسطس'!T19)</f>
        <v/>
      </c>
      <c r="N19" s="101" t="str">
        <f aca="false">IF($B19="","",'مسير سبتمبر'!T19)</f>
        <v/>
      </c>
      <c r="O19" s="101" t="str">
        <f aca="false">IF($B19="","",'مسير أكتوبر'!T19)</f>
        <v/>
      </c>
      <c r="P19" s="101" t="str">
        <f aca="false">IF($B19="","",'مسير نوفمبر'!T19)</f>
        <v/>
      </c>
      <c r="Q19" s="101" t="str">
        <f aca="false">IF($B19="","",'مسير ديسمبر'!T19)</f>
        <v/>
      </c>
      <c r="R19" s="144" t="str">
        <f aca="false">IF($B19="","",IF(1&lt;=cfg_VAL_M,'مسير يناير'!T19,0)+IF(2&lt;=cfg_VAL_M,'مسير فبراير'!T19,0)+IF(3&lt;=cfg_VAL_M,'مسير مارس'!T19,0)+IF(4&lt;=cfg_VAL_M,'مسير أبريل'!T19,0)+IF(5&lt;=cfg_VAL_M,'مسير مايو'!T19,0)+IF(6&lt;=cfg_VAL_M,'مسير يونيو'!T19,0)+IF(7&lt;=cfg_VAL_M,'مسير يوليو'!T19,0)+IF(8&lt;=cfg_VAL_M,'مسير أغسطس'!T19,0)+IF(9&lt;=cfg_VAL_M,'مسير سبتمبر'!T19,0)+IF(10&lt;=cfg_VAL_M,'مسير أكتوبر'!T19,0)+IF(11&lt;=cfg_VAL_M,'مسير نوفمبر'!T19,0)+IF(12&lt;=cfg_VAL_M,'مسير ديسمبر'!T19,0))</f>
        <v/>
      </c>
      <c r="T19" s="101" t="str">
        <f aca="false">IF($B19="","",'مسير يناير'!AG19)</f>
        <v/>
      </c>
      <c r="U19" s="101" t="str">
        <f aca="false">IF($B19="","",'مسير فبراير'!AG19)</f>
        <v/>
      </c>
      <c r="V19" s="101" t="str">
        <f aca="false">IF($B19="","",'مسير مارس'!AG19)</f>
        <v/>
      </c>
      <c r="W19" s="101" t="str">
        <f aca="false">IF($B19="","",'مسير أبريل'!AG19)</f>
        <v/>
      </c>
      <c r="X19" s="101" t="str">
        <f aca="false">IF($B19="","",'مسير مايو'!AG19)</f>
        <v/>
      </c>
      <c r="Y19" s="101" t="str">
        <f aca="false">IF($B19="","",'مسير يونيو'!AG19)</f>
        <v/>
      </c>
      <c r="Z19" s="101" t="str">
        <f aca="false">IF($B19="","",'مسير يوليو'!AG19)</f>
        <v/>
      </c>
      <c r="AA19" s="101" t="str">
        <f aca="false">IF($B19="","",'مسير أغسطس'!AG19)</f>
        <v/>
      </c>
      <c r="AB19" s="101" t="str">
        <f aca="false">IF($B19="","",'مسير سبتمبر'!AG19)</f>
        <v/>
      </c>
      <c r="AC19" s="101" t="str">
        <f aca="false">IF($B19="","",'مسير أكتوبر'!AG19)</f>
        <v/>
      </c>
      <c r="AD19" s="101" t="str">
        <f aca="false">IF($B19="","",'مسير نوفمبر'!AG19)</f>
        <v/>
      </c>
      <c r="AE19" s="101" t="str">
        <f aca="false">IF($B19="","",'مسير ديسمبر'!AG19)</f>
        <v/>
      </c>
      <c r="AF19" s="144" t="str">
        <f aca="false">IF($B19="","",IF(1&lt;=cfg_VAL_M,'مسير يناير'!AG19,0)+IF(2&lt;=cfg_VAL_M,'مسير فبراير'!AG19,0)+IF(3&lt;=cfg_VAL_M,'مسير مارس'!AG19,0)+IF(4&lt;=cfg_VAL_M,'مسير أبريل'!AG19,0)+IF(5&lt;=cfg_VAL_M,'مسير مايو'!AG19,0)+IF(6&lt;=cfg_VAL_M,'مسير يونيو'!AG19,0)+IF(7&lt;=cfg_VAL_M,'مسير يوليو'!AG19,0)+IF(8&lt;=cfg_VAL_M,'مسير أغسطس'!AG19,0)+IF(9&lt;=cfg_VAL_M,'مسير سبتمبر'!AG19,0)+IF(10&lt;=cfg_VAL_M,'مسير أكتوبر'!AG19,0)+IF(11&lt;=cfg_VAL_M,'مسير نوفمبر'!AG19,0)+IF(12&lt;=cfg_VAL_M,'مسير ديسمبر'!AG19,0))</f>
        <v/>
      </c>
      <c r="AG19" s="144" t="str">
        <f aca="false">IF($B19="","",IF(1&lt;=cfg_VAL_M,'مسير يناير'!Y19,0)+IF(2&lt;=cfg_VAL_M,'مسير فبراير'!Y19,0)+IF(3&lt;=cfg_VAL_M,'مسير مارس'!Y19,0)+IF(4&lt;=cfg_VAL_M,'مسير أبريل'!Y19,0)+IF(5&lt;=cfg_VAL_M,'مسير مايو'!Y19,0)+IF(6&lt;=cfg_VAL_M,'مسير يونيو'!Y19,0)+IF(7&lt;=cfg_VAL_M,'مسير يوليو'!Y19,0)+IF(8&lt;=cfg_VAL_M,'مسير أغسطس'!Y19,0)+IF(9&lt;=cfg_VAL_M,'مسير سبتمبر'!Y19,0)+IF(10&lt;=cfg_VAL_M,'مسير أكتوبر'!Y19,0)+IF(11&lt;=cfg_VAL_M,'مسير نوفمبر'!Y19,0)+IF(12&lt;=cfg_VAL_M,'مسير ديسمبر'!Y19,0))</f>
        <v/>
      </c>
      <c r="AH19" s="101" t="str">
        <f aca="false">IF($B19="","",AF19/cfg_VAL_M)</f>
        <v/>
      </c>
    </row>
    <row r="20" customFormat="false" ht="15" hidden="false" customHeight="false" outlineLevel="0" collapsed="false">
      <c r="B20" s="80" t="str">
        <f aca="false">IF(الموظفون!$B20="","",الموظفون!$B20)</f>
        <v/>
      </c>
      <c r="C20" s="80" t="str">
        <f aca="false">IF(الموظفون!$B20="","",الموظفون!$C20)</f>
        <v/>
      </c>
      <c r="D20" s="80" t="str">
        <f aca="false">IF(الموظفون!$B20="","",الموظفون!$F20)</f>
        <v/>
      </c>
      <c r="E20" s="80" t="str">
        <f aca="false">IF(الموظفون!$B20="","",الموظفون!$E20)</f>
        <v/>
      </c>
      <c r="F20" s="97" t="str">
        <f aca="false">IF($B20="","",'مسير يناير'!T20)</f>
        <v/>
      </c>
      <c r="G20" s="97" t="str">
        <f aca="false">IF($B20="","",'مسير فبراير'!T20)</f>
        <v/>
      </c>
      <c r="H20" s="97" t="str">
        <f aca="false">IF($B20="","",'مسير مارس'!T20)</f>
        <v/>
      </c>
      <c r="I20" s="97" t="str">
        <f aca="false">IF($B20="","",'مسير أبريل'!T20)</f>
        <v/>
      </c>
      <c r="J20" s="97" t="str">
        <f aca="false">IF($B20="","",'مسير مايو'!T20)</f>
        <v/>
      </c>
      <c r="K20" s="97" t="str">
        <f aca="false">IF($B20="","",'مسير يونيو'!T20)</f>
        <v/>
      </c>
      <c r="L20" s="97" t="str">
        <f aca="false">IF($B20="","",'مسير يوليو'!T20)</f>
        <v/>
      </c>
      <c r="M20" s="97" t="str">
        <f aca="false">IF($B20="","",'مسير أغسطس'!T20)</f>
        <v/>
      </c>
      <c r="N20" s="97" t="str">
        <f aca="false">IF($B20="","",'مسير سبتمبر'!T20)</f>
        <v/>
      </c>
      <c r="O20" s="97" t="str">
        <f aca="false">IF($B20="","",'مسير أكتوبر'!T20)</f>
        <v/>
      </c>
      <c r="P20" s="97" t="str">
        <f aca="false">IF($B20="","",'مسير نوفمبر'!T20)</f>
        <v/>
      </c>
      <c r="Q20" s="97" t="str">
        <f aca="false">IF($B20="","",'مسير ديسمبر'!T20)</f>
        <v/>
      </c>
      <c r="R20" s="143" t="str">
        <f aca="false">IF($B20="","",IF(1&lt;=cfg_VAL_M,'مسير يناير'!T20,0)+IF(2&lt;=cfg_VAL_M,'مسير فبراير'!T20,0)+IF(3&lt;=cfg_VAL_M,'مسير مارس'!T20,0)+IF(4&lt;=cfg_VAL_M,'مسير أبريل'!T20,0)+IF(5&lt;=cfg_VAL_M,'مسير مايو'!T20,0)+IF(6&lt;=cfg_VAL_M,'مسير يونيو'!T20,0)+IF(7&lt;=cfg_VAL_M,'مسير يوليو'!T20,0)+IF(8&lt;=cfg_VAL_M,'مسير أغسطس'!T20,0)+IF(9&lt;=cfg_VAL_M,'مسير سبتمبر'!T20,0)+IF(10&lt;=cfg_VAL_M,'مسير أكتوبر'!T20,0)+IF(11&lt;=cfg_VAL_M,'مسير نوفمبر'!T20,0)+IF(12&lt;=cfg_VAL_M,'مسير ديسمبر'!T20,0))</f>
        <v/>
      </c>
      <c r="T20" s="97" t="str">
        <f aca="false">IF($B20="","",'مسير يناير'!AG20)</f>
        <v/>
      </c>
      <c r="U20" s="97" t="str">
        <f aca="false">IF($B20="","",'مسير فبراير'!AG20)</f>
        <v/>
      </c>
      <c r="V20" s="97" t="str">
        <f aca="false">IF($B20="","",'مسير مارس'!AG20)</f>
        <v/>
      </c>
      <c r="W20" s="97" t="str">
        <f aca="false">IF($B20="","",'مسير أبريل'!AG20)</f>
        <v/>
      </c>
      <c r="X20" s="97" t="str">
        <f aca="false">IF($B20="","",'مسير مايو'!AG20)</f>
        <v/>
      </c>
      <c r="Y20" s="97" t="str">
        <f aca="false">IF($B20="","",'مسير يونيو'!AG20)</f>
        <v/>
      </c>
      <c r="Z20" s="97" t="str">
        <f aca="false">IF($B20="","",'مسير يوليو'!AG20)</f>
        <v/>
      </c>
      <c r="AA20" s="97" t="str">
        <f aca="false">IF($B20="","",'مسير أغسطس'!AG20)</f>
        <v/>
      </c>
      <c r="AB20" s="97" t="str">
        <f aca="false">IF($B20="","",'مسير سبتمبر'!AG20)</f>
        <v/>
      </c>
      <c r="AC20" s="97" t="str">
        <f aca="false">IF($B20="","",'مسير أكتوبر'!AG20)</f>
        <v/>
      </c>
      <c r="AD20" s="97" t="str">
        <f aca="false">IF($B20="","",'مسير نوفمبر'!AG20)</f>
        <v/>
      </c>
      <c r="AE20" s="97" t="str">
        <f aca="false">IF($B20="","",'مسير ديسمبر'!AG20)</f>
        <v/>
      </c>
      <c r="AF20" s="143" t="str">
        <f aca="false">IF($B20="","",IF(1&lt;=cfg_VAL_M,'مسير يناير'!AG20,0)+IF(2&lt;=cfg_VAL_M,'مسير فبراير'!AG20,0)+IF(3&lt;=cfg_VAL_M,'مسير مارس'!AG20,0)+IF(4&lt;=cfg_VAL_M,'مسير أبريل'!AG20,0)+IF(5&lt;=cfg_VAL_M,'مسير مايو'!AG20,0)+IF(6&lt;=cfg_VAL_M,'مسير يونيو'!AG20,0)+IF(7&lt;=cfg_VAL_M,'مسير يوليو'!AG20,0)+IF(8&lt;=cfg_VAL_M,'مسير أغسطس'!AG20,0)+IF(9&lt;=cfg_VAL_M,'مسير سبتمبر'!AG20,0)+IF(10&lt;=cfg_VAL_M,'مسير أكتوبر'!AG20,0)+IF(11&lt;=cfg_VAL_M,'مسير نوفمبر'!AG20,0)+IF(12&lt;=cfg_VAL_M,'مسير ديسمبر'!AG20,0))</f>
        <v/>
      </c>
      <c r="AG20" s="143" t="str">
        <f aca="false">IF($B20="","",IF(1&lt;=cfg_VAL_M,'مسير يناير'!Y20,0)+IF(2&lt;=cfg_VAL_M,'مسير فبراير'!Y20,0)+IF(3&lt;=cfg_VAL_M,'مسير مارس'!Y20,0)+IF(4&lt;=cfg_VAL_M,'مسير أبريل'!Y20,0)+IF(5&lt;=cfg_VAL_M,'مسير مايو'!Y20,0)+IF(6&lt;=cfg_VAL_M,'مسير يونيو'!Y20,0)+IF(7&lt;=cfg_VAL_M,'مسير يوليو'!Y20,0)+IF(8&lt;=cfg_VAL_M,'مسير أغسطس'!Y20,0)+IF(9&lt;=cfg_VAL_M,'مسير سبتمبر'!Y20,0)+IF(10&lt;=cfg_VAL_M,'مسير أكتوبر'!Y20,0)+IF(11&lt;=cfg_VAL_M,'مسير نوفمبر'!Y20,0)+IF(12&lt;=cfg_VAL_M,'مسير ديسمبر'!Y20,0))</f>
        <v/>
      </c>
      <c r="AH20" s="97" t="str">
        <f aca="false">IF($B20="","",AF20/cfg_VAL_M)</f>
        <v/>
      </c>
    </row>
    <row r="21" customFormat="false" ht="15" hidden="false" customHeight="false" outlineLevel="0" collapsed="false">
      <c r="B21" s="102" t="str">
        <f aca="false">IF(الموظفون!$B21="","",الموظفون!$B21)</f>
        <v/>
      </c>
      <c r="C21" s="102" t="str">
        <f aca="false">IF(الموظفون!$B21="","",الموظفون!$C21)</f>
        <v/>
      </c>
      <c r="D21" s="102" t="str">
        <f aca="false">IF(الموظفون!$B21="","",الموظفون!$F21)</f>
        <v/>
      </c>
      <c r="E21" s="102" t="str">
        <f aca="false">IF(الموظفون!$B21="","",الموظفون!$E21)</f>
        <v/>
      </c>
      <c r="F21" s="101" t="str">
        <f aca="false">IF($B21="","",'مسير يناير'!T21)</f>
        <v/>
      </c>
      <c r="G21" s="101" t="str">
        <f aca="false">IF($B21="","",'مسير فبراير'!T21)</f>
        <v/>
      </c>
      <c r="H21" s="101" t="str">
        <f aca="false">IF($B21="","",'مسير مارس'!T21)</f>
        <v/>
      </c>
      <c r="I21" s="101" t="str">
        <f aca="false">IF($B21="","",'مسير أبريل'!T21)</f>
        <v/>
      </c>
      <c r="J21" s="101" t="str">
        <f aca="false">IF($B21="","",'مسير مايو'!T21)</f>
        <v/>
      </c>
      <c r="K21" s="101" t="str">
        <f aca="false">IF($B21="","",'مسير يونيو'!T21)</f>
        <v/>
      </c>
      <c r="L21" s="101" t="str">
        <f aca="false">IF($B21="","",'مسير يوليو'!T21)</f>
        <v/>
      </c>
      <c r="M21" s="101" t="str">
        <f aca="false">IF($B21="","",'مسير أغسطس'!T21)</f>
        <v/>
      </c>
      <c r="N21" s="101" t="str">
        <f aca="false">IF($B21="","",'مسير سبتمبر'!T21)</f>
        <v/>
      </c>
      <c r="O21" s="101" t="str">
        <f aca="false">IF($B21="","",'مسير أكتوبر'!T21)</f>
        <v/>
      </c>
      <c r="P21" s="101" t="str">
        <f aca="false">IF($B21="","",'مسير نوفمبر'!T21)</f>
        <v/>
      </c>
      <c r="Q21" s="101" t="str">
        <f aca="false">IF($B21="","",'مسير ديسمبر'!T21)</f>
        <v/>
      </c>
      <c r="R21" s="144" t="str">
        <f aca="false">IF($B21="","",IF(1&lt;=cfg_VAL_M,'مسير يناير'!T21,0)+IF(2&lt;=cfg_VAL_M,'مسير فبراير'!T21,0)+IF(3&lt;=cfg_VAL_M,'مسير مارس'!T21,0)+IF(4&lt;=cfg_VAL_M,'مسير أبريل'!T21,0)+IF(5&lt;=cfg_VAL_M,'مسير مايو'!T21,0)+IF(6&lt;=cfg_VAL_M,'مسير يونيو'!T21,0)+IF(7&lt;=cfg_VAL_M,'مسير يوليو'!T21,0)+IF(8&lt;=cfg_VAL_M,'مسير أغسطس'!T21,0)+IF(9&lt;=cfg_VAL_M,'مسير سبتمبر'!T21,0)+IF(10&lt;=cfg_VAL_M,'مسير أكتوبر'!T21,0)+IF(11&lt;=cfg_VAL_M,'مسير نوفمبر'!T21,0)+IF(12&lt;=cfg_VAL_M,'مسير ديسمبر'!T21,0))</f>
        <v/>
      </c>
      <c r="T21" s="101" t="str">
        <f aca="false">IF($B21="","",'مسير يناير'!AG21)</f>
        <v/>
      </c>
      <c r="U21" s="101" t="str">
        <f aca="false">IF($B21="","",'مسير فبراير'!AG21)</f>
        <v/>
      </c>
      <c r="V21" s="101" t="str">
        <f aca="false">IF($B21="","",'مسير مارس'!AG21)</f>
        <v/>
      </c>
      <c r="W21" s="101" t="str">
        <f aca="false">IF($B21="","",'مسير أبريل'!AG21)</f>
        <v/>
      </c>
      <c r="X21" s="101" t="str">
        <f aca="false">IF($B21="","",'مسير مايو'!AG21)</f>
        <v/>
      </c>
      <c r="Y21" s="101" t="str">
        <f aca="false">IF($B21="","",'مسير يونيو'!AG21)</f>
        <v/>
      </c>
      <c r="Z21" s="101" t="str">
        <f aca="false">IF($B21="","",'مسير يوليو'!AG21)</f>
        <v/>
      </c>
      <c r="AA21" s="101" t="str">
        <f aca="false">IF($B21="","",'مسير أغسطس'!AG21)</f>
        <v/>
      </c>
      <c r="AB21" s="101" t="str">
        <f aca="false">IF($B21="","",'مسير سبتمبر'!AG21)</f>
        <v/>
      </c>
      <c r="AC21" s="101" t="str">
        <f aca="false">IF($B21="","",'مسير أكتوبر'!AG21)</f>
        <v/>
      </c>
      <c r="AD21" s="101" t="str">
        <f aca="false">IF($B21="","",'مسير نوفمبر'!AG21)</f>
        <v/>
      </c>
      <c r="AE21" s="101" t="str">
        <f aca="false">IF($B21="","",'مسير ديسمبر'!AG21)</f>
        <v/>
      </c>
      <c r="AF21" s="144" t="str">
        <f aca="false">IF($B21="","",IF(1&lt;=cfg_VAL_M,'مسير يناير'!AG21,0)+IF(2&lt;=cfg_VAL_M,'مسير فبراير'!AG21,0)+IF(3&lt;=cfg_VAL_M,'مسير مارس'!AG21,0)+IF(4&lt;=cfg_VAL_M,'مسير أبريل'!AG21,0)+IF(5&lt;=cfg_VAL_M,'مسير مايو'!AG21,0)+IF(6&lt;=cfg_VAL_M,'مسير يونيو'!AG21,0)+IF(7&lt;=cfg_VAL_M,'مسير يوليو'!AG21,0)+IF(8&lt;=cfg_VAL_M,'مسير أغسطس'!AG21,0)+IF(9&lt;=cfg_VAL_M,'مسير سبتمبر'!AG21,0)+IF(10&lt;=cfg_VAL_M,'مسير أكتوبر'!AG21,0)+IF(11&lt;=cfg_VAL_M,'مسير نوفمبر'!AG21,0)+IF(12&lt;=cfg_VAL_M,'مسير ديسمبر'!AG21,0))</f>
        <v/>
      </c>
      <c r="AG21" s="144" t="str">
        <f aca="false">IF($B21="","",IF(1&lt;=cfg_VAL_M,'مسير يناير'!Y21,0)+IF(2&lt;=cfg_VAL_M,'مسير فبراير'!Y21,0)+IF(3&lt;=cfg_VAL_M,'مسير مارس'!Y21,0)+IF(4&lt;=cfg_VAL_M,'مسير أبريل'!Y21,0)+IF(5&lt;=cfg_VAL_M,'مسير مايو'!Y21,0)+IF(6&lt;=cfg_VAL_M,'مسير يونيو'!Y21,0)+IF(7&lt;=cfg_VAL_M,'مسير يوليو'!Y21,0)+IF(8&lt;=cfg_VAL_M,'مسير أغسطس'!Y21,0)+IF(9&lt;=cfg_VAL_M,'مسير سبتمبر'!Y21,0)+IF(10&lt;=cfg_VAL_M,'مسير أكتوبر'!Y21,0)+IF(11&lt;=cfg_VAL_M,'مسير نوفمبر'!Y21,0)+IF(12&lt;=cfg_VAL_M,'مسير ديسمبر'!Y21,0))</f>
        <v/>
      </c>
      <c r="AH21" s="101" t="str">
        <f aca="false">IF($B21="","",AF21/cfg_VAL_M)</f>
        <v/>
      </c>
    </row>
    <row r="22" customFormat="false" ht="15" hidden="false" customHeight="false" outlineLevel="0" collapsed="false">
      <c r="B22" s="80" t="str">
        <f aca="false">IF(الموظفون!$B22="","",الموظفون!$B22)</f>
        <v/>
      </c>
      <c r="C22" s="80" t="str">
        <f aca="false">IF(الموظفون!$B22="","",الموظفون!$C22)</f>
        <v/>
      </c>
      <c r="D22" s="80" t="str">
        <f aca="false">IF(الموظفون!$B22="","",الموظفون!$F22)</f>
        <v/>
      </c>
      <c r="E22" s="80" t="str">
        <f aca="false">IF(الموظفون!$B22="","",الموظفون!$E22)</f>
        <v/>
      </c>
      <c r="F22" s="97" t="str">
        <f aca="false">IF($B22="","",'مسير يناير'!T22)</f>
        <v/>
      </c>
      <c r="G22" s="97" t="str">
        <f aca="false">IF($B22="","",'مسير فبراير'!T22)</f>
        <v/>
      </c>
      <c r="H22" s="97" t="str">
        <f aca="false">IF($B22="","",'مسير مارس'!T22)</f>
        <v/>
      </c>
      <c r="I22" s="97" t="str">
        <f aca="false">IF($B22="","",'مسير أبريل'!T22)</f>
        <v/>
      </c>
      <c r="J22" s="97" t="str">
        <f aca="false">IF($B22="","",'مسير مايو'!T22)</f>
        <v/>
      </c>
      <c r="K22" s="97" t="str">
        <f aca="false">IF($B22="","",'مسير يونيو'!T22)</f>
        <v/>
      </c>
      <c r="L22" s="97" t="str">
        <f aca="false">IF($B22="","",'مسير يوليو'!T22)</f>
        <v/>
      </c>
      <c r="M22" s="97" t="str">
        <f aca="false">IF($B22="","",'مسير أغسطس'!T22)</f>
        <v/>
      </c>
      <c r="N22" s="97" t="str">
        <f aca="false">IF($B22="","",'مسير سبتمبر'!T22)</f>
        <v/>
      </c>
      <c r="O22" s="97" t="str">
        <f aca="false">IF($B22="","",'مسير أكتوبر'!T22)</f>
        <v/>
      </c>
      <c r="P22" s="97" t="str">
        <f aca="false">IF($B22="","",'مسير نوفمبر'!T22)</f>
        <v/>
      </c>
      <c r="Q22" s="97" t="str">
        <f aca="false">IF($B22="","",'مسير ديسمبر'!T22)</f>
        <v/>
      </c>
      <c r="R22" s="143" t="str">
        <f aca="false">IF($B22="","",IF(1&lt;=cfg_VAL_M,'مسير يناير'!T22,0)+IF(2&lt;=cfg_VAL_M,'مسير فبراير'!T22,0)+IF(3&lt;=cfg_VAL_M,'مسير مارس'!T22,0)+IF(4&lt;=cfg_VAL_M,'مسير أبريل'!T22,0)+IF(5&lt;=cfg_VAL_M,'مسير مايو'!T22,0)+IF(6&lt;=cfg_VAL_M,'مسير يونيو'!T22,0)+IF(7&lt;=cfg_VAL_M,'مسير يوليو'!T22,0)+IF(8&lt;=cfg_VAL_M,'مسير أغسطس'!T22,0)+IF(9&lt;=cfg_VAL_M,'مسير سبتمبر'!T22,0)+IF(10&lt;=cfg_VAL_M,'مسير أكتوبر'!T22,0)+IF(11&lt;=cfg_VAL_M,'مسير نوفمبر'!T22,0)+IF(12&lt;=cfg_VAL_M,'مسير ديسمبر'!T22,0))</f>
        <v/>
      </c>
      <c r="T22" s="97" t="str">
        <f aca="false">IF($B22="","",'مسير يناير'!AG22)</f>
        <v/>
      </c>
      <c r="U22" s="97" t="str">
        <f aca="false">IF($B22="","",'مسير فبراير'!AG22)</f>
        <v/>
      </c>
      <c r="V22" s="97" t="str">
        <f aca="false">IF($B22="","",'مسير مارس'!AG22)</f>
        <v/>
      </c>
      <c r="W22" s="97" t="str">
        <f aca="false">IF($B22="","",'مسير أبريل'!AG22)</f>
        <v/>
      </c>
      <c r="X22" s="97" t="str">
        <f aca="false">IF($B22="","",'مسير مايو'!AG22)</f>
        <v/>
      </c>
      <c r="Y22" s="97" t="str">
        <f aca="false">IF($B22="","",'مسير يونيو'!AG22)</f>
        <v/>
      </c>
      <c r="Z22" s="97" t="str">
        <f aca="false">IF($B22="","",'مسير يوليو'!AG22)</f>
        <v/>
      </c>
      <c r="AA22" s="97" t="str">
        <f aca="false">IF($B22="","",'مسير أغسطس'!AG22)</f>
        <v/>
      </c>
      <c r="AB22" s="97" t="str">
        <f aca="false">IF($B22="","",'مسير سبتمبر'!AG22)</f>
        <v/>
      </c>
      <c r="AC22" s="97" t="str">
        <f aca="false">IF($B22="","",'مسير أكتوبر'!AG22)</f>
        <v/>
      </c>
      <c r="AD22" s="97" t="str">
        <f aca="false">IF($B22="","",'مسير نوفمبر'!AG22)</f>
        <v/>
      </c>
      <c r="AE22" s="97" t="str">
        <f aca="false">IF($B22="","",'مسير ديسمبر'!AG22)</f>
        <v/>
      </c>
      <c r="AF22" s="143" t="str">
        <f aca="false">IF($B22="","",IF(1&lt;=cfg_VAL_M,'مسير يناير'!AG22,0)+IF(2&lt;=cfg_VAL_M,'مسير فبراير'!AG22,0)+IF(3&lt;=cfg_VAL_M,'مسير مارس'!AG22,0)+IF(4&lt;=cfg_VAL_M,'مسير أبريل'!AG22,0)+IF(5&lt;=cfg_VAL_M,'مسير مايو'!AG22,0)+IF(6&lt;=cfg_VAL_M,'مسير يونيو'!AG22,0)+IF(7&lt;=cfg_VAL_M,'مسير يوليو'!AG22,0)+IF(8&lt;=cfg_VAL_M,'مسير أغسطس'!AG22,0)+IF(9&lt;=cfg_VAL_M,'مسير سبتمبر'!AG22,0)+IF(10&lt;=cfg_VAL_M,'مسير أكتوبر'!AG22,0)+IF(11&lt;=cfg_VAL_M,'مسير نوفمبر'!AG22,0)+IF(12&lt;=cfg_VAL_M,'مسير ديسمبر'!AG22,0))</f>
        <v/>
      </c>
      <c r="AG22" s="143" t="str">
        <f aca="false">IF($B22="","",IF(1&lt;=cfg_VAL_M,'مسير يناير'!Y22,0)+IF(2&lt;=cfg_VAL_M,'مسير فبراير'!Y22,0)+IF(3&lt;=cfg_VAL_M,'مسير مارس'!Y22,0)+IF(4&lt;=cfg_VAL_M,'مسير أبريل'!Y22,0)+IF(5&lt;=cfg_VAL_M,'مسير مايو'!Y22,0)+IF(6&lt;=cfg_VAL_M,'مسير يونيو'!Y22,0)+IF(7&lt;=cfg_VAL_M,'مسير يوليو'!Y22,0)+IF(8&lt;=cfg_VAL_M,'مسير أغسطس'!Y22,0)+IF(9&lt;=cfg_VAL_M,'مسير سبتمبر'!Y22,0)+IF(10&lt;=cfg_VAL_M,'مسير أكتوبر'!Y22,0)+IF(11&lt;=cfg_VAL_M,'مسير نوفمبر'!Y22,0)+IF(12&lt;=cfg_VAL_M,'مسير ديسمبر'!Y22,0))</f>
        <v/>
      </c>
      <c r="AH22" s="97" t="str">
        <f aca="false">IF($B22="","",AF22/cfg_VAL_M)</f>
        <v/>
      </c>
    </row>
    <row r="23" customFormat="false" ht="15" hidden="false" customHeight="false" outlineLevel="0" collapsed="false">
      <c r="B23" s="102" t="str">
        <f aca="false">IF(الموظفون!$B23="","",الموظفون!$B23)</f>
        <v/>
      </c>
      <c r="C23" s="102" t="str">
        <f aca="false">IF(الموظفون!$B23="","",الموظفون!$C23)</f>
        <v/>
      </c>
      <c r="D23" s="102" t="str">
        <f aca="false">IF(الموظفون!$B23="","",الموظفون!$F23)</f>
        <v/>
      </c>
      <c r="E23" s="102" t="str">
        <f aca="false">IF(الموظفون!$B23="","",الموظفون!$E23)</f>
        <v/>
      </c>
      <c r="F23" s="101" t="str">
        <f aca="false">IF($B23="","",'مسير يناير'!T23)</f>
        <v/>
      </c>
      <c r="G23" s="101" t="str">
        <f aca="false">IF($B23="","",'مسير فبراير'!T23)</f>
        <v/>
      </c>
      <c r="H23" s="101" t="str">
        <f aca="false">IF($B23="","",'مسير مارس'!T23)</f>
        <v/>
      </c>
      <c r="I23" s="101" t="str">
        <f aca="false">IF($B23="","",'مسير أبريل'!T23)</f>
        <v/>
      </c>
      <c r="J23" s="101" t="str">
        <f aca="false">IF($B23="","",'مسير مايو'!T23)</f>
        <v/>
      </c>
      <c r="K23" s="101" t="str">
        <f aca="false">IF($B23="","",'مسير يونيو'!T23)</f>
        <v/>
      </c>
      <c r="L23" s="101" t="str">
        <f aca="false">IF($B23="","",'مسير يوليو'!T23)</f>
        <v/>
      </c>
      <c r="M23" s="101" t="str">
        <f aca="false">IF($B23="","",'مسير أغسطس'!T23)</f>
        <v/>
      </c>
      <c r="N23" s="101" t="str">
        <f aca="false">IF($B23="","",'مسير سبتمبر'!T23)</f>
        <v/>
      </c>
      <c r="O23" s="101" t="str">
        <f aca="false">IF($B23="","",'مسير أكتوبر'!T23)</f>
        <v/>
      </c>
      <c r="P23" s="101" t="str">
        <f aca="false">IF($B23="","",'مسير نوفمبر'!T23)</f>
        <v/>
      </c>
      <c r="Q23" s="101" t="str">
        <f aca="false">IF($B23="","",'مسير ديسمبر'!T23)</f>
        <v/>
      </c>
      <c r="R23" s="144" t="str">
        <f aca="false">IF($B23="","",IF(1&lt;=cfg_VAL_M,'مسير يناير'!T23,0)+IF(2&lt;=cfg_VAL_M,'مسير فبراير'!T23,0)+IF(3&lt;=cfg_VAL_M,'مسير مارس'!T23,0)+IF(4&lt;=cfg_VAL_M,'مسير أبريل'!T23,0)+IF(5&lt;=cfg_VAL_M,'مسير مايو'!T23,0)+IF(6&lt;=cfg_VAL_M,'مسير يونيو'!T23,0)+IF(7&lt;=cfg_VAL_M,'مسير يوليو'!T23,0)+IF(8&lt;=cfg_VAL_M,'مسير أغسطس'!T23,0)+IF(9&lt;=cfg_VAL_M,'مسير سبتمبر'!T23,0)+IF(10&lt;=cfg_VAL_M,'مسير أكتوبر'!T23,0)+IF(11&lt;=cfg_VAL_M,'مسير نوفمبر'!T23,0)+IF(12&lt;=cfg_VAL_M,'مسير ديسمبر'!T23,0))</f>
        <v/>
      </c>
      <c r="T23" s="101" t="str">
        <f aca="false">IF($B23="","",'مسير يناير'!AG23)</f>
        <v/>
      </c>
      <c r="U23" s="101" t="str">
        <f aca="false">IF($B23="","",'مسير فبراير'!AG23)</f>
        <v/>
      </c>
      <c r="V23" s="101" t="str">
        <f aca="false">IF($B23="","",'مسير مارس'!AG23)</f>
        <v/>
      </c>
      <c r="W23" s="101" t="str">
        <f aca="false">IF($B23="","",'مسير أبريل'!AG23)</f>
        <v/>
      </c>
      <c r="X23" s="101" t="str">
        <f aca="false">IF($B23="","",'مسير مايو'!AG23)</f>
        <v/>
      </c>
      <c r="Y23" s="101" t="str">
        <f aca="false">IF($B23="","",'مسير يونيو'!AG23)</f>
        <v/>
      </c>
      <c r="Z23" s="101" t="str">
        <f aca="false">IF($B23="","",'مسير يوليو'!AG23)</f>
        <v/>
      </c>
      <c r="AA23" s="101" t="str">
        <f aca="false">IF($B23="","",'مسير أغسطس'!AG23)</f>
        <v/>
      </c>
      <c r="AB23" s="101" t="str">
        <f aca="false">IF($B23="","",'مسير سبتمبر'!AG23)</f>
        <v/>
      </c>
      <c r="AC23" s="101" t="str">
        <f aca="false">IF($B23="","",'مسير أكتوبر'!AG23)</f>
        <v/>
      </c>
      <c r="AD23" s="101" t="str">
        <f aca="false">IF($B23="","",'مسير نوفمبر'!AG23)</f>
        <v/>
      </c>
      <c r="AE23" s="101" t="str">
        <f aca="false">IF($B23="","",'مسير ديسمبر'!AG23)</f>
        <v/>
      </c>
      <c r="AF23" s="144" t="str">
        <f aca="false">IF($B23="","",IF(1&lt;=cfg_VAL_M,'مسير يناير'!AG23,0)+IF(2&lt;=cfg_VAL_M,'مسير فبراير'!AG23,0)+IF(3&lt;=cfg_VAL_M,'مسير مارس'!AG23,0)+IF(4&lt;=cfg_VAL_M,'مسير أبريل'!AG23,0)+IF(5&lt;=cfg_VAL_M,'مسير مايو'!AG23,0)+IF(6&lt;=cfg_VAL_M,'مسير يونيو'!AG23,0)+IF(7&lt;=cfg_VAL_M,'مسير يوليو'!AG23,0)+IF(8&lt;=cfg_VAL_M,'مسير أغسطس'!AG23,0)+IF(9&lt;=cfg_VAL_M,'مسير سبتمبر'!AG23,0)+IF(10&lt;=cfg_VAL_M,'مسير أكتوبر'!AG23,0)+IF(11&lt;=cfg_VAL_M,'مسير نوفمبر'!AG23,0)+IF(12&lt;=cfg_VAL_M,'مسير ديسمبر'!AG23,0))</f>
        <v/>
      </c>
      <c r="AG23" s="144" t="str">
        <f aca="false">IF($B23="","",IF(1&lt;=cfg_VAL_M,'مسير يناير'!Y23,0)+IF(2&lt;=cfg_VAL_M,'مسير فبراير'!Y23,0)+IF(3&lt;=cfg_VAL_M,'مسير مارس'!Y23,0)+IF(4&lt;=cfg_VAL_M,'مسير أبريل'!Y23,0)+IF(5&lt;=cfg_VAL_M,'مسير مايو'!Y23,0)+IF(6&lt;=cfg_VAL_M,'مسير يونيو'!Y23,0)+IF(7&lt;=cfg_VAL_M,'مسير يوليو'!Y23,0)+IF(8&lt;=cfg_VAL_M,'مسير أغسطس'!Y23,0)+IF(9&lt;=cfg_VAL_M,'مسير سبتمبر'!Y23,0)+IF(10&lt;=cfg_VAL_M,'مسير أكتوبر'!Y23,0)+IF(11&lt;=cfg_VAL_M,'مسير نوفمبر'!Y23,0)+IF(12&lt;=cfg_VAL_M,'مسير ديسمبر'!Y23,0))</f>
        <v/>
      </c>
      <c r="AH23" s="101" t="str">
        <f aca="false">IF($B23="","",AF23/cfg_VAL_M)</f>
        <v/>
      </c>
    </row>
    <row r="24" customFormat="false" ht="15" hidden="false" customHeight="false" outlineLevel="0" collapsed="false">
      <c r="B24" s="80" t="str">
        <f aca="false">IF(الموظفون!$B24="","",الموظفون!$B24)</f>
        <v/>
      </c>
      <c r="C24" s="80" t="str">
        <f aca="false">IF(الموظفون!$B24="","",الموظفون!$C24)</f>
        <v/>
      </c>
      <c r="D24" s="80" t="str">
        <f aca="false">IF(الموظفون!$B24="","",الموظفون!$F24)</f>
        <v/>
      </c>
      <c r="E24" s="80" t="str">
        <f aca="false">IF(الموظفون!$B24="","",الموظفون!$E24)</f>
        <v/>
      </c>
      <c r="F24" s="97" t="str">
        <f aca="false">IF($B24="","",'مسير يناير'!T24)</f>
        <v/>
      </c>
      <c r="G24" s="97" t="str">
        <f aca="false">IF($B24="","",'مسير فبراير'!T24)</f>
        <v/>
      </c>
      <c r="H24" s="97" t="str">
        <f aca="false">IF($B24="","",'مسير مارس'!T24)</f>
        <v/>
      </c>
      <c r="I24" s="97" t="str">
        <f aca="false">IF($B24="","",'مسير أبريل'!T24)</f>
        <v/>
      </c>
      <c r="J24" s="97" t="str">
        <f aca="false">IF($B24="","",'مسير مايو'!T24)</f>
        <v/>
      </c>
      <c r="K24" s="97" t="str">
        <f aca="false">IF($B24="","",'مسير يونيو'!T24)</f>
        <v/>
      </c>
      <c r="L24" s="97" t="str">
        <f aca="false">IF($B24="","",'مسير يوليو'!T24)</f>
        <v/>
      </c>
      <c r="M24" s="97" t="str">
        <f aca="false">IF($B24="","",'مسير أغسطس'!T24)</f>
        <v/>
      </c>
      <c r="N24" s="97" t="str">
        <f aca="false">IF($B24="","",'مسير سبتمبر'!T24)</f>
        <v/>
      </c>
      <c r="O24" s="97" t="str">
        <f aca="false">IF($B24="","",'مسير أكتوبر'!T24)</f>
        <v/>
      </c>
      <c r="P24" s="97" t="str">
        <f aca="false">IF($B24="","",'مسير نوفمبر'!T24)</f>
        <v/>
      </c>
      <c r="Q24" s="97" t="str">
        <f aca="false">IF($B24="","",'مسير ديسمبر'!T24)</f>
        <v/>
      </c>
      <c r="R24" s="143" t="str">
        <f aca="false">IF($B24="","",IF(1&lt;=cfg_VAL_M,'مسير يناير'!T24,0)+IF(2&lt;=cfg_VAL_M,'مسير فبراير'!T24,0)+IF(3&lt;=cfg_VAL_M,'مسير مارس'!T24,0)+IF(4&lt;=cfg_VAL_M,'مسير أبريل'!T24,0)+IF(5&lt;=cfg_VAL_M,'مسير مايو'!T24,0)+IF(6&lt;=cfg_VAL_M,'مسير يونيو'!T24,0)+IF(7&lt;=cfg_VAL_M,'مسير يوليو'!T24,0)+IF(8&lt;=cfg_VAL_M,'مسير أغسطس'!T24,0)+IF(9&lt;=cfg_VAL_M,'مسير سبتمبر'!T24,0)+IF(10&lt;=cfg_VAL_M,'مسير أكتوبر'!T24,0)+IF(11&lt;=cfg_VAL_M,'مسير نوفمبر'!T24,0)+IF(12&lt;=cfg_VAL_M,'مسير ديسمبر'!T24,0))</f>
        <v/>
      </c>
      <c r="T24" s="97" t="str">
        <f aca="false">IF($B24="","",'مسير يناير'!AG24)</f>
        <v/>
      </c>
      <c r="U24" s="97" t="str">
        <f aca="false">IF($B24="","",'مسير فبراير'!AG24)</f>
        <v/>
      </c>
      <c r="V24" s="97" t="str">
        <f aca="false">IF($B24="","",'مسير مارس'!AG24)</f>
        <v/>
      </c>
      <c r="W24" s="97" t="str">
        <f aca="false">IF($B24="","",'مسير أبريل'!AG24)</f>
        <v/>
      </c>
      <c r="X24" s="97" t="str">
        <f aca="false">IF($B24="","",'مسير مايو'!AG24)</f>
        <v/>
      </c>
      <c r="Y24" s="97" t="str">
        <f aca="false">IF($B24="","",'مسير يونيو'!AG24)</f>
        <v/>
      </c>
      <c r="Z24" s="97" t="str">
        <f aca="false">IF($B24="","",'مسير يوليو'!AG24)</f>
        <v/>
      </c>
      <c r="AA24" s="97" t="str">
        <f aca="false">IF($B24="","",'مسير أغسطس'!AG24)</f>
        <v/>
      </c>
      <c r="AB24" s="97" t="str">
        <f aca="false">IF($B24="","",'مسير سبتمبر'!AG24)</f>
        <v/>
      </c>
      <c r="AC24" s="97" t="str">
        <f aca="false">IF($B24="","",'مسير أكتوبر'!AG24)</f>
        <v/>
      </c>
      <c r="AD24" s="97" t="str">
        <f aca="false">IF($B24="","",'مسير نوفمبر'!AG24)</f>
        <v/>
      </c>
      <c r="AE24" s="97" t="str">
        <f aca="false">IF($B24="","",'مسير ديسمبر'!AG24)</f>
        <v/>
      </c>
      <c r="AF24" s="143" t="str">
        <f aca="false">IF($B24="","",IF(1&lt;=cfg_VAL_M,'مسير يناير'!AG24,0)+IF(2&lt;=cfg_VAL_M,'مسير فبراير'!AG24,0)+IF(3&lt;=cfg_VAL_M,'مسير مارس'!AG24,0)+IF(4&lt;=cfg_VAL_M,'مسير أبريل'!AG24,0)+IF(5&lt;=cfg_VAL_M,'مسير مايو'!AG24,0)+IF(6&lt;=cfg_VAL_M,'مسير يونيو'!AG24,0)+IF(7&lt;=cfg_VAL_M,'مسير يوليو'!AG24,0)+IF(8&lt;=cfg_VAL_M,'مسير أغسطس'!AG24,0)+IF(9&lt;=cfg_VAL_M,'مسير سبتمبر'!AG24,0)+IF(10&lt;=cfg_VAL_M,'مسير أكتوبر'!AG24,0)+IF(11&lt;=cfg_VAL_M,'مسير نوفمبر'!AG24,0)+IF(12&lt;=cfg_VAL_M,'مسير ديسمبر'!AG24,0))</f>
        <v/>
      </c>
      <c r="AG24" s="143" t="str">
        <f aca="false">IF($B24="","",IF(1&lt;=cfg_VAL_M,'مسير يناير'!Y24,0)+IF(2&lt;=cfg_VAL_M,'مسير فبراير'!Y24,0)+IF(3&lt;=cfg_VAL_M,'مسير مارس'!Y24,0)+IF(4&lt;=cfg_VAL_M,'مسير أبريل'!Y24,0)+IF(5&lt;=cfg_VAL_M,'مسير مايو'!Y24,0)+IF(6&lt;=cfg_VAL_M,'مسير يونيو'!Y24,0)+IF(7&lt;=cfg_VAL_M,'مسير يوليو'!Y24,0)+IF(8&lt;=cfg_VAL_M,'مسير أغسطس'!Y24,0)+IF(9&lt;=cfg_VAL_M,'مسير سبتمبر'!Y24,0)+IF(10&lt;=cfg_VAL_M,'مسير أكتوبر'!Y24,0)+IF(11&lt;=cfg_VAL_M,'مسير نوفمبر'!Y24,0)+IF(12&lt;=cfg_VAL_M,'مسير ديسمبر'!Y24,0))</f>
        <v/>
      </c>
      <c r="AH24" s="97" t="str">
        <f aca="false">IF($B24="","",AF24/cfg_VAL_M)</f>
        <v/>
      </c>
    </row>
    <row r="25" customFormat="false" ht="15" hidden="false" customHeight="false" outlineLevel="0" collapsed="false">
      <c r="B25" s="102" t="str">
        <f aca="false">IF(الموظفون!$B25="","",الموظفون!$B25)</f>
        <v/>
      </c>
      <c r="C25" s="102" t="str">
        <f aca="false">IF(الموظفون!$B25="","",الموظفون!$C25)</f>
        <v/>
      </c>
      <c r="D25" s="102" t="str">
        <f aca="false">IF(الموظفون!$B25="","",الموظفون!$F25)</f>
        <v/>
      </c>
      <c r="E25" s="102" t="str">
        <f aca="false">IF(الموظفون!$B25="","",الموظفون!$E25)</f>
        <v/>
      </c>
      <c r="F25" s="101" t="str">
        <f aca="false">IF($B25="","",'مسير يناير'!T25)</f>
        <v/>
      </c>
      <c r="G25" s="101" t="str">
        <f aca="false">IF($B25="","",'مسير فبراير'!T25)</f>
        <v/>
      </c>
      <c r="H25" s="101" t="str">
        <f aca="false">IF($B25="","",'مسير مارس'!T25)</f>
        <v/>
      </c>
      <c r="I25" s="101" t="str">
        <f aca="false">IF($B25="","",'مسير أبريل'!T25)</f>
        <v/>
      </c>
      <c r="J25" s="101" t="str">
        <f aca="false">IF($B25="","",'مسير مايو'!T25)</f>
        <v/>
      </c>
      <c r="K25" s="101" t="str">
        <f aca="false">IF($B25="","",'مسير يونيو'!T25)</f>
        <v/>
      </c>
      <c r="L25" s="101" t="str">
        <f aca="false">IF($B25="","",'مسير يوليو'!T25)</f>
        <v/>
      </c>
      <c r="M25" s="101" t="str">
        <f aca="false">IF($B25="","",'مسير أغسطس'!T25)</f>
        <v/>
      </c>
      <c r="N25" s="101" t="str">
        <f aca="false">IF($B25="","",'مسير سبتمبر'!T25)</f>
        <v/>
      </c>
      <c r="O25" s="101" t="str">
        <f aca="false">IF($B25="","",'مسير أكتوبر'!T25)</f>
        <v/>
      </c>
      <c r="P25" s="101" t="str">
        <f aca="false">IF($B25="","",'مسير نوفمبر'!T25)</f>
        <v/>
      </c>
      <c r="Q25" s="101" t="str">
        <f aca="false">IF($B25="","",'مسير ديسمبر'!T25)</f>
        <v/>
      </c>
      <c r="R25" s="144" t="str">
        <f aca="false">IF($B25="","",IF(1&lt;=cfg_VAL_M,'مسير يناير'!T25,0)+IF(2&lt;=cfg_VAL_M,'مسير فبراير'!T25,0)+IF(3&lt;=cfg_VAL_M,'مسير مارس'!T25,0)+IF(4&lt;=cfg_VAL_M,'مسير أبريل'!T25,0)+IF(5&lt;=cfg_VAL_M,'مسير مايو'!T25,0)+IF(6&lt;=cfg_VAL_M,'مسير يونيو'!T25,0)+IF(7&lt;=cfg_VAL_M,'مسير يوليو'!T25,0)+IF(8&lt;=cfg_VAL_M,'مسير أغسطس'!T25,0)+IF(9&lt;=cfg_VAL_M,'مسير سبتمبر'!T25,0)+IF(10&lt;=cfg_VAL_M,'مسير أكتوبر'!T25,0)+IF(11&lt;=cfg_VAL_M,'مسير نوفمبر'!T25,0)+IF(12&lt;=cfg_VAL_M,'مسير ديسمبر'!T25,0))</f>
        <v/>
      </c>
      <c r="T25" s="101" t="str">
        <f aca="false">IF($B25="","",'مسير يناير'!AG25)</f>
        <v/>
      </c>
      <c r="U25" s="101" t="str">
        <f aca="false">IF($B25="","",'مسير فبراير'!AG25)</f>
        <v/>
      </c>
      <c r="V25" s="101" t="str">
        <f aca="false">IF($B25="","",'مسير مارس'!AG25)</f>
        <v/>
      </c>
      <c r="W25" s="101" t="str">
        <f aca="false">IF($B25="","",'مسير أبريل'!AG25)</f>
        <v/>
      </c>
      <c r="X25" s="101" t="str">
        <f aca="false">IF($B25="","",'مسير مايو'!AG25)</f>
        <v/>
      </c>
      <c r="Y25" s="101" t="str">
        <f aca="false">IF($B25="","",'مسير يونيو'!AG25)</f>
        <v/>
      </c>
      <c r="Z25" s="101" t="str">
        <f aca="false">IF($B25="","",'مسير يوليو'!AG25)</f>
        <v/>
      </c>
      <c r="AA25" s="101" t="str">
        <f aca="false">IF($B25="","",'مسير أغسطس'!AG25)</f>
        <v/>
      </c>
      <c r="AB25" s="101" t="str">
        <f aca="false">IF($B25="","",'مسير سبتمبر'!AG25)</f>
        <v/>
      </c>
      <c r="AC25" s="101" t="str">
        <f aca="false">IF($B25="","",'مسير أكتوبر'!AG25)</f>
        <v/>
      </c>
      <c r="AD25" s="101" t="str">
        <f aca="false">IF($B25="","",'مسير نوفمبر'!AG25)</f>
        <v/>
      </c>
      <c r="AE25" s="101" t="str">
        <f aca="false">IF($B25="","",'مسير ديسمبر'!AG25)</f>
        <v/>
      </c>
      <c r="AF25" s="144" t="str">
        <f aca="false">IF($B25="","",IF(1&lt;=cfg_VAL_M,'مسير يناير'!AG25,0)+IF(2&lt;=cfg_VAL_M,'مسير فبراير'!AG25,0)+IF(3&lt;=cfg_VAL_M,'مسير مارس'!AG25,0)+IF(4&lt;=cfg_VAL_M,'مسير أبريل'!AG25,0)+IF(5&lt;=cfg_VAL_M,'مسير مايو'!AG25,0)+IF(6&lt;=cfg_VAL_M,'مسير يونيو'!AG25,0)+IF(7&lt;=cfg_VAL_M,'مسير يوليو'!AG25,0)+IF(8&lt;=cfg_VAL_M,'مسير أغسطس'!AG25,0)+IF(9&lt;=cfg_VAL_M,'مسير سبتمبر'!AG25,0)+IF(10&lt;=cfg_VAL_M,'مسير أكتوبر'!AG25,0)+IF(11&lt;=cfg_VAL_M,'مسير نوفمبر'!AG25,0)+IF(12&lt;=cfg_VAL_M,'مسير ديسمبر'!AG25,0))</f>
        <v/>
      </c>
      <c r="AG25" s="144" t="str">
        <f aca="false">IF($B25="","",IF(1&lt;=cfg_VAL_M,'مسير يناير'!Y25,0)+IF(2&lt;=cfg_VAL_M,'مسير فبراير'!Y25,0)+IF(3&lt;=cfg_VAL_M,'مسير مارس'!Y25,0)+IF(4&lt;=cfg_VAL_M,'مسير أبريل'!Y25,0)+IF(5&lt;=cfg_VAL_M,'مسير مايو'!Y25,0)+IF(6&lt;=cfg_VAL_M,'مسير يونيو'!Y25,0)+IF(7&lt;=cfg_VAL_M,'مسير يوليو'!Y25,0)+IF(8&lt;=cfg_VAL_M,'مسير أغسطس'!Y25,0)+IF(9&lt;=cfg_VAL_M,'مسير سبتمبر'!Y25,0)+IF(10&lt;=cfg_VAL_M,'مسير أكتوبر'!Y25,0)+IF(11&lt;=cfg_VAL_M,'مسير نوفمبر'!Y25,0)+IF(12&lt;=cfg_VAL_M,'مسير ديسمبر'!Y25,0))</f>
        <v/>
      </c>
      <c r="AH25" s="101" t="str">
        <f aca="false">IF($B25="","",AF25/cfg_VAL_M)</f>
        <v/>
      </c>
    </row>
    <row r="26" customFormat="false" ht="15" hidden="false" customHeight="false" outlineLevel="0" collapsed="false">
      <c r="B26" s="80" t="str">
        <f aca="false">IF(الموظفون!$B26="","",الموظفون!$B26)</f>
        <v/>
      </c>
      <c r="C26" s="80" t="str">
        <f aca="false">IF(الموظفون!$B26="","",الموظفون!$C26)</f>
        <v/>
      </c>
      <c r="D26" s="80" t="str">
        <f aca="false">IF(الموظفون!$B26="","",الموظفون!$F26)</f>
        <v/>
      </c>
      <c r="E26" s="80" t="str">
        <f aca="false">IF(الموظفون!$B26="","",الموظفون!$E26)</f>
        <v/>
      </c>
      <c r="F26" s="97" t="str">
        <f aca="false">IF($B26="","",'مسير يناير'!T26)</f>
        <v/>
      </c>
      <c r="G26" s="97" t="str">
        <f aca="false">IF($B26="","",'مسير فبراير'!T26)</f>
        <v/>
      </c>
      <c r="H26" s="97" t="str">
        <f aca="false">IF($B26="","",'مسير مارس'!T26)</f>
        <v/>
      </c>
      <c r="I26" s="97" t="str">
        <f aca="false">IF($B26="","",'مسير أبريل'!T26)</f>
        <v/>
      </c>
      <c r="J26" s="97" t="str">
        <f aca="false">IF($B26="","",'مسير مايو'!T26)</f>
        <v/>
      </c>
      <c r="K26" s="97" t="str">
        <f aca="false">IF($B26="","",'مسير يونيو'!T26)</f>
        <v/>
      </c>
      <c r="L26" s="97" t="str">
        <f aca="false">IF($B26="","",'مسير يوليو'!T26)</f>
        <v/>
      </c>
      <c r="M26" s="97" t="str">
        <f aca="false">IF($B26="","",'مسير أغسطس'!T26)</f>
        <v/>
      </c>
      <c r="N26" s="97" t="str">
        <f aca="false">IF($B26="","",'مسير سبتمبر'!T26)</f>
        <v/>
      </c>
      <c r="O26" s="97" t="str">
        <f aca="false">IF($B26="","",'مسير أكتوبر'!T26)</f>
        <v/>
      </c>
      <c r="P26" s="97" t="str">
        <f aca="false">IF($B26="","",'مسير نوفمبر'!T26)</f>
        <v/>
      </c>
      <c r="Q26" s="97" t="str">
        <f aca="false">IF($B26="","",'مسير ديسمبر'!T26)</f>
        <v/>
      </c>
      <c r="R26" s="143" t="str">
        <f aca="false">IF($B26="","",IF(1&lt;=cfg_VAL_M,'مسير يناير'!T26,0)+IF(2&lt;=cfg_VAL_M,'مسير فبراير'!T26,0)+IF(3&lt;=cfg_VAL_M,'مسير مارس'!T26,0)+IF(4&lt;=cfg_VAL_M,'مسير أبريل'!T26,0)+IF(5&lt;=cfg_VAL_M,'مسير مايو'!T26,0)+IF(6&lt;=cfg_VAL_M,'مسير يونيو'!T26,0)+IF(7&lt;=cfg_VAL_M,'مسير يوليو'!T26,0)+IF(8&lt;=cfg_VAL_M,'مسير أغسطس'!T26,0)+IF(9&lt;=cfg_VAL_M,'مسير سبتمبر'!T26,0)+IF(10&lt;=cfg_VAL_M,'مسير أكتوبر'!T26,0)+IF(11&lt;=cfg_VAL_M,'مسير نوفمبر'!T26,0)+IF(12&lt;=cfg_VAL_M,'مسير ديسمبر'!T26,0))</f>
        <v/>
      </c>
      <c r="T26" s="97" t="str">
        <f aca="false">IF($B26="","",'مسير يناير'!AG26)</f>
        <v/>
      </c>
      <c r="U26" s="97" t="str">
        <f aca="false">IF($B26="","",'مسير فبراير'!AG26)</f>
        <v/>
      </c>
      <c r="V26" s="97" t="str">
        <f aca="false">IF($B26="","",'مسير مارس'!AG26)</f>
        <v/>
      </c>
      <c r="W26" s="97" t="str">
        <f aca="false">IF($B26="","",'مسير أبريل'!AG26)</f>
        <v/>
      </c>
      <c r="X26" s="97" t="str">
        <f aca="false">IF($B26="","",'مسير مايو'!AG26)</f>
        <v/>
      </c>
      <c r="Y26" s="97" t="str">
        <f aca="false">IF($B26="","",'مسير يونيو'!AG26)</f>
        <v/>
      </c>
      <c r="Z26" s="97" t="str">
        <f aca="false">IF($B26="","",'مسير يوليو'!AG26)</f>
        <v/>
      </c>
      <c r="AA26" s="97" t="str">
        <f aca="false">IF($B26="","",'مسير أغسطس'!AG26)</f>
        <v/>
      </c>
      <c r="AB26" s="97" t="str">
        <f aca="false">IF($B26="","",'مسير سبتمبر'!AG26)</f>
        <v/>
      </c>
      <c r="AC26" s="97" t="str">
        <f aca="false">IF($B26="","",'مسير أكتوبر'!AG26)</f>
        <v/>
      </c>
      <c r="AD26" s="97" t="str">
        <f aca="false">IF($B26="","",'مسير نوفمبر'!AG26)</f>
        <v/>
      </c>
      <c r="AE26" s="97" t="str">
        <f aca="false">IF($B26="","",'مسير ديسمبر'!AG26)</f>
        <v/>
      </c>
      <c r="AF26" s="143" t="str">
        <f aca="false">IF($B26="","",IF(1&lt;=cfg_VAL_M,'مسير يناير'!AG26,0)+IF(2&lt;=cfg_VAL_M,'مسير فبراير'!AG26,0)+IF(3&lt;=cfg_VAL_M,'مسير مارس'!AG26,0)+IF(4&lt;=cfg_VAL_M,'مسير أبريل'!AG26,0)+IF(5&lt;=cfg_VAL_M,'مسير مايو'!AG26,0)+IF(6&lt;=cfg_VAL_M,'مسير يونيو'!AG26,0)+IF(7&lt;=cfg_VAL_M,'مسير يوليو'!AG26,0)+IF(8&lt;=cfg_VAL_M,'مسير أغسطس'!AG26,0)+IF(9&lt;=cfg_VAL_M,'مسير سبتمبر'!AG26,0)+IF(10&lt;=cfg_VAL_M,'مسير أكتوبر'!AG26,0)+IF(11&lt;=cfg_VAL_M,'مسير نوفمبر'!AG26,0)+IF(12&lt;=cfg_VAL_M,'مسير ديسمبر'!AG26,0))</f>
        <v/>
      </c>
      <c r="AG26" s="143" t="str">
        <f aca="false">IF($B26="","",IF(1&lt;=cfg_VAL_M,'مسير يناير'!Y26,0)+IF(2&lt;=cfg_VAL_M,'مسير فبراير'!Y26,0)+IF(3&lt;=cfg_VAL_M,'مسير مارس'!Y26,0)+IF(4&lt;=cfg_VAL_M,'مسير أبريل'!Y26,0)+IF(5&lt;=cfg_VAL_M,'مسير مايو'!Y26,0)+IF(6&lt;=cfg_VAL_M,'مسير يونيو'!Y26,0)+IF(7&lt;=cfg_VAL_M,'مسير يوليو'!Y26,0)+IF(8&lt;=cfg_VAL_M,'مسير أغسطس'!Y26,0)+IF(9&lt;=cfg_VAL_M,'مسير سبتمبر'!Y26,0)+IF(10&lt;=cfg_VAL_M,'مسير أكتوبر'!Y26,0)+IF(11&lt;=cfg_VAL_M,'مسير نوفمبر'!Y26,0)+IF(12&lt;=cfg_VAL_M,'مسير ديسمبر'!Y26,0))</f>
        <v/>
      </c>
      <c r="AH26" s="97" t="str">
        <f aca="false">IF($B26="","",AF26/cfg_VAL_M)</f>
        <v/>
      </c>
    </row>
    <row r="27" customFormat="false" ht="15" hidden="false" customHeight="false" outlineLevel="0" collapsed="false">
      <c r="B27" s="102" t="str">
        <f aca="false">IF(الموظفون!$B27="","",الموظفون!$B27)</f>
        <v/>
      </c>
      <c r="C27" s="102" t="str">
        <f aca="false">IF(الموظفون!$B27="","",الموظفون!$C27)</f>
        <v/>
      </c>
      <c r="D27" s="102" t="str">
        <f aca="false">IF(الموظفون!$B27="","",الموظفون!$F27)</f>
        <v/>
      </c>
      <c r="E27" s="102" t="str">
        <f aca="false">IF(الموظفون!$B27="","",الموظفون!$E27)</f>
        <v/>
      </c>
      <c r="F27" s="101" t="str">
        <f aca="false">IF($B27="","",'مسير يناير'!T27)</f>
        <v/>
      </c>
      <c r="G27" s="101" t="str">
        <f aca="false">IF($B27="","",'مسير فبراير'!T27)</f>
        <v/>
      </c>
      <c r="H27" s="101" t="str">
        <f aca="false">IF($B27="","",'مسير مارس'!T27)</f>
        <v/>
      </c>
      <c r="I27" s="101" t="str">
        <f aca="false">IF($B27="","",'مسير أبريل'!T27)</f>
        <v/>
      </c>
      <c r="J27" s="101" t="str">
        <f aca="false">IF($B27="","",'مسير مايو'!T27)</f>
        <v/>
      </c>
      <c r="K27" s="101" t="str">
        <f aca="false">IF($B27="","",'مسير يونيو'!T27)</f>
        <v/>
      </c>
      <c r="L27" s="101" t="str">
        <f aca="false">IF($B27="","",'مسير يوليو'!T27)</f>
        <v/>
      </c>
      <c r="M27" s="101" t="str">
        <f aca="false">IF($B27="","",'مسير أغسطس'!T27)</f>
        <v/>
      </c>
      <c r="N27" s="101" t="str">
        <f aca="false">IF($B27="","",'مسير سبتمبر'!T27)</f>
        <v/>
      </c>
      <c r="O27" s="101" t="str">
        <f aca="false">IF($B27="","",'مسير أكتوبر'!T27)</f>
        <v/>
      </c>
      <c r="P27" s="101" t="str">
        <f aca="false">IF($B27="","",'مسير نوفمبر'!T27)</f>
        <v/>
      </c>
      <c r="Q27" s="101" t="str">
        <f aca="false">IF($B27="","",'مسير ديسمبر'!T27)</f>
        <v/>
      </c>
      <c r="R27" s="144" t="str">
        <f aca="false">IF($B27="","",IF(1&lt;=cfg_VAL_M,'مسير يناير'!T27,0)+IF(2&lt;=cfg_VAL_M,'مسير فبراير'!T27,0)+IF(3&lt;=cfg_VAL_M,'مسير مارس'!T27,0)+IF(4&lt;=cfg_VAL_M,'مسير أبريل'!T27,0)+IF(5&lt;=cfg_VAL_M,'مسير مايو'!T27,0)+IF(6&lt;=cfg_VAL_M,'مسير يونيو'!T27,0)+IF(7&lt;=cfg_VAL_M,'مسير يوليو'!T27,0)+IF(8&lt;=cfg_VAL_M,'مسير أغسطس'!T27,0)+IF(9&lt;=cfg_VAL_M,'مسير سبتمبر'!T27,0)+IF(10&lt;=cfg_VAL_M,'مسير أكتوبر'!T27,0)+IF(11&lt;=cfg_VAL_M,'مسير نوفمبر'!T27,0)+IF(12&lt;=cfg_VAL_M,'مسير ديسمبر'!T27,0))</f>
        <v/>
      </c>
      <c r="T27" s="101" t="str">
        <f aca="false">IF($B27="","",'مسير يناير'!AG27)</f>
        <v/>
      </c>
      <c r="U27" s="101" t="str">
        <f aca="false">IF($B27="","",'مسير فبراير'!AG27)</f>
        <v/>
      </c>
      <c r="V27" s="101" t="str">
        <f aca="false">IF($B27="","",'مسير مارس'!AG27)</f>
        <v/>
      </c>
      <c r="W27" s="101" t="str">
        <f aca="false">IF($B27="","",'مسير أبريل'!AG27)</f>
        <v/>
      </c>
      <c r="X27" s="101" t="str">
        <f aca="false">IF($B27="","",'مسير مايو'!AG27)</f>
        <v/>
      </c>
      <c r="Y27" s="101" t="str">
        <f aca="false">IF($B27="","",'مسير يونيو'!AG27)</f>
        <v/>
      </c>
      <c r="Z27" s="101" t="str">
        <f aca="false">IF($B27="","",'مسير يوليو'!AG27)</f>
        <v/>
      </c>
      <c r="AA27" s="101" t="str">
        <f aca="false">IF($B27="","",'مسير أغسطس'!AG27)</f>
        <v/>
      </c>
      <c r="AB27" s="101" t="str">
        <f aca="false">IF($B27="","",'مسير سبتمبر'!AG27)</f>
        <v/>
      </c>
      <c r="AC27" s="101" t="str">
        <f aca="false">IF($B27="","",'مسير أكتوبر'!AG27)</f>
        <v/>
      </c>
      <c r="AD27" s="101" t="str">
        <f aca="false">IF($B27="","",'مسير نوفمبر'!AG27)</f>
        <v/>
      </c>
      <c r="AE27" s="101" t="str">
        <f aca="false">IF($B27="","",'مسير ديسمبر'!AG27)</f>
        <v/>
      </c>
      <c r="AF27" s="144" t="str">
        <f aca="false">IF($B27="","",IF(1&lt;=cfg_VAL_M,'مسير يناير'!AG27,0)+IF(2&lt;=cfg_VAL_M,'مسير فبراير'!AG27,0)+IF(3&lt;=cfg_VAL_M,'مسير مارس'!AG27,0)+IF(4&lt;=cfg_VAL_M,'مسير أبريل'!AG27,0)+IF(5&lt;=cfg_VAL_M,'مسير مايو'!AG27,0)+IF(6&lt;=cfg_VAL_M,'مسير يونيو'!AG27,0)+IF(7&lt;=cfg_VAL_M,'مسير يوليو'!AG27,0)+IF(8&lt;=cfg_VAL_M,'مسير أغسطس'!AG27,0)+IF(9&lt;=cfg_VAL_M,'مسير سبتمبر'!AG27,0)+IF(10&lt;=cfg_VAL_M,'مسير أكتوبر'!AG27,0)+IF(11&lt;=cfg_VAL_M,'مسير نوفمبر'!AG27,0)+IF(12&lt;=cfg_VAL_M,'مسير ديسمبر'!AG27,0))</f>
        <v/>
      </c>
      <c r="AG27" s="144" t="str">
        <f aca="false">IF($B27="","",IF(1&lt;=cfg_VAL_M,'مسير يناير'!Y27,0)+IF(2&lt;=cfg_VAL_M,'مسير فبراير'!Y27,0)+IF(3&lt;=cfg_VAL_M,'مسير مارس'!Y27,0)+IF(4&lt;=cfg_VAL_M,'مسير أبريل'!Y27,0)+IF(5&lt;=cfg_VAL_M,'مسير مايو'!Y27,0)+IF(6&lt;=cfg_VAL_M,'مسير يونيو'!Y27,0)+IF(7&lt;=cfg_VAL_M,'مسير يوليو'!Y27,0)+IF(8&lt;=cfg_VAL_M,'مسير أغسطس'!Y27,0)+IF(9&lt;=cfg_VAL_M,'مسير سبتمبر'!Y27,0)+IF(10&lt;=cfg_VAL_M,'مسير أكتوبر'!Y27,0)+IF(11&lt;=cfg_VAL_M,'مسير نوفمبر'!Y27,0)+IF(12&lt;=cfg_VAL_M,'مسير ديسمبر'!Y27,0))</f>
        <v/>
      </c>
      <c r="AH27" s="101" t="str">
        <f aca="false">IF($B27="","",AF27/cfg_VAL_M)</f>
        <v/>
      </c>
    </row>
    <row r="28" customFormat="false" ht="15" hidden="false" customHeight="false" outlineLevel="0" collapsed="false">
      <c r="B28" s="80" t="str">
        <f aca="false">IF(الموظفون!$B28="","",الموظفون!$B28)</f>
        <v/>
      </c>
      <c r="C28" s="80" t="str">
        <f aca="false">IF(الموظفون!$B28="","",الموظفون!$C28)</f>
        <v/>
      </c>
      <c r="D28" s="80" t="str">
        <f aca="false">IF(الموظفون!$B28="","",الموظفون!$F28)</f>
        <v/>
      </c>
      <c r="E28" s="80" t="str">
        <f aca="false">IF(الموظفون!$B28="","",الموظفون!$E28)</f>
        <v/>
      </c>
      <c r="F28" s="97" t="str">
        <f aca="false">IF($B28="","",'مسير يناير'!T28)</f>
        <v/>
      </c>
      <c r="G28" s="97" t="str">
        <f aca="false">IF($B28="","",'مسير فبراير'!T28)</f>
        <v/>
      </c>
      <c r="H28" s="97" t="str">
        <f aca="false">IF($B28="","",'مسير مارس'!T28)</f>
        <v/>
      </c>
      <c r="I28" s="97" t="str">
        <f aca="false">IF($B28="","",'مسير أبريل'!T28)</f>
        <v/>
      </c>
      <c r="J28" s="97" t="str">
        <f aca="false">IF($B28="","",'مسير مايو'!T28)</f>
        <v/>
      </c>
      <c r="K28" s="97" t="str">
        <f aca="false">IF($B28="","",'مسير يونيو'!T28)</f>
        <v/>
      </c>
      <c r="L28" s="97" t="str">
        <f aca="false">IF($B28="","",'مسير يوليو'!T28)</f>
        <v/>
      </c>
      <c r="M28" s="97" t="str">
        <f aca="false">IF($B28="","",'مسير أغسطس'!T28)</f>
        <v/>
      </c>
      <c r="N28" s="97" t="str">
        <f aca="false">IF($B28="","",'مسير سبتمبر'!T28)</f>
        <v/>
      </c>
      <c r="O28" s="97" t="str">
        <f aca="false">IF($B28="","",'مسير أكتوبر'!T28)</f>
        <v/>
      </c>
      <c r="P28" s="97" t="str">
        <f aca="false">IF($B28="","",'مسير نوفمبر'!T28)</f>
        <v/>
      </c>
      <c r="Q28" s="97" t="str">
        <f aca="false">IF($B28="","",'مسير ديسمبر'!T28)</f>
        <v/>
      </c>
      <c r="R28" s="143" t="str">
        <f aca="false">IF($B28="","",IF(1&lt;=cfg_VAL_M,'مسير يناير'!T28,0)+IF(2&lt;=cfg_VAL_M,'مسير فبراير'!T28,0)+IF(3&lt;=cfg_VAL_M,'مسير مارس'!T28,0)+IF(4&lt;=cfg_VAL_M,'مسير أبريل'!T28,0)+IF(5&lt;=cfg_VAL_M,'مسير مايو'!T28,0)+IF(6&lt;=cfg_VAL_M,'مسير يونيو'!T28,0)+IF(7&lt;=cfg_VAL_M,'مسير يوليو'!T28,0)+IF(8&lt;=cfg_VAL_M,'مسير أغسطس'!T28,0)+IF(9&lt;=cfg_VAL_M,'مسير سبتمبر'!T28,0)+IF(10&lt;=cfg_VAL_M,'مسير أكتوبر'!T28,0)+IF(11&lt;=cfg_VAL_M,'مسير نوفمبر'!T28,0)+IF(12&lt;=cfg_VAL_M,'مسير ديسمبر'!T28,0))</f>
        <v/>
      </c>
      <c r="T28" s="97" t="str">
        <f aca="false">IF($B28="","",'مسير يناير'!AG28)</f>
        <v/>
      </c>
      <c r="U28" s="97" t="str">
        <f aca="false">IF($B28="","",'مسير فبراير'!AG28)</f>
        <v/>
      </c>
      <c r="V28" s="97" t="str">
        <f aca="false">IF($B28="","",'مسير مارس'!AG28)</f>
        <v/>
      </c>
      <c r="W28" s="97" t="str">
        <f aca="false">IF($B28="","",'مسير أبريل'!AG28)</f>
        <v/>
      </c>
      <c r="X28" s="97" t="str">
        <f aca="false">IF($B28="","",'مسير مايو'!AG28)</f>
        <v/>
      </c>
      <c r="Y28" s="97" t="str">
        <f aca="false">IF($B28="","",'مسير يونيو'!AG28)</f>
        <v/>
      </c>
      <c r="Z28" s="97" t="str">
        <f aca="false">IF($B28="","",'مسير يوليو'!AG28)</f>
        <v/>
      </c>
      <c r="AA28" s="97" t="str">
        <f aca="false">IF($B28="","",'مسير أغسطس'!AG28)</f>
        <v/>
      </c>
      <c r="AB28" s="97" t="str">
        <f aca="false">IF($B28="","",'مسير سبتمبر'!AG28)</f>
        <v/>
      </c>
      <c r="AC28" s="97" t="str">
        <f aca="false">IF($B28="","",'مسير أكتوبر'!AG28)</f>
        <v/>
      </c>
      <c r="AD28" s="97" t="str">
        <f aca="false">IF($B28="","",'مسير نوفمبر'!AG28)</f>
        <v/>
      </c>
      <c r="AE28" s="97" t="str">
        <f aca="false">IF($B28="","",'مسير ديسمبر'!AG28)</f>
        <v/>
      </c>
      <c r="AF28" s="143" t="str">
        <f aca="false">IF($B28="","",IF(1&lt;=cfg_VAL_M,'مسير يناير'!AG28,0)+IF(2&lt;=cfg_VAL_M,'مسير فبراير'!AG28,0)+IF(3&lt;=cfg_VAL_M,'مسير مارس'!AG28,0)+IF(4&lt;=cfg_VAL_M,'مسير أبريل'!AG28,0)+IF(5&lt;=cfg_VAL_M,'مسير مايو'!AG28,0)+IF(6&lt;=cfg_VAL_M,'مسير يونيو'!AG28,0)+IF(7&lt;=cfg_VAL_M,'مسير يوليو'!AG28,0)+IF(8&lt;=cfg_VAL_M,'مسير أغسطس'!AG28,0)+IF(9&lt;=cfg_VAL_M,'مسير سبتمبر'!AG28,0)+IF(10&lt;=cfg_VAL_M,'مسير أكتوبر'!AG28,0)+IF(11&lt;=cfg_VAL_M,'مسير نوفمبر'!AG28,0)+IF(12&lt;=cfg_VAL_M,'مسير ديسمبر'!AG28,0))</f>
        <v/>
      </c>
      <c r="AG28" s="143" t="str">
        <f aca="false">IF($B28="","",IF(1&lt;=cfg_VAL_M,'مسير يناير'!Y28,0)+IF(2&lt;=cfg_VAL_M,'مسير فبراير'!Y28,0)+IF(3&lt;=cfg_VAL_M,'مسير مارس'!Y28,0)+IF(4&lt;=cfg_VAL_M,'مسير أبريل'!Y28,0)+IF(5&lt;=cfg_VAL_M,'مسير مايو'!Y28,0)+IF(6&lt;=cfg_VAL_M,'مسير يونيو'!Y28,0)+IF(7&lt;=cfg_VAL_M,'مسير يوليو'!Y28,0)+IF(8&lt;=cfg_VAL_M,'مسير أغسطس'!Y28,0)+IF(9&lt;=cfg_VAL_M,'مسير سبتمبر'!Y28,0)+IF(10&lt;=cfg_VAL_M,'مسير أكتوبر'!Y28,0)+IF(11&lt;=cfg_VAL_M,'مسير نوفمبر'!Y28,0)+IF(12&lt;=cfg_VAL_M,'مسير ديسمبر'!Y28,0))</f>
        <v/>
      </c>
      <c r="AH28" s="97" t="str">
        <f aca="false">IF($B28="","",AF28/cfg_VAL_M)</f>
        <v/>
      </c>
    </row>
    <row r="29" customFormat="false" ht="15" hidden="false" customHeight="false" outlineLevel="0" collapsed="false">
      <c r="B29" s="102" t="str">
        <f aca="false">IF(الموظفون!$B29="","",الموظفون!$B29)</f>
        <v/>
      </c>
      <c r="C29" s="102" t="str">
        <f aca="false">IF(الموظفون!$B29="","",الموظفون!$C29)</f>
        <v/>
      </c>
      <c r="D29" s="102" t="str">
        <f aca="false">IF(الموظفون!$B29="","",الموظفون!$F29)</f>
        <v/>
      </c>
      <c r="E29" s="102" t="str">
        <f aca="false">IF(الموظفون!$B29="","",الموظفون!$E29)</f>
        <v/>
      </c>
      <c r="F29" s="101" t="str">
        <f aca="false">IF($B29="","",'مسير يناير'!T29)</f>
        <v/>
      </c>
      <c r="G29" s="101" t="str">
        <f aca="false">IF($B29="","",'مسير فبراير'!T29)</f>
        <v/>
      </c>
      <c r="H29" s="101" t="str">
        <f aca="false">IF($B29="","",'مسير مارس'!T29)</f>
        <v/>
      </c>
      <c r="I29" s="101" t="str">
        <f aca="false">IF($B29="","",'مسير أبريل'!T29)</f>
        <v/>
      </c>
      <c r="J29" s="101" t="str">
        <f aca="false">IF($B29="","",'مسير مايو'!T29)</f>
        <v/>
      </c>
      <c r="K29" s="101" t="str">
        <f aca="false">IF($B29="","",'مسير يونيو'!T29)</f>
        <v/>
      </c>
      <c r="L29" s="101" t="str">
        <f aca="false">IF($B29="","",'مسير يوليو'!T29)</f>
        <v/>
      </c>
      <c r="M29" s="101" t="str">
        <f aca="false">IF($B29="","",'مسير أغسطس'!T29)</f>
        <v/>
      </c>
      <c r="N29" s="101" t="str">
        <f aca="false">IF($B29="","",'مسير سبتمبر'!T29)</f>
        <v/>
      </c>
      <c r="O29" s="101" t="str">
        <f aca="false">IF($B29="","",'مسير أكتوبر'!T29)</f>
        <v/>
      </c>
      <c r="P29" s="101" t="str">
        <f aca="false">IF($B29="","",'مسير نوفمبر'!T29)</f>
        <v/>
      </c>
      <c r="Q29" s="101" t="str">
        <f aca="false">IF($B29="","",'مسير ديسمبر'!T29)</f>
        <v/>
      </c>
      <c r="R29" s="144" t="str">
        <f aca="false">IF($B29="","",IF(1&lt;=cfg_VAL_M,'مسير يناير'!T29,0)+IF(2&lt;=cfg_VAL_M,'مسير فبراير'!T29,0)+IF(3&lt;=cfg_VAL_M,'مسير مارس'!T29,0)+IF(4&lt;=cfg_VAL_M,'مسير أبريل'!T29,0)+IF(5&lt;=cfg_VAL_M,'مسير مايو'!T29,0)+IF(6&lt;=cfg_VAL_M,'مسير يونيو'!T29,0)+IF(7&lt;=cfg_VAL_M,'مسير يوليو'!T29,0)+IF(8&lt;=cfg_VAL_M,'مسير أغسطس'!T29,0)+IF(9&lt;=cfg_VAL_M,'مسير سبتمبر'!T29,0)+IF(10&lt;=cfg_VAL_M,'مسير أكتوبر'!T29,0)+IF(11&lt;=cfg_VAL_M,'مسير نوفمبر'!T29,0)+IF(12&lt;=cfg_VAL_M,'مسير ديسمبر'!T29,0))</f>
        <v/>
      </c>
      <c r="T29" s="101" t="str">
        <f aca="false">IF($B29="","",'مسير يناير'!AG29)</f>
        <v/>
      </c>
      <c r="U29" s="101" t="str">
        <f aca="false">IF($B29="","",'مسير فبراير'!AG29)</f>
        <v/>
      </c>
      <c r="V29" s="101" t="str">
        <f aca="false">IF($B29="","",'مسير مارس'!AG29)</f>
        <v/>
      </c>
      <c r="W29" s="101" t="str">
        <f aca="false">IF($B29="","",'مسير أبريل'!AG29)</f>
        <v/>
      </c>
      <c r="X29" s="101" t="str">
        <f aca="false">IF($B29="","",'مسير مايو'!AG29)</f>
        <v/>
      </c>
      <c r="Y29" s="101" t="str">
        <f aca="false">IF($B29="","",'مسير يونيو'!AG29)</f>
        <v/>
      </c>
      <c r="Z29" s="101" t="str">
        <f aca="false">IF($B29="","",'مسير يوليو'!AG29)</f>
        <v/>
      </c>
      <c r="AA29" s="101" t="str">
        <f aca="false">IF($B29="","",'مسير أغسطس'!AG29)</f>
        <v/>
      </c>
      <c r="AB29" s="101" t="str">
        <f aca="false">IF($B29="","",'مسير سبتمبر'!AG29)</f>
        <v/>
      </c>
      <c r="AC29" s="101" t="str">
        <f aca="false">IF($B29="","",'مسير أكتوبر'!AG29)</f>
        <v/>
      </c>
      <c r="AD29" s="101" t="str">
        <f aca="false">IF($B29="","",'مسير نوفمبر'!AG29)</f>
        <v/>
      </c>
      <c r="AE29" s="101" t="str">
        <f aca="false">IF($B29="","",'مسير ديسمبر'!AG29)</f>
        <v/>
      </c>
      <c r="AF29" s="144" t="str">
        <f aca="false">IF($B29="","",IF(1&lt;=cfg_VAL_M,'مسير يناير'!AG29,0)+IF(2&lt;=cfg_VAL_M,'مسير فبراير'!AG29,0)+IF(3&lt;=cfg_VAL_M,'مسير مارس'!AG29,0)+IF(4&lt;=cfg_VAL_M,'مسير أبريل'!AG29,0)+IF(5&lt;=cfg_VAL_M,'مسير مايو'!AG29,0)+IF(6&lt;=cfg_VAL_M,'مسير يونيو'!AG29,0)+IF(7&lt;=cfg_VAL_M,'مسير يوليو'!AG29,0)+IF(8&lt;=cfg_VAL_M,'مسير أغسطس'!AG29,0)+IF(9&lt;=cfg_VAL_M,'مسير سبتمبر'!AG29,0)+IF(10&lt;=cfg_VAL_M,'مسير أكتوبر'!AG29,0)+IF(11&lt;=cfg_VAL_M,'مسير نوفمبر'!AG29,0)+IF(12&lt;=cfg_VAL_M,'مسير ديسمبر'!AG29,0))</f>
        <v/>
      </c>
      <c r="AG29" s="144" t="str">
        <f aca="false">IF($B29="","",IF(1&lt;=cfg_VAL_M,'مسير يناير'!Y29,0)+IF(2&lt;=cfg_VAL_M,'مسير فبراير'!Y29,0)+IF(3&lt;=cfg_VAL_M,'مسير مارس'!Y29,0)+IF(4&lt;=cfg_VAL_M,'مسير أبريل'!Y29,0)+IF(5&lt;=cfg_VAL_M,'مسير مايو'!Y29,0)+IF(6&lt;=cfg_VAL_M,'مسير يونيو'!Y29,0)+IF(7&lt;=cfg_VAL_M,'مسير يوليو'!Y29,0)+IF(8&lt;=cfg_VAL_M,'مسير أغسطس'!Y29,0)+IF(9&lt;=cfg_VAL_M,'مسير سبتمبر'!Y29,0)+IF(10&lt;=cfg_VAL_M,'مسير أكتوبر'!Y29,0)+IF(11&lt;=cfg_VAL_M,'مسير نوفمبر'!Y29,0)+IF(12&lt;=cfg_VAL_M,'مسير ديسمبر'!Y29,0))</f>
        <v/>
      </c>
      <c r="AH29" s="101" t="str">
        <f aca="false">IF($B29="","",AF29/cfg_VAL_M)</f>
        <v/>
      </c>
    </row>
    <row r="30" customFormat="false" ht="15" hidden="false" customHeight="false" outlineLevel="0" collapsed="false">
      <c r="B30" s="80" t="str">
        <f aca="false">IF(الموظفون!$B30="","",الموظفون!$B30)</f>
        <v/>
      </c>
      <c r="C30" s="80" t="str">
        <f aca="false">IF(الموظفون!$B30="","",الموظفون!$C30)</f>
        <v/>
      </c>
      <c r="D30" s="80" t="str">
        <f aca="false">IF(الموظفون!$B30="","",الموظفون!$F30)</f>
        <v/>
      </c>
      <c r="E30" s="80" t="str">
        <f aca="false">IF(الموظفون!$B30="","",الموظفون!$E30)</f>
        <v/>
      </c>
      <c r="F30" s="97" t="str">
        <f aca="false">IF($B30="","",'مسير يناير'!T30)</f>
        <v/>
      </c>
      <c r="G30" s="97" t="str">
        <f aca="false">IF($B30="","",'مسير فبراير'!T30)</f>
        <v/>
      </c>
      <c r="H30" s="97" t="str">
        <f aca="false">IF($B30="","",'مسير مارس'!T30)</f>
        <v/>
      </c>
      <c r="I30" s="97" t="str">
        <f aca="false">IF($B30="","",'مسير أبريل'!T30)</f>
        <v/>
      </c>
      <c r="J30" s="97" t="str">
        <f aca="false">IF($B30="","",'مسير مايو'!T30)</f>
        <v/>
      </c>
      <c r="K30" s="97" t="str">
        <f aca="false">IF($B30="","",'مسير يونيو'!T30)</f>
        <v/>
      </c>
      <c r="L30" s="97" t="str">
        <f aca="false">IF($B30="","",'مسير يوليو'!T30)</f>
        <v/>
      </c>
      <c r="M30" s="97" t="str">
        <f aca="false">IF($B30="","",'مسير أغسطس'!T30)</f>
        <v/>
      </c>
      <c r="N30" s="97" t="str">
        <f aca="false">IF($B30="","",'مسير سبتمبر'!T30)</f>
        <v/>
      </c>
      <c r="O30" s="97" t="str">
        <f aca="false">IF($B30="","",'مسير أكتوبر'!T30)</f>
        <v/>
      </c>
      <c r="P30" s="97" t="str">
        <f aca="false">IF($B30="","",'مسير نوفمبر'!T30)</f>
        <v/>
      </c>
      <c r="Q30" s="97" t="str">
        <f aca="false">IF($B30="","",'مسير ديسمبر'!T30)</f>
        <v/>
      </c>
      <c r="R30" s="143" t="str">
        <f aca="false">IF($B30="","",IF(1&lt;=cfg_VAL_M,'مسير يناير'!T30,0)+IF(2&lt;=cfg_VAL_M,'مسير فبراير'!T30,0)+IF(3&lt;=cfg_VAL_M,'مسير مارس'!T30,0)+IF(4&lt;=cfg_VAL_M,'مسير أبريل'!T30,0)+IF(5&lt;=cfg_VAL_M,'مسير مايو'!T30,0)+IF(6&lt;=cfg_VAL_M,'مسير يونيو'!T30,0)+IF(7&lt;=cfg_VAL_M,'مسير يوليو'!T30,0)+IF(8&lt;=cfg_VAL_M,'مسير أغسطس'!T30,0)+IF(9&lt;=cfg_VAL_M,'مسير سبتمبر'!T30,0)+IF(10&lt;=cfg_VAL_M,'مسير أكتوبر'!T30,0)+IF(11&lt;=cfg_VAL_M,'مسير نوفمبر'!T30,0)+IF(12&lt;=cfg_VAL_M,'مسير ديسمبر'!T30,0))</f>
        <v/>
      </c>
      <c r="T30" s="97" t="str">
        <f aca="false">IF($B30="","",'مسير يناير'!AG30)</f>
        <v/>
      </c>
      <c r="U30" s="97" t="str">
        <f aca="false">IF($B30="","",'مسير فبراير'!AG30)</f>
        <v/>
      </c>
      <c r="V30" s="97" t="str">
        <f aca="false">IF($B30="","",'مسير مارس'!AG30)</f>
        <v/>
      </c>
      <c r="W30" s="97" t="str">
        <f aca="false">IF($B30="","",'مسير أبريل'!AG30)</f>
        <v/>
      </c>
      <c r="X30" s="97" t="str">
        <f aca="false">IF($B30="","",'مسير مايو'!AG30)</f>
        <v/>
      </c>
      <c r="Y30" s="97" t="str">
        <f aca="false">IF($B30="","",'مسير يونيو'!AG30)</f>
        <v/>
      </c>
      <c r="Z30" s="97" t="str">
        <f aca="false">IF($B30="","",'مسير يوليو'!AG30)</f>
        <v/>
      </c>
      <c r="AA30" s="97" t="str">
        <f aca="false">IF($B30="","",'مسير أغسطس'!AG30)</f>
        <v/>
      </c>
      <c r="AB30" s="97" t="str">
        <f aca="false">IF($B30="","",'مسير سبتمبر'!AG30)</f>
        <v/>
      </c>
      <c r="AC30" s="97" t="str">
        <f aca="false">IF($B30="","",'مسير أكتوبر'!AG30)</f>
        <v/>
      </c>
      <c r="AD30" s="97" t="str">
        <f aca="false">IF($B30="","",'مسير نوفمبر'!AG30)</f>
        <v/>
      </c>
      <c r="AE30" s="97" t="str">
        <f aca="false">IF($B30="","",'مسير ديسمبر'!AG30)</f>
        <v/>
      </c>
      <c r="AF30" s="143" t="str">
        <f aca="false">IF($B30="","",IF(1&lt;=cfg_VAL_M,'مسير يناير'!AG30,0)+IF(2&lt;=cfg_VAL_M,'مسير فبراير'!AG30,0)+IF(3&lt;=cfg_VAL_M,'مسير مارس'!AG30,0)+IF(4&lt;=cfg_VAL_M,'مسير أبريل'!AG30,0)+IF(5&lt;=cfg_VAL_M,'مسير مايو'!AG30,0)+IF(6&lt;=cfg_VAL_M,'مسير يونيو'!AG30,0)+IF(7&lt;=cfg_VAL_M,'مسير يوليو'!AG30,0)+IF(8&lt;=cfg_VAL_M,'مسير أغسطس'!AG30,0)+IF(9&lt;=cfg_VAL_M,'مسير سبتمبر'!AG30,0)+IF(10&lt;=cfg_VAL_M,'مسير أكتوبر'!AG30,0)+IF(11&lt;=cfg_VAL_M,'مسير نوفمبر'!AG30,0)+IF(12&lt;=cfg_VAL_M,'مسير ديسمبر'!AG30,0))</f>
        <v/>
      </c>
      <c r="AG30" s="143" t="str">
        <f aca="false">IF($B30="","",IF(1&lt;=cfg_VAL_M,'مسير يناير'!Y30,0)+IF(2&lt;=cfg_VAL_M,'مسير فبراير'!Y30,0)+IF(3&lt;=cfg_VAL_M,'مسير مارس'!Y30,0)+IF(4&lt;=cfg_VAL_M,'مسير أبريل'!Y30,0)+IF(5&lt;=cfg_VAL_M,'مسير مايو'!Y30,0)+IF(6&lt;=cfg_VAL_M,'مسير يونيو'!Y30,0)+IF(7&lt;=cfg_VAL_M,'مسير يوليو'!Y30,0)+IF(8&lt;=cfg_VAL_M,'مسير أغسطس'!Y30,0)+IF(9&lt;=cfg_VAL_M,'مسير سبتمبر'!Y30,0)+IF(10&lt;=cfg_VAL_M,'مسير أكتوبر'!Y30,0)+IF(11&lt;=cfg_VAL_M,'مسير نوفمبر'!Y30,0)+IF(12&lt;=cfg_VAL_M,'مسير ديسمبر'!Y30,0))</f>
        <v/>
      </c>
      <c r="AH30" s="97" t="str">
        <f aca="false">IF($B30="","",AF30/cfg_VAL_M)</f>
        <v/>
      </c>
    </row>
    <row r="31" customFormat="false" ht="15" hidden="false" customHeight="false" outlineLevel="0" collapsed="false">
      <c r="B31" s="102" t="str">
        <f aca="false">IF(الموظفون!$B31="","",الموظفون!$B31)</f>
        <v/>
      </c>
      <c r="C31" s="102" t="str">
        <f aca="false">IF(الموظفون!$B31="","",الموظفون!$C31)</f>
        <v/>
      </c>
      <c r="D31" s="102" t="str">
        <f aca="false">IF(الموظفون!$B31="","",الموظفون!$F31)</f>
        <v/>
      </c>
      <c r="E31" s="102" t="str">
        <f aca="false">IF(الموظفون!$B31="","",الموظفون!$E31)</f>
        <v/>
      </c>
      <c r="F31" s="101" t="str">
        <f aca="false">IF($B31="","",'مسير يناير'!T31)</f>
        <v/>
      </c>
      <c r="G31" s="101" t="str">
        <f aca="false">IF($B31="","",'مسير فبراير'!T31)</f>
        <v/>
      </c>
      <c r="H31" s="101" t="str">
        <f aca="false">IF($B31="","",'مسير مارس'!T31)</f>
        <v/>
      </c>
      <c r="I31" s="101" t="str">
        <f aca="false">IF($B31="","",'مسير أبريل'!T31)</f>
        <v/>
      </c>
      <c r="J31" s="101" t="str">
        <f aca="false">IF($B31="","",'مسير مايو'!T31)</f>
        <v/>
      </c>
      <c r="K31" s="101" t="str">
        <f aca="false">IF($B31="","",'مسير يونيو'!T31)</f>
        <v/>
      </c>
      <c r="L31" s="101" t="str">
        <f aca="false">IF($B31="","",'مسير يوليو'!T31)</f>
        <v/>
      </c>
      <c r="M31" s="101" t="str">
        <f aca="false">IF($B31="","",'مسير أغسطس'!T31)</f>
        <v/>
      </c>
      <c r="N31" s="101" t="str">
        <f aca="false">IF($B31="","",'مسير سبتمبر'!T31)</f>
        <v/>
      </c>
      <c r="O31" s="101" t="str">
        <f aca="false">IF($B31="","",'مسير أكتوبر'!T31)</f>
        <v/>
      </c>
      <c r="P31" s="101" t="str">
        <f aca="false">IF($B31="","",'مسير نوفمبر'!T31)</f>
        <v/>
      </c>
      <c r="Q31" s="101" t="str">
        <f aca="false">IF($B31="","",'مسير ديسمبر'!T31)</f>
        <v/>
      </c>
      <c r="R31" s="144" t="str">
        <f aca="false">IF($B31="","",IF(1&lt;=cfg_VAL_M,'مسير يناير'!T31,0)+IF(2&lt;=cfg_VAL_M,'مسير فبراير'!T31,0)+IF(3&lt;=cfg_VAL_M,'مسير مارس'!T31,0)+IF(4&lt;=cfg_VAL_M,'مسير أبريل'!T31,0)+IF(5&lt;=cfg_VAL_M,'مسير مايو'!T31,0)+IF(6&lt;=cfg_VAL_M,'مسير يونيو'!T31,0)+IF(7&lt;=cfg_VAL_M,'مسير يوليو'!T31,0)+IF(8&lt;=cfg_VAL_M,'مسير أغسطس'!T31,0)+IF(9&lt;=cfg_VAL_M,'مسير سبتمبر'!T31,0)+IF(10&lt;=cfg_VAL_M,'مسير أكتوبر'!T31,0)+IF(11&lt;=cfg_VAL_M,'مسير نوفمبر'!T31,0)+IF(12&lt;=cfg_VAL_M,'مسير ديسمبر'!T31,0))</f>
        <v/>
      </c>
      <c r="T31" s="101" t="str">
        <f aca="false">IF($B31="","",'مسير يناير'!AG31)</f>
        <v/>
      </c>
      <c r="U31" s="101" t="str">
        <f aca="false">IF($B31="","",'مسير فبراير'!AG31)</f>
        <v/>
      </c>
      <c r="V31" s="101" t="str">
        <f aca="false">IF($B31="","",'مسير مارس'!AG31)</f>
        <v/>
      </c>
      <c r="W31" s="101" t="str">
        <f aca="false">IF($B31="","",'مسير أبريل'!AG31)</f>
        <v/>
      </c>
      <c r="X31" s="101" t="str">
        <f aca="false">IF($B31="","",'مسير مايو'!AG31)</f>
        <v/>
      </c>
      <c r="Y31" s="101" t="str">
        <f aca="false">IF($B31="","",'مسير يونيو'!AG31)</f>
        <v/>
      </c>
      <c r="Z31" s="101" t="str">
        <f aca="false">IF($B31="","",'مسير يوليو'!AG31)</f>
        <v/>
      </c>
      <c r="AA31" s="101" t="str">
        <f aca="false">IF($B31="","",'مسير أغسطس'!AG31)</f>
        <v/>
      </c>
      <c r="AB31" s="101" t="str">
        <f aca="false">IF($B31="","",'مسير سبتمبر'!AG31)</f>
        <v/>
      </c>
      <c r="AC31" s="101" t="str">
        <f aca="false">IF($B31="","",'مسير أكتوبر'!AG31)</f>
        <v/>
      </c>
      <c r="AD31" s="101" t="str">
        <f aca="false">IF($B31="","",'مسير نوفمبر'!AG31)</f>
        <v/>
      </c>
      <c r="AE31" s="101" t="str">
        <f aca="false">IF($B31="","",'مسير ديسمبر'!AG31)</f>
        <v/>
      </c>
      <c r="AF31" s="144" t="str">
        <f aca="false">IF($B31="","",IF(1&lt;=cfg_VAL_M,'مسير يناير'!AG31,0)+IF(2&lt;=cfg_VAL_M,'مسير فبراير'!AG31,0)+IF(3&lt;=cfg_VAL_M,'مسير مارس'!AG31,0)+IF(4&lt;=cfg_VAL_M,'مسير أبريل'!AG31,0)+IF(5&lt;=cfg_VAL_M,'مسير مايو'!AG31,0)+IF(6&lt;=cfg_VAL_M,'مسير يونيو'!AG31,0)+IF(7&lt;=cfg_VAL_M,'مسير يوليو'!AG31,0)+IF(8&lt;=cfg_VAL_M,'مسير أغسطس'!AG31,0)+IF(9&lt;=cfg_VAL_M,'مسير سبتمبر'!AG31,0)+IF(10&lt;=cfg_VAL_M,'مسير أكتوبر'!AG31,0)+IF(11&lt;=cfg_VAL_M,'مسير نوفمبر'!AG31,0)+IF(12&lt;=cfg_VAL_M,'مسير ديسمبر'!AG31,0))</f>
        <v/>
      </c>
      <c r="AG31" s="144" t="str">
        <f aca="false">IF($B31="","",IF(1&lt;=cfg_VAL_M,'مسير يناير'!Y31,0)+IF(2&lt;=cfg_VAL_M,'مسير فبراير'!Y31,0)+IF(3&lt;=cfg_VAL_M,'مسير مارس'!Y31,0)+IF(4&lt;=cfg_VAL_M,'مسير أبريل'!Y31,0)+IF(5&lt;=cfg_VAL_M,'مسير مايو'!Y31,0)+IF(6&lt;=cfg_VAL_M,'مسير يونيو'!Y31,0)+IF(7&lt;=cfg_VAL_M,'مسير يوليو'!Y31,0)+IF(8&lt;=cfg_VAL_M,'مسير أغسطس'!Y31,0)+IF(9&lt;=cfg_VAL_M,'مسير سبتمبر'!Y31,0)+IF(10&lt;=cfg_VAL_M,'مسير أكتوبر'!Y31,0)+IF(11&lt;=cfg_VAL_M,'مسير نوفمبر'!Y31,0)+IF(12&lt;=cfg_VAL_M,'مسير ديسمبر'!Y31,0))</f>
        <v/>
      </c>
      <c r="AH31" s="101" t="str">
        <f aca="false">IF($B31="","",AF31/cfg_VAL_M)</f>
        <v/>
      </c>
    </row>
    <row r="32" customFormat="false" ht="15" hidden="false" customHeight="false" outlineLevel="0" collapsed="false">
      <c r="B32" s="80" t="str">
        <f aca="false">IF(الموظفون!$B32="","",الموظفون!$B32)</f>
        <v/>
      </c>
      <c r="C32" s="80" t="str">
        <f aca="false">IF(الموظفون!$B32="","",الموظفون!$C32)</f>
        <v/>
      </c>
      <c r="D32" s="80" t="str">
        <f aca="false">IF(الموظفون!$B32="","",الموظفون!$F32)</f>
        <v/>
      </c>
      <c r="E32" s="80" t="str">
        <f aca="false">IF(الموظفون!$B32="","",الموظفون!$E32)</f>
        <v/>
      </c>
      <c r="F32" s="97" t="str">
        <f aca="false">IF($B32="","",'مسير يناير'!T32)</f>
        <v/>
      </c>
      <c r="G32" s="97" t="str">
        <f aca="false">IF($B32="","",'مسير فبراير'!T32)</f>
        <v/>
      </c>
      <c r="H32" s="97" t="str">
        <f aca="false">IF($B32="","",'مسير مارس'!T32)</f>
        <v/>
      </c>
      <c r="I32" s="97" t="str">
        <f aca="false">IF($B32="","",'مسير أبريل'!T32)</f>
        <v/>
      </c>
      <c r="J32" s="97" t="str">
        <f aca="false">IF($B32="","",'مسير مايو'!T32)</f>
        <v/>
      </c>
      <c r="K32" s="97" t="str">
        <f aca="false">IF($B32="","",'مسير يونيو'!T32)</f>
        <v/>
      </c>
      <c r="L32" s="97" t="str">
        <f aca="false">IF($B32="","",'مسير يوليو'!T32)</f>
        <v/>
      </c>
      <c r="M32" s="97" t="str">
        <f aca="false">IF($B32="","",'مسير أغسطس'!T32)</f>
        <v/>
      </c>
      <c r="N32" s="97" t="str">
        <f aca="false">IF($B32="","",'مسير سبتمبر'!T32)</f>
        <v/>
      </c>
      <c r="O32" s="97" t="str">
        <f aca="false">IF($B32="","",'مسير أكتوبر'!T32)</f>
        <v/>
      </c>
      <c r="P32" s="97" t="str">
        <f aca="false">IF($B32="","",'مسير نوفمبر'!T32)</f>
        <v/>
      </c>
      <c r="Q32" s="97" t="str">
        <f aca="false">IF($B32="","",'مسير ديسمبر'!T32)</f>
        <v/>
      </c>
      <c r="R32" s="143" t="str">
        <f aca="false">IF($B32="","",IF(1&lt;=cfg_VAL_M,'مسير يناير'!T32,0)+IF(2&lt;=cfg_VAL_M,'مسير فبراير'!T32,0)+IF(3&lt;=cfg_VAL_M,'مسير مارس'!T32,0)+IF(4&lt;=cfg_VAL_M,'مسير أبريل'!T32,0)+IF(5&lt;=cfg_VAL_M,'مسير مايو'!T32,0)+IF(6&lt;=cfg_VAL_M,'مسير يونيو'!T32,0)+IF(7&lt;=cfg_VAL_M,'مسير يوليو'!T32,0)+IF(8&lt;=cfg_VAL_M,'مسير أغسطس'!T32,0)+IF(9&lt;=cfg_VAL_M,'مسير سبتمبر'!T32,0)+IF(10&lt;=cfg_VAL_M,'مسير أكتوبر'!T32,0)+IF(11&lt;=cfg_VAL_M,'مسير نوفمبر'!T32,0)+IF(12&lt;=cfg_VAL_M,'مسير ديسمبر'!T32,0))</f>
        <v/>
      </c>
      <c r="T32" s="97" t="str">
        <f aca="false">IF($B32="","",'مسير يناير'!AG32)</f>
        <v/>
      </c>
      <c r="U32" s="97" t="str">
        <f aca="false">IF($B32="","",'مسير فبراير'!AG32)</f>
        <v/>
      </c>
      <c r="V32" s="97" t="str">
        <f aca="false">IF($B32="","",'مسير مارس'!AG32)</f>
        <v/>
      </c>
      <c r="W32" s="97" t="str">
        <f aca="false">IF($B32="","",'مسير أبريل'!AG32)</f>
        <v/>
      </c>
      <c r="X32" s="97" t="str">
        <f aca="false">IF($B32="","",'مسير مايو'!AG32)</f>
        <v/>
      </c>
      <c r="Y32" s="97" t="str">
        <f aca="false">IF($B32="","",'مسير يونيو'!AG32)</f>
        <v/>
      </c>
      <c r="Z32" s="97" t="str">
        <f aca="false">IF($B32="","",'مسير يوليو'!AG32)</f>
        <v/>
      </c>
      <c r="AA32" s="97" t="str">
        <f aca="false">IF($B32="","",'مسير أغسطس'!AG32)</f>
        <v/>
      </c>
      <c r="AB32" s="97" t="str">
        <f aca="false">IF($B32="","",'مسير سبتمبر'!AG32)</f>
        <v/>
      </c>
      <c r="AC32" s="97" t="str">
        <f aca="false">IF($B32="","",'مسير أكتوبر'!AG32)</f>
        <v/>
      </c>
      <c r="AD32" s="97" t="str">
        <f aca="false">IF($B32="","",'مسير نوفمبر'!AG32)</f>
        <v/>
      </c>
      <c r="AE32" s="97" t="str">
        <f aca="false">IF($B32="","",'مسير ديسمبر'!AG32)</f>
        <v/>
      </c>
      <c r="AF32" s="143" t="str">
        <f aca="false">IF($B32="","",IF(1&lt;=cfg_VAL_M,'مسير يناير'!AG32,0)+IF(2&lt;=cfg_VAL_M,'مسير فبراير'!AG32,0)+IF(3&lt;=cfg_VAL_M,'مسير مارس'!AG32,0)+IF(4&lt;=cfg_VAL_M,'مسير أبريل'!AG32,0)+IF(5&lt;=cfg_VAL_M,'مسير مايو'!AG32,0)+IF(6&lt;=cfg_VAL_M,'مسير يونيو'!AG32,0)+IF(7&lt;=cfg_VAL_M,'مسير يوليو'!AG32,0)+IF(8&lt;=cfg_VAL_M,'مسير أغسطس'!AG32,0)+IF(9&lt;=cfg_VAL_M,'مسير سبتمبر'!AG32,0)+IF(10&lt;=cfg_VAL_M,'مسير أكتوبر'!AG32,0)+IF(11&lt;=cfg_VAL_M,'مسير نوفمبر'!AG32,0)+IF(12&lt;=cfg_VAL_M,'مسير ديسمبر'!AG32,0))</f>
        <v/>
      </c>
      <c r="AG32" s="143" t="str">
        <f aca="false">IF($B32="","",IF(1&lt;=cfg_VAL_M,'مسير يناير'!Y32,0)+IF(2&lt;=cfg_VAL_M,'مسير فبراير'!Y32,0)+IF(3&lt;=cfg_VAL_M,'مسير مارس'!Y32,0)+IF(4&lt;=cfg_VAL_M,'مسير أبريل'!Y32,0)+IF(5&lt;=cfg_VAL_M,'مسير مايو'!Y32,0)+IF(6&lt;=cfg_VAL_M,'مسير يونيو'!Y32,0)+IF(7&lt;=cfg_VAL_M,'مسير يوليو'!Y32,0)+IF(8&lt;=cfg_VAL_M,'مسير أغسطس'!Y32,0)+IF(9&lt;=cfg_VAL_M,'مسير سبتمبر'!Y32,0)+IF(10&lt;=cfg_VAL_M,'مسير أكتوبر'!Y32,0)+IF(11&lt;=cfg_VAL_M,'مسير نوفمبر'!Y32,0)+IF(12&lt;=cfg_VAL_M,'مسير ديسمبر'!Y32,0))</f>
        <v/>
      </c>
      <c r="AH32" s="97" t="str">
        <f aca="false">IF($B32="","",AF32/cfg_VAL_M)</f>
        <v/>
      </c>
    </row>
    <row r="33" customFormat="false" ht="15" hidden="false" customHeight="false" outlineLevel="0" collapsed="false">
      <c r="B33" s="102" t="str">
        <f aca="false">IF(الموظفون!$B33="","",الموظفون!$B33)</f>
        <v/>
      </c>
      <c r="C33" s="102" t="str">
        <f aca="false">IF(الموظفون!$B33="","",الموظفون!$C33)</f>
        <v/>
      </c>
      <c r="D33" s="102" t="str">
        <f aca="false">IF(الموظفون!$B33="","",الموظفون!$F33)</f>
        <v/>
      </c>
      <c r="E33" s="102" t="str">
        <f aca="false">IF(الموظفون!$B33="","",الموظفون!$E33)</f>
        <v/>
      </c>
      <c r="F33" s="101" t="str">
        <f aca="false">IF($B33="","",'مسير يناير'!T33)</f>
        <v/>
      </c>
      <c r="G33" s="101" t="str">
        <f aca="false">IF($B33="","",'مسير فبراير'!T33)</f>
        <v/>
      </c>
      <c r="H33" s="101" t="str">
        <f aca="false">IF($B33="","",'مسير مارس'!T33)</f>
        <v/>
      </c>
      <c r="I33" s="101" t="str">
        <f aca="false">IF($B33="","",'مسير أبريل'!T33)</f>
        <v/>
      </c>
      <c r="J33" s="101" t="str">
        <f aca="false">IF($B33="","",'مسير مايو'!T33)</f>
        <v/>
      </c>
      <c r="K33" s="101" t="str">
        <f aca="false">IF($B33="","",'مسير يونيو'!T33)</f>
        <v/>
      </c>
      <c r="L33" s="101" t="str">
        <f aca="false">IF($B33="","",'مسير يوليو'!T33)</f>
        <v/>
      </c>
      <c r="M33" s="101" t="str">
        <f aca="false">IF($B33="","",'مسير أغسطس'!T33)</f>
        <v/>
      </c>
      <c r="N33" s="101" t="str">
        <f aca="false">IF($B33="","",'مسير سبتمبر'!T33)</f>
        <v/>
      </c>
      <c r="O33" s="101" t="str">
        <f aca="false">IF($B33="","",'مسير أكتوبر'!T33)</f>
        <v/>
      </c>
      <c r="P33" s="101" t="str">
        <f aca="false">IF($B33="","",'مسير نوفمبر'!T33)</f>
        <v/>
      </c>
      <c r="Q33" s="101" t="str">
        <f aca="false">IF($B33="","",'مسير ديسمبر'!T33)</f>
        <v/>
      </c>
      <c r="R33" s="144" t="str">
        <f aca="false">IF($B33="","",IF(1&lt;=cfg_VAL_M,'مسير يناير'!T33,0)+IF(2&lt;=cfg_VAL_M,'مسير فبراير'!T33,0)+IF(3&lt;=cfg_VAL_M,'مسير مارس'!T33,0)+IF(4&lt;=cfg_VAL_M,'مسير أبريل'!T33,0)+IF(5&lt;=cfg_VAL_M,'مسير مايو'!T33,0)+IF(6&lt;=cfg_VAL_M,'مسير يونيو'!T33,0)+IF(7&lt;=cfg_VAL_M,'مسير يوليو'!T33,0)+IF(8&lt;=cfg_VAL_M,'مسير أغسطس'!T33,0)+IF(9&lt;=cfg_VAL_M,'مسير سبتمبر'!T33,0)+IF(10&lt;=cfg_VAL_M,'مسير أكتوبر'!T33,0)+IF(11&lt;=cfg_VAL_M,'مسير نوفمبر'!T33,0)+IF(12&lt;=cfg_VAL_M,'مسير ديسمبر'!T33,0))</f>
        <v/>
      </c>
      <c r="T33" s="101" t="str">
        <f aca="false">IF($B33="","",'مسير يناير'!AG33)</f>
        <v/>
      </c>
      <c r="U33" s="101" t="str">
        <f aca="false">IF($B33="","",'مسير فبراير'!AG33)</f>
        <v/>
      </c>
      <c r="V33" s="101" t="str">
        <f aca="false">IF($B33="","",'مسير مارس'!AG33)</f>
        <v/>
      </c>
      <c r="W33" s="101" t="str">
        <f aca="false">IF($B33="","",'مسير أبريل'!AG33)</f>
        <v/>
      </c>
      <c r="X33" s="101" t="str">
        <f aca="false">IF($B33="","",'مسير مايو'!AG33)</f>
        <v/>
      </c>
      <c r="Y33" s="101" t="str">
        <f aca="false">IF($B33="","",'مسير يونيو'!AG33)</f>
        <v/>
      </c>
      <c r="Z33" s="101" t="str">
        <f aca="false">IF($B33="","",'مسير يوليو'!AG33)</f>
        <v/>
      </c>
      <c r="AA33" s="101" t="str">
        <f aca="false">IF($B33="","",'مسير أغسطس'!AG33)</f>
        <v/>
      </c>
      <c r="AB33" s="101" t="str">
        <f aca="false">IF($B33="","",'مسير سبتمبر'!AG33)</f>
        <v/>
      </c>
      <c r="AC33" s="101" t="str">
        <f aca="false">IF($B33="","",'مسير أكتوبر'!AG33)</f>
        <v/>
      </c>
      <c r="AD33" s="101" t="str">
        <f aca="false">IF($B33="","",'مسير نوفمبر'!AG33)</f>
        <v/>
      </c>
      <c r="AE33" s="101" t="str">
        <f aca="false">IF($B33="","",'مسير ديسمبر'!AG33)</f>
        <v/>
      </c>
      <c r="AF33" s="144" t="str">
        <f aca="false">IF($B33="","",IF(1&lt;=cfg_VAL_M,'مسير يناير'!AG33,0)+IF(2&lt;=cfg_VAL_M,'مسير فبراير'!AG33,0)+IF(3&lt;=cfg_VAL_M,'مسير مارس'!AG33,0)+IF(4&lt;=cfg_VAL_M,'مسير أبريل'!AG33,0)+IF(5&lt;=cfg_VAL_M,'مسير مايو'!AG33,0)+IF(6&lt;=cfg_VAL_M,'مسير يونيو'!AG33,0)+IF(7&lt;=cfg_VAL_M,'مسير يوليو'!AG33,0)+IF(8&lt;=cfg_VAL_M,'مسير أغسطس'!AG33,0)+IF(9&lt;=cfg_VAL_M,'مسير سبتمبر'!AG33,0)+IF(10&lt;=cfg_VAL_M,'مسير أكتوبر'!AG33,0)+IF(11&lt;=cfg_VAL_M,'مسير نوفمبر'!AG33,0)+IF(12&lt;=cfg_VAL_M,'مسير ديسمبر'!AG33,0))</f>
        <v/>
      </c>
      <c r="AG33" s="144" t="str">
        <f aca="false">IF($B33="","",IF(1&lt;=cfg_VAL_M,'مسير يناير'!Y33,0)+IF(2&lt;=cfg_VAL_M,'مسير فبراير'!Y33,0)+IF(3&lt;=cfg_VAL_M,'مسير مارس'!Y33,0)+IF(4&lt;=cfg_VAL_M,'مسير أبريل'!Y33,0)+IF(5&lt;=cfg_VAL_M,'مسير مايو'!Y33,0)+IF(6&lt;=cfg_VAL_M,'مسير يونيو'!Y33,0)+IF(7&lt;=cfg_VAL_M,'مسير يوليو'!Y33,0)+IF(8&lt;=cfg_VAL_M,'مسير أغسطس'!Y33,0)+IF(9&lt;=cfg_VAL_M,'مسير سبتمبر'!Y33,0)+IF(10&lt;=cfg_VAL_M,'مسير أكتوبر'!Y33,0)+IF(11&lt;=cfg_VAL_M,'مسير نوفمبر'!Y33,0)+IF(12&lt;=cfg_VAL_M,'مسير ديسمبر'!Y33,0))</f>
        <v/>
      </c>
      <c r="AH33" s="101" t="str">
        <f aca="false">IF($B33="","",AF33/cfg_VAL_M)</f>
        <v/>
      </c>
    </row>
    <row r="34" customFormat="false" ht="15" hidden="false" customHeight="false" outlineLevel="0" collapsed="false">
      <c r="B34" s="80" t="str">
        <f aca="false">IF(الموظفون!$B34="","",الموظفون!$B34)</f>
        <v/>
      </c>
      <c r="C34" s="80" t="str">
        <f aca="false">IF(الموظفون!$B34="","",الموظفون!$C34)</f>
        <v/>
      </c>
      <c r="D34" s="80" t="str">
        <f aca="false">IF(الموظفون!$B34="","",الموظفون!$F34)</f>
        <v/>
      </c>
      <c r="E34" s="80" t="str">
        <f aca="false">IF(الموظفون!$B34="","",الموظفون!$E34)</f>
        <v/>
      </c>
      <c r="F34" s="97" t="str">
        <f aca="false">IF($B34="","",'مسير يناير'!T34)</f>
        <v/>
      </c>
      <c r="G34" s="97" t="str">
        <f aca="false">IF($B34="","",'مسير فبراير'!T34)</f>
        <v/>
      </c>
      <c r="H34" s="97" t="str">
        <f aca="false">IF($B34="","",'مسير مارس'!T34)</f>
        <v/>
      </c>
      <c r="I34" s="97" t="str">
        <f aca="false">IF($B34="","",'مسير أبريل'!T34)</f>
        <v/>
      </c>
      <c r="J34" s="97" t="str">
        <f aca="false">IF($B34="","",'مسير مايو'!T34)</f>
        <v/>
      </c>
      <c r="K34" s="97" t="str">
        <f aca="false">IF($B34="","",'مسير يونيو'!T34)</f>
        <v/>
      </c>
      <c r="L34" s="97" t="str">
        <f aca="false">IF($B34="","",'مسير يوليو'!T34)</f>
        <v/>
      </c>
      <c r="M34" s="97" t="str">
        <f aca="false">IF($B34="","",'مسير أغسطس'!T34)</f>
        <v/>
      </c>
      <c r="N34" s="97" t="str">
        <f aca="false">IF($B34="","",'مسير سبتمبر'!T34)</f>
        <v/>
      </c>
      <c r="O34" s="97" t="str">
        <f aca="false">IF($B34="","",'مسير أكتوبر'!T34)</f>
        <v/>
      </c>
      <c r="P34" s="97" t="str">
        <f aca="false">IF($B34="","",'مسير نوفمبر'!T34)</f>
        <v/>
      </c>
      <c r="Q34" s="97" t="str">
        <f aca="false">IF($B34="","",'مسير ديسمبر'!T34)</f>
        <v/>
      </c>
      <c r="R34" s="143" t="str">
        <f aca="false">IF($B34="","",IF(1&lt;=cfg_VAL_M,'مسير يناير'!T34,0)+IF(2&lt;=cfg_VAL_M,'مسير فبراير'!T34,0)+IF(3&lt;=cfg_VAL_M,'مسير مارس'!T34,0)+IF(4&lt;=cfg_VAL_M,'مسير أبريل'!T34,0)+IF(5&lt;=cfg_VAL_M,'مسير مايو'!T34,0)+IF(6&lt;=cfg_VAL_M,'مسير يونيو'!T34,0)+IF(7&lt;=cfg_VAL_M,'مسير يوليو'!T34,0)+IF(8&lt;=cfg_VAL_M,'مسير أغسطس'!T34,0)+IF(9&lt;=cfg_VAL_M,'مسير سبتمبر'!T34,0)+IF(10&lt;=cfg_VAL_M,'مسير أكتوبر'!T34,0)+IF(11&lt;=cfg_VAL_M,'مسير نوفمبر'!T34,0)+IF(12&lt;=cfg_VAL_M,'مسير ديسمبر'!T34,0))</f>
        <v/>
      </c>
      <c r="T34" s="97" t="str">
        <f aca="false">IF($B34="","",'مسير يناير'!AG34)</f>
        <v/>
      </c>
      <c r="U34" s="97" t="str">
        <f aca="false">IF($B34="","",'مسير فبراير'!AG34)</f>
        <v/>
      </c>
      <c r="V34" s="97" t="str">
        <f aca="false">IF($B34="","",'مسير مارس'!AG34)</f>
        <v/>
      </c>
      <c r="W34" s="97" t="str">
        <f aca="false">IF($B34="","",'مسير أبريل'!AG34)</f>
        <v/>
      </c>
      <c r="X34" s="97" t="str">
        <f aca="false">IF($B34="","",'مسير مايو'!AG34)</f>
        <v/>
      </c>
      <c r="Y34" s="97" t="str">
        <f aca="false">IF($B34="","",'مسير يونيو'!AG34)</f>
        <v/>
      </c>
      <c r="Z34" s="97" t="str">
        <f aca="false">IF($B34="","",'مسير يوليو'!AG34)</f>
        <v/>
      </c>
      <c r="AA34" s="97" t="str">
        <f aca="false">IF($B34="","",'مسير أغسطس'!AG34)</f>
        <v/>
      </c>
      <c r="AB34" s="97" t="str">
        <f aca="false">IF($B34="","",'مسير سبتمبر'!AG34)</f>
        <v/>
      </c>
      <c r="AC34" s="97" t="str">
        <f aca="false">IF($B34="","",'مسير أكتوبر'!AG34)</f>
        <v/>
      </c>
      <c r="AD34" s="97" t="str">
        <f aca="false">IF($B34="","",'مسير نوفمبر'!AG34)</f>
        <v/>
      </c>
      <c r="AE34" s="97" t="str">
        <f aca="false">IF($B34="","",'مسير ديسمبر'!AG34)</f>
        <v/>
      </c>
      <c r="AF34" s="143" t="str">
        <f aca="false">IF($B34="","",IF(1&lt;=cfg_VAL_M,'مسير يناير'!AG34,0)+IF(2&lt;=cfg_VAL_M,'مسير فبراير'!AG34,0)+IF(3&lt;=cfg_VAL_M,'مسير مارس'!AG34,0)+IF(4&lt;=cfg_VAL_M,'مسير أبريل'!AG34,0)+IF(5&lt;=cfg_VAL_M,'مسير مايو'!AG34,0)+IF(6&lt;=cfg_VAL_M,'مسير يونيو'!AG34,0)+IF(7&lt;=cfg_VAL_M,'مسير يوليو'!AG34,0)+IF(8&lt;=cfg_VAL_M,'مسير أغسطس'!AG34,0)+IF(9&lt;=cfg_VAL_M,'مسير سبتمبر'!AG34,0)+IF(10&lt;=cfg_VAL_M,'مسير أكتوبر'!AG34,0)+IF(11&lt;=cfg_VAL_M,'مسير نوفمبر'!AG34,0)+IF(12&lt;=cfg_VAL_M,'مسير ديسمبر'!AG34,0))</f>
        <v/>
      </c>
      <c r="AG34" s="143" t="str">
        <f aca="false">IF($B34="","",IF(1&lt;=cfg_VAL_M,'مسير يناير'!Y34,0)+IF(2&lt;=cfg_VAL_M,'مسير فبراير'!Y34,0)+IF(3&lt;=cfg_VAL_M,'مسير مارس'!Y34,0)+IF(4&lt;=cfg_VAL_M,'مسير أبريل'!Y34,0)+IF(5&lt;=cfg_VAL_M,'مسير مايو'!Y34,0)+IF(6&lt;=cfg_VAL_M,'مسير يونيو'!Y34,0)+IF(7&lt;=cfg_VAL_M,'مسير يوليو'!Y34,0)+IF(8&lt;=cfg_VAL_M,'مسير أغسطس'!Y34,0)+IF(9&lt;=cfg_VAL_M,'مسير سبتمبر'!Y34,0)+IF(10&lt;=cfg_VAL_M,'مسير أكتوبر'!Y34,0)+IF(11&lt;=cfg_VAL_M,'مسير نوفمبر'!Y34,0)+IF(12&lt;=cfg_VAL_M,'مسير ديسمبر'!Y34,0))</f>
        <v/>
      </c>
      <c r="AH34" s="97" t="str">
        <f aca="false">IF($B34="","",AF34/cfg_VAL_M)</f>
        <v/>
      </c>
    </row>
    <row r="35" customFormat="false" ht="15" hidden="false" customHeight="false" outlineLevel="0" collapsed="false">
      <c r="B35" s="102" t="str">
        <f aca="false">IF(الموظفون!$B35="","",الموظفون!$B35)</f>
        <v/>
      </c>
      <c r="C35" s="102" t="str">
        <f aca="false">IF(الموظفون!$B35="","",الموظفون!$C35)</f>
        <v/>
      </c>
      <c r="D35" s="102" t="str">
        <f aca="false">IF(الموظفون!$B35="","",الموظفون!$F35)</f>
        <v/>
      </c>
      <c r="E35" s="102" t="str">
        <f aca="false">IF(الموظفون!$B35="","",الموظفون!$E35)</f>
        <v/>
      </c>
      <c r="F35" s="101" t="str">
        <f aca="false">IF($B35="","",'مسير يناير'!T35)</f>
        <v/>
      </c>
      <c r="G35" s="101" t="str">
        <f aca="false">IF($B35="","",'مسير فبراير'!T35)</f>
        <v/>
      </c>
      <c r="H35" s="101" t="str">
        <f aca="false">IF($B35="","",'مسير مارس'!T35)</f>
        <v/>
      </c>
      <c r="I35" s="101" t="str">
        <f aca="false">IF($B35="","",'مسير أبريل'!T35)</f>
        <v/>
      </c>
      <c r="J35" s="101" t="str">
        <f aca="false">IF($B35="","",'مسير مايو'!T35)</f>
        <v/>
      </c>
      <c r="K35" s="101" t="str">
        <f aca="false">IF($B35="","",'مسير يونيو'!T35)</f>
        <v/>
      </c>
      <c r="L35" s="101" t="str">
        <f aca="false">IF($B35="","",'مسير يوليو'!T35)</f>
        <v/>
      </c>
      <c r="M35" s="101" t="str">
        <f aca="false">IF($B35="","",'مسير أغسطس'!T35)</f>
        <v/>
      </c>
      <c r="N35" s="101" t="str">
        <f aca="false">IF($B35="","",'مسير سبتمبر'!T35)</f>
        <v/>
      </c>
      <c r="O35" s="101" t="str">
        <f aca="false">IF($B35="","",'مسير أكتوبر'!T35)</f>
        <v/>
      </c>
      <c r="P35" s="101" t="str">
        <f aca="false">IF($B35="","",'مسير نوفمبر'!T35)</f>
        <v/>
      </c>
      <c r="Q35" s="101" t="str">
        <f aca="false">IF($B35="","",'مسير ديسمبر'!T35)</f>
        <v/>
      </c>
      <c r="R35" s="144" t="str">
        <f aca="false">IF($B35="","",IF(1&lt;=cfg_VAL_M,'مسير يناير'!T35,0)+IF(2&lt;=cfg_VAL_M,'مسير فبراير'!T35,0)+IF(3&lt;=cfg_VAL_M,'مسير مارس'!T35,0)+IF(4&lt;=cfg_VAL_M,'مسير أبريل'!T35,0)+IF(5&lt;=cfg_VAL_M,'مسير مايو'!T35,0)+IF(6&lt;=cfg_VAL_M,'مسير يونيو'!T35,0)+IF(7&lt;=cfg_VAL_M,'مسير يوليو'!T35,0)+IF(8&lt;=cfg_VAL_M,'مسير أغسطس'!T35,0)+IF(9&lt;=cfg_VAL_M,'مسير سبتمبر'!T35,0)+IF(10&lt;=cfg_VAL_M,'مسير أكتوبر'!T35,0)+IF(11&lt;=cfg_VAL_M,'مسير نوفمبر'!T35,0)+IF(12&lt;=cfg_VAL_M,'مسير ديسمبر'!T35,0))</f>
        <v/>
      </c>
      <c r="T35" s="101" t="str">
        <f aca="false">IF($B35="","",'مسير يناير'!AG35)</f>
        <v/>
      </c>
      <c r="U35" s="101" t="str">
        <f aca="false">IF($B35="","",'مسير فبراير'!AG35)</f>
        <v/>
      </c>
      <c r="V35" s="101" t="str">
        <f aca="false">IF($B35="","",'مسير مارس'!AG35)</f>
        <v/>
      </c>
      <c r="W35" s="101" t="str">
        <f aca="false">IF($B35="","",'مسير أبريل'!AG35)</f>
        <v/>
      </c>
      <c r="X35" s="101" t="str">
        <f aca="false">IF($B35="","",'مسير مايو'!AG35)</f>
        <v/>
      </c>
      <c r="Y35" s="101" t="str">
        <f aca="false">IF($B35="","",'مسير يونيو'!AG35)</f>
        <v/>
      </c>
      <c r="Z35" s="101" t="str">
        <f aca="false">IF($B35="","",'مسير يوليو'!AG35)</f>
        <v/>
      </c>
      <c r="AA35" s="101" t="str">
        <f aca="false">IF($B35="","",'مسير أغسطس'!AG35)</f>
        <v/>
      </c>
      <c r="AB35" s="101" t="str">
        <f aca="false">IF($B35="","",'مسير سبتمبر'!AG35)</f>
        <v/>
      </c>
      <c r="AC35" s="101" t="str">
        <f aca="false">IF($B35="","",'مسير أكتوبر'!AG35)</f>
        <v/>
      </c>
      <c r="AD35" s="101" t="str">
        <f aca="false">IF($B35="","",'مسير نوفمبر'!AG35)</f>
        <v/>
      </c>
      <c r="AE35" s="101" t="str">
        <f aca="false">IF($B35="","",'مسير ديسمبر'!AG35)</f>
        <v/>
      </c>
      <c r="AF35" s="144" t="str">
        <f aca="false">IF($B35="","",IF(1&lt;=cfg_VAL_M,'مسير يناير'!AG35,0)+IF(2&lt;=cfg_VAL_M,'مسير فبراير'!AG35,0)+IF(3&lt;=cfg_VAL_M,'مسير مارس'!AG35,0)+IF(4&lt;=cfg_VAL_M,'مسير أبريل'!AG35,0)+IF(5&lt;=cfg_VAL_M,'مسير مايو'!AG35,0)+IF(6&lt;=cfg_VAL_M,'مسير يونيو'!AG35,0)+IF(7&lt;=cfg_VAL_M,'مسير يوليو'!AG35,0)+IF(8&lt;=cfg_VAL_M,'مسير أغسطس'!AG35,0)+IF(9&lt;=cfg_VAL_M,'مسير سبتمبر'!AG35,0)+IF(10&lt;=cfg_VAL_M,'مسير أكتوبر'!AG35,0)+IF(11&lt;=cfg_VAL_M,'مسير نوفمبر'!AG35,0)+IF(12&lt;=cfg_VAL_M,'مسير ديسمبر'!AG35,0))</f>
        <v/>
      </c>
      <c r="AG35" s="144" t="str">
        <f aca="false">IF($B35="","",IF(1&lt;=cfg_VAL_M,'مسير يناير'!Y35,0)+IF(2&lt;=cfg_VAL_M,'مسير فبراير'!Y35,0)+IF(3&lt;=cfg_VAL_M,'مسير مارس'!Y35,0)+IF(4&lt;=cfg_VAL_M,'مسير أبريل'!Y35,0)+IF(5&lt;=cfg_VAL_M,'مسير مايو'!Y35,0)+IF(6&lt;=cfg_VAL_M,'مسير يونيو'!Y35,0)+IF(7&lt;=cfg_VAL_M,'مسير يوليو'!Y35,0)+IF(8&lt;=cfg_VAL_M,'مسير أغسطس'!Y35,0)+IF(9&lt;=cfg_VAL_M,'مسير سبتمبر'!Y35,0)+IF(10&lt;=cfg_VAL_M,'مسير أكتوبر'!Y35,0)+IF(11&lt;=cfg_VAL_M,'مسير نوفمبر'!Y35,0)+IF(12&lt;=cfg_VAL_M,'مسير ديسمبر'!Y35,0))</f>
        <v/>
      </c>
      <c r="AH35" s="101" t="str">
        <f aca="false">IF($B35="","",AF35/cfg_VAL_M)</f>
        <v/>
      </c>
    </row>
    <row r="36" customFormat="false" ht="15" hidden="false" customHeight="false" outlineLevel="0" collapsed="false">
      <c r="B36" s="80" t="str">
        <f aca="false">IF(الموظفون!$B36="","",الموظفون!$B36)</f>
        <v/>
      </c>
      <c r="C36" s="80" t="str">
        <f aca="false">IF(الموظفون!$B36="","",الموظفون!$C36)</f>
        <v/>
      </c>
      <c r="D36" s="80" t="str">
        <f aca="false">IF(الموظفون!$B36="","",الموظفون!$F36)</f>
        <v/>
      </c>
      <c r="E36" s="80" t="str">
        <f aca="false">IF(الموظفون!$B36="","",الموظفون!$E36)</f>
        <v/>
      </c>
      <c r="F36" s="97" t="str">
        <f aca="false">IF($B36="","",'مسير يناير'!T36)</f>
        <v/>
      </c>
      <c r="G36" s="97" t="str">
        <f aca="false">IF($B36="","",'مسير فبراير'!T36)</f>
        <v/>
      </c>
      <c r="H36" s="97" t="str">
        <f aca="false">IF($B36="","",'مسير مارس'!T36)</f>
        <v/>
      </c>
      <c r="I36" s="97" t="str">
        <f aca="false">IF($B36="","",'مسير أبريل'!T36)</f>
        <v/>
      </c>
      <c r="J36" s="97" t="str">
        <f aca="false">IF($B36="","",'مسير مايو'!T36)</f>
        <v/>
      </c>
      <c r="K36" s="97" t="str">
        <f aca="false">IF($B36="","",'مسير يونيو'!T36)</f>
        <v/>
      </c>
      <c r="L36" s="97" t="str">
        <f aca="false">IF($B36="","",'مسير يوليو'!T36)</f>
        <v/>
      </c>
      <c r="M36" s="97" t="str">
        <f aca="false">IF($B36="","",'مسير أغسطس'!T36)</f>
        <v/>
      </c>
      <c r="N36" s="97" t="str">
        <f aca="false">IF($B36="","",'مسير سبتمبر'!T36)</f>
        <v/>
      </c>
      <c r="O36" s="97" t="str">
        <f aca="false">IF($B36="","",'مسير أكتوبر'!T36)</f>
        <v/>
      </c>
      <c r="P36" s="97" t="str">
        <f aca="false">IF($B36="","",'مسير نوفمبر'!T36)</f>
        <v/>
      </c>
      <c r="Q36" s="97" t="str">
        <f aca="false">IF($B36="","",'مسير ديسمبر'!T36)</f>
        <v/>
      </c>
      <c r="R36" s="143" t="str">
        <f aca="false">IF($B36="","",IF(1&lt;=cfg_VAL_M,'مسير يناير'!T36,0)+IF(2&lt;=cfg_VAL_M,'مسير فبراير'!T36,0)+IF(3&lt;=cfg_VAL_M,'مسير مارس'!T36,0)+IF(4&lt;=cfg_VAL_M,'مسير أبريل'!T36,0)+IF(5&lt;=cfg_VAL_M,'مسير مايو'!T36,0)+IF(6&lt;=cfg_VAL_M,'مسير يونيو'!T36,0)+IF(7&lt;=cfg_VAL_M,'مسير يوليو'!T36,0)+IF(8&lt;=cfg_VAL_M,'مسير أغسطس'!T36,0)+IF(9&lt;=cfg_VAL_M,'مسير سبتمبر'!T36,0)+IF(10&lt;=cfg_VAL_M,'مسير أكتوبر'!T36,0)+IF(11&lt;=cfg_VAL_M,'مسير نوفمبر'!T36,0)+IF(12&lt;=cfg_VAL_M,'مسير ديسمبر'!T36,0))</f>
        <v/>
      </c>
      <c r="T36" s="97" t="str">
        <f aca="false">IF($B36="","",'مسير يناير'!AG36)</f>
        <v/>
      </c>
      <c r="U36" s="97" t="str">
        <f aca="false">IF($B36="","",'مسير فبراير'!AG36)</f>
        <v/>
      </c>
      <c r="V36" s="97" t="str">
        <f aca="false">IF($B36="","",'مسير مارس'!AG36)</f>
        <v/>
      </c>
      <c r="W36" s="97" t="str">
        <f aca="false">IF($B36="","",'مسير أبريل'!AG36)</f>
        <v/>
      </c>
      <c r="X36" s="97" t="str">
        <f aca="false">IF($B36="","",'مسير مايو'!AG36)</f>
        <v/>
      </c>
      <c r="Y36" s="97" t="str">
        <f aca="false">IF($B36="","",'مسير يونيو'!AG36)</f>
        <v/>
      </c>
      <c r="Z36" s="97" t="str">
        <f aca="false">IF($B36="","",'مسير يوليو'!AG36)</f>
        <v/>
      </c>
      <c r="AA36" s="97" t="str">
        <f aca="false">IF($B36="","",'مسير أغسطس'!AG36)</f>
        <v/>
      </c>
      <c r="AB36" s="97" t="str">
        <f aca="false">IF($B36="","",'مسير سبتمبر'!AG36)</f>
        <v/>
      </c>
      <c r="AC36" s="97" t="str">
        <f aca="false">IF($B36="","",'مسير أكتوبر'!AG36)</f>
        <v/>
      </c>
      <c r="AD36" s="97" t="str">
        <f aca="false">IF($B36="","",'مسير نوفمبر'!AG36)</f>
        <v/>
      </c>
      <c r="AE36" s="97" t="str">
        <f aca="false">IF($B36="","",'مسير ديسمبر'!AG36)</f>
        <v/>
      </c>
      <c r="AF36" s="143" t="str">
        <f aca="false">IF($B36="","",IF(1&lt;=cfg_VAL_M,'مسير يناير'!AG36,0)+IF(2&lt;=cfg_VAL_M,'مسير فبراير'!AG36,0)+IF(3&lt;=cfg_VAL_M,'مسير مارس'!AG36,0)+IF(4&lt;=cfg_VAL_M,'مسير أبريل'!AG36,0)+IF(5&lt;=cfg_VAL_M,'مسير مايو'!AG36,0)+IF(6&lt;=cfg_VAL_M,'مسير يونيو'!AG36,0)+IF(7&lt;=cfg_VAL_M,'مسير يوليو'!AG36,0)+IF(8&lt;=cfg_VAL_M,'مسير أغسطس'!AG36,0)+IF(9&lt;=cfg_VAL_M,'مسير سبتمبر'!AG36,0)+IF(10&lt;=cfg_VAL_M,'مسير أكتوبر'!AG36,0)+IF(11&lt;=cfg_VAL_M,'مسير نوفمبر'!AG36,0)+IF(12&lt;=cfg_VAL_M,'مسير ديسمبر'!AG36,0))</f>
        <v/>
      </c>
      <c r="AG36" s="143" t="str">
        <f aca="false">IF($B36="","",IF(1&lt;=cfg_VAL_M,'مسير يناير'!Y36,0)+IF(2&lt;=cfg_VAL_M,'مسير فبراير'!Y36,0)+IF(3&lt;=cfg_VAL_M,'مسير مارس'!Y36,0)+IF(4&lt;=cfg_VAL_M,'مسير أبريل'!Y36,0)+IF(5&lt;=cfg_VAL_M,'مسير مايو'!Y36,0)+IF(6&lt;=cfg_VAL_M,'مسير يونيو'!Y36,0)+IF(7&lt;=cfg_VAL_M,'مسير يوليو'!Y36,0)+IF(8&lt;=cfg_VAL_M,'مسير أغسطس'!Y36,0)+IF(9&lt;=cfg_VAL_M,'مسير سبتمبر'!Y36,0)+IF(10&lt;=cfg_VAL_M,'مسير أكتوبر'!Y36,0)+IF(11&lt;=cfg_VAL_M,'مسير نوفمبر'!Y36,0)+IF(12&lt;=cfg_VAL_M,'مسير ديسمبر'!Y36,0))</f>
        <v/>
      </c>
      <c r="AH36" s="97" t="str">
        <f aca="false">IF($B36="","",AF36/cfg_VAL_M)</f>
        <v/>
      </c>
    </row>
    <row r="37" customFormat="false" ht="15" hidden="false" customHeight="false" outlineLevel="0" collapsed="false">
      <c r="B37" s="102" t="str">
        <f aca="false">IF(الموظفون!$B37="","",الموظفون!$B37)</f>
        <v/>
      </c>
      <c r="C37" s="102" t="str">
        <f aca="false">IF(الموظفون!$B37="","",الموظفون!$C37)</f>
        <v/>
      </c>
      <c r="D37" s="102" t="str">
        <f aca="false">IF(الموظفون!$B37="","",الموظفون!$F37)</f>
        <v/>
      </c>
      <c r="E37" s="102" t="str">
        <f aca="false">IF(الموظفون!$B37="","",الموظفون!$E37)</f>
        <v/>
      </c>
      <c r="F37" s="101" t="str">
        <f aca="false">IF($B37="","",'مسير يناير'!T37)</f>
        <v/>
      </c>
      <c r="G37" s="101" t="str">
        <f aca="false">IF($B37="","",'مسير فبراير'!T37)</f>
        <v/>
      </c>
      <c r="H37" s="101" t="str">
        <f aca="false">IF($B37="","",'مسير مارس'!T37)</f>
        <v/>
      </c>
      <c r="I37" s="101" t="str">
        <f aca="false">IF($B37="","",'مسير أبريل'!T37)</f>
        <v/>
      </c>
      <c r="J37" s="101" t="str">
        <f aca="false">IF($B37="","",'مسير مايو'!T37)</f>
        <v/>
      </c>
      <c r="K37" s="101" t="str">
        <f aca="false">IF($B37="","",'مسير يونيو'!T37)</f>
        <v/>
      </c>
      <c r="L37" s="101" t="str">
        <f aca="false">IF($B37="","",'مسير يوليو'!T37)</f>
        <v/>
      </c>
      <c r="M37" s="101" t="str">
        <f aca="false">IF($B37="","",'مسير أغسطس'!T37)</f>
        <v/>
      </c>
      <c r="N37" s="101" t="str">
        <f aca="false">IF($B37="","",'مسير سبتمبر'!T37)</f>
        <v/>
      </c>
      <c r="O37" s="101" t="str">
        <f aca="false">IF($B37="","",'مسير أكتوبر'!T37)</f>
        <v/>
      </c>
      <c r="P37" s="101" t="str">
        <f aca="false">IF($B37="","",'مسير نوفمبر'!T37)</f>
        <v/>
      </c>
      <c r="Q37" s="101" t="str">
        <f aca="false">IF($B37="","",'مسير ديسمبر'!T37)</f>
        <v/>
      </c>
      <c r="R37" s="144" t="str">
        <f aca="false">IF($B37="","",IF(1&lt;=cfg_VAL_M,'مسير يناير'!T37,0)+IF(2&lt;=cfg_VAL_M,'مسير فبراير'!T37,0)+IF(3&lt;=cfg_VAL_M,'مسير مارس'!T37,0)+IF(4&lt;=cfg_VAL_M,'مسير أبريل'!T37,0)+IF(5&lt;=cfg_VAL_M,'مسير مايو'!T37,0)+IF(6&lt;=cfg_VAL_M,'مسير يونيو'!T37,0)+IF(7&lt;=cfg_VAL_M,'مسير يوليو'!T37,0)+IF(8&lt;=cfg_VAL_M,'مسير أغسطس'!T37,0)+IF(9&lt;=cfg_VAL_M,'مسير سبتمبر'!T37,0)+IF(10&lt;=cfg_VAL_M,'مسير أكتوبر'!T37,0)+IF(11&lt;=cfg_VAL_M,'مسير نوفمبر'!T37,0)+IF(12&lt;=cfg_VAL_M,'مسير ديسمبر'!T37,0))</f>
        <v/>
      </c>
      <c r="T37" s="101" t="str">
        <f aca="false">IF($B37="","",'مسير يناير'!AG37)</f>
        <v/>
      </c>
      <c r="U37" s="101" t="str">
        <f aca="false">IF($B37="","",'مسير فبراير'!AG37)</f>
        <v/>
      </c>
      <c r="V37" s="101" t="str">
        <f aca="false">IF($B37="","",'مسير مارس'!AG37)</f>
        <v/>
      </c>
      <c r="W37" s="101" t="str">
        <f aca="false">IF($B37="","",'مسير أبريل'!AG37)</f>
        <v/>
      </c>
      <c r="X37" s="101" t="str">
        <f aca="false">IF($B37="","",'مسير مايو'!AG37)</f>
        <v/>
      </c>
      <c r="Y37" s="101" t="str">
        <f aca="false">IF($B37="","",'مسير يونيو'!AG37)</f>
        <v/>
      </c>
      <c r="Z37" s="101" t="str">
        <f aca="false">IF($B37="","",'مسير يوليو'!AG37)</f>
        <v/>
      </c>
      <c r="AA37" s="101" t="str">
        <f aca="false">IF($B37="","",'مسير أغسطس'!AG37)</f>
        <v/>
      </c>
      <c r="AB37" s="101" t="str">
        <f aca="false">IF($B37="","",'مسير سبتمبر'!AG37)</f>
        <v/>
      </c>
      <c r="AC37" s="101" t="str">
        <f aca="false">IF($B37="","",'مسير أكتوبر'!AG37)</f>
        <v/>
      </c>
      <c r="AD37" s="101" t="str">
        <f aca="false">IF($B37="","",'مسير نوفمبر'!AG37)</f>
        <v/>
      </c>
      <c r="AE37" s="101" t="str">
        <f aca="false">IF($B37="","",'مسير ديسمبر'!AG37)</f>
        <v/>
      </c>
      <c r="AF37" s="144" t="str">
        <f aca="false">IF($B37="","",IF(1&lt;=cfg_VAL_M,'مسير يناير'!AG37,0)+IF(2&lt;=cfg_VAL_M,'مسير فبراير'!AG37,0)+IF(3&lt;=cfg_VAL_M,'مسير مارس'!AG37,0)+IF(4&lt;=cfg_VAL_M,'مسير أبريل'!AG37,0)+IF(5&lt;=cfg_VAL_M,'مسير مايو'!AG37,0)+IF(6&lt;=cfg_VAL_M,'مسير يونيو'!AG37,0)+IF(7&lt;=cfg_VAL_M,'مسير يوليو'!AG37,0)+IF(8&lt;=cfg_VAL_M,'مسير أغسطس'!AG37,0)+IF(9&lt;=cfg_VAL_M,'مسير سبتمبر'!AG37,0)+IF(10&lt;=cfg_VAL_M,'مسير أكتوبر'!AG37,0)+IF(11&lt;=cfg_VAL_M,'مسير نوفمبر'!AG37,0)+IF(12&lt;=cfg_VAL_M,'مسير ديسمبر'!AG37,0))</f>
        <v/>
      </c>
      <c r="AG37" s="144" t="str">
        <f aca="false">IF($B37="","",IF(1&lt;=cfg_VAL_M,'مسير يناير'!Y37,0)+IF(2&lt;=cfg_VAL_M,'مسير فبراير'!Y37,0)+IF(3&lt;=cfg_VAL_M,'مسير مارس'!Y37,0)+IF(4&lt;=cfg_VAL_M,'مسير أبريل'!Y37,0)+IF(5&lt;=cfg_VAL_M,'مسير مايو'!Y37,0)+IF(6&lt;=cfg_VAL_M,'مسير يونيو'!Y37,0)+IF(7&lt;=cfg_VAL_M,'مسير يوليو'!Y37,0)+IF(8&lt;=cfg_VAL_M,'مسير أغسطس'!Y37,0)+IF(9&lt;=cfg_VAL_M,'مسير سبتمبر'!Y37,0)+IF(10&lt;=cfg_VAL_M,'مسير أكتوبر'!Y37,0)+IF(11&lt;=cfg_VAL_M,'مسير نوفمبر'!Y37,0)+IF(12&lt;=cfg_VAL_M,'مسير ديسمبر'!Y37,0))</f>
        <v/>
      </c>
      <c r="AH37" s="101" t="str">
        <f aca="false">IF($B37="","",AF37/cfg_VAL_M)</f>
        <v/>
      </c>
    </row>
    <row r="38" customFormat="false" ht="15" hidden="false" customHeight="false" outlineLevel="0" collapsed="false">
      <c r="B38" s="80" t="str">
        <f aca="false">IF(الموظفون!$B38="","",الموظفون!$B38)</f>
        <v/>
      </c>
      <c r="C38" s="80" t="str">
        <f aca="false">IF(الموظفون!$B38="","",الموظفون!$C38)</f>
        <v/>
      </c>
      <c r="D38" s="80" t="str">
        <f aca="false">IF(الموظفون!$B38="","",الموظفون!$F38)</f>
        <v/>
      </c>
      <c r="E38" s="80" t="str">
        <f aca="false">IF(الموظفون!$B38="","",الموظفون!$E38)</f>
        <v/>
      </c>
      <c r="F38" s="97" t="str">
        <f aca="false">IF($B38="","",'مسير يناير'!T38)</f>
        <v/>
      </c>
      <c r="G38" s="97" t="str">
        <f aca="false">IF($B38="","",'مسير فبراير'!T38)</f>
        <v/>
      </c>
      <c r="H38" s="97" t="str">
        <f aca="false">IF($B38="","",'مسير مارس'!T38)</f>
        <v/>
      </c>
      <c r="I38" s="97" t="str">
        <f aca="false">IF($B38="","",'مسير أبريل'!T38)</f>
        <v/>
      </c>
      <c r="J38" s="97" t="str">
        <f aca="false">IF($B38="","",'مسير مايو'!T38)</f>
        <v/>
      </c>
      <c r="K38" s="97" t="str">
        <f aca="false">IF($B38="","",'مسير يونيو'!T38)</f>
        <v/>
      </c>
      <c r="L38" s="97" t="str">
        <f aca="false">IF($B38="","",'مسير يوليو'!T38)</f>
        <v/>
      </c>
      <c r="M38" s="97" t="str">
        <f aca="false">IF($B38="","",'مسير أغسطس'!T38)</f>
        <v/>
      </c>
      <c r="N38" s="97" t="str">
        <f aca="false">IF($B38="","",'مسير سبتمبر'!T38)</f>
        <v/>
      </c>
      <c r="O38" s="97" t="str">
        <f aca="false">IF($B38="","",'مسير أكتوبر'!T38)</f>
        <v/>
      </c>
      <c r="P38" s="97" t="str">
        <f aca="false">IF($B38="","",'مسير نوفمبر'!T38)</f>
        <v/>
      </c>
      <c r="Q38" s="97" t="str">
        <f aca="false">IF($B38="","",'مسير ديسمبر'!T38)</f>
        <v/>
      </c>
      <c r="R38" s="143" t="str">
        <f aca="false">IF($B38="","",IF(1&lt;=cfg_VAL_M,'مسير يناير'!T38,0)+IF(2&lt;=cfg_VAL_M,'مسير فبراير'!T38,0)+IF(3&lt;=cfg_VAL_M,'مسير مارس'!T38,0)+IF(4&lt;=cfg_VAL_M,'مسير أبريل'!T38,0)+IF(5&lt;=cfg_VAL_M,'مسير مايو'!T38,0)+IF(6&lt;=cfg_VAL_M,'مسير يونيو'!T38,0)+IF(7&lt;=cfg_VAL_M,'مسير يوليو'!T38,0)+IF(8&lt;=cfg_VAL_M,'مسير أغسطس'!T38,0)+IF(9&lt;=cfg_VAL_M,'مسير سبتمبر'!T38,0)+IF(10&lt;=cfg_VAL_M,'مسير أكتوبر'!T38,0)+IF(11&lt;=cfg_VAL_M,'مسير نوفمبر'!T38,0)+IF(12&lt;=cfg_VAL_M,'مسير ديسمبر'!T38,0))</f>
        <v/>
      </c>
      <c r="T38" s="97" t="str">
        <f aca="false">IF($B38="","",'مسير يناير'!AG38)</f>
        <v/>
      </c>
      <c r="U38" s="97" t="str">
        <f aca="false">IF($B38="","",'مسير فبراير'!AG38)</f>
        <v/>
      </c>
      <c r="V38" s="97" t="str">
        <f aca="false">IF($B38="","",'مسير مارس'!AG38)</f>
        <v/>
      </c>
      <c r="W38" s="97" t="str">
        <f aca="false">IF($B38="","",'مسير أبريل'!AG38)</f>
        <v/>
      </c>
      <c r="X38" s="97" t="str">
        <f aca="false">IF($B38="","",'مسير مايو'!AG38)</f>
        <v/>
      </c>
      <c r="Y38" s="97" t="str">
        <f aca="false">IF($B38="","",'مسير يونيو'!AG38)</f>
        <v/>
      </c>
      <c r="Z38" s="97" t="str">
        <f aca="false">IF($B38="","",'مسير يوليو'!AG38)</f>
        <v/>
      </c>
      <c r="AA38" s="97" t="str">
        <f aca="false">IF($B38="","",'مسير أغسطس'!AG38)</f>
        <v/>
      </c>
      <c r="AB38" s="97" t="str">
        <f aca="false">IF($B38="","",'مسير سبتمبر'!AG38)</f>
        <v/>
      </c>
      <c r="AC38" s="97" t="str">
        <f aca="false">IF($B38="","",'مسير أكتوبر'!AG38)</f>
        <v/>
      </c>
      <c r="AD38" s="97" t="str">
        <f aca="false">IF($B38="","",'مسير نوفمبر'!AG38)</f>
        <v/>
      </c>
      <c r="AE38" s="97" t="str">
        <f aca="false">IF($B38="","",'مسير ديسمبر'!AG38)</f>
        <v/>
      </c>
      <c r="AF38" s="143" t="str">
        <f aca="false">IF($B38="","",IF(1&lt;=cfg_VAL_M,'مسير يناير'!AG38,0)+IF(2&lt;=cfg_VAL_M,'مسير فبراير'!AG38,0)+IF(3&lt;=cfg_VAL_M,'مسير مارس'!AG38,0)+IF(4&lt;=cfg_VAL_M,'مسير أبريل'!AG38,0)+IF(5&lt;=cfg_VAL_M,'مسير مايو'!AG38,0)+IF(6&lt;=cfg_VAL_M,'مسير يونيو'!AG38,0)+IF(7&lt;=cfg_VAL_M,'مسير يوليو'!AG38,0)+IF(8&lt;=cfg_VAL_M,'مسير أغسطس'!AG38,0)+IF(9&lt;=cfg_VAL_M,'مسير سبتمبر'!AG38,0)+IF(10&lt;=cfg_VAL_M,'مسير أكتوبر'!AG38,0)+IF(11&lt;=cfg_VAL_M,'مسير نوفمبر'!AG38,0)+IF(12&lt;=cfg_VAL_M,'مسير ديسمبر'!AG38,0))</f>
        <v/>
      </c>
      <c r="AG38" s="143" t="str">
        <f aca="false">IF($B38="","",IF(1&lt;=cfg_VAL_M,'مسير يناير'!Y38,0)+IF(2&lt;=cfg_VAL_M,'مسير فبراير'!Y38,0)+IF(3&lt;=cfg_VAL_M,'مسير مارس'!Y38,0)+IF(4&lt;=cfg_VAL_M,'مسير أبريل'!Y38,0)+IF(5&lt;=cfg_VAL_M,'مسير مايو'!Y38,0)+IF(6&lt;=cfg_VAL_M,'مسير يونيو'!Y38,0)+IF(7&lt;=cfg_VAL_M,'مسير يوليو'!Y38,0)+IF(8&lt;=cfg_VAL_M,'مسير أغسطس'!Y38,0)+IF(9&lt;=cfg_VAL_M,'مسير سبتمبر'!Y38,0)+IF(10&lt;=cfg_VAL_M,'مسير أكتوبر'!Y38,0)+IF(11&lt;=cfg_VAL_M,'مسير نوفمبر'!Y38,0)+IF(12&lt;=cfg_VAL_M,'مسير ديسمبر'!Y38,0))</f>
        <v/>
      </c>
      <c r="AH38" s="97" t="str">
        <f aca="false">IF($B38="","",AF38/cfg_VAL_M)</f>
        <v/>
      </c>
    </row>
    <row r="39" customFormat="false" ht="15" hidden="false" customHeight="false" outlineLevel="0" collapsed="false">
      <c r="B39" s="102" t="str">
        <f aca="false">IF(الموظفون!$B39="","",الموظفون!$B39)</f>
        <v/>
      </c>
      <c r="C39" s="102" t="str">
        <f aca="false">IF(الموظفون!$B39="","",الموظفون!$C39)</f>
        <v/>
      </c>
      <c r="D39" s="102" t="str">
        <f aca="false">IF(الموظفون!$B39="","",الموظفون!$F39)</f>
        <v/>
      </c>
      <c r="E39" s="102" t="str">
        <f aca="false">IF(الموظفون!$B39="","",الموظفون!$E39)</f>
        <v/>
      </c>
      <c r="F39" s="101" t="str">
        <f aca="false">IF($B39="","",'مسير يناير'!T39)</f>
        <v/>
      </c>
      <c r="G39" s="101" t="str">
        <f aca="false">IF($B39="","",'مسير فبراير'!T39)</f>
        <v/>
      </c>
      <c r="H39" s="101" t="str">
        <f aca="false">IF($B39="","",'مسير مارس'!T39)</f>
        <v/>
      </c>
      <c r="I39" s="101" t="str">
        <f aca="false">IF($B39="","",'مسير أبريل'!T39)</f>
        <v/>
      </c>
      <c r="J39" s="101" t="str">
        <f aca="false">IF($B39="","",'مسير مايو'!T39)</f>
        <v/>
      </c>
      <c r="K39" s="101" t="str">
        <f aca="false">IF($B39="","",'مسير يونيو'!T39)</f>
        <v/>
      </c>
      <c r="L39" s="101" t="str">
        <f aca="false">IF($B39="","",'مسير يوليو'!T39)</f>
        <v/>
      </c>
      <c r="M39" s="101" t="str">
        <f aca="false">IF($B39="","",'مسير أغسطس'!T39)</f>
        <v/>
      </c>
      <c r="N39" s="101" t="str">
        <f aca="false">IF($B39="","",'مسير سبتمبر'!T39)</f>
        <v/>
      </c>
      <c r="O39" s="101" t="str">
        <f aca="false">IF($B39="","",'مسير أكتوبر'!T39)</f>
        <v/>
      </c>
      <c r="P39" s="101" t="str">
        <f aca="false">IF($B39="","",'مسير نوفمبر'!T39)</f>
        <v/>
      </c>
      <c r="Q39" s="101" t="str">
        <f aca="false">IF($B39="","",'مسير ديسمبر'!T39)</f>
        <v/>
      </c>
      <c r="R39" s="144" t="str">
        <f aca="false">IF($B39="","",IF(1&lt;=cfg_VAL_M,'مسير يناير'!T39,0)+IF(2&lt;=cfg_VAL_M,'مسير فبراير'!T39,0)+IF(3&lt;=cfg_VAL_M,'مسير مارس'!T39,0)+IF(4&lt;=cfg_VAL_M,'مسير أبريل'!T39,0)+IF(5&lt;=cfg_VAL_M,'مسير مايو'!T39,0)+IF(6&lt;=cfg_VAL_M,'مسير يونيو'!T39,0)+IF(7&lt;=cfg_VAL_M,'مسير يوليو'!T39,0)+IF(8&lt;=cfg_VAL_M,'مسير أغسطس'!T39,0)+IF(9&lt;=cfg_VAL_M,'مسير سبتمبر'!T39,0)+IF(10&lt;=cfg_VAL_M,'مسير أكتوبر'!T39,0)+IF(11&lt;=cfg_VAL_M,'مسير نوفمبر'!T39,0)+IF(12&lt;=cfg_VAL_M,'مسير ديسمبر'!T39,0))</f>
        <v/>
      </c>
      <c r="T39" s="101" t="str">
        <f aca="false">IF($B39="","",'مسير يناير'!AG39)</f>
        <v/>
      </c>
      <c r="U39" s="101" t="str">
        <f aca="false">IF($B39="","",'مسير فبراير'!AG39)</f>
        <v/>
      </c>
      <c r="V39" s="101" t="str">
        <f aca="false">IF($B39="","",'مسير مارس'!AG39)</f>
        <v/>
      </c>
      <c r="W39" s="101" t="str">
        <f aca="false">IF($B39="","",'مسير أبريل'!AG39)</f>
        <v/>
      </c>
      <c r="X39" s="101" t="str">
        <f aca="false">IF($B39="","",'مسير مايو'!AG39)</f>
        <v/>
      </c>
      <c r="Y39" s="101" t="str">
        <f aca="false">IF($B39="","",'مسير يونيو'!AG39)</f>
        <v/>
      </c>
      <c r="Z39" s="101" t="str">
        <f aca="false">IF($B39="","",'مسير يوليو'!AG39)</f>
        <v/>
      </c>
      <c r="AA39" s="101" t="str">
        <f aca="false">IF($B39="","",'مسير أغسطس'!AG39)</f>
        <v/>
      </c>
      <c r="AB39" s="101" t="str">
        <f aca="false">IF($B39="","",'مسير سبتمبر'!AG39)</f>
        <v/>
      </c>
      <c r="AC39" s="101" t="str">
        <f aca="false">IF($B39="","",'مسير أكتوبر'!AG39)</f>
        <v/>
      </c>
      <c r="AD39" s="101" t="str">
        <f aca="false">IF($B39="","",'مسير نوفمبر'!AG39)</f>
        <v/>
      </c>
      <c r="AE39" s="101" t="str">
        <f aca="false">IF($B39="","",'مسير ديسمبر'!AG39)</f>
        <v/>
      </c>
      <c r="AF39" s="144" t="str">
        <f aca="false">IF($B39="","",IF(1&lt;=cfg_VAL_M,'مسير يناير'!AG39,0)+IF(2&lt;=cfg_VAL_M,'مسير فبراير'!AG39,0)+IF(3&lt;=cfg_VAL_M,'مسير مارس'!AG39,0)+IF(4&lt;=cfg_VAL_M,'مسير أبريل'!AG39,0)+IF(5&lt;=cfg_VAL_M,'مسير مايو'!AG39,0)+IF(6&lt;=cfg_VAL_M,'مسير يونيو'!AG39,0)+IF(7&lt;=cfg_VAL_M,'مسير يوليو'!AG39,0)+IF(8&lt;=cfg_VAL_M,'مسير أغسطس'!AG39,0)+IF(9&lt;=cfg_VAL_M,'مسير سبتمبر'!AG39,0)+IF(10&lt;=cfg_VAL_M,'مسير أكتوبر'!AG39,0)+IF(11&lt;=cfg_VAL_M,'مسير نوفمبر'!AG39,0)+IF(12&lt;=cfg_VAL_M,'مسير ديسمبر'!AG39,0))</f>
        <v/>
      </c>
      <c r="AG39" s="144" t="str">
        <f aca="false">IF($B39="","",IF(1&lt;=cfg_VAL_M,'مسير يناير'!Y39,0)+IF(2&lt;=cfg_VAL_M,'مسير فبراير'!Y39,0)+IF(3&lt;=cfg_VAL_M,'مسير مارس'!Y39,0)+IF(4&lt;=cfg_VAL_M,'مسير أبريل'!Y39,0)+IF(5&lt;=cfg_VAL_M,'مسير مايو'!Y39,0)+IF(6&lt;=cfg_VAL_M,'مسير يونيو'!Y39,0)+IF(7&lt;=cfg_VAL_M,'مسير يوليو'!Y39,0)+IF(8&lt;=cfg_VAL_M,'مسير أغسطس'!Y39,0)+IF(9&lt;=cfg_VAL_M,'مسير سبتمبر'!Y39,0)+IF(10&lt;=cfg_VAL_M,'مسير أكتوبر'!Y39,0)+IF(11&lt;=cfg_VAL_M,'مسير نوفمبر'!Y39,0)+IF(12&lt;=cfg_VAL_M,'مسير ديسمبر'!Y39,0))</f>
        <v/>
      </c>
      <c r="AH39" s="101" t="str">
        <f aca="false">IF($B39="","",AF39/cfg_VAL_M)</f>
        <v/>
      </c>
    </row>
    <row r="40" customFormat="false" ht="15" hidden="false" customHeight="false" outlineLevel="0" collapsed="false">
      <c r="B40" s="80" t="str">
        <f aca="false">IF(الموظفون!$B40="","",الموظفون!$B40)</f>
        <v/>
      </c>
      <c r="C40" s="80" t="str">
        <f aca="false">IF(الموظفون!$B40="","",الموظفون!$C40)</f>
        <v/>
      </c>
      <c r="D40" s="80" t="str">
        <f aca="false">IF(الموظفون!$B40="","",الموظفون!$F40)</f>
        <v/>
      </c>
      <c r="E40" s="80" t="str">
        <f aca="false">IF(الموظفون!$B40="","",الموظفون!$E40)</f>
        <v/>
      </c>
      <c r="F40" s="97" t="str">
        <f aca="false">IF($B40="","",'مسير يناير'!T40)</f>
        <v/>
      </c>
      <c r="G40" s="97" t="str">
        <f aca="false">IF($B40="","",'مسير فبراير'!T40)</f>
        <v/>
      </c>
      <c r="H40" s="97" t="str">
        <f aca="false">IF($B40="","",'مسير مارس'!T40)</f>
        <v/>
      </c>
      <c r="I40" s="97" t="str">
        <f aca="false">IF($B40="","",'مسير أبريل'!T40)</f>
        <v/>
      </c>
      <c r="J40" s="97" t="str">
        <f aca="false">IF($B40="","",'مسير مايو'!T40)</f>
        <v/>
      </c>
      <c r="K40" s="97" t="str">
        <f aca="false">IF($B40="","",'مسير يونيو'!T40)</f>
        <v/>
      </c>
      <c r="L40" s="97" t="str">
        <f aca="false">IF($B40="","",'مسير يوليو'!T40)</f>
        <v/>
      </c>
      <c r="M40" s="97" t="str">
        <f aca="false">IF($B40="","",'مسير أغسطس'!T40)</f>
        <v/>
      </c>
      <c r="N40" s="97" t="str">
        <f aca="false">IF($B40="","",'مسير سبتمبر'!T40)</f>
        <v/>
      </c>
      <c r="O40" s="97" t="str">
        <f aca="false">IF($B40="","",'مسير أكتوبر'!T40)</f>
        <v/>
      </c>
      <c r="P40" s="97" t="str">
        <f aca="false">IF($B40="","",'مسير نوفمبر'!T40)</f>
        <v/>
      </c>
      <c r="Q40" s="97" t="str">
        <f aca="false">IF($B40="","",'مسير ديسمبر'!T40)</f>
        <v/>
      </c>
      <c r="R40" s="143" t="str">
        <f aca="false">IF($B40="","",IF(1&lt;=cfg_VAL_M,'مسير يناير'!T40,0)+IF(2&lt;=cfg_VAL_M,'مسير فبراير'!T40,0)+IF(3&lt;=cfg_VAL_M,'مسير مارس'!T40,0)+IF(4&lt;=cfg_VAL_M,'مسير أبريل'!T40,0)+IF(5&lt;=cfg_VAL_M,'مسير مايو'!T40,0)+IF(6&lt;=cfg_VAL_M,'مسير يونيو'!T40,0)+IF(7&lt;=cfg_VAL_M,'مسير يوليو'!T40,0)+IF(8&lt;=cfg_VAL_M,'مسير أغسطس'!T40,0)+IF(9&lt;=cfg_VAL_M,'مسير سبتمبر'!T40,0)+IF(10&lt;=cfg_VAL_M,'مسير أكتوبر'!T40,0)+IF(11&lt;=cfg_VAL_M,'مسير نوفمبر'!T40,0)+IF(12&lt;=cfg_VAL_M,'مسير ديسمبر'!T40,0))</f>
        <v/>
      </c>
      <c r="T40" s="97" t="str">
        <f aca="false">IF($B40="","",'مسير يناير'!AG40)</f>
        <v/>
      </c>
      <c r="U40" s="97" t="str">
        <f aca="false">IF($B40="","",'مسير فبراير'!AG40)</f>
        <v/>
      </c>
      <c r="V40" s="97" t="str">
        <f aca="false">IF($B40="","",'مسير مارس'!AG40)</f>
        <v/>
      </c>
      <c r="W40" s="97" t="str">
        <f aca="false">IF($B40="","",'مسير أبريل'!AG40)</f>
        <v/>
      </c>
      <c r="X40" s="97" t="str">
        <f aca="false">IF($B40="","",'مسير مايو'!AG40)</f>
        <v/>
      </c>
      <c r="Y40" s="97" t="str">
        <f aca="false">IF($B40="","",'مسير يونيو'!AG40)</f>
        <v/>
      </c>
      <c r="Z40" s="97" t="str">
        <f aca="false">IF($B40="","",'مسير يوليو'!AG40)</f>
        <v/>
      </c>
      <c r="AA40" s="97" t="str">
        <f aca="false">IF($B40="","",'مسير أغسطس'!AG40)</f>
        <v/>
      </c>
      <c r="AB40" s="97" t="str">
        <f aca="false">IF($B40="","",'مسير سبتمبر'!AG40)</f>
        <v/>
      </c>
      <c r="AC40" s="97" t="str">
        <f aca="false">IF($B40="","",'مسير أكتوبر'!AG40)</f>
        <v/>
      </c>
      <c r="AD40" s="97" t="str">
        <f aca="false">IF($B40="","",'مسير نوفمبر'!AG40)</f>
        <v/>
      </c>
      <c r="AE40" s="97" t="str">
        <f aca="false">IF($B40="","",'مسير ديسمبر'!AG40)</f>
        <v/>
      </c>
      <c r="AF40" s="143" t="str">
        <f aca="false">IF($B40="","",IF(1&lt;=cfg_VAL_M,'مسير يناير'!AG40,0)+IF(2&lt;=cfg_VAL_M,'مسير فبراير'!AG40,0)+IF(3&lt;=cfg_VAL_M,'مسير مارس'!AG40,0)+IF(4&lt;=cfg_VAL_M,'مسير أبريل'!AG40,0)+IF(5&lt;=cfg_VAL_M,'مسير مايو'!AG40,0)+IF(6&lt;=cfg_VAL_M,'مسير يونيو'!AG40,0)+IF(7&lt;=cfg_VAL_M,'مسير يوليو'!AG40,0)+IF(8&lt;=cfg_VAL_M,'مسير أغسطس'!AG40,0)+IF(9&lt;=cfg_VAL_M,'مسير سبتمبر'!AG40,0)+IF(10&lt;=cfg_VAL_M,'مسير أكتوبر'!AG40,0)+IF(11&lt;=cfg_VAL_M,'مسير نوفمبر'!AG40,0)+IF(12&lt;=cfg_VAL_M,'مسير ديسمبر'!AG40,0))</f>
        <v/>
      </c>
      <c r="AG40" s="143" t="str">
        <f aca="false">IF($B40="","",IF(1&lt;=cfg_VAL_M,'مسير يناير'!Y40,0)+IF(2&lt;=cfg_VAL_M,'مسير فبراير'!Y40,0)+IF(3&lt;=cfg_VAL_M,'مسير مارس'!Y40,0)+IF(4&lt;=cfg_VAL_M,'مسير أبريل'!Y40,0)+IF(5&lt;=cfg_VAL_M,'مسير مايو'!Y40,0)+IF(6&lt;=cfg_VAL_M,'مسير يونيو'!Y40,0)+IF(7&lt;=cfg_VAL_M,'مسير يوليو'!Y40,0)+IF(8&lt;=cfg_VAL_M,'مسير أغسطس'!Y40,0)+IF(9&lt;=cfg_VAL_M,'مسير سبتمبر'!Y40,0)+IF(10&lt;=cfg_VAL_M,'مسير أكتوبر'!Y40,0)+IF(11&lt;=cfg_VAL_M,'مسير نوفمبر'!Y40,0)+IF(12&lt;=cfg_VAL_M,'مسير ديسمبر'!Y40,0))</f>
        <v/>
      </c>
      <c r="AH40" s="97" t="str">
        <f aca="false">IF($B40="","",AF40/cfg_VAL_M)</f>
        <v/>
      </c>
    </row>
    <row r="41" customFormat="false" ht="15" hidden="false" customHeight="false" outlineLevel="0" collapsed="false">
      <c r="B41" s="102" t="str">
        <f aca="false">IF(الموظفون!$B41="","",الموظفون!$B41)</f>
        <v/>
      </c>
      <c r="C41" s="102" t="str">
        <f aca="false">IF(الموظفون!$B41="","",الموظفون!$C41)</f>
        <v/>
      </c>
      <c r="D41" s="102" t="str">
        <f aca="false">IF(الموظفون!$B41="","",الموظفون!$F41)</f>
        <v/>
      </c>
      <c r="E41" s="102" t="str">
        <f aca="false">IF(الموظفون!$B41="","",الموظفون!$E41)</f>
        <v/>
      </c>
      <c r="F41" s="101" t="str">
        <f aca="false">IF($B41="","",'مسير يناير'!T41)</f>
        <v/>
      </c>
      <c r="G41" s="101" t="str">
        <f aca="false">IF($B41="","",'مسير فبراير'!T41)</f>
        <v/>
      </c>
      <c r="H41" s="101" t="str">
        <f aca="false">IF($B41="","",'مسير مارس'!T41)</f>
        <v/>
      </c>
      <c r="I41" s="101" t="str">
        <f aca="false">IF($B41="","",'مسير أبريل'!T41)</f>
        <v/>
      </c>
      <c r="J41" s="101" t="str">
        <f aca="false">IF($B41="","",'مسير مايو'!T41)</f>
        <v/>
      </c>
      <c r="K41" s="101" t="str">
        <f aca="false">IF($B41="","",'مسير يونيو'!T41)</f>
        <v/>
      </c>
      <c r="L41" s="101" t="str">
        <f aca="false">IF($B41="","",'مسير يوليو'!T41)</f>
        <v/>
      </c>
      <c r="M41" s="101" t="str">
        <f aca="false">IF($B41="","",'مسير أغسطس'!T41)</f>
        <v/>
      </c>
      <c r="N41" s="101" t="str">
        <f aca="false">IF($B41="","",'مسير سبتمبر'!T41)</f>
        <v/>
      </c>
      <c r="O41" s="101" t="str">
        <f aca="false">IF($B41="","",'مسير أكتوبر'!T41)</f>
        <v/>
      </c>
      <c r="P41" s="101" t="str">
        <f aca="false">IF($B41="","",'مسير نوفمبر'!T41)</f>
        <v/>
      </c>
      <c r="Q41" s="101" t="str">
        <f aca="false">IF($B41="","",'مسير ديسمبر'!T41)</f>
        <v/>
      </c>
      <c r="R41" s="144" t="str">
        <f aca="false">IF($B41="","",IF(1&lt;=cfg_VAL_M,'مسير يناير'!T41,0)+IF(2&lt;=cfg_VAL_M,'مسير فبراير'!T41,0)+IF(3&lt;=cfg_VAL_M,'مسير مارس'!T41,0)+IF(4&lt;=cfg_VAL_M,'مسير أبريل'!T41,0)+IF(5&lt;=cfg_VAL_M,'مسير مايو'!T41,0)+IF(6&lt;=cfg_VAL_M,'مسير يونيو'!T41,0)+IF(7&lt;=cfg_VAL_M,'مسير يوليو'!T41,0)+IF(8&lt;=cfg_VAL_M,'مسير أغسطس'!T41,0)+IF(9&lt;=cfg_VAL_M,'مسير سبتمبر'!T41,0)+IF(10&lt;=cfg_VAL_M,'مسير أكتوبر'!T41,0)+IF(11&lt;=cfg_VAL_M,'مسير نوفمبر'!T41,0)+IF(12&lt;=cfg_VAL_M,'مسير ديسمبر'!T41,0))</f>
        <v/>
      </c>
      <c r="T41" s="101" t="str">
        <f aca="false">IF($B41="","",'مسير يناير'!AG41)</f>
        <v/>
      </c>
      <c r="U41" s="101" t="str">
        <f aca="false">IF($B41="","",'مسير فبراير'!AG41)</f>
        <v/>
      </c>
      <c r="V41" s="101" t="str">
        <f aca="false">IF($B41="","",'مسير مارس'!AG41)</f>
        <v/>
      </c>
      <c r="W41" s="101" t="str">
        <f aca="false">IF($B41="","",'مسير أبريل'!AG41)</f>
        <v/>
      </c>
      <c r="X41" s="101" t="str">
        <f aca="false">IF($B41="","",'مسير مايو'!AG41)</f>
        <v/>
      </c>
      <c r="Y41" s="101" t="str">
        <f aca="false">IF($B41="","",'مسير يونيو'!AG41)</f>
        <v/>
      </c>
      <c r="Z41" s="101" t="str">
        <f aca="false">IF($B41="","",'مسير يوليو'!AG41)</f>
        <v/>
      </c>
      <c r="AA41" s="101" t="str">
        <f aca="false">IF($B41="","",'مسير أغسطس'!AG41)</f>
        <v/>
      </c>
      <c r="AB41" s="101" t="str">
        <f aca="false">IF($B41="","",'مسير سبتمبر'!AG41)</f>
        <v/>
      </c>
      <c r="AC41" s="101" t="str">
        <f aca="false">IF($B41="","",'مسير أكتوبر'!AG41)</f>
        <v/>
      </c>
      <c r="AD41" s="101" t="str">
        <f aca="false">IF($B41="","",'مسير نوفمبر'!AG41)</f>
        <v/>
      </c>
      <c r="AE41" s="101" t="str">
        <f aca="false">IF($B41="","",'مسير ديسمبر'!AG41)</f>
        <v/>
      </c>
      <c r="AF41" s="144" t="str">
        <f aca="false">IF($B41="","",IF(1&lt;=cfg_VAL_M,'مسير يناير'!AG41,0)+IF(2&lt;=cfg_VAL_M,'مسير فبراير'!AG41,0)+IF(3&lt;=cfg_VAL_M,'مسير مارس'!AG41,0)+IF(4&lt;=cfg_VAL_M,'مسير أبريل'!AG41,0)+IF(5&lt;=cfg_VAL_M,'مسير مايو'!AG41,0)+IF(6&lt;=cfg_VAL_M,'مسير يونيو'!AG41,0)+IF(7&lt;=cfg_VAL_M,'مسير يوليو'!AG41,0)+IF(8&lt;=cfg_VAL_M,'مسير أغسطس'!AG41,0)+IF(9&lt;=cfg_VAL_M,'مسير سبتمبر'!AG41,0)+IF(10&lt;=cfg_VAL_M,'مسير أكتوبر'!AG41,0)+IF(11&lt;=cfg_VAL_M,'مسير نوفمبر'!AG41,0)+IF(12&lt;=cfg_VAL_M,'مسير ديسمبر'!AG41,0))</f>
        <v/>
      </c>
      <c r="AG41" s="144" t="str">
        <f aca="false">IF($B41="","",IF(1&lt;=cfg_VAL_M,'مسير يناير'!Y41,0)+IF(2&lt;=cfg_VAL_M,'مسير فبراير'!Y41,0)+IF(3&lt;=cfg_VAL_M,'مسير مارس'!Y41,0)+IF(4&lt;=cfg_VAL_M,'مسير أبريل'!Y41,0)+IF(5&lt;=cfg_VAL_M,'مسير مايو'!Y41,0)+IF(6&lt;=cfg_VAL_M,'مسير يونيو'!Y41,0)+IF(7&lt;=cfg_VAL_M,'مسير يوليو'!Y41,0)+IF(8&lt;=cfg_VAL_M,'مسير أغسطس'!Y41,0)+IF(9&lt;=cfg_VAL_M,'مسير سبتمبر'!Y41,0)+IF(10&lt;=cfg_VAL_M,'مسير أكتوبر'!Y41,0)+IF(11&lt;=cfg_VAL_M,'مسير نوفمبر'!Y41,0)+IF(12&lt;=cfg_VAL_M,'مسير ديسمبر'!Y41,0))</f>
        <v/>
      </c>
      <c r="AH41" s="101" t="str">
        <f aca="false">IF($B41="","",AF41/cfg_VAL_M)</f>
        <v/>
      </c>
    </row>
    <row r="42" customFormat="false" ht="15" hidden="false" customHeight="false" outlineLevel="0" collapsed="false">
      <c r="B42" s="80" t="str">
        <f aca="false">IF(الموظفون!$B42="","",الموظفون!$B42)</f>
        <v/>
      </c>
      <c r="C42" s="80" t="str">
        <f aca="false">IF(الموظفون!$B42="","",الموظفون!$C42)</f>
        <v/>
      </c>
      <c r="D42" s="80" t="str">
        <f aca="false">IF(الموظفون!$B42="","",الموظفون!$F42)</f>
        <v/>
      </c>
      <c r="E42" s="80" t="str">
        <f aca="false">IF(الموظفون!$B42="","",الموظفون!$E42)</f>
        <v/>
      </c>
      <c r="F42" s="97" t="str">
        <f aca="false">IF($B42="","",'مسير يناير'!T42)</f>
        <v/>
      </c>
      <c r="G42" s="97" t="str">
        <f aca="false">IF($B42="","",'مسير فبراير'!T42)</f>
        <v/>
      </c>
      <c r="H42" s="97" t="str">
        <f aca="false">IF($B42="","",'مسير مارس'!T42)</f>
        <v/>
      </c>
      <c r="I42" s="97" t="str">
        <f aca="false">IF($B42="","",'مسير أبريل'!T42)</f>
        <v/>
      </c>
      <c r="J42" s="97" t="str">
        <f aca="false">IF($B42="","",'مسير مايو'!T42)</f>
        <v/>
      </c>
      <c r="K42" s="97" t="str">
        <f aca="false">IF($B42="","",'مسير يونيو'!T42)</f>
        <v/>
      </c>
      <c r="L42" s="97" t="str">
        <f aca="false">IF($B42="","",'مسير يوليو'!T42)</f>
        <v/>
      </c>
      <c r="M42" s="97" t="str">
        <f aca="false">IF($B42="","",'مسير أغسطس'!T42)</f>
        <v/>
      </c>
      <c r="N42" s="97" t="str">
        <f aca="false">IF($B42="","",'مسير سبتمبر'!T42)</f>
        <v/>
      </c>
      <c r="O42" s="97" t="str">
        <f aca="false">IF($B42="","",'مسير أكتوبر'!T42)</f>
        <v/>
      </c>
      <c r="P42" s="97" t="str">
        <f aca="false">IF($B42="","",'مسير نوفمبر'!T42)</f>
        <v/>
      </c>
      <c r="Q42" s="97" t="str">
        <f aca="false">IF($B42="","",'مسير ديسمبر'!T42)</f>
        <v/>
      </c>
      <c r="R42" s="143" t="str">
        <f aca="false">IF($B42="","",IF(1&lt;=cfg_VAL_M,'مسير يناير'!T42,0)+IF(2&lt;=cfg_VAL_M,'مسير فبراير'!T42,0)+IF(3&lt;=cfg_VAL_M,'مسير مارس'!T42,0)+IF(4&lt;=cfg_VAL_M,'مسير أبريل'!T42,0)+IF(5&lt;=cfg_VAL_M,'مسير مايو'!T42,0)+IF(6&lt;=cfg_VAL_M,'مسير يونيو'!T42,0)+IF(7&lt;=cfg_VAL_M,'مسير يوليو'!T42,0)+IF(8&lt;=cfg_VAL_M,'مسير أغسطس'!T42,0)+IF(9&lt;=cfg_VAL_M,'مسير سبتمبر'!T42,0)+IF(10&lt;=cfg_VAL_M,'مسير أكتوبر'!T42,0)+IF(11&lt;=cfg_VAL_M,'مسير نوفمبر'!T42,0)+IF(12&lt;=cfg_VAL_M,'مسير ديسمبر'!T42,0))</f>
        <v/>
      </c>
      <c r="T42" s="97" t="str">
        <f aca="false">IF($B42="","",'مسير يناير'!AG42)</f>
        <v/>
      </c>
      <c r="U42" s="97" t="str">
        <f aca="false">IF($B42="","",'مسير فبراير'!AG42)</f>
        <v/>
      </c>
      <c r="V42" s="97" t="str">
        <f aca="false">IF($B42="","",'مسير مارس'!AG42)</f>
        <v/>
      </c>
      <c r="W42" s="97" t="str">
        <f aca="false">IF($B42="","",'مسير أبريل'!AG42)</f>
        <v/>
      </c>
      <c r="X42" s="97" t="str">
        <f aca="false">IF($B42="","",'مسير مايو'!AG42)</f>
        <v/>
      </c>
      <c r="Y42" s="97" t="str">
        <f aca="false">IF($B42="","",'مسير يونيو'!AG42)</f>
        <v/>
      </c>
      <c r="Z42" s="97" t="str">
        <f aca="false">IF($B42="","",'مسير يوليو'!AG42)</f>
        <v/>
      </c>
      <c r="AA42" s="97" t="str">
        <f aca="false">IF($B42="","",'مسير أغسطس'!AG42)</f>
        <v/>
      </c>
      <c r="AB42" s="97" t="str">
        <f aca="false">IF($B42="","",'مسير سبتمبر'!AG42)</f>
        <v/>
      </c>
      <c r="AC42" s="97" t="str">
        <f aca="false">IF($B42="","",'مسير أكتوبر'!AG42)</f>
        <v/>
      </c>
      <c r="AD42" s="97" t="str">
        <f aca="false">IF($B42="","",'مسير نوفمبر'!AG42)</f>
        <v/>
      </c>
      <c r="AE42" s="97" t="str">
        <f aca="false">IF($B42="","",'مسير ديسمبر'!AG42)</f>
        <v/>
      </c>
      <c r="AF42" s="143" t="str">
        <f aca="false">IF($B42="","",IF(1&lt;=cfg_VAL_M,'مسير يناير'!AG42,0)+IF(2&lt;=cfg_VAL_M,'مسير فبراير'!AG42,0)+IF(3&lt;=cfg_VAL_M,'مسير مارس'!AG42,0)+IF(4&lt;=cfg_VAL_M,'مسير أبريل'!AG42,0)+IF(5&lt;=cfg_VAL_M,'مسير مايو'!AG42,0)+IF(6&lt;=cfg_VAL_M,'مسير يونيو'!AG42,0)+IF(7&lt;=cfg_VAL_M,'مسير يوليو'!AG42,0)+IF(8&lt;=cfg_VAL_M,'مسير أغسطس'!AG42,0)+IF(9&lt;=cfg_VAL_M,'مسير سبتمبر'!AG42,0)+IF(10&lt;=cfg_VAL_M,'مسير أكتوبر'!AG42,0)+IF(11&lt;=cfg_VAL_M,'مسير نوفمبر'!AG42,0)+IF(12&lt;=cfg_VAL_M,'مسير ديسمبر'!AG42,0))</f>
        <v/>
      </c>
      <c r="AG42" s="143" t="str">
        <f aca="false">IF($B42="","",IF(1&lt;=cfg_VAL_M,'مسير يناير'!Y42,0)+IF(2&lt;=cfg_VAL_M,'مسير فبراير'!Y42,0)+IF(3&lt;=cfg_VAL_M,'مسير مارس'!Y42,0)+IF(4&lt;=cfg_VAL_M,'مسير أبريل'!Y42,0)+IF(5&lt;=cfg_VAL_M,'مسير مايو'!Y42,0)+IF(6&lt;=cfg_VAL_M,'مسير يونيو'!Y42,0)+IF(7&lt;=cfg_VAL_M,'مسير يوليو'!Y42,0)+IF(8&lt;=cfg_VAL_M,'مسير أغسطس'!Y42,0)+IF(9&lt;=cfg_VAL_M,'مسير سبتمبر'!Y42,0)+IF(10&lt;=cfg_VAL_M,'مسير أكتوبر'!Y42,0)+IF(11&lt;=cfg_VAL_M,'مسير نوفمبر'!Y42,0)+IF(12&lt;=cfg_VAL_M,'مسير ديسمبر'!Y42,0))</f>
        <v/>
      </c>
      <c r="AH42" s="97" t="str">
        <f aca="false">IF($B42="","",AF42/cfg_VAL_M)</f>
        <v/>
      </c>
    </row>
    <row r="43" customFormat="false" ht="15" hidden="false" customHeight="false" outlineLevel="0" collapsed="false">
      <c r="B43" s="102" t="str">
        <f aca="false">IF(الموظفون!$B43="","",الموظفون!$B43)</f>
        <v/>
      </c>
      <c r="C43" s="102" t="str">
        <f aca="false">IF(الموظفون!$B43="","",الموظفون!$C43)</f>
        <v/>
      </c>
      <c r="D43" s="102" t="str">
        <f aca="false">IF(الموظفون!$B43="","",الموظفون!$F43)</f>
        <v/>
      </c>
      <c r="E43" s="102" t="str">
        <f aca="false">IF(الموظفون!$B43="","",الموظفون!$E43)</f>
        <v/>
      </c>
      <c r="F43" s="101" t="str">
        <f aca="false">IF($B43="","",'مسير يناير'!T43)</f>
        <v/>
      </c>
      <c r="G43" s="101" t="str">
        <f aca="false">IF($B43="","",'مسير فبراير'!T43)</f>
        <v/>
      </c>
      <c r="H43" s="101" t="str">
        <f aca="false">IF($B43="","",'مسير مارس'!T43)</f>
        <v/>
      </c>
      <c r="I43" s="101" t="str">
        <f aca="false">IF($B43="","",'مسير أبريل'!T43)</f>
        <v/>
      </c>
      <c r="J43" s="101" t="str">
        <f aca="false">IF($B43="","",'مسير مايو'!T43)</f>
        <v/>
      </c>
      <c r="K43" s="101" t="str">
        <f aca="false">IF($B43="","",'مسير يونيو'!T43)</f>
        <v/>
      </c>
      <c r="L43" s="101" t="str">
        <f aca="false">IF($B43="","",'مسير يوليو'!T43)</f>
        <v/>
      </c>
      <c r="M43" s="101" t="str">
        <f aca="false">IF($B43="","",'مسير أغسطس'!T43)</f>
        <v/>
      </c>
      <c r="N43" s="101" t="str">
        <f aca="false">IF($B43="","",'مسير سبتمبر'!T43)</f>
        <v/>
      </c>
      <c r="O43" s="101" t="str">
        <f aca="false">IF($B43="","",'مسير أكتوبر'!T43)</f>
        <v/>
      </c>
      <c r="P43" s="101" t="str">
        <f aca="false">IF($B43="","",'مسير نوفمبر'!T43)</f>
        <v/>
      </c>
      <c r="Q43" s="101" t="str">
        <f aca="false">IF($B43="","",'مسير ديسمبر'!T43)</f>
        <v/>
      </c>
      <c r="R43" s="144" t="str">
        <f aca="false">IF($B43="","",IF(1&lt;=cfg_VAL_M,'مسير يناير'!T43,0)+IF(2&lt;=cfg_VAL_M,'مسير فبراير'!T43,0)+IF(3&lt;=cfg_VAL_M,'مسير مارس'!T43,0)+IF(4&lt;=cfg_VAL_M,'مسير أبريل'!T43,0)+IF(5&lt;=cfg_VAL_M,'مسير مايو'!T43,0)+IF(6&lt;=cfg_VAL_M,'مسير يونيو'!T43,0)+IF(7&lt;=cfg_VAL_M,'مسير يوليو'!T43,0)+IF(8&lt;=cfg_VAL_M,'مسير أغسطس'!T43,0)+IF(9&lt;=cfg_VAL_M,'مسير سبتمبر'!T43,0)+IF(10&lt;=cfg_VAL_M,'مسير أكتوبر'!T43,0)+IF(11&lt;=cfg_VAL_M,'مسير نوفمبر'!T43,0)+IF(12&lt;=cfg_VAL_M,'مسير ديسمبر'!T43,0))</f>
        <v/>
      </c>
      <c r="T43" s="101" t="str">
        <f aca="false">IF($B43="","",'مسير يناير'!AG43)</f>
        <v/>
      </c>
      <c r="U43" s="101" t="str">
        <f aca="false">IF($B43="","",'مسير فبراير'!AG43)</f>
        <v/>
      </c>
      <c r="V43" s="101" t="str">
        <f aca="false">IF($B43="","",'مسير مارس'!AG43)</f>
        <v/>
      </c>
      <c r="W43" s="101" t="str">
        <f aca="false">IF($B43="","",'مسير أبريل'!AG43)</f>
        <v/>
      </c>
      <c r="X43" s="101" t="str">
        <f aca="false">IF($B43="","",'مسير مايو'!AG43)</f>
        <v/>
      </c>
      <c r="Y43" s="101" t="str">
        <f aca="false">IF($B43="","",'مسير يونيو'!AG43)</f>
        <v/>
      </c>
      <c r="Z43" s="101" t="str">
        <f aca="false">IF($B43="","",'مسير يوليو'!AG43)</f>
        <v/>
      </c>
      <c r="AA43" s="101" t="str">
        <f aca="false">IF($B43="","",'مسير أغسطس'!AG43)</f>
        <v/>
      </c>
      <c r="AB43" s="101" t="str">
        <f aca="false">IF($B43="","",'مسير سبتمبر'!AG43)</f>
        <v/>
      </c>
      <c r="AC43" s="101" t="str">
        <f aca="false">IF($B43="","",'مسير أكتوبر'!AG43)</f>
        <v/>
      </c>
      <c r="AD43" s="101" t="str">
        <f aca="false">IF($B43="","",'مسير نوفمبر'!AG43)</f>
        <v/>
      </c>
      <c r="AE43" s="101" t="str">
        <f aca="false">IF($B43="","",'مسير ديسمبر'!AG43)</f>
        <v/>
      </c>
      <c r="AF43" s="144" t="str">
        <f aca="false">IF($B43="","",IF(1&lt;=cfg_VAL_M,'مسير يناير'!AG43,0)+IF(2&lt;=cfg_VAL_M,'مسير فبراير'!AG43,0)+IF(3&lt;=cfg_VAL_M,'مسير مارس'!AG43,0)+IF(4&lt;=cfg_VAL_M,'مسير أبريل'!AG43,0)+IF(5&lt;=cfg_VAL_M,'مسير مايو'!AG43,0)+IF(6&lt;=cfg_VAL_M,'مسير يونيو'!AG43,0)+IF(7&lt;=cfg_VAL_M,'مسير يوليو'!AG43,0)+IF(8&lt;=cfg_VAL_M,'مسير أغسطس'!AG43,0)+IF(9&lt;=cfg_VAL_M,'مسير سبتمبر'!AG43,0)+IF(10&lt;=cfg_VAL_M,'مسير أكتوبر'!AG43,0)+IF(11&lt;=cfg_VAL_M,'مسير نوفمبر'!AG43,0)+IF(12&lt;=cfg_VAL_M,'مسير ديسمبر'!AG43,0))</f>
        <v/>
      </c>
      <c r="AG43" s="144" t="str">
        <f aca="false">IF($B43="","",IF(1&lt;=cfg_VAL_M,'مسير يناير'!Y43,0)+IF(2&lt;=cfg_VAL_M,'مسير فبراير'!Y43,0)+IF(3&lt;=cfg_VAL_M,'مسير مارس'!Y43,0)+IF(4&lt;=cfg_VAL_M,'مسير أبريل'!Y43,0)+IF(5&lt;=cfg_VAL_M,'مسير مايو'!Y43,0)+IF(6&lt;=cfg_VAL_M,'مسير يونيو'!Y43,0)+IF(7&lt;=cfg_VAL_M,'مسير يوليو'!Y43,0)+IF(8&lt;=cfg_VAL_M,'مسير أغسطس'!Y43,0)+IF(9&lt;=cfg_VAL_M,'مسير سبتمبر'!Y43,0)+IF(10&lt;=cfg_VAL_M,'مسير أكتوبر'!Y43,0)+IF(11&lt;=cfg_VAL_M,'مسير نوفمبر'!Y43,0)+IF(12&lt;=cfg_VAL_M,'مسير ديسمبر'!Y43,0))</f>
        <v/>
      </c>
      <c r="AH43" s="101" t="str">
        <f aca="false">IF($B43="","",AF43/cfg_VAL_M)</f>
        <v/>
      </c>
    </row>
    <row r="44" customFormat="false" ht="15" hidden="false" customHeight="false" outlineLevel="0" collapsed="false">
      <c r="B44" s="80" t="str">
        <f aca="false">IF(الموظفون!$B44="","",الموظفون!$B44)</f>
        <v/>
      </c>
      <c r="C44" s="80" t="str">
        <f aca="false">IF(الموظفون!$B44="","",الموظفون!$C44)</f>
        <v/>
      </c>
      <c r="D44" s="80" t="str">
        <f aca="false">IF(الموظفون!$B44="","",الموظفون!$F44)</f>
        <v/>
      </c>
      <c r="E44" s="80" t="str">
        <f aca="false">IF(الموظفون!$B44="","",الموظفون!$E44)</f>
        <v/>
      </c>
      <c r="F44" s="97" t="str">
        <f aca="false">IF($B44="","",'مسير يناير'!T44)</f>
        <v/>
      </c>
      <c r="G44" s="97" t="str">
        <f aca="false">IF($B44="","",'مسير فبراير'!T44)</f>
        <v/>
      </c>
      <c r="H44" s="97" t="str">
        <f aca="false">IF($B44="","",'مسير مارس'!T44)</f>
        <v/>
      </c>
      <c r="I44" s="97" t="str">
        <f aca="false">IF($B44="","",'مسير أبريل'!T44)</f>
        <v/>
      </c>
      <c r="J44" s="97" t="str">
        <f aca="false">IF($B44="","",'مسير مايو'!T44)</f>
        <v/>
      </c>
      <c r="K44" s="97" t="str">
        <f aca="false">IF($B44="","",'مسير يونيو'!T44)</f>
        <v/>
      </c>
      <c r="L44" s="97" t="str">
        <f aca="false">IF($B44="","",'مسير يوليو'!T44)</f>
        <v/>
      </c>
      <c r="M44" s="97" t="str">
        <f aca="false">IF($B44="","",'مسير أغسطس'!T44)</f>
        <v/>
      </c>
      <c r="N44" s="97" t="str">
        <f aca="false">IF($B44="","",'مسير سبتمبر'!T44)</f>
        <v/>
      </c>
      <c r="O44" s="97" t="str">
        <f aca="false">IF($B44="","",'مسير أكتوبر'!T44)</f>
        <v/>
      </c>
      <c r="P44" s="97" t="str">
        <f aca="false">IF($B44="","",'مسير نوفمبر'!T44)</f>
        <v/>
      </c>
      <c r="Q44" s="97" t="str">
        <f aca="false">IF($B44="","",'مسير ديسمبر'!T44)</f>
        <v/>
      </c>
      <c r="R44" s="143" t="str">
        <f aca="false">IF($B44="","",IF(1&lt;=cfg_VAL_M,'مسير يناير'!T44,0)+IF(2&lt;=cfg_VAL_M,'مسير فبراير'!T44,0)+IF(3&lt;=cfg_VAL_M,'مسير مارس'!T44,0)+IF(4&lt;=cfg_VAL_M,'مسير أبريل'!T44,0)+IF(5&lt;=cfg_VAL_M,'مسير مايو'!T44,0)+IF(6&lt;=cfg_VAL_M,'مسير يونيو'!T44,0)+IF(7&lt;=cfg_VAL_M,'مسير يوليو'!T44,0)+IF(8&lt;=cfg_VAL_M,'مسير أغسطس'!T44,0)+IF(9&lt;=cfg_VAL_M,'مسير سبتمبر'!T44,0)+IF(10&lt;=cfg_VAL_M,'مسير أكتوبر'!T44,0)+IF(11&lt;=cfg_VAL_M,'مسير نوفمبر'!T44,0)+IF(12&lt;=cfg_VAL_M,'مسير ديسمبر'!T44,0))</f>
        <v/>
      </c>
      <c r="T44" s="97" t="str">
        <f aca="false">IF($B44="","",'مسير يناير'!AG44)</f>
        <v/>
      </c>
      <c r="U44" s="97" t="str">
        <f aca="false">IF($B44="","",'مسير فبراير'!AG44)</f>
        <v/>
      </c>
      <c r="V44" s="97" t="str">
        <f aca="false">IF($B44="","",'مسير مارس'!AG44)</f>
        <v/>
      </c>
      <c r="W44" s="97" t="str">
        <f aca="false">IF($B44="","",'مسير أبريل'!AG44)</f>
        <v/>
      </c>
      <c r="X44" s="97" t="str">
        <f aca="false">IF($B44="","",'مسير مايو'!AG44)</f>
        <v/>
      </c>
      <c r="Y44" s="97" t="str">
        <f aca="false">IF($B44="","",'مسير يونيو'!AG44)</f>
        <v/>
      </c>
      <c r="Z44" s="97" t="str">
        <f aca="false">IF($B44="","",'مسير يوليو'!AG44)</f>
        <v/>
      </c>
      <c r="AA44" s="97" t="str">
        <f aca="false">IF($B44="","",'مسير أغسطس'!AG44)</f>
        <v/>
      </c>
      <c r="AB44" s="97" t="str">
        <f aca="false">IF($B44="","",'مسير سبتمبر'!AG44)</f>
        <v/>
      </c>
      <c r="AC44" s="97" t="str">
        <f aca="false">IF($B44="","",'مسير أكتوبر'!AG44)</f>
        <v/>
      </c>
      <c r="AD44" s="97" t="str">
        <f aca="false">IF($B44="","",'مسير نوفمبر'!AG44)</f>
        <v/>
      </c>
      <c r="AE44" s="97" t="str">
        <f aca="false">IF($B44="","",'مسير ديسمبر'!AG44)</f>
        <v/>
      </c>
      <c r="AF44" s="143" t="str">
        <f aca="false">IF($B44="","",IF(1&lt;=cfg_VAL_M,'مسير يناير'!AG44,0)+IF(2&lt;=cfg_VAL_M,'مسير فبراير'!AG44,0)+IF(3&lt;=cfg_VAL_M,'مسير مارس'!AG44,0)+IF(4&lt;=cfg_VAL_M,'مسير أبريل'!AG44,0)+IF(5&lt;=cfg_VAL_M,'مسير مايو'!AG44,0)+IF(6&lt;=cfg_VAL_M,'مسير يونيو'!AG44,0)+IF(7&lt;=cfg_VAL_M,'مسير يوليو'!AG44,0)+IF(8&lt;=cfg_VAL_M,'مسير أغسطس'!AG44,0)+IF(9&lt;=cfg_VAL_M,'مسير سبتمبر'!AG44,0)+IF(10&lt;=cfg_VAL_M,'مسير أكتوبر'!AG44,0)+IF(11&lt;=cfg_VAL_M,'مسير نوفمبر'!AG44,0)+IF(12&lt;=cfg_VAL_M,'مسير ديسمبر'!AG44,0))</f>
        <v/>
      </c>
      <c r="AG44" s="143" t="str">
        <f aca="false">IF($B44="","",IF(1&lt;=cfg_VAL_M,'مسير يناير'!Y44,0)+IF(2&lt;=cfg_VAL_M,'مسير فبراير'!Y44,0)+IF(3&lt;=cfg_VAL_M,'مسير مارس'!Y44,0)+IF(4&lt;=cfg_VAL_M,'مسير أبريل'!Y44,0)+IF(5&lt;=cfg_VAL_M,'مسير مايو'!Y44,0)+IF(6&lt;=cfg_VAL_M,'مسير يونيو'!Y44,0)+IF(7&lt;=cfg_VAL_M,'مسير يوليو'!Y44,0)+IF(8&lt;=cfg_VAL_M,'مسير أغسطس'!Y44,0)+IF(9&lt;=cfg_VAL_M,'مسير سبتمبر'!Y44,0)+IF(10&lt;=cfg_VAL_M,'مسير أكتوبر'!Y44,0)+IF(11&lt;=cfg_VAL_M,'مسير نوفمبر'!Y44,0)+IF(12&lt;=cfg_VAL_M,'مسير ديسمبر'!Y44,0))</f>
        <v/>
      </c>
      <c r="AH44" s="97" t="str">
        <f aca="false">IF($B44="","",AF44/cfg_VAL_M)</f>
        <v/>
      </c>
    </row>
    <row r="45" customFormat="false" ht="15" hidden="false" customHeight="false" outlineLevel="0" collapsed="false">
      <c r="B45" s="102" t="str">
        <f aca="false">IF(الموظفون!$B45="","",الموظفون!$B45)</f>
        <v/>
      </c>
      <c r="C45" s="102" t="str">
        <f aca="false">IF(الموظفون!$B45="","",الموظفون!$C45)</f>
        <v/>
      </c>
      <c r="D45" s="102" t="str">
        <f aca="false">IF(الموظفون!$B45="","",الموظفون!$F45)</f>
        <v/>
      </c>
      <c r="E45" s="102" t="str">
        <f aca="false">IF(الموظفون!$B45="","",الموظفون!$E45)</f>
        <v/>
      </c>
      <c r="F45" s="101" t="str">
        <f aca="false">IF($B45="","",'مسير يناير'!T45)</f>
        <v/>
      </c>
      <c r="G45" s="101" t="str">
        <f aca="false">IF($B45="","",'مسير فبراير'!T45)</f>
        <v/>
      </c>
      <c r="H45" s="101" t="str">
        <f aca="false">IF($B45="","",'مسير مارس'!T45)</f>
        <v/>
      </c>
      <c r="I45" s="101" t="str">
        <f aca="false">IF($B45="","",'مسير أبريل'!T45)</f>
        <v/>
      </c>
      <c r="J45" s="101" t="str">
        <f aca="false">IF($B45="","",'مسير مايو'!T45)</f>
        <v/>
      </c>
      <c r="K45" s="101" t="str">
        <f aca="false">IF($B45="","",'مسير يونيو'!T45)</f>
        <v/>
      </c>
      <c r="L45" s="101" t="str">
        <f aca="false">IF($B45="","",'مسير يوليو'!T45)</f>
        <v/>
      </c>
      <c r="M45" s="101" t="str">
        <f aca="false">IF($B45="","",'مسير أغسطس'!T45)</f>
        <v/>
      </c>
      <c r="N45" s="101" t="str">
        <f aca="false">IF($B45="","",'مسير سبتمبر'!T45)</f>
        <v/>
      </c>
      <c r="O45" s="101" t="str">
        <f aca="false">IF($B45="","",'مسير أكتوبر'!T45)</f>
        <v/>
      </c>
      <c r="P45" s="101" t="str">
        <f aca="false">IF($B45="","",'مسير نوفمبر'!T45)</f>
        <v/>
      </c>
      <c r="Q45" s="101" t="str">
        <f aca="false">IF($B45="","",'مسير ديسمبر'!T45)</f>
        <v/>
      </c>
      <c r="R45" s="144" t="str">
        <f aca="false">IF($B45="","",IF(1&lt;=cfg_VAL_M,'مسير يناير'!T45,0)+IF(2&lt;=cfg_VAL_M,'مسير فبراير'!T45,0)+IF(3&lt;=cfg_VAL_M,'مسير مارس'!T45,0)+IF(4&lt;=cfg_VAL_M,'مسير أبريل'!T45,0)+IF(5&lt;=cfg_VAL_M,'مسير مايو'!T45,0)+IF(6&lt;=cfg_VAL_M,'مسير يونيو'!T45,0)+IF(7&lt;=cfg_VAL_M,'مسير يوليو'!T45,0)+IF(8&lt;=cfg_VAL_M,'مسير أغسطس'!T45,0)+IF(9&lt;=cfg_VAL_M,'مسير سبتمبر'!T45,0)+IF(10&lt;=cfg_VAL_M,'مسير أكتوبر'!T45,0)+IF(11&lt;=cfg_VAL_M,'مسير نوفمبر'!T45,0)+IF(12&lt;=cfg_VAL_M,'مسير ديسمبر'!T45,0))</f>
        <v/>
      </c>
      <c r="T45" s="101" t="str">
        <f aca="false">IF($B45="","",'مسير يناير'!AG45)</f>
        <v/>
      </c>
      <c r="U45" s="101" t="str">
        <f aca="false">IF($B45="","",'مسير فبراير'!AG45)</f>
        <v/>
      </c>
      <c r="V45" s="101" t="str">
        <f aca="false">IF($B45="","",'مسير مارس'!AG45)</f>
        <v/>
      </c>
      <c r="W45" s="101" t="str">
        <f aca="false">IF($B45="","",'مسير أبريل'!AG45)</f>
        <v/>
      </c>
      <c r="X45" s="101" t="str">
        <f aca="false">IF($B45="","",'مسير مايو'!AG45)</f>
        <v/>
      </c>
      <c r="Y45" s="101" t="str">
        <f aca="false">IF($B45="","",'مسير يونيو'!AG45)</f>
        <v/>
      </c>
      <c r="Z45" s="101" t="str">
        <f aca="false">IF($B45="","",'مسير يوليو'!AG45)</f>
        <v/>
      </c>
      <c r="AA45" s="101" t="str">
        <f aca="false">IF($B45="","",'مسير أغسطس'!AG45)</f>
        <v/>
      </c>
      <c r="AB45" s="101" t="str">
        <f aca="false">IF($B45="","",'مسير سبتمبر'!AG45)</f>
        <v/>
      </c>
      <c r="AC45" s="101" t="str">
        <f aca="false">IF($B45="","",'مسير أكتوبر'!AG45)</f>
        <v/>
      </c>
      <c r="AD45" s="101" t="str">
        <f aca="false">IF($B45="","",'مسير نوفمبر'!AG45)</f>
        <v/>
      </c>
      <c r="AE45" s="101" t="str">
        <f aca="false">IF($B45="","",'مسير ديسمبر'!AG45)</f>
        <v/>
      </c>
      <c r="AF45" s="144" t="str">
        <f aca="false">IF($B45="","",IF(1&lt;=cfg_VAL_M,'مسير يناير'!AG45,0)+IF(2&lt;=cfg_VAL_M,'مسير فبراير'!AG45,0)+IF(3&lt;=cfg_VAL_M,'مسير مارس'!AG45,0)+IF(4&lt;=cfg_VAL_M,'مسير أبريل'!AG45,0)+IF(5&lt;=cfg_VAL_M,'مسير مايو'!AG45,0)+IF(6&lt;=cfg_VAL_M,'مسير يونيو'!AG45,0)+IF(7&lt;=cfg_VAL_M,'مسير يوليو'!AG45,0)+IF(8&lt;=cfg_VAL_M,'مسير أغسطس'!AG45,0)+IF(9&lt;=cfg_VAL_M,'مسير سبتمبر'!AG45,0)+IF(10&lt;=cfg_VAL_M,'مسير أكتوبر'!AG45,0)+IF(11&lt;=cfg_VAL_M,'مسير نوفمبر'!AG45,0)+IF(12&lt;=cfg_VAL_M,'مسير ديسمبر'!AG45,0))</f>
        <v/>
      </c>
      <c r="AG45" s="144" t="str">
        <f aca="false">IF($B45="","",IF(1&lt;=cfg_VAL_M,'مسير يناير'!Y45,0)+IF(2&lt;=cfg_VAL_M,'مسير فبراير'!Y45,0)+IF(3&lt;=cfg_VAL_M,'مسير مارس'!Y45,0)+IF(4&lt;=cfg_VAL_M,'مسير أبريل'!Y45,0)+IF(5&lt;=cfg_VAL_M,'مسير مايو'!Y45,0)+IF(6&lt;=cfg_VAL_M,'مسير يونيو'!Y45,0)+IF(7&lt;=cfg_VAL_M,'مسير يوليو'!Y45,0)+IF(8&lt;=cfg_VAL_M,'مسير أغسطس'!Y45,0)+IF(9&lt;=cfg_VAL_M,'مسير سبتمبر'!Y45,0)+IF(10&lt;=cfg_VAL_M,'مسير أكتوبر'!Y45,0)+IF(11&lt;=cfg_VAL_M,'مسير نوفمبر'!Y45,0)+IF(12&lt;=cfg_VAL_M,'مسير ديسمبر'!Y45,0))</f>
        <v/>
      </c>
      <c r="AH45" s="101" t="str">
        <f aca="false">IF($B45="","",AF45/cfg_VAL_M)</f>
        <v/>
      </c>
    </row>
    <row r="46" customFormat="false" ht="15" hidden="false" customHeight="false" outlineLevel="0" collapsed="false">
      <c r="B46" s="80" t="str">
        <f aca="false">IF(الموظفون!$B46="","",الموظفون!$B46)</f>
        <v/>
      </c>
      <c r="C46" s="80" t="str">
        <f aca="false">IF(الموظفون!$B46="","",الموظفون!$C46)</f>
        <v/>
      </c>
      <c r="D46" s="80" t="str">
        <f aca="false">IF(الموظفون!$B46="","",الموظفون!$F46)</f>
        <v/>
      </c>
      <c r="E46" s="80" t="str">
        <f aca="false">IF(الموظفون!$B46="","",الموظفون!$E46)</f>
        <v/>
      </c>
      <c r="F46" s="97" t="str">
        <f aca="false">IF($B46="","",'مسير يناير'!T46)</f>
        <v/>
      </c>
      <c r="G46" s="97" t="str">
        <f aca="false">IF($B46="","",'مسير فبراير'!T46)</f>
        <v/>
      </c>
      <c r="H46" s="97" t="str">
        <f aca="false">IF($B46="","",'مسير مارس'!T46)</f>
        <v/>
      </c>
      <c r="I46" s="97" t="str">
        <f aca="false">IF($B46="","",'مسير أبريل'!T46)</f>
        <v/>
      </c>
      <c r="J46" s="97" t="str">
        <f aca="false">IF($B46="","",'مسير مايو'!T46)</f>
        <v/>
      </c>
      <c r="K46" s="97" t="str">
        <f aca="false">IF($B46="","",'مسير يونيو'!T46)</f>
        <v/>
      </c>
      <c r="L46" s="97" t="str">
        <f aca="false">IF($B46="","",'مسير يوليو'!T46)</f>
        <v/>
      </c>
      <c r="M46" s="97" t="str">
        <f aca="false">IF($B46="","",'مسير أغسطس'!T46)</f>
        <v/>
      </c>
      <c r="N46" s="97" t="str">
        <f aca="false">IF($B46="","",'مسير سبتمبر'!T46)</f>
        <v/>
      </c>
      <c r="O46" s="97" t="str">
        <f aca="false">IF($B46="","",'مسير أكتوبر'!T46)</f>
        <v/>
      </c>
      <c r="P46" s="97" t="str">
        <f aca="false">IF($B46="","",'مسير نوفمبر'!T46)</f>
        <v/>
      </c>
      <c r="Q46" s="97" t="str">
        <f aca="false">IF($B46="","",'مسير ديسمبر'!T46)</f>
        <v/>
      </c>
      <c r="R46" s="143" t="str">
        <f aca="false">IF($B46="","",IF(1&lt;=cfg_VAL_M,'مسير يناير'!T46,0)+IF(2&lt;=cfg_VAL_M,'مسير فبراير'!T46,0)+IF(3&lt;=cfg_VAL_M,'مسير مارس'!T46,0)+IF(4&lt;=cfg_VAL_M,'مسير أبريل'!T46,0)+IF(5&lt;=cfg_VAL_M,'مسير مايو'!T46,0)+IF(6&lt;=cfg_VAL_M,'مسير يونيو'!T46,0)+IF(7&lt;=cfg_VAL_M,'مسير يوليو'!T46,0)+IF(8&lt;=cfg_VAL_M,'مسير أغسطس'!T46,0)+IF(9&lt;=cfg_VAL_M,'مسير سبتمبر'!T46,0)+IF(10&lt;=cfg_VAL_M,'مسير أكتوبر'!T46,0)+IF(11&lt;=cfg_VAL_M,'مسير نوفمبر'!T46,0)+IF(12&lt;=cfg_VAL_M,'مسير ديسمبر'!T46,0))</f>
        <v/>
      </c>
      <c r="T46" s="97" t="str">
        <f aca="false">IF($B46="","",'مسير يناير'!AG46)</f>
        <v/>
      </c>
      <c r="U46" s="97" t="str">
        <f aca="false">IF($B46="","",'مسير فبراير'!AG46)</f>
        <v/>
      </c>
      <c r="V46" s="97" t="str">
        <f aca="false">IF($B46="","",'مسير مارس'!AG46)</f>
        <v/>
      </c>
      <c r="W46" s="97" t="str">
        <f aca="false">IF($B46="","",'مسير أبريل'!AG46)</f>
        <v/>
      </c>
      <c r="X46" s="97" t="str">
        <f aca="false">IF($B46="","",'مسير مايو'!AG46)</f>
        <v/>
      </c>
      <c r="Y46" s="97" t="str">
        <f aca="false">IF($B46="","",'مسير يونيو'!AG46)</f>
        <v/>
      </c>
      <c r="Z46" s="97" t="str">
        <f aca="false">IF($B46="","",'مسير يوليو'!AG46)</f>
        <v/>
      </c>
      <c r="AA46" s="97" t="str">
        <f aca="false">IF($B46="","",'مسير أغسطس'!AG46)</f>
        <v/>
      </c>
      <c r="AB46" s="97" t="str">
        <f aca="false">IF($B46="","",'مسير سبتمبر'!AG46)</f>
        <v/>
      </c>
      <c r="AC46" s="97" t="str">
        <f aca="false">IF($B46="","",'مسير أكتوبر'!AG46)</f>
        <v/>
      </c>
      <c r="AD46" s="97" t="str">
        <f aca="false">IF($B46="","",'مسير نوفمبر'!AG46)</f>
        <v/>
      </c>
      <c r="AE46" s="97" t="str">
        <f aca="false">IF($B46="","",'مسير ديسمبر'!AG46)</f>
        <v/>
      </c>
      <c r="AF46" s="143" t="str">
        <f aca="false">IF($B46="","",IF(1&lt;=cfg_VAL_M,'مسير يناير'!AG46,0)+IF(2&lt;=cfg_VAL_M,'مسير فبراير'!AG46,0)+IF(3&lt;=cfg_VAL_M,'مسير مارس'!AG46,0)+IF(4&lt;=cfg_VAL_M,'مسير أبريل'!AG46,0)+IF(5&lt;=cfg_VAL_M,'مسير مايو'!AG46,0)+IF(6&lt;=cfg_VAL_M,'مسير يونيو'!AG46,0)+IF(7&lt;=cfg_VAL_M,'مسير يوليو'!AG46,0)+IF(8&lt;=cfg_VAL_M,'مسير أغسطس'!AG46,0)+IF(9&lt;=cfg_VAL_M,'مسير سبتمبر'!AG46,0)+IF(10&lt;=cfg_VAL_M,'مسير أكتوبر'!AG46,0)+IF(11&lt;=cfg_VAL_M,'مسير نوفمبر'!AG46,0)+IF(12&lt;=cfg_VAL_M,'مسير ديسمبر'!AG46,0))</f>
        <v/>
      </c>
      <c r="AG46" s="143" t="str">
        <f aca="false">IF($B46="","",IF(1&lt;=cfg_VAL_M,'مسير يناير'!Y46,0)+IF(2&lt;=cfg_VAL_M,'مسير فبراير'!Y46,0)+IF(3&lt;=cfg_VAL_M,'مسير مارس'!Y46,0)+IF(4&lt;=cfg_VAL_M,'مسير أبريل'!Y46,0)+IF(5&lt;=cfg_VAL_M,'مسير مايو'!Y46,0)+IF(6&lt;=cfg_VAL_M,'مسير يونيو'!Y46,0)+IF(7&lt;=cfg_VAL_M,'مسير يوليو'!Y46,0)+IF(8&lt;=cfg_VAL_M,'مسير أغسطس'!Y46,0)+IF(9&lt;=cfg_VAL_M,'مسير سبتمبر'!Y46,0)+IF(10&lt;=cfg_VAL_M,'مسير أكتوبر'!Y46,0)+IF(11&lt;=cfg_VAL_M,'مسير نوفمبر'!Y46,0)+IF(12&lt;=cfg_VAL_M,'مسير ديسمبر'!Y46,0))</f>
        <v/>
      </c>
      <c r="AH46" s="97" t="str">
        <f aca="false">IF($B46="","",AF46/cfg_VAL_M)</f>
        <v/>
      </c>
    </row>
    <row r="47" customFormat="false" ht="15" hidden="false" customHeight="false" outlineLevel="0" collapsed="false">
      <c r="B47" s="102" t="str">
        <f aca="false">IF(الموظفون!$B47="","",الموظفون!$B47)</f>
        <v/>
      </c>
      <c r="C47" s="102" t="str">
        <f aca="false">IF(الموظفون!$B47="","",الموظفون!$C47)</f>
        <v/>
      </c>
      <c r="D47" s="102" t="str">
        <f aca="false">IF(الموظفون!$B47="","",الموظفون!$F47)</f>
        <v/>
      </c>
      <c r="E47" s="102" t="str">
        <f aca="false">IF(الموظفون!$B47="","",الموظفون!$E47)</f>
        <v/>
      </c>
      <c r="F47" s="101" t="str">
        <f aca="false">IF($B47="","",'مسير يناير'!T47)</f>
        <v/>
      </c>
      <c r="G47" s="101" t="str">
        <f aca="false">IF($B47="","",'مسير فبراير'!T47)</f>
        <v/>
      </c>
      <c r="H47" s="101" t="str">
        <f aca="false">IF($B47="","",'مسير مارس'!T47)</f>
        <v/>
      </c>
      <c r="I47" s="101" t="str">
        <f aca="false">IF($B47="","",'مسير أبريل'!T47)</f>
        <v/>
      </c>
      <c r="J47" s="101" t="str">
        <f aca="false">IF($B47="","",'مسير مايو'!T47)</f>
        <v/>
      </c>
      <c r="K47" s="101" t="str">
        <f aca="false">IF($B47="","",'مسير يونيو'!T47)</f>
        <v/>
      </c>
      <c r="L47" s="101" t="str">
        <f aca="false">IF($B47="","",'مسير يوليو'!T47)</f>
        <v/>
      </c>
      <c r="M47" s="101" t="str">
        <f aca="false">IF($B47="","",'مسير أغسطس'!T47)</f>
        <v/>
      </c>
      <c r="N47" s="101" t="str">
        <f aca="false">IF($B47="","",'مسير سبتمبر'!T47)</f>
        <v/>
      </c>
      <c r="O47" s="101" t="str">
        <f aca="false">IF($B47="","",'مسير أكتوبر'!T47)</f>
        <v/>
      </c>
      <c r="P47" s="101" t="str">
        <f aca="false">IF($B47="","",'مسير نوفمبر'!T47)</f>
        <v/>
      </c>
      <c r="Q47" s="101" t="str">
        <f aca="false">IF($B47="","",'مسير ديسمبر'!T47)</f>
        <v/>
      </c>
      <c r="R47" s="144" t="str">
        <f aca="false">IF($B47="","",IF(1&lt;=cfg_VAL_M,'مسير يناير'!T47,0)+IF(2&lt;=cfg_VAL_M,'مسير فبراير'!T47,0)+IF(3&lt;=cfg_VAL_M,'مسير مارس'!T47,0)+IF(4&lt;=cfg_VAL_M,'مسير أبريل'!T47,0)+IF(5&lt;=cfg_VAL_M,'مسير مايو'!T47,0)+IF(6&lt;=cfg_VAL_M,'مسير يونيو'!T47,0)+IF(7&lt;=cfg_VAL_M,'مسير يوليو'!T47,0)+IF(8&lt;=cfg_VAL_M,'مسير أغسطس'!T47,0)+IF(9&lt;=cfg_VAL_M,'مسير سبتمبر'!T47,0)+IF(10&lt;=cfg_VAL_M,'مسير أكتوبر'!T47,0)+IF(11&lt;=cfg_VAL_M,'مسير نوفمبر'!T47,0)+IF(12&lt;=cfg_VAL_M,'مسير ديسمبر'!T47,0))</f>
        <v/>
      </c>
      <c r="T47" s="101" t="str">
        <f aca="false">IF($B47="","",'مسير يناير'!AG47)</f>
        <v/>
      </c>
      <c r="U47" s="101" t="str">
        <f aca="false">IF($B47="","",'مسير فبراير'!AG47)</f>
        <v/>
      </c>
      <c r="V47" s="101" t="str">
        <f aca="false">IF($B47="","",'مسير مارس'!AG47)</f>
        <v/>
      </c>
      <c r="W47" s="101" t="str">
        <f aca="false">IF($B47="","",'مسير أبريل'!AG47)</f>
        <v/>
      </c>
      <c r="X47" s="101" t="str">
        <f aca="false">IF($B47="","",'مسير مايو'!AG47)</f>
        <v/>
      </c>
      <c r="Y47" s="101" t="str">
        <f aca="false">IF($B47="","",'مسير يونيو'!AG47)</f>
        <v/>
      </c>
      <c r="Z47" s="101" t="str">
        <f aca="false">IF($B47="","",'مسير يوليو'!AG47)</f>
        <v/>
      </c>
      <c r="AA47" s="101" t="str">
        <f aca="false">IF($B47="","",'مسير أغسطس'!AG47)</f>
        <v/>
      </c>
      <c r="AB47" s="101" t="str">
        <f aca="false">IF($B47="","",'مسير سبتمبر'!AG47)</f>
        <v/>
      </c>
      <c r="AC47" s="101" t="str">
        <f aca="false">IF($B47="","",'مسير أكتوبر'!AG47)</f>
        <v/>
      </c>
      <c r="AD47" s="101" t="str">
        <f aca="false">IF($B47="","",'مسير نوفمبر'!AG47)</f>
        <v/>
      </c>
      <c r="AE47" s="101" t="str">
        <f aca="false">IF($B47="","",'مسير ديسمبر'!AG47)</f>
        <v/>
      </c>
      <c r="AF47" s="144" t="str">
        <f aca="false">IF($B47="","",IF(1&lt;=cfg_VAL_M,'مسير يناير'!AG47,0)+IF(2&lt;=cfg_VAL_M,'مسير فبراير'!AG47,0)+IF(3&lt;=cfg_VAL_M,'مسير مارس'!AG47,0)+IF(4&lt;=cfg_VAL_M,'مسير أبريل'!AG47,0)+IF(5&lt;=cfg_VAL_M,'مسير مايو'!AG47,0)+IF(6&lt;=cfg_VAL_M,'مسير يونيو'!AG47,0)+IF(7&lt;=cfg_VAL_M,'مسير يوليو'!AG47,0)+IF(8&lt;=cfg_VAL_M,'مسير أغسطس'!AG47,0)+IF(9&lt;=cfg_VAL_M,'مسير سبتمبر'!AG47,0)+IF(10&lt;=cfg_VAL_M,'مسير أكتوبر'!AG47,0)+IF(11&lt;=cfg_VAL_M,'مسير نوفمبر'!AG47,0)+IF(12&lt;=cfg_VAL_M,'مسير ديسمبر'!AG47,0))</f>
        <v/>
      </c>
      <c r="AG47" s="144" t="str">
        <f aca="false">IF($B47="","",IF(1&lt;=cfg_VAL_M,'مسير يناير'!Y47,0)+IF(2&lt;=cfg_VAL_M,'مسير فبراير'!Y47,0)+IF(3&lt;=cfg_VAL_M,'مسير مارس'!Y47,0)+IF(4&lt;=cfg_VAL_M,'مسير أبريل'!Y47,0)+IF(5&lt;=cfg_VAL_M,'مسير مايو'!Y47,0)+IF(6&lt;=cfg_VAL_M,'مسير يونيو'!Y47,0)+IF(7&lt;=cfg_VAL_M,'مسير يوليو'!Y47,0)+IF(8&lt;=cfg_VAL_M,'مسير أغسطس'!Y47,0)+IF(9&lt;=cfg_VAL_M,'مسير سبتمبر'!Y47,0)+IF(10&lt;=cfg_VAL_M,'مسير أكتوبر'!Y47,0)+IF(11&lt;=cfg_VAL_M,'مسير نوفمبر'!Y47,0)+IF(12&lt;=cfg_VAL_M,'مسير ديسمبر'!Y47,0))</f>
        <v/>
      </c>
      <c r="AH47" s="101" t="str">
        <f aca="false">IF($B47="","",AF47/cfg_VAL_M)</f>
        <v/>
      </c>
    </row>
    <row r="48" customFormat="false" ht="15" hidden="false" customHeight="false" outlineLevel="0" collapsed="false">
      <c r="B48" s="80" t="str">
        <f aca="false">IF(الموظفون!$B48="","",الموظفون!$B48)</f>
        <v/>
      </c>
      <c r="C48" s="80" t="str">
        <f aca="false">IF(الموظفون!$B48="","",الموظفون!$C48)</f>
        <v/>
      </c>
      <c r="D48" s="80" t="str">
        <f aca="false">IF(الموظفون!$B48="","",الموظفون!$F48)</f>
        <v/>
      </c>
      <c r="E48" s="80" t="str">
        <f aca="false">IF(الموظفون!$B48="","",الموظفون!$E48)</f>
        <v/>
      </c>
      <c r="F48" s="97" t="str">
        <f aca="false">IF($B48="","",'مسير يناير'!T48)</f>
        <v/>
      </c>
      <c r="G48" s="97" t="str">
        <f aca="false">IF($B48="","",'مسير فبراير'!T48)</f>
        <v/>
      </c>
      <c r="H48" s="97" t="str">
        <f aca="false">IF($B48="","",'مسير مارس'!T48)</f>
        <v/>
      </c>
      <c r="I48" s="97" t="str">
        <f aca="false">IF($B48="","",'مسير أبريل'!T48)</f>
        <v/>
      </c>
      <c r="J48" s="97" t="str">
        <f aca="false">IF($B48="","",'مسير مايو'!T48)</f>
        <v/>
      </c>
      <c r="K48" s="97" t="str">
        <f aca="false">IF($B48="","",'مسير يونيو'!T48)</f>
        <v/>
      </c>
      <c r="L48" s="97" t="str">
        <f aca="false">IF($B48="","",'مسير يوليو'!T48)</f>
        <v/>
      </c>
      <c r="M48" s="97" t="str">
        <f aca="false">IF($B48="","",'مسير أغسطس'!T48)</f>
        <v/>
      </c>
      <c r="N48" s="97" t="str">
        <f aca="false">IF($B48="","",'مسير سبتمبر'!T48)</f>
        <v/>
      </c>
      <c r="O48" s="97" t="str">
        <f aca="false">IF($B48="","",'مسير أكتوبر'!T48)</f>
        <v/>
      </c>
      <c r="P48" s="97" t="str">
        <f aca="false">IF($B48="","",'مسير نوفمبر'!T48)</f>
        <v/>
      </c>
      <c r="Q48" s="97" t="str">
        <f aca="false">IF($B48="","",'مسير ديسمبر'!T48)</f>
        <v/>
      </c>
      <c r="R48" s="143" t="str">
        <f aca="false">IF($B48="","",IF(1&lt;=cfg_VAL_M,'مسير يناير'!T48,0)+IF(2&lt;=cfg_VAL_M,'مسير فبراير'!T48,0)+IF(3&lt;=cfg_VAL_M,'مسير مارس'!T48,0)+IF(4&lt;=cfg_VAL_M,'مسير أبريل'!T48,0)+IF(5&lt;=cfg_VAL_M,'مسير مايو'!T48,0)+IF(6&lt;=cfg_VAL_M,'مسير يونيو'!T48,0)+IF(7&lt;=cfg_VAL_M,'مسير يوليو'!T48,0)+IF(8&lt;=cfg_VAL_M,'مسير أغسطس'!T48,0)+IF(9&lt;=cfg_VAL_M,'مسير سبتمبر'!T48,0)+IF(10&lt;=cfg_VAL_M,'مسير أكتوبر'!T48,0)+IF(11&lt;=cfg_VAL_M,'مسير نوفمبر'!T48,0)+IF(12&lt;=cfg_VAL_M,'مسير ديسمبر'!T48,0))</f>
        <v/>
      </c>
      <c r="T48" s="97" t="str">
        <f aca="false">IF($B48="","",'مسير يناير'!AG48)</f>
        <v/>
      </c>
      <c r="U48" s="97" t="str">
        <f aca="false">IF($B48="","",'مسير فبراير'!AG48)</f>
        <v/>
      </c>
      <c r="V48" s="97" t="str">
        <f aca="false">IF($B48="","",'مسير مارس'!AG48)</f>
        <v/>
      </c>
      <c r="W48" s="97" t="str">
        <f aca="false">IF($B48="","",'مسير أبريل'!AG48)</f>
        <v/>
      </c>
      <c r="X48" s="97" t="str">
        <f aca="false">IF($B48="","",'مسير مايو'!AG48)</f>
        <v/>
      </c>
      <c r="Y48" s="97" t="str">
        <f aca="false">IF($B48="","",'مسير يونيو'!AG48)</f>
        <v/>
      </c>
      <c r="Z48" s="97" t="str">
        <f aca="false">IF($B48="","",'مسير يوليو'!AG48)</f>
        <v/>
      </c>
      <c r="AA48" s="97" t="str">
        <f aca="false">IF($B48="","",'مسير أغسطس'!AG48)</f>
        <v/>
      </c>
      <c r="AB48" s="97" t="str">
        <f aca="false">IF($B48="","",'مسير سبتمبر'!AG48)</f>
        <v/>
      </c>
      <c r="AC48" s="97" t="str">
        <f aca="false">IF($B48="","",'مسير أكتوبر'!AG48)</f>
        <v/>
      </c>
      <c r="AD48" s="97" t="str">
        <f aca="false">IF($B48="","",'مسير نوفمبر'!AG48)</f>
        <v/>
      </c>
      <c r="AE48" s="97" t="str">
        <f aca="false">IF($B48="","",'مسير ديسمبر'!AG48)</f>
        <v/>
      </c>
      <c r="AF48" s="143" t="str">
        <f aca="false">IF($B48="","",IF(1&lt;=cfg_VAL_M,'مسير يناير'!AG48,0)+IF(2&lt;=cfg_VAL_M,'مسير فبراير'!AG48,0)+IF(3&lt;=cfg_VAL_M,'مسير مارس'!AG48,0)+IF(4&lt;=cfg_VAL_M,'مسير أبريل'!AG48,0)+IF(5&lt;=cfg_VAL_M,'مسير مايو'!AG48,0)+IF(6&lt;=cfg_VAL_M,'مسير يونيو'!AG48,0)+IF(7&lt;=cfg_VAL_M,'مسير يوليو'!AG48,0)+IF(8&lt;=cfg_VAL_M,'مسير أغسطس'!AG48,0)+IF(9&lt;=cfg_VAL_M,'مسير سبتمبر'!AG48,0)+IF(10&lt;=cfg_VAL_M,'مسير أكتوبر'!AG48,0)+IF(11&lt;=cfg_VAL_M,'مسير نوفمبر'!AG48,0)+IF(12&lt;=cfg_VAL_M,'مسير ديسمبر'!AG48,0))</f>
        <v/>
      </c>
      <c r="AG48" s="143" t="str">
        <f aca="false">IF($B48="","",IF(1&lt;=cfg_VAL_M,'مسير يناير'!Y48,0)+IF(2&lt;=cfg_VAL_M,'مسير فبراير'!Y48,0)+IF(3&lt;=cfg_VAL_M,'مسير مارس'!Y48,0)+IF(4&lt;=cfg_VAL_M,'مسير أبريل'!Y48,0)+IF(5&lt;=cfg_VAL_M,'مسير مايو'!Y48,0)+IF(6&lt;=cfg_VAL_M,'مسير يونيو'!Y48,0)+IF(7&lt;=cfg_VAL_M,'مسير يوليو'!Y48,0)+IF(8&lt;=cfg_VAL_M,'مسير أغسطس'!Y48,0)+IF(9&lt;=cfg_VAL_M,'مسير سبتمبر'!Y48,0)+IF(10&lt;=cfg_VAL_M,'مسير أكتوبر'!Y48,0)+IF(11&lt;=cfg_VAL_M,'مسير نوفمبر'!Y48,0)+IF(12&lt;=cfg_VAL_M,'مسير ديسمبر'!Y48,0))</f>
        <v/>
      </c>
      <c r="AH48" s="97" t="str">
        <f aca="false">IF($B48="","",AF48/cfg_VAL_M)</f>
        <v/>
      </c>
    </row>
    <row r="49" customFormat="false" ht="15" hidden="false" customHeight="false" outlineLevel="0" collapsed="false">
      <c r="B49" s="102" t="str">
        <f aca="false">IF(الموظفون!$B49="","",الموظفون!$B49)</f>
        <v/>
      </c>
      <c r="C49" s="102" t="str">
        <f aca="false">IF(الموظفون!$B49="","",الموظفون!$C49)</f>
        <v/>
      </c>
      <c r="D49" s="102" t="str">
        <f aca="false">IF(الموظفون!$B49="","",الموظفون!$F49)</f>
        <v/>
      </c>
      <c r="E49" s="102" t="str">
        <f aca="false">IF(الموظفون!$B49="","",الموظفون!$E49)</f>
        <v/>
      </c>
      <c r="F49" s="101" t="str">
        <f aca="false">IF($B49="","",'مسير يناير'!T49)</f>
        <v/>
      </c>
      <c r="G49" s="101" t="str">
        <f aca="false">IF($B49="","",'مسير فبراير'!T49)</f>
        <v/>
      </c>
      <c r="H49" s="101" t="str">
        <f aca="false">IF($B49="","",'مسير مارس'!T49)</f>
        <v/>
      </c>
      <c r="I49" s="101" t="str">
        <f aca="false">IF($B49="","",'مسير أبريل'!T49)</f>
        <v/>
      </c>
      <c r="J49" s="101" t="str">
        <f aca="false">IF($B49="","",'مسير مايو'!T49)</f>
        <v/>
      </c>
      <c r="K49" s="101" t="str">
        <f aca="false">IF($B49="","",'مسير يونيو'!T49)</f>
        <v/>
      </c>
      <c r="L49" s="101" t="str">
        <f aca="false">IF($B49="","",'مسير يوليو'!T49)</f>
        <v/>
      </c>
      <c r="M49" s="101" t="str">
        <f aca="false">IF($B49="","",'مسير أغسطس'!T49)</f>
        <v/>
      </c>
      <c r="N49" s="101" t="str">
        <f aca="false">IF($B49="","",'مسير سبتمبر'!T49)</f>
        <v/>
      </c>
      <c r="O49" s="101" t="str">
        <f aca="false">IF($B49="","",'مسير أكتوبر'!T49)</f>
        <v/>
      </c>
      <c r="P49" s="101" t="str">
        <f aca="false">IF($B49="","",'مسير نوفمبر'!T49)</f>
        <v/>
      </c>
      <c r="Q49" s="101" t="str">
        <f aca="false">IF($B49="","",'مسير ديسمبر'!T49)</f>
        <v/>
      </c>
      <c r="R49" s="144" t="str">
        <f aca="false">IF($B49="","",IF(1&lt;=cfg_VAL_M,'مسير يناير'!T49,0)+IF(2&lt;=cfg_VAL_M,'مسير فبراير'!T49,0)+IF(3&lt;=cfg_VAL_M,'مسير مارس'!T49,0)+IF(4&lt;=cfg_VAL_M,'مسير أبريل'!T49,0)+IF(5&lt;=cfg_VAL_M,'مسير مايو'!T49,0)+IF(6&lt;=cfg_VAL_M,'مسير يونيو'!T49,0)+IF(7&lt;=cfg_VAL_M,'مسير يوليو'!T49,0)+IF(8&lt;=cfg_VAL_M,'مسير أغسطس'!T49,0)+IF(9&lt;=cfg_VAL_M,'مسير سبتمبر'!T49,0)+IF(10&lt;=cfg_VAL_M,'مسير أكتوبر'!T49,0)+IF(11&lt;=cfg_VAL_M,'مسير نوفمبر'!T49,0)+IF(12&lt;=cfg_VAL_M,'مسير ديسمبر'!T49,0))</f>
        <v/>
      </c>
      <c r="T49" s="101" t="str">
        <f aca="false">IF($B49="","",'مسير يناير'!AG49)</f>
        <v/>
      </c>
      <c r="U49" s="101" t="str">
        <f aca="false">IF($B49="","",'مسير فبراير'!AG49)</f>
        <v/>
      </c>
      <c r="V49" s="101" t="str">
        <f aca="false">IF($B49="","",'مسير مارس'!AG49)</f>
        <v/>
      </c>
      <c r="W49" s="101" t="str">
        <f aca="false">IF($B49="","",'مسير أبريل'!AG49)</f>
        <v/>
      </c>
      <c r="X49" s="101" t="str">
        <f aca="false">IF($B49="","",'مسير مايو'!AG49)</f>
        <v/>
      </c>
      <c r="Y49" s="101" t="str">
        <f aca="false">IF($B49="","",'مسير يونيو'!AG49)</f>
        <v/>
      </c>
      <c r="Z49" s="101" t="str">
        <f aca="false">IF($B49="","",'مسير يوليو'!AG49)</f>
        <v/>
      </c>
      <c r="AA49" s="101" t="str">
        <f aca="false">IF($B49="","",'مسير أغسطس'!AG49)</f>
        <v/>
      </c>
      <c r="AB49" s="101" t="str">
        <f aca="false">IF($B49="","",'مسير سبتمبر'!AG49)</f>
        <v/>
      </c>
      <c r="AC49" s="101" t="str">
        <f aca="false">IF($B49="","",'مسير أكتوبر'!AG49)</f>
        <v/>
      </c>
      <c r="AD49" s="101" t="str">
        <f aca="false">IF($B49="","",'مسير نوفمبر'!AG49)</f>
        <v/>
      </c>
      <c r="AE49" s="101" t="str">
        <f aca="false">IF($B49="","",'مسير ديسمبر'!AG49)</f>
        <v/>
      </c>
      <c r="AF49" s="144" t="str">
        <f aca="false">IF($B49="","",IF(1&lt;=cfg_VAL_M,'مسير يناير'!AG49,0)+IF(2&lt;=cfg_VAL_M,'مسير فبراير'!AG49,0)+IF(3&lt;=cfg_VAL_M,'مسير مارس'!AG49,0)+IF(4&lt;=cfg_VAL_M,'مسير أبريل'!AG49,0)+IF(5&lt;=cfg_VAL_M,'مسير مايو'!AG49,0)+IF(6&lt;=cfg_VAL_M,'مسير يونيو'!AG49,0)+IF(7&lt;=cfg_VAL_M,'مسير يوليو'!AG49,0)+IF(8&lt;=cfg_VAL_M,'مسير أغسطس'!AG49,0)+IF(9&lt;=cfg_VAL_M,'مسير سبتمبر'!AG49,0)+IF(10&lt;=cfg_VAL_M,'مسير أكتوبر'!AG49,0)+IF(11&lt;=cfg_VAL_M,'مسير نوفمبر'!AG49,0)+IF(12&lt;=cfg_VAL_M,'مسير ديسمبر'!AG49,0))</f>
        <v/>
      </c>
      <c r="AG49" s="144" t="str">
        <f aca="false">IF($B49="","",IF(1&lt;=cfg_VAL_M,'مسير يناير'!Y49,0)+IF(2&lt;=cfg_VAL_M,'مسير فبراير'!Y49,0)+IF(3&lt;=cfg_VAL_M,'مسير مارس'!Y49,0)+IF(4&lt;=cfg_VAL_M,'مسير أبريل'!Y49,0)+IF(5&lt;=cfg_VAL_M,'مسير مايو'!Y49,0)+IF(6&lt;=cfg_VAL_M,'مسير يونيو'!Y49,0)+IF(7&lt;=cfg_VAL_M,'مسير يوليو'!Y49,0)+IF(8&lt;=cfg_VAL_M,'مسير أغسطس'!Y49,0)+IF(9&lt;=cfg_VAL_M,'مسير سبتمبر'!Y49,0)+IF(10&lt;=cfg_VAL_M,'مسير أكتوبر'!Y49,0)+IF(11&lt;=cfg_VAL_M,'مسير نوفمبر'!Y49,0)+IF(12&lt;=cfg_VAL_M,'مسير ديسمبر'!Y49,0))</f>
        <v/>
      </c>
      <c r="AH49" s="101" t="str">
        <f aca="false">IF($B49="","",AF49/cfg_VAL_M)</f>
        <v/>
      </c>
    </row>
    <row r="50" customFormat="false" ht="15" hidden="false" customHeight="false" outlineLevel="0" collapsed="false">
      <c r="B50" s="80" t="str">
        <f aca="false">IF(الموظفون!$B50="","",الموظفون!$B50)</f>
        <v/>
      </c>
      <c r="C50" s="80" t="str">
        <f aca="false">IF(الموظفون!$B50="","",الموظفون!$C50)</f>
        <v/>
      </c>
      <c r="D50" s="80" t="str">
        <f aca="false">IF(الموظفون!$B50="","",الموظفون!$F50)</f>
        <v/>
      </c>
      <c r="E50" s="80" t="str">
        <f aca="false">IF(الموظفون!$B50="","",الموظفون!$E50)</f>
        <v/>
      </c>
      <c r="F50" s="97" t="str">
        <f aca="false">IF($B50="","",'مسير يناير'!T50)</f>
        <v/>
      </c>
      <c r="G50" s="97" t="str">
        <f aca="false">IF($B50="","",'مسير فبراير'!T50)</f>
        <v/>
      </c>
      <c r="H50" s="97" t="str">
        <f aca="false">IF($B50="","",'مسير مارس'!T50)</f>
        <v/>
      </c>
      <c r="I50" s="97" t="str">
        <f aca="false">IF($B50="","",'مسير أبريل'!T50)</f>
        <v/>
      </c>
      <c r="J50" s="97" t="str">
        <f aca="false">IF($B50="","",'مسير مايو'!T50)</f>
        <v/>
      </c>
      <c r="K50" s="97" t="str">
        <f aca="false">IF($B50="","",'مسير يونيو'!T50)</f>
        <v/>
      </c>
      <c r="L50" s="97" t="str">
        <f aca="false">IF($B50="","",'مسير يوليو'!T50)</f>
        <v/>
      </c>
      <c r="M50" s="97" t="str">
        <f aca="false">IF($B50="","",'مسير أغسطس'!T50)</f>
        <v/>
      </c>
      <c r="N50" s="97" t="str">
        <f aca="false">IF($B50="","",'مسير سبتمبر'!T50)</f>
        <v/>
      </c>
      <c r="O50" s="97" t="str">
        <f aca="false">IF($B50="","",'مسير أكتوبر'!T50)</f>
        <v/>
      </c>
      <c r="P50" s="97" t="str">
        <f aca="false">IF($B50="","",'مسير نوفمبر'!T50)</f>
        <v/>
      </c>
      <c r="Q50" s="97" t="str">
        <f aca="false">IF($B50="","",'مسير ديسمبر'!T50)</f>
        <v/>
      </c>
      <c r="R50" s="143" t="str">
        <f aca="false">IF($B50="","",IF(1&lt;=cfg_VAL_M,'مسير يناير'!T50,0)+IF(2&lt;=cfg_VAL_M,'مسير فبراير'!T50,0)+IF(3&lt;=cfg_VAL_M,'مسير مارس'!T50,0)+IF(4&lt;=cfg_VAL_M,'مسير أبريل'!T50,0)+IF(5&lt;=cfg_VAL_M,'مسير مايو'!T50,0)+IF(6&lt;=cfg_VAL_M,'مسير يونيو'!T50,0)+IF(7&lt;=cfg_VAL_M,'مسير يوليو'!T50,0)+IF(8&lt;=cfg_VAL_M,'مسير أغسطس'!T50,0)+IF(9&lt;=cfg_VAL_M,'مسير سبتمبر'!T50,0)+IF(10&lt;=cfg_VAL_M,'مسير أكتوبر'!T50,0)+IF(11&lt;=cfg_VAL_M,'مسير نوفمبر'!T50,0)+IF(12&lt;=cfg_VAL_M,'مسير ديسمبر'!T50,0))</f>
        <v/>
      </c>
      <c r="T50" s="97" t="str">
        <f aca="false">IF($B50="","",'مسير يناير'!AG50)</f>
        <v/>
      </c>
      <c r="U50" s="97" t="str">
        <f aca="false">IF($B50="","",'مسير فبراير'!AG50)</f>
        <v/>
      </c>
      <c r="V50" s="97" t="str">
        <f aca="false">IF($B50="","",'مسير مارس'!AG50)</f>
        <v/>
      </c>
      <c r="W50" s="97" t="str">
        <f aca="false">IF($B50="","",'مسير أبريل'!AG50)</f>
        <v/>
      </c>
      <c r="X50" s="97" t="str">
        <f aca="false">IF($B50="","",'مسير مايو'!AG50)</f>
        <v/>
      </c>
      <c r="Y50" s="97" t="str">
        <f aca="false">IF($B50="","",'مسير يونيو'!AG50)</f>
        <v/>
      </c>
      <c r="Z50" s="97" t="str">
        <f aca="false">IF($B50="","",'مسير يوليو'!AG50)</f>
        <v/>
      </c>
      <c r="AA50" s="97" t="str">
        <f aca="false">IF($B50="","",'مسير أغسطس'!AG50)</f>
        <v/>
      </c>
      <c r="AB50" s="97" t="str">
        <f aca="false">IF($B50="","",'مسير سبتمبر'!AG50)</f>
        <v/>
      </c>
      <c r="AC50" s="97" t="str">
        <f aca="false">IF($B50="","",'مسير أكتوبر'!AG50)</f>
        <v/>
      </c>
      <c r="AD50" s="97" t="str">
        <f aca="false">IF($B50="","",'مسير نوفمبر'!AG50)</f>
        <v/>
      </c>
      <c r="AE50" s="97" t="str">
        <f aca="false">IF($B50="","",'مسير ديسمبر'!AG50)</f>
        <v/>
      </c>
      <c r="AF50" s="143" t="str">
        <f aca="false">IF($B50="","",IF(1&lt;=cfg_VAL_M,'مسير يناير'!AG50,0)+IF(2&lt;=cfg_VAL_M,'مسير فبراير'!AG50,0)+IF(3&lt;=cfg_VAL_M,'مسير مارس'!AG50,0)+IF(4&lt;=cfg_VAL_M,'مسير أبريل'!AG50,0)+IF(5&lt;=cfg_VAL_M,'مسير مايو'!AG50,0)+IF(6&lt;=cfg_VAL_M,'مسير يونيو'!AG50,0)+IF(7&lt;=cfg_VAL_M,'مسير يوليو'!AG50,0)+IF(8&lt;=cfg_VAL_M,'مسير أغسطس'!AG50,0)+IF(9&lt;=cfg_VAL_M,'مسير سبتمبر'!AG50,0)+IF(10&lt;=cfg_VAL_M,'مسير أكتوبر'!AG50,0)+IF(11&lt;=cfg_VAL_M,'مسير نوفمبر'!AG50,0)+IF(12&lt;=cfg_VAL_M,'مسير ديسمبر'!AG50,0))</f>
        <v/>
      </c>
      <c r="AG50" s="143" t="str">
        <f aca="false">IF($B50="","",IF(1&lt;=cfg_VAL_M,'مسير يناير'!Y50,0)+IF(2&lt;=cfg_VAL_M,'مسير فبراير'!Y50,0)+IF(3&lt;=cfg_VAL_M,'مسير مارس'!Y50,0)+IF(4&lt;=cfg_VAL_M,'مسير أبريل'!Y50,0)+IF(5&lt;=cfg_VAL_M,'مسير مايو'!Y50,0)+IF(6&lt;=cfg_VAL_M,'مسير يونيو'!Y50,0)+IF(7&lt;=cfg_VAL_M,'مسير يوليو'!Y50,0)+IF(8&lt;=cfg_VAL_M,'مسير أغسطس'!Y50,0)+IF(9&lt;=cfg_VAL_M,'مسير سبتمبر'!Y50,0)+IF(10&lt;=cfg_VAL_M,'مسير أكتوبر'!Y50,0)+IF(11&lt;=cfg_VAL_M,'مسير نوفمبر'!Y50,0)+IF(12&lt;=cfg_VAL_M,'مسير ديسمبر'!Y50,0))</f>
        <v/>
      </c>
      <c r="AH50" s="97" t="str">
        <f aca="false">IF($B50="","",AF50/cfg_VAL_M)</f>
        <v/>
      </c>
    </row>
    <row r="51" customFormat="false" ht="15" hidden="false" customHeight="false" outlineLevel="0" collapsed="false">
      <c r="B51" s="102" t="str">
        <f aca="false">IF(الموظفون!$B51="","",الموظفون!$B51)</f>
        <v/>
      </c>
      <c r="C51" s="102" t="str">
        <f aca="false">IF(الموظفون!$B51="","",الموظفون!$C51)</f>
        <v/>
      </c>
      <c r="D51" s="102" t="str">
        <f aca="false">IF(الموظفون!$B51="","",الموظفون!$F51)</f>
        <v/>
      </c>
      <c r="E51" s="102" t="str">
        <f aca="false">IF(الموظفون!$B51="","",الموظفون!$E51)</f>
        <v/>
      </c>
      <c r="F51" s="101" t="str">
        <f aca="false">IF($B51="","",'مسير يناير'!T51)</f>
        <v/>
      </c>
      <c r="G51" s="101" t="str">
        <f aca="false">IF($B51="","",'مسير فبراير'!T51)</f>
        <v/>
      </c>
      <c r="H51" s="101" t="str">
        <f aca="false">IF($B51="","",'مسير مارس'!T51)</f>
        <v/>
      </c>
      <c r="I51" s="101" t="str">
        <f aca="false">IF($B51="","",'مسير أبريل'!T51)</f>
        <v/>
      </c>
      <c r="J51" s="101" t="str">
        <f aca="false">IF($B51="","",'مسير مايو'!T51)</f>
        <v/>
      </c>
      <c r="K51" s="101" t="str">
        <f aca="false">IF($B51="","",'مسير يونيو'!T51)</f>
        <v/>
      </c>
      <c r="L51" s="101" t="str">
        <f aca="false">IF($B51="","",'مسير يوليو'!T51)</f>
        <v/>
      </c>
      <c r="M51" s="101" t="str">
        <f aca="false">IF($B51="","",'مسير أغسطس'!T51)</f>
        <v/>
      </c>
      <c r="N51" s="101" t="str">
        <f aca="false">IF($B51="","",'مسير سبتمبر'!T51)</f>
        <v/>
      </c>
      <c r="O51" s="101" t="str">
        <f aca="false">IF($B51="","",'مسير أكتوبر'!T51)</f>
        <v/>
      </c>
      <c r="P51" s="101" t="str">
        <f aca="false">IF($B51="","",'مسير نوفمبر'!T51)</f>
        <v/>
      </c>
      <c r="Q51" s="101" t="str">
        <f aca="false">IF($B51="","",'مسير ديسمبر'!T51)</f>
        <v/>
      </c>
      <c r="R51" s="144" t="str">
        <f aca="false">IF($B51="","",IF(1&lt;=cfg_VAL_M,'مسير يناير'!T51,0)+IF(2&lt;=cfg_VAL_M,'مسير فبراير'!T51,0)+IF(3&lt;=cfg_VAL_M,'مسير مارس'!T51,0)+IF(4&lt;=cfg_VAL_M,'مسير أبريل'!T51,0)+IF(5&lt;=cfg_VAL_M,'مسير مايو'!T51,0)+IF(6&lt;=cfg_VAL_M,'مسير يونيو'!T51,0)+IF(7&lt;=cfg_VAL_M,'مسير يوليو'!T51,0)+IF(8&lt;=cfg_VAL_M,'مسير أغسطس'!T51,0)+IF(9&lt;=cfg_VAL_M,'مسير سبتمبر'!T51,0)+IF(10&lt;=cfg_VAL_M,'مسير أكتوبر'!T51,0)+IF(11&lt;=cfg_VAL_M,'مسير نوفمبر'!T51,0)+IF(12&lt;=cfg_VAL_M,'مسير ديسمبر'!T51,0))</f>
        <v/>
      </c>
      <c r="T51" s="101" t="str">
        <f aca="false">IF($B51="","",'مسير يناير'!AG51)</f>
        <v/>
      </c>
      <c r="U51" s="101" t="str">
        <f aca="false">IF($B51="","",'مسير فبراير'!AG51)</f>
        <v/>
      </c>
      <c r="V51" s="101" t="str">
        <f aca="false">IF($B51="","",'مسير مارس'!AG51)</f>
        <v/>
      </c>
      <c r="W51" s="101" t="str">
        <f aca="false">IF($B51="","",'مسير أبريل'!AG51)</f>
        <v/>
      </c>
      <c r="X51" s="101" t="str">
        <f aca="false">IF($B51="","",'مسير مايو'!AG51)</f>
        <v/>
      </c>
      <c r="Y51" s="101" t="str">
        <f aca="false">IF($B51="","",'مسير يونيو'!AG51)</f>
        <v/>
      </c>
      <c r="Z51" s="101" t="str">
        <f aca="false">IF($B51="","",'مسير يوليو'!AG51)</f>
        <v/>
      </c>
      <c r="AA51" s="101" t="str">
        <f aca="false">IF($B51="","",'مسير أغسطس'!AG51)</f>
        <v/>
      </c>
      <c r="AB51" s="101" t="str">
        <f aca="false">IF($B51="","",'مسير سبتمبر'!AG51)</f>
        <v/>
      </c>
      <c r="AC51" s="101" t="str">
        <f aca="false">IF($B51="","",'مسير أكتوبر'!AG51)</f>
        <v/>
      </c>
      <c r="AD51" s="101" t="str">
        <f aca="false">IF($B51="","",'مسير نوفمبر'!AG51)</f>
        <v/>
      </c>
      <c r="AE51" s="101" t="str">
        <f aca="false">IF($B51="","",'مسير ديسمبر'!AG51)</f>
        <v/>
      </c>
      <c r="AF51" s="144" t="str">
        <f aca="false">IF($B51="","",IF(1&lt;=cfg_VAL_M,'مسير يناير'!AG51,0)+IF(2&lt;=cfg_VAL_M,'مسير فبراير'!AG51,0)+IF(3&lt;=cfg_VAL_M,'مسير مارس'!AG51,0)+IF(4&lt;=cfg_VAL_M,'مسير أبريل'!AG51,0)+IF(5&lt;=cfg_VAL_M,'مسير مايو'!AG51,0)+IF(6&lt;=cfg_VAL_M,'مسير يونيو'!AG51,0)+IF(7&lt;=cfg_VAL_M,'مسير يوليو'!AG51,0)+IF(8&lt;=cfg_VAL_M,'مسير أغسطس'!AG51,0)+IF(9&lt;=cfg_VAL_M,'مسير سبتمبر'!AG51,0)+IF(10&lt;=cfg_VAL_M,'مسير أكتوبر'!AG51,0)+IF(11&lt;=cfg_VAL_M,'مسير نوفمبر'!AG51,0)+IF(12&lt;=cfg_VAL_M,'مسير ديسمبر'!AG51,0))</f>
        <v/>
      </c>
      <c r="AG51" s="144" t="str">
        <f aca="false">IF($B51="","",IF(1&lt;=cfg_VAL_M,'مسير يناير'!Y51,0)+IF(2&lt;=cfg_VAL_M,'مسير فبراير'!Y51,0)+IF(3&lt;=cfg_VAL_M,'مسير مارس'!Y51,0)+IF(4&lt;=cfg_VAL_M,'مسير أبريل'!Y51,0)+IF(5&lt;=cfg_VAL_M,'مسير مايو'!Y51,0)+IF(6&lt;=cfg_VAL_M,'مسير يونيو'!Y51,0)+IF(7&lt;=cfg_VAL_M,'مسير يوليو'!Y51,0)+IF(8&lt;=cfg_VAL_M,'مسير أغسطس'!Y51,0)+IF(9&lt;=cfg_VAL_M,'مسير سبتمبر'!Y51,0)+IF(10&lt;=cfg_VAL_M,'مسير أكتوبر'!Y51,0)+IF(11&lt;=cfg_VAL_M,'مسير نوفمبر'!Y51,0)+IF(12&lt;=cfg_VAL_M,'مسير ديسمبر'!Y51,0))</f>
        <v/>
      </c>
      <c r="AH51" s="101" t="str">
        <f aca="false">IF($B51="","",AF51/cfg_VAL_M)</f>
        <v/>
      </c>
    </row>
    <row r="52" customFormat="false" ht="15" hidden="false" customHeight="false" outlineLevel="0" collapsed="false">
      <c r="B52" s="80" t="str">
        <f aca="false">IF(الموظفون!$B52="","",الموظفون!$B52)</f>
        <v/>
      </c>
      <c r="C52" s="80" t="str">
        <f aca="false">IF(الموظفون!$B52="","",الموظفون!$C52)</f>
        <v/>
      </c>
      <c r="D52" s="80" t="str">
        <f aca="false">IF(الموظفون!$B52="","",الموظفون!$F52)</f>
        <v/>
      </c>
      <c r="E52" s="80" t="str">
        <f aca="false">IF(الموظفون!$B52="","",الموظفون!$E52)</f>
        <v/>
      </c>
      <c r="F52" s="97" t="str">
        <f aca="false">IF($B52="","",'مسير يناير'!T52)</f>
        <v/>
      </c>
      <c r="G52" s="97" t="str">
        <f aca="false">IF($B52="","",'مسير فبراير'!T52)</f>
        <v/>
      </c>
      <c r="H52" s="97" t="str">
        <f aca="false">IF($B52="","",'مسير مارس'!T52)</f>
        <v/>
      </c>
      <c r="I52" s="97" t="str">
        <f aca="false">IF($B52="","",'مسير أبريل'!T52)</f>
        <v/>
      </c>
      <c r="J52" s="97" t="str">
        <f aca="false">IF($B52="","",'مسير مايو'!T52)</f>
        <v/>
      </c>
      <c r="K52" s="97" t="str">
        <f aca="false">IF($B52="","",'مسير يونيو'!T52)</f>
        <v/>
      </c>
      <c r="L52" s="97" t="str">
        <f aca="false">IF($B52="","",'مسير يوليو'!T52)</f>
        <v/>
      </c>
      <c r="M52" s="97" t="str">
        <f aca="false">IF($B52="","",'مسير أغسطس'!T52)</f>
        <v/>
      </c>
      <c r="N52" s="97" t="str">
        <f aca="false">IF($B52="","",'مسير سبتمبر'!T52)</f>
        <v/>
      </c>
      <c r="O52" s="97" t="str">
        <f aca="false">IF($B52="","",'مسير أكتوبر'!T52)</f>
        <v/>
      </c>
      <c r="P52" s="97" t="str">
        <f aca="false">IF($B52="","",'مسير نوفمبر'!T52)</f>
        <v/>
      </c>
      <c r="Q52" s="97" t="str">
        <f aca="false">IF($B52="","",'مسير ديسمبر'!T52)</f>
        <v/>
      </c>
      <c r="R52" s="143" t="str">
        <f aca="false">IF($B52="","",IF(1&lt;=cfg_VAL_M,'مسير يناير'!T52,0)+IF(2&lt;=cfg_VAL_M,'مسير فبراير'!T52,0)+IF(3&lt;=cfg_VAL_M,'مسير مارس'!T52,0)+IF(4&lt;=cfg_VAL_M,'مسير أبريل'!T52,0)+IF(5&lt;=cfg_VAL_M,'مسير مايو'!T52,0)+IF(6&lt;=cfg_VAL_M,'مسير يونيو'!T52,0)+IF(7&lt;=cfg_VAL_M,'مسير يوليو'!T52,0)+IF(8&lt;=cfg_VAL_M,'مسير أغسطس'!T52,0)+IF(9&lt;=cfg_VAL_M,'مسير سبتمبر'!T52,0)+IF(10&lt;=cfg_VAL_M,'مسير أكتوبر'!T52,0)+IF(11&lt;=cfg_VAL_M,'مسير نوفمبر'!T52,0)+IF(12&lt;=cfg_VAL_M,'مسير ديسمبر'!T52,0))</f>
        <v/>
      </c>
      <c r="T52" s="97" t="str">
        <f aca="false">IF($B52="","",'مسير يناير'!AG52)</f>
        <v/>
      </c>
      <c r="U52" s="97" t="str">
        <f aca="false">IF($B52="","",'مسير فبراير'!AG52)</f>
        <v/>
      </c>
      <c r="V52" s="97" t="str">
        <f aca="false">IF($B52="","",'مسير مارس'!AG52)</f>
        <v/>
      </c>
      <c r="W52" s="97" t="str">
        <f aca="false">IF($B52="","",'مسير أبريل'!AG52)</f>
        <v/>
      </c>
      <c r="X52" s="97" t="str">
        <f aca="false">IF($B52="","",'مسير مايو'!AG52)</f>
        <v/>
      </c>
      <c r="Y52" s="97" t="str">
        <f aca="false">IF($B52="","",'مسير يونيو'!AG52)</f>
        <v/>
      </c>
      <c r="Z52" s="97" t="str">
        <f aca="false">IF($B52="","",'مسير يوليو'!AG52)</f>
        <v/>
      </c>
      <c r="AA52" s="97" t="str">
        <f aca="false">IF($B52="","",'مسير أغسطس'!AG52)</f>
        <v/>
      </c>
      <c r="AB52" s="97" t="str">
        <f aca="false">IF($B52="","",'مسير سبتمبر'!AG52)</f>
        <v/>
      </c>
      <c r="AC52" s="97" t="str">
        <f aca="false">IF($B52="","",'مسير أكتوبر'!AG52)</f>
        <v/>
      </c>
      <c r="AD52" s="97" t="str">
        <f aca="false">IF($B52="","",'مسير نوفمبر'!AG52)</f>
        <v/>
      </c>
      <c r="AE52" s="97" t="str">
        <f aca="false">IF($B52="","",'مسير ديسمبر'!AG52)</f>
        <v/>
      </c>
      <c r="AF52" s="143" t="str">
        <f aca="false">IF($B52="","",IF(1&lt;=cfg_VAL_M,'مسير يناير'!AG52,0)+IF(2&lt;=cfg_VAL_M,'مسير فبراير'!AG52,0)+IF(3&lt;=cfg_VAL_M,'مسير مارس'!AG52,0)+IF(4&lt;=cfg_VAL_M,'مسير أبريل'!AG52,0)+IF(5&lt;=cfg_VAL_M,'مسير مايو'!AG52,0)+IF(6&lt;=cfg_VAL_M,'مسير يونيو'!AG52,0)+IF(7&lt;=cfg_VAL_M,'مسير يوليو'!AG52,0)+IF(8&lt;=cfg_VAL_M,'مسير أغسطس'!AG52,0)+IF(9&lt;=cfg_VAL_M,'مسير سبتمبر'!AG52,0)+IF(10&lt;=cfg_VAL_M,'مسير أكتوبر'!AG52,0)+IF(11&lt;=cfg_VAL_M,'مسير نوفمبر'!AG52,0)+IF(12&lt;=cfg_VAL_M,'مسير ديسمبر'!AG52,0))</f>
        <v/>
      </c>
      <c r="AG52" s="143" t="str">
        <f aca="false">IF($B52="","",IF(1&lt;=cfg_VAL_M,'مسير يناير'!Y52,0)+IF(2&lt;=cfg_VAL_M,'مسير فبراير'!Y52,0)+IF(3&lt;=cfg_VAL_M,'مسير مارس'!Y52,0)+IF(4&lt;=cfg_VAL_M,'مسير أبريل'!Y52,0)+IF(5&lt;=cfg_VAL_M,'مسير مايو'!Y52,0)+IF(6&lt;=cfg_VAL_M,'مسير يونيو'!Y52,0)+IF(7&lt;=cfg_VAL_M,'مسير يوليو'!Y52,0)+IF(8&lt;=cfg_VAL_M,'مسير أغسطس'!Y52,0)+IF(9&lt;=cfg_VAL_M,'مسير سبتمبر'!Y52,0)+IF(10&lt;=cfg_VAL_M,'مسير أكتوبر'!Y52,0)+IF(11&lt;=cfg_VAL_M,'مسير نوفمبر'!Y52,0)+IF(12&lt;=cfg_VAL_M,'مسير ديسمبر'!Y52,0))</f>
        <v/>
      </c>
      <c r="AH52" s="97" t="str">
        <f aca="false">IF($B52="","",AF52/cfg_VAL_M)</f>
        <v/>
      </c>
    </row>
    <row r="53" customFormat="false" ht="15" hidden="false" customHeight="false" outlineLevel="0" collapsed="false">
      <c r="B53" s="102" t="str">
        <f aca="false">IF(الموظفون!$B53="","",الموظفون!$B53)</f>
        <v/>
      </c>
      <c r="C53" s="102" t="str">
        <f aca="false">IF(الموظفون!$B53="","",الموظفون!$C53)</f>
        <v/>
      </c>
      <c r="D53" s="102" t="str">
        <f aca="false">IF(الموظفون!$B53="","",الموظفون!$F53)</f>
        <v/>
      </c>
      <c r="E53" s="102" t="str">
        <f aca="false">IF(الموظفون!$B53="","",الموظفون!$E53)</f>
        <v/>
      </c>
      <c r="F53" s="101" t="str">
        <f aca="false">IF($B53="","",'مسير يناير'!T53)</f>
        <v/>
      </c>
      <c r="G53" s="101" t="str">
        <f aca="false">IF($B53="","",'مسير فبراير'!T53)</f>
        <v/>
      </c>
      <c r="H53" s="101" t="str">
        <f aca="false">IF($B53="","",'مسير مارس'!T53)</f>
        <v/>
      </c>
      <c r="I53" s="101" t="str">
        <f aca="false">IF($B53="","",'مسير أبريل'!T53)</f>
        <v/>
      </c>
      <c r="J53" s="101" t="str">
        <f aca="false">IF($B53="","",'مسير مايو'!T53)</f>
        <v/>
      </c>
      <c r="K53" s="101" t="str">
        <f aca="false">IF($B53="","",'مسير يونيو'!T53)</f>
        <v/>
      </c>
      <c r="L53" s="101" t="str">
        <f aca="false">IF($B53="","",'مسير يوليو'!T53)</f>
        <v/>
      </c>
      <c r="M53" s="101" t="str">
        <f aca="false">IF($B53="","",'مسير أغسطس'!T53)</f>
        <v/>
      </c>
      <c r="N53" s="101" t="str">
        <f aca="false">IF($B53="","",'مسير سبتمبر'!T53)</f>
        <v/>
      </c>
      <c r="O53" s="101" t="str">
        <f aca="false">IF($B53="","",'مسير أكتوبر'!T53)</f>
        <v/>
      </c>
      <c r="P53" s="101" t="str">
        <f aca="false">IF($B53="","",'مسير نوفمبر'!T53)</f>
        <v/>
      </c>
      <c r="Q53" s="101" t="str">
        <f aca="false">IF($B53="","",'مسير ديسمبر'!T53)</f>
        <v/>
      </c>
      <c r="R53" s="144" t="str">
        <f aca="false">IF($B53="","",IF(1&lt;=cfg_VAL_M,'مسير يناير'!T53,0)+IF(2&lt;=cfg_VAL_M,'مسير فبراير'!T53,0)+IF(3&lt;=cfg_VAL_M,'مسير مارس'!T53,0)+IF(4&lt;=cfg_VAL_M,'مسير أبريل'!T53,0)+IF(5&lt;=cfg_VAL_M,'مسير مايو'!T53,0)+IF(6&lt;=cfg_VAL_M,'مسير يونيو'!T53,0)+IF(7&lt;=cfg_VAL_M,'مسير يوليو'!T53,0)+IF(8&lt;=cfg_VAL_M,'مسير أغسطس'!T53,0)+IF(9&lt;=cfg_VAL_M,'مسير سبتمبر'!T53,0)+IF(10&lt;=cfg_VAL_M,'مسير أكتوبر'!T53,0)+IF(11&lt;=cfg_VAL_M,'مسير نوفمبر'!T53,0)+IF(12&lt;=cfg_VAL_M,'مسير ديسمبر'!T53,0))</f>
        <v/>
      </c>
      <c r="T53" s="101" t="str">
        <f aca="false">IF($B53="","",'مسير يناير'!AG53)</f>
        <v/>
      </c>
      <c r="U53" s="101" t="str">
        <f aca="false">IF($B53="","",'مسير فبراير'!AG53)</f>
        <v/>
      </c>
      <c r="V53" s="101" t="str">
        <f aca="false">IF($B53="","",'مسير مارس'!AG53)</f>
        <v/>
      </c>
      <c r="W53" s="101" t="str">
        <f aca="false">IF($B53="","",'مسير أبريل'!AG53)</f>
        <v/>
      </c>
      <c r="X53" s="101" t="str">
        <f aca="false">IF($B53="","",'مسير مايو'!AG53)</f>
        <v/>
      </c>
      <c r="Y53" s="101" t="str">
        <f aca="false">IF($B53="","",'مسير يونيو'!AG53)</f>
        <v/>
      </c>
      <c r="Z53" s="101" t="str">
        <f aca="false">IF($B53="","",'مسير يوليو'!AG53)</f>
        <v/>
      </c>
      <c r="AA53" s="101" t="str">
        <f aca="false">IF($B53="","",'مسير أغسطس'!AG53)</f>
        <v/>
      </c>
      <c r="AB53" s="101" t="str">
        <f aca="false">IF($B53="","",'مسير سبتمبر'!AG53)</f>
        <v/>
      </c>
      <c r="AC53" s="101" t="str">
        <f aca="false">IF($B53="","",'مسير أكتوبر'!AG53)</f>
        <v/>
      </c>
      <c r="AD53" s="101" t="str">
        <f aca="false">IF($B53="","",'مسير نوفمبر'!AG53)</f>
        <v/>
      </c>
      <c r="AE53" s="101" t="str">
        <f aca="false">IF($B53="","",'مسير ديسمبر'!AG53)</f>
        <v/>
      </c>
      <c r="AF53" s="144" t="str">
        <f aca="false">IF($B53="","",IF(1&lt;=cfg_VAL_M,'مسير يناير'!AG53,0)+IF(2&lt;=cfg_VAL_M,'مسير فبراير'!AG53,0)+IF(3&lt;=cfg_VAL_M,'مسير مارس'!AG53,0)+IF(4&lt;=cfg_VAL_M,'مسير أبريل'!AG53,0)+IF(5&lt;=cfg_VAL_M,'مسير مايو'!AG53,0)+IF(6&lt;=cfg_VAL_M,'مسير يونيو'!AG53,0)+IF(7&lt;=cfg_VAL_M,'مسير يوليو'!AG53,0)+IF(8&lt;=cfg_VAL_M,'مسير أغسطس'!AG53,0)+IF(9&lt;=cfg_VAL_M,'مسير سبتمبر'!AG53,0)+IF(10&lt;=cfg_VAL_M,'مسير أكتوبر'!AG53,0)+IF(11&lt;=cfg_VAL_M,'مسير نوفمبر'!AG53,0)+IF(12&lt;=cfg_VAL_M,'مسير ديسمبر'!AG53,0))</f>
        <v/>
      </c>
      <c r="AG53" s="144" t="str">
        <f aca="false">IF($B53="","",IF(1&lt;=cfg_VAL_M,'مسير يناير'!Y53,0)+IF(2&lt;=cfg_VAL_M,'مسير فبراير'!Y53,0)+IF(3&lt;=cfg_VAL_M,'مسير مارس'!Y53,0)+IF(4&lt;=cfg_VAL_M,'مسير أبريل'!Y53,0)+IF(5&lt;=cfg_VAL_M,'مسير مايو'!Y53,0)+IF(6&lt;=cfg_VAL_M,'مسير يونيو'!Y53,0)+IF(7&lt;=cfg_VAL_M,'مسير يوليو'!Y53,0)+IF(8&lt;=cfg_VAL_M,'مسير أغسطس'!Y53,0)+IF(9&lt;=cfg_VAL_M,'مسير سبتمبر'!Y53,0)+IF(10&lt;=cfg_VAL_M,'مسير أكتوبر'!Y53,0)+IF(11&lt;=cfg_VAL_M,'مسير نوفمبر'!Y53,0)+IF(12&lt;=cfg_VAL_M,'مسير ديسمبر'!Y53,0))</f>
        <v/>
      </c>
      <c r="AH53" s="101" t="str">
        <f aca="false">IF($B53="","",AF53/cfg_VAL_M)</f>
        <v/>
      </c>
    </row>
    <row r="54" customFormat="false" ht="15" hidden="false" customHeight="false" outlineLevel="0" collapsed="false">
      <c r="B54" s="80" t="str">
        <f aca="false">IF(الموظفون!$B54="","",الموظفون!$B54)</f>
        <v/>
      </c>
      <c r="C54" s="80" t="str">
        <f aca="false">IF(الموظفون!$B54="","",الموظفون!$C54)</f>
        <v/>
      </c>
      <c r="D54" s="80" t="str">
        <f aca="false">IF(الموظفون!$B54="","",الموظفون!$F54)</f>
        <v/>
      </c>
      <c r="E54" s="80" t="str">
        <f aca="false">IF(الموظفون!$B54="","",الموظفون!$E54)</f>
        <v/>
      </c>
      <c r="F54" s="97" t="str">
        <f aca="false">IF($B54="","",'مسير يناير'!T54)</f>
        <v/>
      </c>
      <c r="G54" s="97" t="str">
        <f aca="false">IF($B54="","",'مسير فبراير'!T54)</f>
        <v/>
      </c>
      <c r="H54" s="97" t="str">
        <f aca="false">IF($B54="","",'مسير مارس'!T54)</f>
        <v/>
      </c>
      <c r="I54" s="97" t="str">
        <f aca="false">IF($B54="","",'مسير أبريل'!T54)</f>
        <v/>
      </c>
      <c r="J54" s="97" t="str">
        <f aca="false">IF($B54="","",'مسير مايو'!T54)</f>
        <v/>
      </c>
      <c r="K54" s="97" t="str">
        <f aca="false">IF($B54="","",'مسير يونيو'!T54)</f>
        <v/>
      </c>
      <c r="L54" s="97" t="str">
        <f aca="false">IF($B54="","",'مسير يوليو'!T54)</f>
        <v/>
      </c>
      <c r="M54" s="97" t="str">
        <f aca="false">IF($B54="","",'مسير أغسطس'!T54)</f>
        <v/>
      </c>
      <c r="N54" s="97" t="str">
        <f aca="false">IF($B54="","",'مسير سبتمبر'!T54)</f>
        <v/>
      </c>
      <c r="O54" s="97" t="str">
        <f aca="false">IF($B54="","",'مسير أكتوبر'!T54)</f>
        <v/>
      </c>
      <c r="P54" s="97" t="str">
        <f aca="false">IF($B54="","",'مسير نوفمبر'!T54)</f>
        <v/>
      </c>
      <c r="Q54" s="97" t="str">
        <f aca="false">IF($B54="","",'مسير ديسمبر'!T54)</f>
        <v/>
      </c>
      <c r="R54" s="143" t="str">
        <f aca="false">IF($B54="","",IF(1&lt;=cfg_VAL_M,'مسير يناير'!T54,0)+IF(2&lt;=cfg_VAL_M,'مسير فبراير'!T54,0)+IF(3&lt;=cfg_VAL_M,'مسير مارس'!T54,0)+IF(4&lt;=cfg_VAL_M,'مسير أبريل'!T54,0)+IF(5&lt;=cfg_VAL_M,'مسير مايو'!T54,0)+IF(6&lt;=cfg_VAL_M,'مسير يونيو'!T54,0)+IF(7&lt;=cfg_VAL_M,'مسير يوليو'!T54,0)+IF(8&lt;=cfg_VAL_M,'مسير أغسطس'!T54,0)+IF(9&lt;=cfg_VAL_M,'مسير سبتمبر'!T54,0)+IF(10&lt;=cfg_VAL_M,'مسير أكتوبر'!T54,0)+IF(11&lt;=cfg_VAL_M,'مسير نوفمبر'!T54,0)+IF(12&lt;=cfg_VAL_M,'مسير ديسمبر'!T54,0))</f>
        <v/>
      </c>
      <c r="T54" s="97" t="str">
        <f aca="false">IF($B54="","",'مسير يناير'!AG54)</f>
        <v/>
      </c>
      <c r="U54" s="97" t="str">
        <f aca="false">IF($B54="","",'مسير فبراير'!AG54)</f>
        <v/>
      </c>
      <c r="V54" s="97" t="str">
        <f aca="false">IF($B54="","",'مسير مارس'!AG54)</f>
        <v/>
      </c>
      <c r="W54" s="97" t="str">
        <f aca="false">IF($B54="","",'مسير أبريل'!AG54)</f>
        <v/>
      </c>
      <c r="X54" s="97" t="str">
        <f aca="false">IF($B54="","",'مسير مايو'!AG54)</f>
        <v/>
      </c>
      <c r="Y54" s="97" t="str">
        <f aca="false">IF($B54="","",'مسير يونيو'!AG54)</f>
        <v/>
      </c>
      <c r="Z54" s="97" t="str">
        <f aca="false">IF($B54="","",'مسير يوليو'!AG54)</f>
        <v/>
      </c>
      <c r="AA54" s="97" t="str">
        <f aca="false">IF($B54="","",'مسير أغسطس'!AG54)</f>
        <v/>
      </c>
      <c r="AB54" s="97" t="str">
        <f aca="false">IF($B54="","",'مسير سبتمبر'!AG54)</f>
        <v/>
      </c>
      <c r="AC54" s="97" t="str">
        <f aca="false">IF($B54="","",'مسير أكتوبر'!AG54)</f>
        <v/>
      </c>
      <c r="AD54" s="97" t="str">
        <f aca="false">IF($B54="","",'مسير نوفمبر'!AG54)</f>
        <v/>
      </c>
      <c r="AE54" s="97" t="str">
        <f aca="false">IF($B54="","",'مسير ديسمبر'!AG54)</f>
        <v/>
      </c>
      <c r="AF54" s="143" t="str">
        <f aca="false">IF($B54="","",IF(1&lt;=cfg_VAL_M,'مسير يناير'!AG54,0)+IF(2&lt;=cfg_VAL_M,'مسير فبراير'!AG54,0)+IF(3&lt;=cfg_VAL_M,'مسير مارس'!AG54,0)+IF(4&lt;=cfg_VAL_M,'مسير أبريل'!AG54,0)+IF(5&lt;=cfg_VAL_M,'مسير مايو'!AG54,0)+IF(6&lt;=cfg_VAL_M,'مسير يونيو'!AG54,0)+IF(7&lt;=cfg_VAL_M,'مسير يوليو'!AG54,0)+IF(8&lt;=cfg_VAL_M,'مسير أغسطس'!AG54,0)+IF(9&lt;=cfg_VAL_M,'مسير سبتمبر'!AG54,0)+IF(10&lt;=cfg_VAL_M,'مسير أكتوبر'!AG54,0)+IF(11&lt;=cfg_VAL_M,'مسير نوفمبر'!AG54,0)+IF(12&lt;=cfg_VAL_M,'مسير ديسمبر'!AG54,0))</f>
        <v/>
      </c>
      <c r="AG54" s="143" t="str">
        <f aca="false">IF($B54="","",IF(1&lt;=cfg_VAL_M,'مسير يناير'!Y54,0)+IF(2&lt;=cfg_VAL_M,'مسير فبراير'!Y54,0)+IF(3&lt;=cfg_VAL_M,'مسير مارس'!Y54,0)+IF(4&lt;=cfg_VAL_M,'مسير أبريل'!Y54,0)+IF(5&lt;=cfg_VAL_M,'مسير مايو'!Y54,0)+IF(6&lt;=cfg_VAL_M,'مسير يونيو'!Y54,0)+IF(7&lt;=cfg_VAL_M,'مسير يوليو'!Y54,0)+IF(8&lt;=cfg_VAL_M,'مسير أغسطس'!Y54,0)+IF(9&lt;=cfg_VAL_M,'مسير سبتمبر'!Y54,0)+IF(10&lt;=cfg_VAL_M,'مسير أكتوبر'!Y54,0)+IF(11&lt;=cfg_VAL_M,'مسير نوفمبر'!Y54,0)+IF(12&lt;=cfg_VAL_M,'مسير ديسمبر'!Y54,0))</f>
        <v/>
      </c>
      <c r="AH54" s="97" t="str">
        <f aca="false">IF($B54="","",AF54/cfg_VAL_M)</f>
        <v/>
      </c>
    </row>
    <row r="55" customFormat="false" ht="15" hidden="false" customHeight="false" outlineLevel="0" collapsed="false">
      <c r="B55" s="102" t="str">
        <f aca="false">IF(الموظفون!$B55="","",الموظفون!$B55)</f>
        <v/>
      </c>
      <c r="C55" s="102" t="str">
        <f aca="false">IF(الموظفون!$B55="","",الموظفون!$C55)</f>
        <v/>
      </c>
      <c r="D55" s="102" t="str">
        <f aca="false">IF(الموظفون!$B55="","",الموظفون!$F55)</f>
        <v/>
      </c>
      <c r="E55" s="102" t="str">
        <f aca="false">IF(الموظفون!$B55="","",الموظفون!$E55)</f>
        <v/>
      </c>
      <c r="F55" s="101" t="str">
        <f aca="false">IF($B55="","",'مسير يناير'!T55)</f>
        <v/>
      </c>
      <c r="G55" s="101" t="str">
        <f aca="false">IF($B55="","",'مسير فبراير'!T55)</f>
        <v/>
      </c>
      <c r="H55" s="101" t="str">
        <f aca="false">IF($B55="","",'مسير مارس'!T55)</f>
        <v/>
      </c>
      <c r="I55" s="101" t="str">
        <f aca="false">IF($B55="","",'مسير أبريل'!T55)</f>
        <v/>
      </c>
      <c r="J55" s="101" t="str">
        <f aca="false">IF($B55="","",'مسير مايو'!T55)</f>
        <v/>
      </c>
      <c r="K55" s="101" t="str">
        <f aca="false">IF($B55="","",'مسير يونيو'!T55)</f>
        <v/>
      </c>
      <c r="L55" s="101" t="str">
        <f aca="false">IF($B55="","",'مسير يوليو'!T55)</f>
        <v/>
      </c>
      <c r="M55" s="101" t="str">
        <f aca="false">IF($B55="","",'مسير أغسطس'!T55)</f>
        <v/>
      </c>
      <c r="N55" s="101" t="str">
        <f aca="false">IF($B55="","",'مسير سبتمبر'!T55)</f>
        <v/>
      </c>
      <c r="O55" s="101" t="str">
        <f aca="false">IF($B55="","",'مسير أكتوبر'!T55)</f>
        <v/>
      </c>
      <c r="P55" s="101" t="str">
        <f aca="false">IF($B55="","",'مسير نوفمبر'!T55)</f>
        <v/>
      </c>
      <c r="Q55" s="101" t="str">
        <f aca="false">IF($B55="","",'مسير ديسمبر'!T55)</f>
        <v/>
      </c>
      <c r="R55" s="144" t="str">
        <f aca="false">IF($B55="","",IF(1&lt;=cfg_VAL_M,'مسير يناير'!T55,0)+IF(2&lt;=cfg_VAL_M,'مسير فبراير'!T55,0)+IF(3&lt;=cfg_VAL_M,'مسير مارس'!T55,0)+IF(4&lt;=cfg_VAL_M,'مسير أبريل'!T55,0)+IF(5&lt;=cfg_VAL_M,'مسير مايو'!T55,0)+IF(6&lt;=cfg_VAL_M,'مسير يونيو'!T55,0)+IF(7&lt;=cfg_VAL_M,'مسير يوليو'!T55,0)+IF(8&lt;=cfg_VAL_M,'مسير أغسطس'!T55,0)+IF(9&lt;=cfg_VAL_M,'مسير سبتمبر'!T55,0)+IF(10&lt;=cfg_VAL_M,'مسير أكتوبر'!T55,0)+IF(11&lt;=cfg_VAL_M,'مسير نوفمبر'!T55,0)+IF(12&lt;=cfg_VAL_M,'مسير ديسمبر'!T55,0))</f>
        <v/>
      </c>
      <c r="T55" s="101" t="str">
        <f aca="false">IF($B55="","",'مسير يناير'!AG55)</f>
        <v/>
      </c>
      <c r="U55" s="101" t="str">
        <f aca="false">IF($B55="","",'مسير فبراير'!AG55)</f>
        <v/>
      </c>
      <c r="V55" s="101" t="str">
        <f aca="false">IF($B55="","",'مسير مارس'!AG55)</f>
        <v/>
      </c>
      <c r="W55" s="101" t="str">
        <f aca="false">IF($B55="","",'مسير أبريل'!AG55)</f>
        <v/>
      </c>
      <c r="X55" s="101" t="str">
        <f aca="false">IF($B55="","",'مسير مايو'!AG55)</f>
        <v/>
      </c>
      <c r="Y55" s="101" t="str">
        <f aca="false">IF($B55="","",'مسير يونيو'!AG55)</f>
        <v/>
      </c>
      <c r="Z55" s="101" t="str">
        <f aca="false">IF($B55="","",'مسير يوليو'!AG55)</f>
        <v/>
      </c>
      <c r="AA55" s="101" t="str">
        <f aca="false">IF($B55="","",'مسير أغسطس'!AG55)</f>
        <v/>
      </c>
      <c r="AB55" s="101" t="str">
        <f aca="false">IF($B55="","",'مسير سبتمبر'!AG55)</f>
        <v/>
      </c>
      <c r="AC55" s="101" t="str">
        <f aca="false">IF($B55="","",'مسير أكتوبر'!AG55)</f>
        <v/>
      </c>
      <c r="AD55" s="101" t="str">
        <f aca="false">IF($B55="","",'مسير نوفمبر'!AG55)</f>
        <v/>
      </c>
      <c r="AE55" s="101" t="str">
        <f aca="false">IF($B55="","",'مسير ديسمبر'!AG55)</f>
        <v/>
      </c>
      <c r="AF55" s="144" t="str">
        <f aca="false">IF($B55="","",IF(1&lt;=cfg_VAL_M,'مسير يناير'!AG55,0)+IF(2&lt;=cfg_VAL_M,'مسير فبراير'!AG55,0)+IF(3&lt;=cfg_VAL_M,'مسير مارس'!AG55,0)+IF(4&lt;=cfg_VAL_M,'مسير أبريل'!AG55,0)+IF(5&lt;=cfg_VAL_M,'مسير مايو'!AG55,0)+IF(6&lt;=cfg_VAL_M,'مسير يونيو'!AG55,0)+IF(7&lt;=cfg_VAL_M,'مسير يوليو'!AG55,0)+IF(8&lt;=cfg_VAL_M,'مسير أغسطس'!AG55,0)+IF(9&lt;=cfg_VAL_M,'مسير سبتمبر'!AG55,0)+IF(10&lt;=cfg_VAL_M,'مسير أكتوبر'!AG55,0)+IF(11&lt;=cfg_VAL_M,'مسير نوفمبر'!AG55,0)+IF(12&lt;=cfg_VAL_M,'مسير ديسمبر'!AG55,0))</f>
        <v/>
      </c>
      <c r="AG55" s="144" t="str">
        <f aca="false">IF($B55="","",IF(1&lt;=cfg_VAL_M,'مسير يناير'!Y55,0)+IF(2&lt;=cfg_VAL_M,'مسير فبراير'!Y55,0)+IF(3&lt;=cfg_VAL_M,'مسير مارس'!Y55,0)+IF(4&lt;=cfg_VAL_M,'مسير أبريل'!Y55,0)+IF(5&lt;=cfg_VAL_M,'مسير مايو'!Y55,0)+IF(6&lt;=cfg_VAL_M,'مسير يونيو'!Y55,0)+IF(7&lt;=cfg_VAL_M,'مسير يوليو'!Y55,0)+IF(8&lt;=cfg_VAL_M,'مسير أغسطس'!Y55,0)+IF(9&lt;=cfg_VAL_M,'مسير سبتمبر'!Y55,0)+IF(10&lt;=cfg_VAL_M,'مسير أكتوبر'!Y55,0)+IF(11&lt;=cfg_VAL_M,'مسير نوفمبر'!Y55,0)+IF(12&lt;=cfg_VAL_M,'مسير ديسمبر'!Y55,0))</f>
        <v/>
      </c>
      <c r="AH55" s="101" t="str">
        <f aca="false">IF($B55="","",AF55/cfg_VAL_M)</f>
        <v/>
      </c>
    </row>
    <row r="56" customFormat="false" ht="15" hidden="false" customHeight="false" outlineLevel="0" collapsed="false">
      <c r="B56" s="80" t="str">
        <f aca="false">IF(الموظفون!$B56="","",الموظفون!$B56)</f>
        <v/>
      </c>
      <c r="C56" s="80" t="str">
        <f aca="false">IF(الموظفون!$B56="","",الموظفون!$C56)</f>
        <v/>
      </c>
      <c r="D56" s="80" t="str">
        <f aca="false">IF(الموظفون!$B56="","",الموظفون!$F56)</f>
        <v/>
      </c>
      <c r="E56" s="80" t="str">
        <f aca="false">IF(الموظفون!$B56="","",الموظفون!$E56)</f>
        <v/>
      </c>
      <c r="F56" s="97" t="str">
        <f aca="false">IF($B56="","",'مسير يناير'!T56)</f>
        <v/>
      </c>
      <c r="G56" s="97" t="str">
        <f aca="false">IF($B56="","",'مسير فبراير'!T56)</f>
        <v/>
      </c>
      <c r="H56" s="97" t="str">
        <f aca="false">IF($B56="","",'مسير مارس'!T56)</f>
        <v/>
      </c>
      <c r="I56" s="97" t="str">
        <f aca="false">IF($B56="","",'مسير أبريل'!T56)</f>
        <v/>
      </c>
      <c r="J56" s="97" t="str">
        <f aca="false">IF($B56="","",'مسير مايو'!T56)</f>
        <v/>
      </c>
      <c r="K56" s="97" t="str">
        <f aca="false">IF($B56="","",'مسير يونيو'!T56)</f>
        <v/>
      </c>
      <c r="L56" s="97" t="str">
        <f aca="false">IF($B56="","",'مسير يوليو'!T56)</f>
        <v/>
      </c>
      <c r="M56" s="97" t="str">
        <f aca="false">IF($B56="","",'مسير أغسطس'!T56)</f>
        <v/>
      </c>
      <c r="N56" s="97" t="str">
        <f aca="false">IF($B56="","",'مسير سبتمبر'!T56)</f>
        <v/>
      </c>
      <c r="O56" s="97" t="str">
        <f aca="false">IF($B56="","",'مسير أكتوبر'!T56)</f>
        <v/>
      </c>
      <c r="P56" s="97" t="str">
        <f aca="false">IF($B56="","",'مسير نوفمبر'!T56)</f>
        <v/>
      </c>
      <c r="Q56" s="97" t="str">
        <f aca="false">IF($B56="","",'مسير ديسمبر'!T56)</f>
        <v/>
      </c>
      <c r="R56" s="143" t="str">
        <f aca="false">IF($B56="","",IF(1&lt;=cfg_VAL_M,'مسير يناير'!T56,0)+IF(2&lt;=cfg_VAL_M,'مسير فبراير'!T56,0)+IF(3&lt;=cfg_VAL_M,'مسير مارس'!T56,0)+IF(4&lt;=cfg_VAL_M,'مسير أبريل'!T56,0)+IF(5&lt;=cfg_VAL_M,'مسير مايو'!T56,0)+IF(6&lt;=cfg_VAL_M,'مسير يونيو'!T56,0)+IF(7&lt;=cfg_VAL_M,'مسير يوليو'!T56,0)+IF(8&lt;=cfg_VAL_M,'مسير أغسطس'!T56,0)+IF(9&lt;=cfg_VAL_M,'مسير سبتمبر'!T56,0)+IF(10&lt;=cfg_VAL_M,'مسير أكتوبر'!T56,0)+IF(11&lt;=cfg_VAL_M,'مسير نوفمبر'!T56,0)+IF(12&lt;=cfg_VAL_M,'مسير ديسمبر'!T56,0))</f>
        <v/>
      </c>
      <c r="T56" s="97" t="str">
        <f aca="false">IF($B56="","",'مسير يناير'!AG56)</f>
        <v/>
      </c>
      <c r="U56" s="97" t="str">
        <f aca="false">IF($B56="","",'مسير فبراير'!AG56)</f>
        <v/>
      </c>
      <c r="V56" s="97" t="str">
        <f aca="false">IF($B56="","",'مسير مارس'!AG56)</f>
        <v/>
      </c>
      <c r="W56" s="97" t="str">
        <f aca="false">IF($B56="","",'مسير أبريل'!AG56)</f>
        <v/>
      </c>
      <c r="X56" s="97" t="str">
        <f aca="false">IF($B56="","",'مسير مايو'!AG56)</f>
        <v/>
      </c>
      <c r="Y56" s="97" t="str">
        <f aca="false">IF($B56="","",'مسير يونيو'!AG56)</f>
        <v/>
      </c>
      <c r="Z56" s="97" t="str">
        <f aca="false">IF($B56="","",'مسير يوليو'!AG56)</f>
        <v/>
      </c>
      <c r="AA56" s="97" t="str">
        <f aca="false">IF($B56="","",'مسير أغسطس'!AG56)</f>
        <v/>
      </c>
      <c r="AB56" s="97" t="str">
        <f aca="false">IF($B56="","",'مسير سبتمبر'!AG56)</f>
        <v/>
      </c>
      <c r="AC56" s="97" t="str">
        <f aca="false">IF($B56="","",'مسير أكتوبر'!AG56)</f>
        <v/>
      </c>
      <c r="AD56" s="97" t="str">
        <f aca="false">IF($B56="","",'مسير نوفمبر'!AG56)</f>
        <v/>
      </c>
      <c r="AE56" s="97" t="str">
        <f aca="false">IF($B56="","",'مسير ديسمبر'!AG56)</f>
        <v/>
      </c>
      <c r="AF56" s="143" t="str">
        <f aca="false">IF($B56="","",IF(1&lt;=cfg_VAL_M,'مسير يناير'!AG56,0)+IF(2&lt;=cfg_VAL_M,'مسير فبراير'!AG56,0)+IF(3&lt;=cfg_VAL_M,'مسير مارس'!AG56,0)+IF(4&lt;=cfg_VAL_M,'مسير أبريل'!AG56,0)+IF(5&lt;=cfg_VAL_M,'مسير مايو'!AG56,0)+IF(6&lt;=cfg_VAL_M,'مسير يونيو'!AG56,0)+IF(7&lt;=cfg_VAL_M,'مسير يوليو'!AG56,0)+IF(8&lt;=cfg_VAL_M,'مسير أغسطس'!AG56,0)+IF(9&lt;=cfg_VAL_M,'مسير سبتمبر'!AG56,0)+IF(10&lt;=cfg_VAL_M,'مسير أكتوبر'!AG56,0)+IF(11&lt;=cfg_VAL_M,'مسير نوفمبر'!AG56,0)+IF(12&lt;=cfg_VAL_M,'مسير ديسمبر'!AG56,0))</f>
        <v/>
      </c>
      <c r="AG56" s="143" t="str">
        <f aca="false">IF($B56="","",IF(1&lt;=cfg_VAL_M,'مسير يناير'!Y56,0)+IF(2&lt;=cfg_VAL_M,'مسير فبراير'!Y56,0)+IF(3&lt;=cfg_VAL_M,'مسير مارس'!Y56,0)+IF(4&lt;=cfg_VAL_M,'مسير أبريل'!Y56,0)+IF(5&lt;=cfg_VAL_M,'مسير مايو'!Y56,0)+IF(6&lt;=cfg_VAL_M,'مسير يونيو'!Y56,0)+IF(7&lt;=cfg_VAL_M,'مسير يوليو'!Y56,0)+IF(8&lt;=cfg_VAL_M,'مسير أغسطس'!Y56,0)+IF(9&lt;=cfg_VAL_M,'مسير سبتمبر'!Y56,0)+IF(10&lt;=cfg_VAL_M,'مسير أكتوبر'!Y56,0)+IF(11&lt;=cfg_VAL_M,'مسير نوفمبر'!Y56,0)+IF(12&lt;=cfg_VAL_M,'مسير ديسمبر'!Y56,0))</f>
        <v/>
      </c>
      <c r="AH56" s="97" t="str">
        <f aca="false">IF($B56="","",AF56/cfg_VAL_M)</f>
        <v/>
      </c>
    </row>
    <row r="57" customFormat="false" ht="15" hidden="false" customHeight="false" outlineLevel="0" collapsed="false">
      <c r="B57" s="102" t="str">
        <f aca="false">IF(الموظفون!$B57="","",الموظفون!$B57)</f>
        <v/>
      </c>
      <c r="C57" s="102" t="str">
        <f aca="false">IF(الموظفون!$B57="","",الموظفون!$C57)</f>
        <v/>
      </c>
      <c r="D57" s="102" t="str">
        <f aca="false">IF(الموظفون!$B57="","",الموظفون!$F57)</f>
        <v/>
      </c>
      <c r="E57" s="102" t="str">
        <f aca="false">IF(الموظفون!$B57="","",الموظفون!$E57)</f>
        <v/>
      </c>
      <c r="F57" s="101" t="str">
        <f aca="false">IF($B57="","",'مسير يناير'!T57)</f>
        <v/>
      </c>
      <c r="G57" s="101" t="str">
        <f aca="false">IF($B57="","",'مسير فبراير'!T57)</f>
        <v/>
      </c>
      <c r="H57" s="101" t="str">
        <f aca="false">IF($B57="","",'مسير مارس'!T57)</f>
        <v/>
      </c>
      <c r="I57" s="101" t="str">
        <f aca="false">IF($B57="","",'مسير أبريل'!T57)</f>
        <v/>
      </c>
      <c r="J57" s="101" t="str">
        <f aca="false">IF($B57="","",'مسير مايو'!T57)</f>
        <v/>
      </c>
      <c r="K57" s="101" t="str">
        <f aca="false">IF($B57="","",'مسير يونيو'!T57)</f>
        <v/>
      </c>
      <c r="L57" s="101" t="str">
        <f aca="false">IF($B57="","",'مسير يوليو'!T57)</f>
        <v/>
      </c>
      <c r="M57" s="101" t="str">
        <f aca="false">IF($B57="","",'مسير أغسطس'!T57)</f>
        <v/>
      </c>
      <c r="N57" s="101" t="str">
        <f aca="false">IF($B57="","",'مسير سبتمبر'!T57)</f>
        <v/>
      </c>
      <c r="O57" s="101" t="str">
        <f aca="false">IF($B57="","",'مسير أكتوبر'!T57)</f>
        <v/>
      </c>
      <c r="P57" s="101" t="str">
        <f aca="false">IF($B57="","",'مسير نوفمبر'!T57)</f>
        <v/>
      </c>
      <c r="Q57" s="101" t="str">
        <f aca="false">IF($B57="","",'مسير ديسمبر'!T57)</f>
        <v/>
      </c>
      <c r="R57" s="144" t="str">
        <f aca="false">IF($B57="","",IF(1&lt;=cfg_VAL_M,'مسير يناير'!T57,0)+IF(2&lt;=cfg_VAL_M,'مسير فبراير'!T57,0)+IF(3&lt;=cfg_VAL_M,'مسير مارس'!T57,0)+IF(4&lt;=cfg_VAL_M,'مسير أبريل'!T57,0)+IF(5&lt;=cfg_VAL_M,'مسير مايو'!T57,0)+IF(6&lt;=cfg_VAL_M,'مسير يونيو'!T57,0)+IF(7&lt;=cfg_VAL_M,'مسير يوليو'!T57,0)+IF(8&lt;=cfg_VAL_M,'مسير أغسطس'!T57,0)+IF(9&lt;=cfg_VAL_M,'مسير سبتمبر'!T57,0)+IF(10&lt;=cfg_VAL_M,'مسير أكتوبر'!T57,0)+IF(11&lt;=cfg_VAL_M,'مسير نوفمبر'!T57,0)+IF(12&lt;=cfg_VAL_M,'مسير ديسمبر'!T57,0))</f>
        <v/>
      </c>
      <c r="T57" s="101" t="str">
        <f aca="false">IF($B57="","",'مسير يناير'!AG57)</f>
        <v/>
      </c>
      <c r="U57" s="101" t="str">
        <f aca="false">IF($B57="","",'مسير فبراير'!AG57)</f>
        <v/>
      </c>
      <c r="V57" s="101" t="str">
        <f aca="false">IF($B57="","",'مسير مارس'!AG57)</f>
        <v/>
      </c>
      <c r="W57" s="101" t="str">
        <f aca="false">IF($B57="","",'مسير أبريل'!AG57)</f>
        <v/>
      </c>
      <c r="X57" s="101" t="str">
        <f aca="false">IF($B57="","",'مسير مايو'!AG57)</f>
        <v/>
      </c>
      <c r="Y57" s="101" t="str">
        <f aca="false">IF($B57="","",'مسير يونيو'!AG57)</f>
        <v/>
      </c>
      <c r="Z57" s="101" t="str">
        <f aca="false">IF($B57="","",'مسير يوليو'!AG57)</f>
        <v/>
      </c>
      <c r="AA57" s="101" t="str">
        <f aca="false">IF($B57="","",'مسير أغسطس'!AG57)</f>
        <v/>
      </c>
      <c r="AB57" s="101" t="str">
        <f aca="false">IF($B57="","",'مسير سبتمبر'!AG57)</f>
        <v/>
      </c>
      <c r="AC57" s="101" t="str">
        <f aca="false">IF($B57="","",'مسير أكتوبر'!AG57)</f>
        <v/>
      </c>
      <c r="AD57" s="101" t="str">
        <f aca="false">IF($B57="","",'مسير نوفمبر'!AG57)</f>
        <v/>
      </c>
      <c r="AE57" s="101" t="str">
        <f aca="false">IF($B57="","",'مسير ديسمبر'!AG57)</f>
        <v/>
      </c>
      <c r="AF57" s="144" t="str">
        <f aca="false">IF($B57="","",IF(1&lt;=cfg_VAL_M,'مسير يناير'!AG57,0)+IF(2&lt;=cfg_VAL_M,'مسير فبراير'!AG57,0)+IF(3&lt;=cfg_VAL_M,'مسير مارس'!AG57,0)+IF(4&lt;=cfg_VAL_M,'مسير أبريل'!AG57,0)+IF(5&lt;=cfg_VAL_M,'مسير مايو'!AG57,0)+IF(6&lt;=cfg_VAL_M,'مسير يونيو'!AG57,0)+IF(7&lt;=cfg_VAL_M,'مسير يوليو'!AG57,0)+IF(8&lt;=cfg_VAL_M,'مسير أغسطس'!AG57,0)+IF(9&lt;=cfg_VAL_M,'مسير سبتمبر'!AG57,0)+IF(10&lt;=cfg_VAL_M,'مسير أكتوبر'!AG57,0)+IF(11&lt;=cfg_VAL_M,'مسير نوفمبر'!AG57,0)+IF(12&lt;=cfg_VAL_M,'مسير ديسمبر'!AG57,0))</f>
        <v/>
      </c>
      <c r="AG57" s="144" t="str">
        <f aca="false">IF($B57="","",IF(1&lt;=cfg_VAL_M,'مسير يناير'!Y57,0)+IF(2&lt;=cfg_VAL_M,'مسير فبراير'!Y57,0)+IF(3&lt;=cfg_VAL_M,'مسير مارس'!Y57,0)+IF(4&lt;=cfg_VAL_M,'مسير أبريل'!Y57,0)+IF(5&lt;=cfg_VAL_M,'مسير مايو'!Y57,0)+IF(6&lt;=cfg_VAL_M,'مسير يونيو'!Y57,0)+IF(7&lt;=cfg_VAL_M,'مسير يوليو'!Y57,0)+IF(8&lt;=cfg_VAL_M,'مسير أغسطس'!Y57,0)+IF(9&lt;=cfg_VAL_M,'مسير سبتمبر'!Y57,0)+IF(10&lt;=cfg_VAL_M,'مسير أكتوبر'!Y57,0)+IF(11&lt;=cfg_VAL_M,'مسير نوفمبر'!Y57,0)+IF(12&lt;=cfg_VAL_M,'مسير ديسمبر'!Y57,0))</f>
        <v/>
      </c>
      <c r="AH57" s="101" t="str">
        <f aca="false">IF($B57="","",AF57/cfg_VAL_M)</f>
        <v/>
      </c>
    </row>
    <row r="58" customFormat="false" ht="15" hidden="false" customHeight="false" outlineLevel="0" collapsed="false">
      <c r="B58" s="80" t="str">
        <f aca="false">IF(الموظفون!$B58="","",الموظفون!$B58)</f>
        <v/>
      </c>
      <c r="C58" s="80" t="str">
        <f aca="false">IF(الموظفون!$B58="","",الموظفون!$C58)</f>
        <v/>
      </c>
      <c r="D58" s="80" t="str">
        <f aca="false">IF(الموظفون!$B58="","",الموظفون!$F58)</f>
        <v/>
      </c>
      <c r="E58" s="80" t="str">
        <f aca="false">IF(الموظفون!$B58="","",الموظفون!$E58)</f>
        <v/>
      </c>
      <c r="F58" s="97" t="str">
        <f aca="false">IF($B58="","",'مسير يناير'!T58)</f>
        <v/>
      </c>
      <c r="G58" s="97" t="str">
        <f aca="false">IF($B58="","",'مسير فبراير'!T58)</f>
        <v/>
      </c>
      <c r="H58" s="97" t="str">
        <f aca="false">IF($B58="","",'مسير مارس'!T58)</f>
        <v/>
      </c>
      <c r="I58" s="97" t="str">
        <f aca="false">IF($B58="","",'مسير أبريل'!T58)</f>
        <v/>
      </c>
      <c r="J58" s="97" t="str">
        <f aca="false">IF($B58="","",'مسير مايو'!T58)</f>
        <v/>
      </c>
      <c r="K58" s="97" t="str">
        <f aca="false">IF($B58="","",'مسير يونيو'!T58)</f>
        <v/>
      </c>
      <c r="L58" s="97" t="str">
        <f aca="false">IF($B58="","",'مسير يوليو'!T58)</f>
        <v/>
      </c>
      <c r="M58" s="97" t="str">
        <f aca="false">IF($B58="","",'مسير أغسطس'!T58)</f>
        <v/>
      </c>
      <c r="N58" s="97" t="str">
        <f aca="false">IF($B58="","",'مسير سبتمبر'!T58)</f>
        <v/>
      </c>
      <c r="O58" s="97" t="str">
        <f aca="false">IF($B58="","",'مسير أكتوبر'!T58)</f>
        <v/>
      </c>
      <c r="P58" s="97" t="str">
        <f aca="false">IF($B58="","",'مسير نوفمبر'!T58)</f>
        <v/>
      </c>
      <c r="Q58" s="97" t="str">
        <f aca="false">IF($B58="","",'مسير ديسمبر'!T58)</f>
        <v/>
      </c>
      <c r="R58" s="143" t="str">
        <f aca="false">IF($B58="","",IF(1&lt;=cfg_VAL_M,'مسير يناير'!T58,0)+IF(2&lt;=cfg_VAL_M,'مسير فبراير'!T58,0)+IF(3&lt;=cfg_VAL_M,'مسير مارس'!T58,0)+IF(4&lt;=cfg_VAL_M,'مسير أبريل'!T58,0)+IF(5&lt;=cfg_VAL_M,'مسير مايو'!T58,0)+IF(6&lt;=cfg_VAL_M,'مسير يونيو'!T58,0)+IF(7&lt;=cfg_VAL_M,'مسير يوليو'!T58,0)+IF(8&lt;=cfg_VAL_M,'مسير أغسطس'!T58,0)+IF(9&lt;=cfg_VAL_M,'مسير سبتمبر'!T58,0)+IF(10&lt;=cfg_VAL_M,'مسير أكتوبر'!T58,0)+IF(11&lt;=cfg_VAL_M,'مسير نوفمبر'!T58,0)+IF(12&lt;=cfg_VAL_M,'مسير ديسمبر'!T58,0))</f>
        <v/>
      </c>
      <c r="T58" s="97" t="str">
        <f aca="false">IF($B58="","",'مسير يناير'!AG58)</f>
        <v/>
      </c>
      <c r="U58" s="97" t="str">
        <f aca="false">IF($B58="","",'مسير فبراير'!AG58)</f>
        <v/>
      </c>
      <c r="V58" s="97" t="str">
        <f aca="false">IF($B58="","",'مسير مارس'!AG58)</f>
        <v/>
      </c>
      <c r="W58" s="97" t="str">
        <f aca="false">IF($B58="","",'مسير أبريل'!AG58)</f>
        <v/>
      </c>
      <c r="X58" s="97" t="str">
        <f aca="false">IF($B58="","",'مسير مايو'!AG58)</f>
        <v/>
      </c>
      <c r="Y58" s="97" t="str">
        <f aca="false">IF($B58="","",'مسير يونيو'!AG58)</f>
        <v/>
      </c>
      <c r="Z58" s="97" t="str">
        <f aca="false">IF($B58="","",'مسير يوليو'!AG58)</f>
        <v/>
      </c>
      <c r="AA58" s="97" t="str">
        <f aca="false">IF($B58="","",'مسير أغسطس'!AG58)</f>
        <v/>
      </c>
      <c r="AB58" s="97" t="str">
        <f aca="false">IF($B58="","",'مسير سبتمبر'!AG58)</f>
        <v/>
      </c>
      <c r="AC58" s="97" t="str">
        <f aca="false">IF($B58="","",'مسير أكتوبر'!AG58)</f>
        <v/>
      </c>
      <c r="AD58" s="97" t="str">
        <f aca="false">IF($B58="","",'مسير نوفمبر'!AG58)</f>
        <v/>
      </c>
      <c r="AE58" s="97" t="str">
        <f aca="false">IF($B58="","",'مسير ديسمبر'!AG58)</f>
        <v/>
      </c>
      <c r="AF58" s="143" t="str">
        <f aca="false">IF($B58="","",IF(1&lt;=cfg_VAL_M,'مسير يناير'!AG58,0)+IF(2&lt;=cfg_VAL_M,'مسير فبراير'!AG58,0)+IF(3&lt;=cfg_VAL_M,'مسير مارس'!AG58,0)+IF(4&lt;=cfg_VAL_M,'مسير أبريل'!AG58,0)+IF(5&lt;=cfg_VAL_M,'مسير مايو'!AG58,0)+IF(6&lt;=cfg_VAL_M,'مسير يونيو'!AG58,0)+IF(7&lt;=cfg_VAL_M,'مسير يوليو'!AG58,0)+IF(8&lt;=cfg_VAL_M,'مسير أغسطس'!AG58,0)+IF(9&lt;=cfg_VAL_M,'مسير سبتمبر'!AG58,0)+IF(10&lt;=cfg_VAL_M,'مسير أكتوبر'!AG58,0)+IF(11&lt;=cfg_VAL_M,'مسير نوفمبر'!AG58,0)+IF(12&lt;=cfg_VAL_M,'مسير ديسمبر'!AG58,0))</f>
        <v/>
      </c>
      <c r="AG58" s="143" t="str">
        <f aca="false">IF($B58="","",IF(1&lt;=cfg_VAL_M,'مسير يناير'!Y58,0)+IF(2&lt;=cfg_VAL_M,'مسير فبراير'!Y58,0)+IF(3&lt;=cfg_VAL_M,'مسير مارس'!Y58,0)+IF(4&lt;=cfg_VAL_M,'مسير أبريل'!Y58,0)+IF(5&lt;=cfg_VAL_M,'مسير مايو'!Y58,0)+IF(6&lt;=cfg_VAL_M,'مسير يونيو'!Y58,0)+IF(7&lt;=cfg_VAL_M,'مسير يوليو'!Y58,0)+IF(8&lt;=cfg_VAL_M,'مسير أغسطس'!Y58,0)+IF(9&lt;=cfg_VAL_M,'مسير سبتمبر'!Y58,0)+IF(10&lt;=cfg_VAL_M,'مسير أكتوبر'!Y58,0)+IF(11&lt;=cfg_VAL_M,'مسير نوفمبر'!Y58,0)+IF(12&lt;=cfg_VAL_M,'مسير ديسمبر'!Y58,0))</f>
        <v/>
      </c>
      <c r="AH58" s="97" t="str">
        <f aca="false">IF($B58="","",AF58/cfg_VAL_M)</f>
        <v/>
      </c>
    </row>
    <row r="59" customFormat="false" ht="15" hidden="false" customHeight="false" outlineLevel="0" collapsed="false">
      <c r="B59" s="102" t="str">
        <f aca="false">IF(الموظفون!$B59="","",الموظفون!$B59)</f>
        <v/>
      </c>
      <c r="C59" s="102" t="str">
        <f aca="false">IF(الموظفون!$B59="","",الموظفون!$C59)</f>
        <v/>
      </c>
      <c r="D59" s="102" t="str">
        <f aca="false">IF(الموظفون!$B59="","",الموظفون!$F59)</f>
        <v/>
      </c>
      <c r="E59" s="102" t="str">
        <f aca="false">IF(الموظفون!$B59="","",الموظفون!$E59)</f>
        <v/>
      </c>
      <c r="F59" s="101" t="str">
        <f aca="false">IF($B59="","",'مسير يناير'!T59)</f>
        <v/>
      </c>
      <c r="G59" s="101" t="str">
        <f aca="false">IF($B59="","",'مسير فبراير'!T59)</f>
        <v/>
      </c>
      <c r="H59" s="101" t="str">
        <f aca="false">IF($B59="","",'مسير مارس'!T59)</f>
        <v/>
      </c>
      <c r="I59" s="101" t="str">
        <f aca="false">IF($B59="","",'مسير أبريل'!T59)</f>
        <v/>
      </c>
      <c r="J59" s="101" t="str">
        <f aca="false">IF($B59="","",'مسير مايو'!T59)</f>
        <v/>
      </c>
      <c r="K59" s="101" t="str">
        <f aca="false">IF($B59="","",'مسير يونيو'!T59)</f>
        <v/>
      </c>
      <c r="L59" s="101" t="str">
        <f aca="false">IF($B59="","",'مسير يوليو'!T59)</f>
        <v/>
      </c>
      <c r="M59" s="101" t="str">
        <f aca="false">IF($B59="","",'مسير أغسطس'!T59)</f>
        <v/>
      </c>
      <c r="N59" s="101" t="str">
        <f aca="false">IF($B59="","",'مسير سبتمبر'!T59)</f>
        <v/>
      </c>
      <c r="O59" s="101" t="str">
        <f aca="false">IF($B59="","",'مسير أكتوبر'!T59)</f>
        <v/>
      </c>
      <c r="P59" s="101" t="str">
        <f aca="false">IF($B59="","",'مسير نوفمبر'!T59)</f>
        <v/>
      </c>
      <c r="Q59" s="101" t="str">
        <f aca="false">IF($B59="","",'مسير ديسمبر'!T59)</f>
        <v/>
      </c>
      <c r="R59" s="144" t="str">
        <f aca="false">IF($B59="","",IF(1&lt;=cfg_VAL_M,'مسير يناير'!T59,0)+IF(2&lt;=cfg_VAL_M,'مسير فبراير'!T59,0)+IF(3&lt;=cfg_VAL_M,'مسير مارس'!T59,0)+IF(4&lt;=cfg_VAL_M,'مسير أبريل'!T59,0)+IF(5&lt;=cfg_VAL_M,'مسير مايو'!T59,0)+IF(6&lt;=cfg_VAL_M,'مسير يونيو'!T59,0)+IF(7&lt;=cfg_VAL_M,'مسير يوليو'!T59,0)+IF(8&lt;=cfg_VAL_M,'مسير أغسطس'!T59,0)+IF(9&lt;=cfg_VAL_M,'مسير سبتمبر'!T59,0)+IF(10&lt;=cfg_VAL_M,'مسير أكتوبر'!T59,0)+IF(11&lt;=cfg_VAL_M,'مسير نوفمبر'!T59,0)+IF(12&lt;=cfg_VAL_M,'مسير ديسمبر'!T59,0))</f>
        <v/>
      </c>
      <c r="T59" s="101" t="str">
        <f aca="false">IF($B59="","",'مسير يناير'!AG59)</f>
        <v/>
      </c>
      <c r="U59" s="101" t="str">
        <f aca="false">IF($B59="","",'مسير فبراير'!AG59)</f>
        <v/>
      </c>
      <c r="V59" s="101" t="str">
        <f aca="false">IF($B59="","",'مسير مارس'!AG59)</f>
        <v/>
      </c>
      <c r="W59" s="101" t="str">
        <f aca="false">IF($B59="","",'مسير أبريل'!AG59)</f>
        <v/>
      </c>
      <c r="X59" s="101" t="str">
        <f aca="false">IF($B59="","",'مسير مايو'!AG59)</f>
        <v/>
      </c>
      <c r="Y59" s="101" t="str">
        <f aca="false">IF($B59="","",'مسير يونيو'!AG59)</f>
        <v/>
      </c>
      <c r="Z59" s="101" t="str">
        <f aca="false">IF($B59="","",'مسير يوليو'!AG59)</f>
        <v/>
      </c>
      <c r="AA59" s="101" t="str">
        <f aca="false">IF($B59="","",'مسير أغسطس'!AG59)</f>
        <v/>
      </c>
      <c r="AB59" s="101" t="str">
        <f aca="false">IF($B59="","",'مسير سبتمبر'!AG59)</f>
        <v/>
      </c>
      <c r="AC59" s="101" t="str">
        <f aca="false">IF($B59="","",'مسير أكتوبر'!AG59)</f>
        <v/>
      </c>
      <c r="AD59" s="101" t="str">
        <f aca="false">IF($B59="","",'مسير نوفمبر'!AG59)</f>
        <v/>
      </c>
      <c r="AE59" s="101" t="str">
        <f aca="false">IF($B59="","",'مسير ديسمبر'!AG59)</f>
        <v/>
      </c>
      <c r="AF59" s="144" t="str">
        <f aca="false">IF($B59="","",IF(1&lt;=cfg_VAL_M,'مسير يناير'!AG59,0)+IF(2&lt;=cfg_VAL_M,'مسير فبراير'!AG59,0)+IF(3&lt;=cfg_VAL_M,'مسير مارس'!AG59,0)+IF(4&lt;=cfg_VAL_M,'مسير أبريل'!AG59,0)+IF(5&lt;=cfg_VAL_M,'مسير مايو'!AG59,0)+IF(6&lt;=cfg_VAL_M,'مسير يونيو'!AG59,0)+IF(7&lt;=cfg_VAL_M,'مسير يوليو'!AG59,0)+IF(8&lt;=cfg_VAL_M,'مسير أغسطس'!AG59,0)+IF(9&lt;=cfg_VAL_M,'مسير سبتمبر'!AG59,0)+IF(10&lt;=cfg_VAL_M,'مسير أكتوبر'!AG59,0)+IF(11&lt;=cfg_VAL_M,'مسير نوفمبر'!AG59,0)+IF(12&lt;=cfg_VAL_M,'مسير ديسمبر'!AG59,0))</f>
        <v/>
      </c>
      <c r="AG59" s="144" t="str">
        <f aca="false">IF($B59="","",IF(1&lt;=cfg_VAL_M,'مسير يناير'!Y59,0)+IF(2&lt;=cfg_VAL_M,'مسير فبراير'!Y59,0)+IF(3&lt;=cfg_VAL_M,'مسير مارس'!Y59,0)+IF(4&lt;=cfg_VAL_M,'مسير أبريل'!Y59,0)+IF(5&lt;=cfg_VAL_M,'مسير مايو'!Y59,0)+IF(6&lt;=cfg_VAL_M,'مسير يونيو'!Y59,0)+IF(7&lt;=cfg_VAL_M,'مسير يوليو'!Y59,0)+IF(8&lt;=cfg_VAL_M,'مسير أغسطس'!Y59,0)+IF(9&lt;=cfg_VAL_M,'مسير سبتمبر'!Y59,0)+IF(10&lt;=cfg_VAL_M,'مسير أكتوبر'!Y59,0)+IF(11&lt;=cfg_VAL_M,'مسير نوفمبر'!Y59,0)+IF(12&lt;=cfg_VAL_M,'مسير ديسمبر'!Y59,0))</f>
        <v/>
      </c>
      <c r="AH59" s="101" t="str">
        <f aca="false">IF($B59="","",AF59/cfg_VAL_M)</f>
        <v/>
      </c>
    </row>
    <row r="60" customFormat="false" ht="15" hidden="false" customHeight="false" outlineLevel="0" collapsed="false">
      <c r="B60" s="80" t="str">
        <f aca="false">IF(الموظفون!$B60="","",الموظفون!$B60)</f>
        <v/>
      </c>
      <c r="C60" s="80" t="str">
        <f aca="false">IF(الموظفون!$B60="","",الموظفون!$C60)</f>
        <v/>
      </c>
      <c r="D60" s="80" t="str">
        <f aca="false">IF(الموظفون!$B60="","",الموظفون!$F60)</f>
        <v/>
      </c>
      <c r="E60" s="80" t="str">
        <f aca="false">IF(الموظفون!$B60="","",الموظفون!$E60)</f>
        <v/>
      </c>
      <c r="F60" s="97" t="str">
        <f aca="false">IF($B60="","",'مسير يناير'!T60)</f>
        <v/>
      </c>
      <c r="G60" s="97" t="str">
        <f aca="false">IF($B60="","",'مسير فبراير'!T60)</f>
        <v/>
      </c>
      <c r="H60" s="97" t="str">
        <f aca="false">IF($B60="","",'مسير مارس'!T60)</f>
        <v/>
      </c>
      <c r="I60" s="97" t="str">
        <f aca="false">IF($B60="","",'مسير أبريل'!T60)</f>
        <v/>
      </c>
      <c r="J60" s="97" t="str">
        <f aca="false">IF($B60="","",'مسير مايو'!T60)</f>
        <v/>
      </c>
      <c r="K60" s="97" t="str">
        <f aca="false">IF($B60="","",'مسير يونيو'!T60)</f>
        <v/>
      </c>
      <c r="L60" s="97" t="str">
        <f aca="false">IF($B60="","",'مسير يوليو'!T60)</f>
        <v/>
      </c>
      <c r="M60" s="97" t="str">
        <f aca="false">IF($B60="","",'مسير أغسطس'!T60)</f>
        <v/>
      </c>
      <c r="N60" s="97" t="str">
        <f aca="false">IF($B60="","",'مسير سبتمبر'!T60)</f>
        <v/>
      </c>
      <c r="O60" s="97" t="str">
        <f aca="false">IF($B60="","",'مسير أكتوبر'!T60)</f>
        <v/>
      </c>
      <c r="P60" s="97" t="str">
        <f aca="false">IF($B60="","",'مسير نوفمبر'!T60)</f>
        <v/>
      </c>
      <c r="Q60" s="97" t="str">
        <f aca="false">IF($B60="","",'مسير ديسمبر'!T60)</f>
        <v/>
      </c>
      <c r="R60" s="143" t="str">
        <f aca="false">IF($B60="","",IF(1&lt;=cfg_VAL_M,'مسير يناير'!T60,0)+IF(2&lt;=cfg_VAL_M,'مسير فبراير'!T60,0)+IF(3&lt;=cfg_VAL_M,'مسير مارس'!T60,0)+IF(4&lt;=cfg_VAL_M,'مسير أبريل'!T60,0)+IF(5&lt;=cfg_VAL_M,'مسير مايو'!T60,0)+IF(6&lt;=cfg_VAL_M,'مسير يونيو'!T60,0)+IF(7&lt;=cfg_VAL_M,'مسير يوليو'!T60,0)+IF(8&lt;=cfg_VAL_M,'مسير أغسطس'!T60,0)+IF(9&lt;=cfg_VAL_M,'مسير سبتمبر'!T60,0)+IF(10&lt;=cfg_VAL_M,'مسير أكتوبر'!T60,0)+IF(11&lt;=cfg_VAL_M,'مسير نوفمبر'!T60,0)+IF(12&lt;=cfg_VAL_M,'مسير ديسمبر'!T60,0))</f>
        <v/>
      </c>
      <c r="T60" s="97" t="str">
        <f aca="false">IF($B60="","",'مسير يناير'!AG60)</f>
        <v/>
      </c>
      <c r="U60" s="97" t="str">
        <f aca="false">IF($B60="","",'مسير فبراير'!AG60)</f>
        <v/>
      </c>
      <c r="V60" s="97" t="str">
        <f aca="false">IF($B60="","",'مسير مارس'!AG60)</f>
        <v/>
      </c>
      <c r="W60" s="97" t="str">
        <f aca="false">IF($B60="","",'مسير أبريل'!AG60)</f>
        <v/>
      </c>
      <c r="X60" s="97" t="str">
        <f aca="false">IF($B60="","",'مسير مايو'!AG60)</f>
        <v/>
      </c>
      <c r="Y60" s="97" t="str">
        <f aca="false">IF($B60="","",'مسير يونيو'!AG60)</f>
        <v/>
      </c>
      <c r="Z60" s="97" t="str">
        <f aca="false">IF($B60="","",'مسير يوليو'!AG60)</f>
        <v/>
      </c>
      <c r="AA60" s="97" t="str">
        <f aca="false">IF($B60="","",'مسير أغسطس'!AG60)</f>
        <v/>
      </c>
      <c r="AB60" s="97" t="str">
        <f aca="false">IF($B60="","",'مسير سبتمبر'!AG60)</f>
        <v/>
      </c>
      <c r="AC60" s="97" t="str">
        <f aca="false">IF($B60="","",'مسير أكتوبر'!AG60)</f>
        <v/>
      </c>
      <c r="AD60" s="97" t="str">
        <f aca="false">IF($B60="","",'مسير نوفمبر'!AG60)</f>
        <v/>
      </c>
      <c r="AE60" s="97" t="str">
        <f aca="false">IF($B60="","",'مسير ديسمبر'!AG60)</f>
        <v/>
      </c>
      <c r="AF60" s="143" t="str">
        <f aca="false">IF($B60="","",IF(1&lt;=cfg_VAL_M,'مسير يناير'!AG60,0)+IF(2&lt;=cfg_VAL_M,'مسير فبراير'!AG60,0)+IF(3&lt;=cfg_VAL_M,'مسير مارس'!AG60,0)+IF(4&lt;=cfg_VAL_M,'مسير أبريل'!AG60,0)+IF(5&lt;=cfg_VAL_M,'مسير مايو'!AG60,0)+IF(6&lt;=cfg_VAL_M,'مسير يونيو'!AG60,0)+IF(7&lt;=cfg_VAL_M,'مسير يوليو'!AG60,0)+IF(8&lt;=cfg_VAL_M,'مسير أغسطس'!AG60,0)+IF(9&lt;=cfg_VAL_M,'مسير سبتمبر'!AG60,0)+IF(10&lt;=cfg_VAL_M,'مسير أكتوبر'!AG60,0)+IF(11&lt;=cfg_VAL_M,'مسير نوفمبر'!AG60,0)+IF(12&lt;=cfg_VAL_M,'مسير ديسمبر'!AG60,0))</f>
        <v/>
      </c>
      <c r="AG60" s="143" t="str">
        <f aca="false">IF($B60="","",IF(1&lt;=cfg_VAL_M,'مسير يناير'!Y60,0)+IF(2&lt;=cfg_VAL_M,'مسير فبراير'!Y60,0)+IF(3&lt;=cfg_VAL_M,'مسير مارس'!Y60,0)+IF(4&lt;=cfg_VAL_M,'مسير أبريل'!Y60,0)+IF(5&lt;=cfg_VAL_M,'مسير مايو'!Y60,0)+IF(6&lt;=cfg_VAL_M,'مسير يونيو'!Y60,0)+IF(7&lt;=cfg_VAL_M,'مسير يوليو'!Y60,0)+IF(8&lt;=cfg_VAL_M,'مسير أغسطس'!Y60,0)+IF(9&lt;=cfg_VAL_M,'مسير سبتمبر'!Y60,0)+IF(10&lt;=cfg_VAL_M,'مسير أكتوبر'!Y60,0)+IF(11&lt;=cfg_VAL_M,'مسير نوفمبر'!Y60,0)+IF(12&lt;=cfg_VAL_M,'مسير ديسمبر'!Y60,0))</f>
        <v/>
      </c>
      <c r="AH60" s="97" t="str">
        <f aca="false">IF($B60="","",AF60/cfg_VAL_M)</f>
        <v/>
      </c>
    </row>
    <row r="61" customFormat="false" ht="15" hidden="false" customHeight="false" outlineLevel="0" collapsed="false">
      <c r="B61" s="102" t="str">
        <f aca="false">IF(الموظفون!$B61="","",الموظفون!$B61)</f>
        <v/>
      </c>
      <c r="C61" s="102" t="str">
        <f aca="false">IF(الموظفون!$B61="","",الموظفون!$C61)</f>
        <v/>
      </c>
      <c r="D61" s="102" t="str">
        <f aca="false">IF(الموظفون!$B61="","",الموظفون!$F61)</f>
        <v/>
      </c>
      <c r="E61" s="102" t="str">
        <f aca="false">IF(الموظفون!$B61="","",الموظفون!$E61)</f>
        <v/>
      </c>
      <c r="F61" s="101" t="str">
        <f aca="false">IF($B61="","",'مسير يناير'!T61)</f>
        <v/>
      </c>
      <c r="G61" s="101" t="str">
        <f aca="false">IF($B61="","",'مسير فبراير'!T61)</f>
        <v/>
      </c>
      <c r="H61" s="101" t="str">
        <f aca="false">IF($B61="","",'مسير مارس'!T61)</f>
        <v/>
      </c>
      <c r="I61" s="101" t="str">
        <f aca="false">IF($B61="","",'مسير أبريل'!T61)</f>
        <v/>
      </c>
      <c r="J61" s="101" t="str">
        <f aca="false">IF($B61="","",'مسير مايو'!T61)</f>
        <v/>
      </c>
      <c r="K61" s="101" t="str">
        <f aca="false">IF($B61="","",'مسير يونيو'!T61)</f>
        <v/>
      </c>
      <c r="L61" s="101" t="str">
        <f aca="false">IF($B61="","",'مسير يوليو'!T61)</f>
        <v/>
      </c>
      <c r="M61" s="101" t="str">
        <f aca="false">IF($B61="","",'مسير أغسطس'!T61)</f>
        <v/>
      </c>
      <c r="N61" s="101" t="str">
        <f aca="false">IF($B61="","",'مسير سبتمبر'!T61)</f>
        <v/>
      </c>
      <c r="O61" s="101" t="str">
        <f aca="false">IF($B61="","",'مسير أكتوبر'!T61)</f>
        <v/>
      </c>
      <c r="P61" s="101" t="str">
        <f aca="false">IF($B61="","",'مسير نوفمبر'!T61)</f>
        <v/>
      </c>
      <c r="Q61" s="101" t="str">
        <f aca="false">IF($B61="","",'مسير ديسمبر'!T61)</f>
        <v/>
      </c>
      <c r="R61" s="144" t="str">
        <f aca="false">IF($B61="","",IF(1&lt;=cfg_VAL_M,'مسير يناير'!T61,0)+IF(2&lt;=cfg_VAL_M,'مسير فبراير'!T61,0)+IF(3&lt;=cfg_VAL_M,'مسير مارس'!T61,0)+IF(4&lt;=cfg_VAL_M,'مسير أبريل'!T61,0)+IF(5&lt;=cfg_VAL_M,'مسير مايو'!T61,0)+IF(6&lt;=cfg_VAL_M,'مسير يونيو'!T61,0)+IF(7&lt;=cfg_VAL_M,'مسير يوليو'!T61,0)+IF(8&lt;=cfg_VAL_M,'مسير أغسطس'!T61,0)+IF(9&lt;=cfg_VAL_M,'مسير سبتمبر'!T61,0)+IF(10&lt;=cfg_VAL_M,'مسير أكتوبر'!T61,0)+IF(11&lt;=cfg_VAL_M,'مسير نوفمبر'!T61,0)+IF(12&lt;=cfg_VAL_M,'مسير ديسمبر'!T61,0))</f>
        <v/>
      </c>
      <c r="T61" s="101" t="str">
        <f aca="false">IF($B61="","",'مسير يناير'!AG61)</f>
        <v/>
      </c>
      <c r="U61" s="101" t="str">
        <f aca="false">IF($B61="","",'مسير فبراير'!AG61)</f>
        <v/>
      </c>
      <c r="V61" s="101" t="str">
        <f aca="false">IF($B61="","",'مسير مارس'!AG61)</f>
        <v/>
      </c>
      <c r="W61" s="101" t="str">
        <f aca="false">IF($B61="","",'مسير أبريل'!AG61)</f>
        <v/>
      </c>
      <c r="X61" s="101" t="str">
        <f aca="false">IF($B61="","",'مسير مايو'!AG61)</f>
        <v/>
      </c>
      <c r="Y61" s="101" t="str">
        <f aca="false">IF($B61="","",'مسير يونيو'!AG61)</f>
        <v/>
      </c>
      <c r="Z61" s="101" t="str">
        <f aca="false">IF($B61="","",'مسير يوليو'!AG61)</f>
        <v/>
      </c>
      <c r="AA61" s="101" t="str">
        <f aca="false">IF($B61="","",'مسير أغسطس'!AG61)</f>
        <v/>
      </c>
      <c r="AB61" s="101" t="str">
        <f aca="false">IF($B61="","",'مسير سبتمبر'!AG61)</f>
        <v/>
      </c>
      <c r="AC61" s="101" t="str">
        <f aca="false">IF($B61="","",'مسير أكتوبر'!AG61)</f>
        <v/>
      </c>
      <c r="AD61" s="101" t="str">
        <f aca="false">IF($B61="","",'مسير نوفمبر'!AG61)</f>
        <v/>
      </c>
      <c r="AE61" s="101" t="str">
        <f aca="false">IF($B61="","",'مسير ديسمبر'!AG61)</f>
        <v/>
      </c>
      <c r="AF61" s="144" t="str">
        <f aca="false">IF($B61="","",IF(1&lt;=cfg_VAL_M,'مسير يناير'!AG61,0)+IF(2&lt;=cfg_VAL_M,'مسير فبراير'!AG61,0)+IF(3&lt;=cfg_VAL_M,'مسير مارس'!AG61,0)+IF(4&lt;=cfg_VAL_M,'مسير أبريل'!AG61,0)+IF(5&lt;=cfg_VAL_M,'مسير مايو'!AG61,0)+IF(6&lt;=cfg_VAL_M,'مسير يونيو'!AG61,0)+IF(7&lt;=cfg_VAL_M,'مسير يوليو'!AG61,0)+IF(8&lt;=cfg_VAL_M,'مسير أغسطس'!AG61,0)+IF(9&lt;=cfg_VAL_M,'مسير سبتمبر'!AG61,0)+IF(10&lt;=cfg_VAL_M,'مسير أكتوبر'!AG61,0)+IF(11&lt;=cfg_VAL_M,'مسير نوفمبر'!AG61,0)+IF(12&lt;=cfg_VAL_M,'مسير ديسمبر'!AG61,0))</f>
        <v/>
      </c>
      <c r="AG61" s="144" t="str">
        <f aca="false">IF($B61="","",IF(1&lt;=cfg_VAL_M,'مسير يناير'!Y61,0)+IF(2&lt;=cfg_VAL_M,'مسير فبراير'!Y61,0)+IF(3&lt;=cfg_VAL_M,'مسير مارس'!Y61,0)+IF(4&lt;=cfg_VAL_M,'مسير أبريل'!Y61,0)+IF(5&lt;=cfg_VAL_M,'مسير مايو'!Y61,0)+IF(6&lt;=cfg_VAL_M,'مسير يونيو'!Y61,0)+IF(7&lt;=cfg_VAL_M,'مسير يوليو'!Y61,0)+IF(8&lt;=cfg_VAL_M,'مسير أغسطس'!Y61,0)+IF(9&lt;=cfg_VAL_M,'مسير سبتمبر'!Y61,0)+IF(10&lt;=cfg_VAL_M,'مسير أكتوبر'!Y61,0)+IF(11&lt;=cfg_VAL_M,'مسير نوفمبر'!Y61,0)+IF(12&lt;=cfg_VAL_M,'مسير ديسمبر'!Y61,0))</f>
        <v/>
      </c>
      <c r="AH61" s="101" t="str">
        <f aca="false">IF($B61="","",AF61/cfg_VAL_M)</f>
        <v/>
      </c>
    </row>
    <row r="62" customFormat="false" ht="15" hidden="false" customHeight="false" outlineLevel="0" collapsed="false">
      <c r="B62" s="80" t="str">
        <f aca="false">IF(الموظفون!$B62="","",الموظفون!$B62)</f>
        <v/>
      </c>
      <c r="C62" s="80" t="str">
        <f aca="false">IF(الموظفون!$B62="","",الموظفون!$C62)</f>
        <v/>
      </c>
      <c r="D62" s="80" t="str">
        <f aca="false">IF(الموظفون!$B62="","",الموظفون!$F62)</f>
        <v/>
      </c>
      <c r="E62" s="80" t="str">
        <f aca="false">IF(الموظفون!$B62="","",الموظفون!$E62)</f>
        <v/>
      </c>
      <c r="F62" s="97" t="str">
        <f aca="false">IF($B62="","",'مسير يناير'!T62)</f>
        <v/>
      </c>
      <c r="G62" s="97" t="str">
        <f aca="false">IF($B62="","",'مسير فبراير'!T62)</f>
        <v/>
      </c>
      <c r="H62" s="97" t="str">
        <f aca="false">IF($B62="","",'مسير مارس'!T62)</f>
        <v/>
      </c>
      <c r="I62" s="97" t="str">
        <f aca="false">IF($B62="","",'مسير أبريل'!T62)</f>
        <v/>
      </c>
      <c r="J62" s="97" t="str">
        <f aca="false">IF($B62="","",'مسير مايو'!T62)</f>
        <v/>
      </c>
      <c r="K62" s="97" t="str">
        <f aca="false">IF($B62="","",'مسير يونيو'!T62)</f>
        <v/>
      </c>
      <c r="L62" s="97" t="str">
        <f aca="false">IF($B62="","",'مسير يوليو'!T62)</f>
        <v/>
      </c>
      <c r="M62" s="97" t="str">
        <f aca="false">IF($B62="","",'مسير أغسطس'!T62)</f>
        <v/>
      </c>
      <c r="N62" s="97" t="str">
        <f aca="false">IF($B62="","",'مسير سبتمبر'!T62)</f>
        <v/>
      </c>
      <c r="O62" s="97" t="str">
        <f aca="false">IF($B62="","",'مسير أكتوبر'!T62)</f>
        <v/>
      </c>
      <c r="P62" s="97" t="str">
        <f aca="false">IF($B62="","",'مسير نوفمبر'!T62)</f>
        <v/>
      </c>
      <c r="Q62" s="97" t="str">
        <f aca="false">IF($B62="","",'مسير ديسمبر'!T62)</f>
        <v/>
      </c>
      <c r="R62" s="143" t="str">
        <f aca="false">IF($B62="","",IF(1&lt;=cfg_VAL_M,'مسير يناير'!T62,0)+IF(2&lt;=cfg_VAL_M,'مسير فبراير'!T62,0)+IF(3&lt;=cfg_VAL_M,'مسير مارس'!T62,0)+IF(4&lt;=cfg_VAL_M,'مسير أبريل'!T62,0)+IF(5&lt;=cfg_VAL_M,'مسير مايو'!T62,0)+IF(6&lt;=cfg_VAL_M,'مسير يونيو'!T62,0)+IF(7&lt;=cfg_VAL_M,'مسير يوليو'!T62,0)+IF(8&lt;=cfg_VAL_M,'مسير أغسطس'!T62,0)+IF(9&lt;=cfg_VAL_M,'مسير سبتمبر'!T62,0)+IF(10&lt;=cfg_VAL_M,'مسير أكتوبر'!T62,0)+IF(11&lt;=cfg_VAL_M,'مسير نوفمبر'!T62,0)+IF(12&lt;=cfg_VAL_M,'مسير ديسمبر'!T62,0))</f>
        <v/>
      </c>
      <c r="T62" s="97" t="str">
        <f aca="false">IF($B62="","",'مسير يناير'!AG62)</f>
        <v/>
      </c>
      <c r="U62" s="97" t="str">
        <f aca="false">IF($B62="","",'مسير فبراير'!AG62)</f>
        <v/>
      </c>
      <c r="V62" s="97" t="str">
        <f aca="false">IF($B62="","",'مسير مارس'!AG62)</f>
        <v/>
      </c>
      <c r="W62" s="97" t="str">
        <f aca="false">IF($B62="","",'مسير أبريل'!AG62)</f>
        <v/>
      </c>
      <c r="X62" s="97" t="str">
        <f aca="false">IF($B62="","",'مسير مايو'!AG62)</f>
        <v/>
      </c>
      <c r="Y62" s="97" t="str">
        <f aca="false">IF($B62="","",'مسير يونيو'!AG62)</f>
        <v/>
      </c>
      <c r="Z62" s="97" t="str">
        <f aca="false">IF($B62="","",'مسير يوليو'!AG62)</f>
        <v/>
      </c>
      <c r="AA62" s="97" t="str">
        <f aca="false">IF($B62="","",'مسير أغسطس'!AG62)</f>
        <v/>
      </c>
      <c r="AB62" s="97" t="str">
        <f aca="false">IF($B62="","",'مسير سبتمبر'!AG62)</f>
        <v/>
      </c>
      <c r="AC62" s="97" t="str">
        <f aca="false">IF($B62="","",'مسير أكتوبر'!AG62)</f>
        <v/>
      </c>
      <c r="AD62" s="97" t="str">
        <f aca="false">IF($B62="","",'مسير نوفمبر'!AG62)</f>
        <v/>
      </c>
      <c r="AE62" s="97" t="str">
        <f aca="false">IF($B62="","",'مسير ديسمبر'!AG62)</f>
        <v/>
      </c>
      <c r="AF62" s="143" t="str">
        <f aca="false">IF($B62="","",IF(1&lt;=cfg_VAL_M,'مسير يناير'!AG62,0)+IF(2&lt;=cfg_VAL_M,'مسير فبراير'!AG62,0)+IF(3&lt;=cfg_VAL_M,'مسير مارس'!AG62,0)+IF(4&lt;=cfg_VAL_M,'مسير أبريل'!AG62,0)+IF(5&lt;=cfg_VAL_M,'مسير مايو'!AG62,0)+IF(6&lt;=cfg_VAL_M,'مسير يونيو'!AG62,0)+IF(7&lt;=cfg_VAL_M,'مسير يوليو'!AG62,0)+IF(8&lt;=cfg_VAL_M,'مسير أغسطس'!AG62,0)+IF(9&lt;=cfg_VAL_M,'مسير سبتمبر'!AG62,0)+IF(10&lt;=cfg_VAL_M,'مسير أكتوبر'!AG62,0)+IF(11&lt;=cfg_VAL_M,'مسير نوفمبر'!AG62,0)+IF(12&lt;=cfg_VAL_M,'مسير ديسمبر'!AG62,0))</f>
        <v/>
      </c>
      <c r="AG62" s="143" t="str">
        <f aca="false">IF($B62="","",IF(1&lt;=cfg_VAL_M,'مسير يناير'!Y62,0)+IF(2&lt;=cfg_VAL_M,'مسير فبراير'!Y62,0)+IF(3&lt;=cfg_VAL_M,'مسير مارس'!Y62,0)+IF(4&lt;=cfg_VAL_M,'مسير أبريل'!Y62,0)+IF(5&lt;=cfg_VAL_M,'مسير مايو'!Y62,0)+IF(6&lt;=cfg_VAL_M,'مسير يونيو'!Y62,0)+IF(7&lt;=cfg_VAL_M,'مسير يوليو'!Y62,0)+IF(8&lt;=cfg_VAL_M,'مسير أغسطس'!Y62,0)+IF(9&lt;=cfg_VAL_M,'مسير سبتمبر'!Y62,0)+IF(10&lt;=cfg_VAL_M,'مسير أكتوبر'!Y62,0)+IF(11&lt;=cfg_VAL_M,'مسير نوفمبر'!Y62,0)+IF(12&lt;=cfg_VAL_M,'مسير ديسمبر'!Y62,0))</f>
        <v/>
      </c>
      <c r="AH62" s="97" t="str">
        <f aca="false">IF($B62="","",AF62/cfg_VAL_M)</f>
        <v/>
      </c>
    </row>
    <row r="63" customFormat="false" ht="15" hidden="false" customHeight="false" outlineLevel="0" collapsed="false">
      <c r="B63" s="102" t="str">
        <f aca="false">IF(الموظفون!$B63="","",الموظفون!$B63)</f>
        <v/>
      </c>
      <c r="C63" s="102" t="str">
        <f aca="false">IF(الموظفون!$B63="","",الموظفون!$C63)</f>
        <v/>
      </c>
      <c r="D63" s="102" t="str">
        <f aca="false">IF(الموظفون!$B63="","",الموظفون!$F63)</f>
        <v/>
      </c>
      <c r="E63" s="102" t="str">
        <f aca="false">IF(الموظفون!$B63="","",الموظفون!$E63)</f>
        <v/>
      </c>
      <c r="F63" s="101" t="str">
        <f aca="false">IF($B63="","",'مسير يناير'!T63)</f>
        <v/>
      </c>
      <c r="G63" s="101" t="str">
        <f aca="false">IF($B63="","",'مسير فبراير'!T63)</f>
        <v/>
      </c>
      <c r="H63" s="101" t="str">
        <f aca="false">IF($B63="","",'مسير مارس'!T63)</f>
        <v/>
      </c>
      <c r="I63" s="101" t="str">
        <f aca="false">IF($B63="","",'مسير أبريل'!T63)</f>
        <v/>
      </c>
      <c r="J63" s="101" t="str">
        <f aca="false">IF($B63="","",'مسير مايو'!T63)</f>
        <v/>
      </c>
      <c r="K63" s="101" t="str">
        <f aca="false">IF($B63="","",'مسير يونيو'!T63)</f>
        <v/>
      </c>
      <c r="L63" s="101" t="str">
        <f aca="false">IF($B63="","",'مسير يوليو'!T63)</f>
        <v/>
      </c>
      <c r="M63" s="101" t="str">
        <f aca="false">IF($B63="","",'مسير أغسطس'!T63)</f>
        <v/>
      </c>
      <c r="N63" s="101" t="str">
        <f aca="false">IF($B63="","",'مسير سبتمبر'!T63)</f>
        <v/>
      </c>
      <c r="O63" s="101" t="str">
        <f aca="false">IF($B63="","",'مسير أكتوبر'!T63)</f>
        <v/>
      </c>
      <c r="P63" s="101" t="str">
        <f aca="false">IF($B63="","",'مسير نوفمبر'!T63)</f>
        <v/>
      </c>
      <c r="Q63" s="101" t="str">
        <f aca="false">IF($B63="","",'مسير ديسمبر'!T63)</f>
        <v/>
      </c>
      <c r="R63" s="144" t="str">
        <f aca="false">IF($B63="","",IF(1&lt;=cfg_VAL_M,'مسير يناير'!T63,0)+IF(2&lt;=cfg_VAL_M,'مسير فبراير'!T63,0)+IF(3&lt;=cfg_VAL_M,'مسير مارس'!T63,0)+IF(4&lt;=cfg_VAL_M,'مسير أبريل'!T63,0)+IF(5&lt;=cfg_VAL_M,'مسير مايو'!T63,0)+IF(6&lt;=cfg_VAL_M,'مسير يونيو'!T63,0)+IF(7&lt;=cfg_VAL_M,'مسير يوليو'!T63,0)+IF(8&lt;=cfg_VAL_M,'مسير أغسطس'!T63,0)+IF(9&lt;=cfg_VAL_M,'مسير سبتمبر'!T63,0)+IF(10&lt;=cfg_VAL_M,'مسير أكتوبر'!T63,0)+IF(11&lt;=cfg_VAL_M,'مسير نوفمبر'!T63,0)+IF(12&lt;=cfg_VAL_M,'مسير ديسمبر'!T63,0))</f>
        <v/>
      </c>
      <c r="T63" s="101" t="str">
        <f aca="false">IF($B63="","",'مسير يناير'!AG63)</f>
        <v/>
      </c>
      <c r="U63" s="101" t="str">
        <f aca="false">IF($B63="","",'مسير فبراير'!AG63)</f>
        <v/>
      </c>
      <c r="V63" s="101" t="str">
        <f aca="false">IF($B63="","",'مسير مارس'!AG63)</f>
        <v/>
      </c>
      <c r="W63" s="101" t="str">
        <f aca="false">IF($B63="","",'مسير أبريل'!AG63)</f>
        <v/>
      </c>
      <c r="X63" s="101" t="str">
        <f aca="false">IF($B63="","",'مسير مايو'!AG63)</f>
        <v/>
      </c>
      <c r="Y63" s="101" t="str">
        <f aca="false">IF($B63="","",'مسير يونيو'!AG63)</f>
        <v/>
      </c>
      <c r="Z63" s="101" t="str">
        <f aca="false">IF($B63="","",'مسير يوليو'!AG63)</f>
        <v/>
      </c>
      <c r="AA63" s="101" t="str">
        <f aca="false">IF($B63="","",'مسير أغسطس'!AG63)</f>
        <v/>
      </c>
      <c r="AB63" s="101" t="str">
        <f aca="false">IF($B63="","",'مسير سبتمبر'!AG63)</f>
        <v/>
      </c>
      <c r="AC63" s="101" t="str">
        <f aca="false">IF($B63="","",'مسير أكتوبر'!AG63)</f>
        <v/>
      </c>
      <c r="AD63" s="101" t="str">
        <f aca="false">IF($B63="","",'مسير نوفمبر'!AG63)</f>
        <v/>
      </c>
      <c r="AE63" s="101" t="str">
        <f aca="false">IF($B63="","",'مسير ديسمبر'!AG63)</f>
        <v/>
      </c>
      <c r="AF63" s="144" t="str">
        <f aca="false">IF($B63="","",IF(1&lt;=cfg_VAL_M,'مسير يناير'!AG63,0)+IF(2&lt;=cfg_VAL_M,'مسير فبراير'!AG63,0)+IF(3&lt;=cfg_VAL_M,'مسير مارس'!AG63,0)+IF(4&lt;=cfg_VAL_M,'مسير أبريل'!AG63,0)+IF(5&lt;=cfg_VAL_M,'مسير مايو'!AG63,0)+IF(6&lt;=cfg_VAL_M,'مسير يونيو'!AG63,0)+IF(7&lt;=cfg_VAL_M,'مسير يوليو'!AG63,0)+IF(8&lt;=cfg_VAL_M,'مسير أغسطس'!AG63,0)+IF(9&lt;=cfg_VAL_M,'مسير سبتمبر'!AG63,0)+IF(10&lt;=cfg_VAL_M,'مسير أكتوبر'!AG63,0)+IF(11&lt;=cfg_VAL_M,'مسير نوفمبر'!AG63,0)+IF(12&lt;=cfg_VAL_M,'مسير ديسمبر'!AG63,0))</f>
        <v/>
      </c>
      <c r="AG63" s="144" t="str">
        <f aca="false">IF($B63="","",IF(1&lt;=cfg_VAL_M,'مسير يناير'!Y63,0)+IF(2&lt;=cfg_VAL_M,'مسير فبراير'!Y63,0)+IF(3&lt;=cfg_VAL_M,'مسير مارس'!Y63,0)+IF(4&lt;=cfg_VAL_M,'مسير أبريل'!Y63,0)+IF(5&lt;=cfg_VAL_M,'مسير مايو'!Y63,0)+IF(6&lt;=cfg_VAL_M,'مسير يونيو'!Y63,0)+IF(7&lt;=cfg_VAL_M,'مسير يوليو'!Y63,0)+IF(8&lt;=cfg_VAL_M,'مسير أغسطس'!Y63,0)+IF(9&lt;=cfg_VAL_M,'مسير سبتمبر'!Y63,0)+IF(10&lt;=cfg_VAL_M,'مسير أكتوبر'!Y63,0)+IF(11&lt;=cfg_VAL_M,'مسير نوفمبر'!Y63,0)+IF(12&lt;=cfg_VAL_M,'مسير ديسمبر'!Y63,0))</f>
        <v/>
      </c>
      <c r="AH63" s="101" t="str">
        <f aca="false">IF($B63="","",AF63/cfg_VAL_M)</f>
        <v/>
      </c>
    </row>
    <row r="64" customFormat="false" ht="15" hidden="false" customHeight="false" outlineLevel="0" collapsed="false">
      <c r="B64" s="80" t="str">
        <f aca="false">IF(الموظفون!$B64="","",الموظفون!$B64)</f>
        <v/>
      </c>
      <c r="C64" s="80" t="str">
        <f aca="false">IF(الموظفون!$B64="","",الموظفون!$C64)</f>
        <v/>
      </c>
      <c r="D64" s="80" t="str">
        <f aca="false">IF(الموظفون!$B64="","",الموظفون!$F64)</f>
        <v/>
      </c>
      <c r="E64" s="80" t="str">
        <f aca="false">IF(الموظفون!$B64="","",الموظفون!$E64)</f>
        <v/>
      </c>
      <c r="F64" s="97" t="str">
        <f aca="false">IF($B64="","",'مسير يناير'!T64)</f>
        <v/>
      </c>
      <c r="G64" s="97" t="str">
        <f aca="false">IF($B64="","",'مسير فبراير'!T64)</f>
        <v/>
      </c>
      <c r="H64" s="97" t="str">
        <f aca="false">IF($B64="","",'مسير مارس'!T64)</f>
        <v/>
      </c>
      <c r="I64" s="97" t="str">
        <f aca="false">IF($B64="","",'مسير أبريل'!T64)</f>
        <v/>
      </c>
      <c r="J64" s="97" t="str">
        <f aca="false">IF($B64="","",'مسير مايو'!T64)</f>
        <v/>
      </c>
      <c r="K64" s="97" t="str">
        <f aca="false">IF($B64="","",'مسير يونيو'!T64)</f>
        <v/>
      </c>
      <c r="L64" s="97" t="str">
        <f aca="false">IF($B64="","",'مسير يوليو'!T64)</f>
        <v/>
      </c>
      <c r="M64" s="97" t="str">
        <f aca="false">IF($B64="","",'مسير أغسطس'!T64)</f>
        <v/>
      </c>
      <c r="N64" s="97" t="str">
        <f aca="false">IF($B64="","",'مسير سبتمبر'!T64)</f>
        <v/>
      </c>
      <c r="O64" s="97" t="str">
        <f aca="false">IF($B64="","",'مسير أكتوبر'!T64)</f>
        <v/>
      </c>
      <c r="P64" s="97" t="str">
        <f aca="false">IF($B64="","",'مسير نوفمبر'!T64)</f>
        <v/>
      </c>
      <c r="Q64" s="97" t="str">
        <f aca="false">IF($B64="","",'مسير ديسمبر'!T64)</f>
        <v/>
      </c>
      <c r="R64" s="143" t="str">
        <f aca="false">IF($B64="","",IF(1&lt;=cfg_VAL_M,'مسير يناير'!T64,0)+IF(2&lt;=cfg_VAL_M,'مسير فبراير'!T64,0)+IF(3&lt;=cfg_VAL_M,'مسير مارس'!T64,0)+IF(4&lt;=cfg_VAL_M,'مسير أبريل'!T64,0)+IF(5&lt;=cfg_VAL_M,'مسير مايو'!T64,0)+IF(6&lt;=cfg_VAL_M,'مسير يونيو'!T64,0)+IF(7&lt;=cfg_VAL_M,'مسير يوليو'!T64,0)+IF(8&lt;=cfg_VAL_M,'مسير أغسطس'!T64,0)+IF(9&lt;=cfg_VAL_M,'مسير سبتمبر'!T64,0)+IF(10&lt;=cfg_VAL_M,'مسير أكتوبر'!T64,0)+IF(11&lt;=cfg_VAL_M,'مسير نوفمبر'!T64,0)+IF(12&lt;=cfg_VAL_M,'مسير ديسمبر'!T64,0))</f>
        <v/>
      </c>
      <c r="T64" s="97" t="str">
        <f aca="false">IF($B64="","",'مسير يناير'!AG64)</f>
        <v/>
      </c>
      <c r="U64" s="97" t="str">
        <f aca="false">IF($B64="","",'مسير فبراير'!AG64)</f>
        <v/>
      </c>
      <c r="V64" s="97" t="str">
        <f aca="false">IF($B64="","",'مسير مارس'!AG64)</f>
        <v/>
      </c>
      <c r="W64" s="97" t="str">
        <f aca="false">IF($B64="","",'مسير أبريل'!AG64)</f>
        <v/>
      </c>
      <c r="X64" s="97" t="str">
        <f aca="false">IF($B64="","",'مسير مايو'!AG64)</f>
        <v/>
      </c>
      <c r="Y64" s="97" t="str">
        <f aca="false">IF($B64="","",'مسير يونيو'!AG64)</f>
        <v/>
      </c>
      <c r="Z64" s="97" t="str">
        <f aca="false">IF($B64="","",'مسير يوليو'!AG64)</f>
        <v/>
      </c>
      <c r="AA64" s="97" t="str">
        <f aca="false">IF($B64="","",'مسير أغسطس'!AG64)</f>
        <v/>
      </c>
      <c r="AB64" s="97" t="str">
        <f aca="false">IF($B64="","",'مسير سبتمبر'!AG64)</f>
        <v/>
      </c>
      <c r="AC64" s="97" t="str">
        <f aca="false">IF($B64="","",'مسير أكتوبر'!AG64)</f>
        <v/>
      </c>
      <c r="AD64" s="97" t="str">
        <f aca="false">IF($B64="","",'مسير نوفمبر'!AG64)</f>
        <v/>
      </c>
      <c r="AE64" s="97" t="str">
        <f aca="false">IF($B64="","",'مسير ديسمبر'!AG64)</f>
        <v/>
      </c>
      <c r="AF64" s="143" t="str">
        <f aca="false">IF($B64="","",IF(1&lt;=cfg_VAL_M,'مسير يناير'!AG64,0)+IF(2&lt;=cfg_VAL_M,'مسير فبراير'!AG64,0)+IF(3&lt;=cfg_VAL_M,'مسير مارس'!AG64,0)+IF(4&lt;=cfg_VAL_M,'مسير أبريل'!AG64,0)+IF(5&lt;=cfg_VAL_M,'مسير مايو'!AG64,0)+IF(6&lt;=cfg_VAL_M,'مسير يونيو'!AG64,0)+IF(7&lt;=cfg_VAL_M,'مسير يوليو'!AG64,0)+IF(8&lt;=cfg_VAL_M,'مسير أغسطس'!AG64,0)+IF(9&lt;=cfg_VAL_M,'مسير سبتمبر'!AG64,0)+IF(10&lt;=cfg_VAL_M,'مسير أكتوبر'!AG64,0)+IF(11&lt;=cfg_VAL_M,'مسير نوفمبر'!AG64,0)+IF(12&lt;=cfg_VAL_M,'مسير ديسمبر'!AG64,0))</f>
        <v/>
      </c>
      <c r="AG64" s="143" t="str">
        <f aca="false">IF($B64="","",IF(1&lt;=cfg_VAL_M,'مسير يناير'!Y64,0)+IF(2&lt;=cfg_VAL_M,'مسير فبراير'!Y64,0)+IF(3&lt;=cfg_VAL_M,'مسير مارس'!Y64,0)+IF(4&lt;=cfg_VAL_M,'مسير أبريل'!Y64,0)+IF(5&lt;=cfg_VAL_M,'مسير مايو'!Y64,0)+IF(6&lt;=cfg_VAL_M,'مسير يونيو'!Y64,0)+IF(7&lt;=cfg_VAL_M,'مسير يوليو'!Y64,0)+IF(8&lt;=cfg_VAL_M,'مسير أغسطس'!Y64,0)+IF(9&lt;=cfg_VAL_M,'مسير سبتمبر'!Y64,0)+IF(10&lt;=cfg_VAL_M,'مسير أكتوبر'!Y64,0)+IF(11&lt;=cfg_VAL_M,'مسير نوفمبر'!Y64,0)+IF(12&lt;=cfg_VAL_M,'مسير ديسمبر'!Y64,0))</f>
        <v/>
      </c>
      <c r="AH64" s="97" t="str">
        <f aca="false">IF($B64="","",AF64/cfg_VAL_M)</f>
        <v/>
      </c>
    </row>
    <row r="65" customFormat="false" ht="15" hidden="false" customHeight="false" outlineLevel="0" collapsed="false">
      <c r="B65" s="102" t="str">
        <f aca="false">IF(الموظفون!$B65="","",الموظفون!$B65)</f>
        <v/>
      </c>
      <c r="C65" s="102" t="str">
        <f aca="false">IF(الموظفون!$B65="","",الموظفون!$C65)</f>
        <v/>
      </c>
      <c r="D65" s="102" t="str">
        <f aca="false">IF(الموظفون!$B65="","",الموظفون!$F65)</f>
        <v/>
      </c>
      <c r="E65" s="102" t="str">
        <f aca="false">IF(الموظفون!$B65="","",الموظفون!$E65)</f>
        <v/>
      </c>
      <c r="F65" s="101" t="str">
        <f aca="false">IF($B65="","",'مسير يناير'!T65)</f>
        <v/>
      </c>
      <c r="G65" s="101" t="str">
        <f aca="false">IF($B65="","",'مسير فبراير'!T65)</f>
        <v/>
      </c>
      <c r="H65" s="101" t="str">
        <f aca="false">IF($B65="","",'مسير مارس'!T65)</f>
        <v/>
      </c>
      <c r="I65" s="101" t="str">
        <f aca="false">IF($B65="","",'مسير أبريل'!T65)</f>
        <v/>
      </c>
      <c r="J65" s="101" t="str">
        <f aca="false">IF($B65="","",'مسير مايو'!T65)</f>
        <v/>
      </c>
      <c r="K65" s="101" t="str">
        <f aca="false">IF($B65="","",'مسير يونيو'!T65)</f>
        <v/>
      </c>
      <c r="L65" s="101" t="str">
        <f aca="false">IF($B65="","",'مسير يوليو'!T65)</f>
        <v/>
      </c>
      <c r="M65" s="101" t="str">
        <f aca="false">IF($B65="","",'مسير أغسطس'!T65)</f>
        <v/>
      </c>
      <c r="N65" s="101" t="str">
        <f aca="false">IF($B65="","",'مسير سبتمبر'!T65)</f>
        <v/>
      </c>
      <c r="O65" s="101" t="str">
        <f aca="false">IF($B65="","",'مسير أكتوبر'!T65)</f>
        <v/>
      </c>
      <c r="P65" s="101" t="str">
        <f aca="false">IF($B65="","",'مسير نوفمبر'!T65)</f>
        <v/>
      </c>
      <c r="Q65" s="101" t="str">
        <f aca="false">IF($B65="","",'مسير ديسمبر'!T65)</f>
        <v/>
      </c>
      <c r="R65" s="144" t="str">
        <f aca="false">IF($B65="","",IF(1&lt;=cfg_VAL_M,'مسير يناير'!T65,0)+IF(2&lt;=cfg_VAL_M,'مسير فبراير'!T65,0)+IF(3&lt;=cfg_VAL_M,'مسير مارس'!T65,0)+IF(4&lt;=cfg_VAL_M,'مسير أبريل'!T65,0)+IF(5&lt;=cfg_VAL_M,'مسير مايو'!T65,0)+IF(6&lt;=cfg_VAL_M,'مسير يونيو'!T65,0)+IF(7&lt;=cfg_VAL_M,'مسير يوليو'!T65,0)+IF(8&lt;=cfg_VAL_M,'مسير أغسطس'!T65,0)+IF(9&lt;=cfg_VAL_M,'مسير سبتمبر'!T65,0)+IF(10&lt;=cfg_VAL_M,'مسير أكتوبر'!T65,0)+IF(11&lt;=cfg_VAL_M,'مسير نوفمبر'!T65,0)+IF(12&lt;=cfg_VAL_M,'مسير ديسمبر'!T65,0))</f>
        <v/>
      </c>
      <c r="T65" s="101" t="str">
        <f aca="false">IF($B65="","",'مسير يناير'!AG65)</f>
        <v/>
      </c>
      <c r="U65" s="101" t="str">
        <f aca="false">IF($B65="","",'مسير فبراير'!AG65)</f>
        <v/>
      </c>
      <c r="V65" s="101" t="str">
        <f aca="false">IF($B65="","",'مسير مارس'!AG65)</f>
        <v/>
      </c>
      <c r="W65" s="101" t="str">
        <f aca="false">IF($B65="","",'مسير أبريل'!AG65)</f>
        <v/>
      </c>
      <c r="X65" s="101" t="str">
        <f aca="false">IF($B65="","",'مسير مايو'!AG65)</f>
        <v/>
      </c>
      <c r="Y65" s="101" t="str">
        <f aca="false">IF($B65="","",'مسير يونيو'!AG65)</f>
        <v/>
      </c>
      <c r="Z65" s="101" t="str">
        <f aca="false">IF($B65="","",'مسير يوليو'!AG65)</f>
        <v/>
      </c>
      <c r="AA65" s="101" t="str">
        <f aca="false">IF($B65="","",'مسير أغسطس'!AG65)</f>
        <v/>
      </c>
      <c r="AB65" s="101" t="str">
        <f aca="false">IF($B65="","",'مسير سبتمبر'!AG65)</f>
        <v/>
      </c>
      <c r="AC65" s="101" t="str">
        <f aca="false">IF($B65="","",'مسير أكتوبر'!AG65)</f>
        <v/>
      </c>
      <c r="AD65" s="101" t="str">
        <f aca="false">IF($B65="","",'مسير نوفمبر'!AG65)</f>
        <v/>
      </c>
      <c r="AE65" s="101" t="str">
        <f aca="false">IF($B65="","",'مسير ديسمبر'!AG65)</f>
        <v/>
      </c>
      <c r="AF65" s="144" t="str">
        <f aca="false">IF($B65="","",IF(1&lt;=cfg_VAL_M,'مسير يناير'!AG65,0)+IF(2&lt;=cfg_VAL_M,'مسير فبراير'!AG65,0)+IF(3&lt;=cfg_VAL_M,'مسير مارس'!AG65,0)+IF(4&lt;=cfg_VAL_M,'مسير أبريل'!AG65,0)+IF(5&lt;=cfg_VAL_M,'مسير مايو'!AG65,0)+IF(6&lt;=cfg_VAL_M,'مسير يونيو'!AG65,0)+IF(7&lt;=cfg_VAL_M,'مسير يوليو'!AG65,0)+IF(8&lt;=cfg_VAL_M,'مسير أغسطس'!AG65,0)+IF(9&lt;=cfg_VAL_M,'مسير سبتمبر'!AG65,0)+IF(10&lt;=cfg_VAL_M,'مسير أكتوبر'!AG65,0)+IF(11&lt;=cfg_VAL_M,'مسير نوفمبر'!AG65,0)+IF(12&lt;=cfg_VAL_M,'مسير ديسمبر'!AG65,0))</f>
        <v/>
      </c>
      <c r="AG65" s="144" t="str">
        <f aca="false">IF($B65="","",IF(1&lt;=cfg_VAL_M,'مسير يناير'!Y65,0)+IF(2&lt;=cfg_VAL_M,'مسير فبراير'!Y65,0)+IF(3&lt;=cfg_VAL_M,'مسير مارس'!Y65,0)+IF(4&lt;=cfg_VAL_M,'مسير أبريل'!Y65,0)+IF(5&lt;=cfg_VAL_M,'مسير مايو'!Y65,0)+IF(6&lt;=cfg_VAL_M,'مسير يونيو'!Y65,0)+IF(7&lt;=cfg_VAL_M,'مسير يوليو'!Y65,0)+IF(8&lt;=cfg_VAL_M,'مسير أغسطس'!Y65,0)+IF(9&lt;=cfg_VAL_M,'مسير سبتمبر'!Y65,0)+IF(10&lt;=cfg_VAL_M,'مسير أكتوبر'!Y65,0)+IF(11&lt;=cfg_VAL_M,'مسير نوفمبر'!Y65,0)+IF(12&lt;=cfg_VAL_M,'مسير ديسمبر'!Y65,0))</f>
        <v/>
      </c>
      <c r="AH65" s="101" t="str">
        <f aca="false">IF($B65="","",AF65/cfg_VAL_M)</f>
        <v/>
      </c>
    </row>
    <row r="66" customFormat="false" ht="15" hidden="false" customHeight="false" outlineLevel="0" collapsed="false">
      <c r="B66" s="80" t="str">
        <f aca="false">IF(الموظفون!$B66="","",الموظفون!$B66)</f>
        <v/>
      </c>
      <c r="C66" s="80" t="str">
        <f aca="false">IF(الموظفون!$B66="","",الموظفون!$C66)</f>
        <v/>
      </c>
      <c r="D66" s="80" t="str">
        <f aca="false">IF(الموظفون!$B66="","",الموظفون!$F66)</f>
        <v/>
      </c>
      <c r="E66" s="80" t="str">
        <f aca="false">IF(الموظفون!$B66="","",الموظفون!$E66)</f>
        <v/>
      </c>
      <c r="F66" s="97" t="str">
        <f aca="false">IF($B66="","",'مسير يناير'!T66)</f>
        <v/>
      </c>
      <c r="G66" s="97" t="str">
        <f aca="false">IF($B66="","",'مسير فبراير'!T66)</f>
        <v/>
      </c>
      <c r="H66" s="97" t="str">
        <f aca="false">IF($B66="","",'مسير مارس'!T66)</f>
        <v/>
      </c>
      <c r="I66" s="97" t="str">
        <f aca="false">IF($B66="","",'مسير أبريل'!T66)</f>
        <v/>
      </c>
      <c r="J66" s="97" t="str">
        <f aca="false">IF($B66="","",'مسير مايو'!T66)</f>
        <v/>
      </c>
      <c r="K66" s="97" t="str">
        <f aca="false">IF($B66="","",'مسير يونيو'!T66)</f>
        <v/>
      </c>
      <c r="L66" s="97" t="str">
        <f aca="false">IF($B66="","",'مسير يوليو'!T66)</f>
        <v/>
      </c>
      <c r="M66" s="97" t="str">
        <f aca="false">IF($B66="","",'مسير أغسطس'!T66)</f>
        <v/>
      </c>
      <c r="N66" s="97" t="str">
        <f aca="false">IF($B66="","",'مسير سبتمبر'!T66)</f>
        <v/>
      </c>
      <c r="O66" s="97" t="str">
        <f aca="false">IF($B66="","",'مسير أكتوبر'!T66)</f>
        <v/>
      </c>
      <c r="P66" s="97" t="str">
        <f aca="false">IF($B66="","",'مسير نوفمبر'!T66)</f>
        <v/>
      </c>
      <c r="Q66" s="97" t="str">
        <f aca="false">IF($B66="","",'مسير ديسمبر'!T66)</f>
        <v/>
      </c>
      <c r="R66" s="143" t="str">
        <f aca="false">IF($B66="","",IF(1&lt;=cfg_VAL_M,'مسير يناير'!T66,0)+IF(2&lt;=cfg_VAL_M,'مسير فبراير'!T66,0)+IF(3&lt;=cfg_VAL_M,'مسير مارس'!T66,0)+IF(4&lt;=cfg_VAL_M,'مسير أبريل'!T66,0)+IF(5&lt;=cfg_VAL_M,'مسير مايو'!T66,0)+IF(6&lt;=cfg_VAL_M,'مسير يونيو'!T66,0)+IF(7&lt;=cfg_VAL_M,'مسير يوليو'!T66,0)+IF(8&lt;=cfg_VAL_M,'مسير أغسطس'!T66,0)+IF(9&lt;=cfg_VAL_M,'مسير سبتمبر'!T66,0)+IF(10&lt;=cfg_VAL_M,'مسير أكتوبر'!T66,0)+IF(11&lt;=cfg_VAL_M,'مسير نوفمبر'!T66,0)+IF(12&lt;=cfg_VAL_M,'مسير ديسمبر'!T66,0))</f>
        <v/>
      </c>
      <c r="T66" s="97" t="str">
        <f aca="false">IF($B66="","",'مسير يناير'!AG66)</f>
        <v/>
      </c>
      <c r="U66" s="97" t="str">
        <f aca="false">IF($B66="","",'مسير فبراير'!AG66)</f>
        <v/>
      </c>
      <c r="V66" s="97" t="str">
        <f aca="false">IF($B66="","",'مسير مارس'!AG66)</f>
        <v/>
      </c>
      <c r="W66" s="97" t="str">
        <f aca="false">IF($B66="","",'مسير أبريل'!AG66)</f>
        <v/>
      </c>
      <c r="X66" s="97" t="str">
        <f aca="false">IF($B66="","",'مسير مايو'!AG66)</f>
        <v/>
      </c>
      <c r="Y66" s="97" t="str">
        <f aca="false">IF($B66="","",'مسير يونيو'!AG66)</f>
        <v/>
      </c>
      <c r="Z66" s="97" t="str">
        <f aca="false">IF($B66="","",'مسير يوليو'!AG66)</f>
        <v/>
      </c>
      <c r="AA66" s="97" t="str">
        <f aca="false">IF($B66="","",'مسير أغسطس'!AG66)</f>
        <v/>
      </c>
      <c r="AB66" s="97" t="str">
        <f aca="false">IF($B66="","",'مسير سبتمبر'!AG66)</f>
        <v/>
      </c>
      <c r="AC66" s="97" t="str">
        <f aca="false">IF($B66="","",'مسير أكتوبر'!AG66)</f>
        <v/>
      </c>
      <c r="AD66" s="97" t="str">
        <f aca="false">IF($B66="","",'مسير نوفمبر'!AG66)</f>
        <v/>
      </c>
      <c r="AE66" s="97" t="str">
        <f aca="false">IF($B66="","",'مسير ديسمبر'!AG66)</f>
        <v/>
      </c>
      <c r="AF66" s="143" t="str">
        <f aca="false">IF($B66="","",IF(1&lt;=cfg_VAL_M,'مسير يناير'!AG66,0)+IF(2&lt;=cfg_VAL_M,'مسير فبراير'!AG66,0)+IF(3&lt;=cfg_VAL_M,'مسير مارس'!AG66,0)+IF(4&lt;=cfg_VAL_M,'مسير أبريل'!AG66,0)+IF(5&lt;=cfg_VAL_M,'مسير مايو'!AG66,0)+IF(6&lt;=cfg_VAL_M,'مسير يونيو'!AG66,0)+IF(7&lt;=cfg_VAL_M,'مسير يوليو'!AG66,0)+IF(8&lt;=cfg_VAL_M,'مسير أغسطس'!AG66,0)+IF(9&lt;=cfg_VAL_M,'مسير سبتمبر'!AG66,0)+IF(10&lt;=cfg_VAL_M,'مسير أكتوبر'!AG66,0)+IF(11&lt;=cfg_VAL_M,'مسير نوفمبر'!AG66,0)+IF(12&lt;=cfg_VAL_M,'مسير ديسمبر'!AG66,0))</f>
        <v/>
      </c>
      <c r="AG66" s="143" t="str">
        <f aca="false">IF($B66="","",IF(1&lt;=cfg_VAL_M,'مسير يناير'!Y66,0)+IF(2&lt;=cfg_VAL_M,'مسير فبراير'!Y66,0)+IF(3&lt;=cfg_VAL_M,'مسير مارس'!Y66,0)+IF(4&lt;=cfg_VAL_M,'مسير أبريل'!Y66,0)+IF(5&lt;=cfg_VAL_M,'مسير مايو'!Y66,0)+IF(6&lt;=cfg_VAL_M,'مسير يونيو'!Y66,0)+IF(7&lt;=cfg_VAL_M,'مسير يوليو'!Y66,0)+IF(8&lt;=cfg_VAL_M,'مسير أغسطس'!Y66,0)+IF(9&lt;=cfg_VAL_M,'مسير سبتمبر'!Y66,0)+IF(10&lt;=cfg_VAL_M,'مسير أكتوبر'!Y66,0)+IF(11&lt;=cfg_VAL_M,'مسير نوفمبر'!Y66,0)+IF(12&lt;=cfg_VAL_M,'مسير ديسمبر'!Y66,0))</f>
        <v/>
      </c>
      <c r="AH66" s="97" t="str">
        <f aca="false">IF($B66="","",AF66/cfg_VAL_M)</f>
        <v/>
      </c>
    </row>
    <row r="67" customFormat="false" ht="15" hidden="false" customHeight="false" outlineLevel="0" collapsed="false">
      <c r="B67" s="102" t="str">
        <f aca="false">IF(الموظفون!$B67="","",الموظفون!$B67)</f>
        <v/>
      </c>
      <c r="C67" s="102" t="str">
        <f aca="false">IF(الموظفون!$B67="","",الموظفون!$C67)</f>
        <v/>
      </c>
      <c r="D67" s="102" t="str">
        <f aca="false">IF(الموظفون!$B67="","",الموظفون!$F67)</f>
        <v/>
      </c>
      <c r="E67" s="102" t="str">
        <f aca="false">IF(الموظفون!$B67="","",الموظفون!$E67)</f>
        <v/>
      </c>
      <c r="F67" s="101" t="str">
        <f aca="false">IF($B67="","",'مسير يناير'!T67)</f>
        <v/>
      </c>
      <c r="G67" s="101" t="str">
        <f aca="false">IF($B67="","",'مسير فبراير'!T67)</f>
        <v/>
      </c>
      <c r="H67" s="101" t="str">
        <f aca="false">IF($B67="","",'مسير مارس'!T67)</f>
        <v/>
      </c>
      <c r="I67" s="101" t="str">
        <f aca="false">IF($B67="","",'مسير أبريل'!T67)</f>
        <v/>
      </c>
      <c r="J67" s="101" t="str">
        <f aca="false">IF($B67="","",'مسير مايو'!T67)</f>
        <v/>
      </c>
      <c r="K67" s="101" t="str">
        <f aca="false">IF($B67="","",'مسير يونيو'!T67)</f>
        <v/>
      </c>
      <c r="L67" s="101" t="str">
        <f aca="false">IF($B67="","",'مسير يوليو'!T67)</f>
        <v/>
      </c>
      <c r="M67" s="101" t="str">
        <f aca="false">IF($B67="","",'مسير أغسطس'!T67)</f>
        <v/>
      </c>
      <c r="N67" s="101" t="str">
        <f aca="false">IF($B67="","",'مسير سبتمبر'!T67)</f>
        <v/>
      </c>
      <c r="O67" s="101" t="str">
        <f aca="false">IF($B67="","",'مسير أكتوبر'!T67)</f>
        <v/>
      </c>
      <c r="P67" s="101" t="str">
        <f aca="false">IF($B67="","",'مسير نوفمبر'!T67)</f>
        <v/>
      </c>
      <c r="Q67" s="101" t="str">
        <f aca="false">IF($B67="","",'مسير ديسمبر'!T67)</f>
        <v/>
      </c>
      <c r="R67" s="144" t="str">
        <f aca="false">IF($B67="","",IF(1&lt;=cfg_VAL_M,'مسير يناير'!T67,0)+IF(2&lt;=cfg_VAL_M,'مسير فبراير'!T67,0)+IF(3&lt;=cfg_VAL_M,'مسير مارس'!T67,0)+IF(4&lt;=cfg_VAL_M,'مسير أبريل'!T67,0)+IF(5&lt;=cfg_VAL_M,'مسير مايو'!T67,0)+IF(6&lt;=cfg_VAL_M,'مسير يونيو'!T67,0)+IF(7&lt;=cfg_VAL_M,'مسير يوليو'!T67,0)+IF(8&lt;=cfg_VAL_M,'مسير أغسطس'!T67,0)+IF(9&lt;=cfg_VAL_M,'مسير سبتمبر'!T67,0)+IF(10&lt;=cfg_VAL_M,'مسير أكتوبر'!T67,0)+IF(11&lt;=cfg_VAL_M,'مسير نوفمبر'!T67,0)+IF(12&lt;=cfg_VAL_M,'مسير ديسمبر'!T67,0))</f>
        <v/>
      </c>
      <c r="T67" s="101" t="str">
        <f aca="false">IF($B67="","",'مسير يناير'!AG67)</f>
        <v/>
      </c>
      <c r="U67" s="101" t="str">
        <f aca="false">IF($B67="","",'مسير فبراير'!AG67)</f>
        <v/>
      </c>
      <c r="V67" s="101" t="str">
        <f aca="false">IF($B67="","",'مسير مارس'!AG67)</f>
        <v/>
      </c>
      <c r="W67" s="101" t="str">
        <f aca="false">IF($B67="","",'مسير أبريل'!AG67)</f>
        <v/>
      </c>
      <c r="X67" s="101" t="str">
        <f aca="false">IF($B67="","",'مسير مايو'!AG67)</f>
        <v/>
      </c>
      <c r="Y67" s="101" t="str">
        <f aca="false">IF($B67="","",'مسير يونيو'!AG67)</f>
        <v/>
      </c>
      <c r="Z67" s="101" t="str">
        <f aca="false">IF($B67="","",'مسير يوليو'!AG67)</f>
        <v/>
      </c>
      <c r="AA67" s="101" t="str">
        <f aca="false">IF($B67="","",'مسير أغسطس'!AG67)</f>
        <v/>
      </c>
      <c r="AB67" s="101" t="str">
        <f aca="false">IF($B67="","",'مسير سبتمبر'!AG67)</f>
        <v/>
      </c>
      <c r="AC67" s="101" t="str">
        <f aca="false">IF($B67="","",'مسير أكتوبر'!AG67)</f>
        <v/>
      </c>
      <c r="AD67" s="101" t="str">
        <f aca="false">IF($B67="","",'مسير نوفمبر'!AG67)</f>
        <v/>
      </c>
      <c r="AE67" s="101" t="str">
        <f aca="false">IF($B67="","",'مسير ديسمبر'!AG67)</f>
        <v/>
      </c>
      <c r="AF67" s="144" t="str">
        <f aca="false">IF($B67="","",IF(1&lt;=cfg_VAL_M,'مسير يناير'!AG67,0)+IF(2&lt;=cfg_VAL_M,'مسير فبراير'!AG67,0)+IF(3&lt;=cfg_VAL_M,'مسير مارس'!AG67,0)+IF(4&lt;=cfg_VAL_M,'مسير أبريل'!AG67,0)+IF(5&lt;=cfg_VAL_M,'مسير مايو'!AG67,0)+IF(6&lt;=cfg_VAL_M,'مسير يونيو'!AG67,0)+IF(7&lt;=cfg_VAL_M,'مسير يوليو'!AG67,0)+IF(8&lt;=cfg_VAL_M,'مسير أغسطس'!AG67,0)+IF(9&lt;=cfg_VAL_M,'مسير سبتمبر'!AG67,0)+IF(10&lt;=cfg_VAL_M,'مسير أكتوبر'!AG67,0)+IF(11&lt;=cfg_VAL_M,'مسير نوفمبر'!AG67,0)+IF(12&lt;=cfg_VAL_M,'مسير ديسمبر'!AG67,0))</f>
        <v/>
      </c>
      <c r="AG67" s="144" t="str">
        <f aca="false">IF($B67="","",IF(1&lt;=cfg_VAL_M,'مسير يناير'!Y67,0)+IF(2&lt;=cfg_VAL_M,'مسير فبراير'!Y67,0)+IF(3&lt;=cfg_VAL_M,'مسير مارس'!Y67,0)+IF(4&lt;=cfg_VAL_M,'مسير أبريل'!Y67,0)+IF(5&lt;=cfg_VAL_M,'مسير مايو'!Y67,0)+IF(6&lt;=cfg_VAL_M,'مسير يونيو'!Y67,0)+IF(7&lt;=cfg_VAL_M,'مسير يوليو'!Y67,0)+IF(8&lt;=cfg_VAL_M,'مسير أغسطس'!Y67,0)+IF(9&lt;=cfg_VAL_M,'مسير سبتمبر'!Y67,0)+IF(10&lt;=cfg_VAL_M,'مسير أكتوبر'!Y67,0)+IF(11&lt;=cfg_VAL_M,'مسير نوفمبر'!Y67,0)+IF(12&lt;=cfg_VAL_M,'مسير ديسمبر'!Y67,0))</f>
        <v/>
      </c>
      <c r="AH67" s="101" t="str">
        <f aca="false">IF($B67="","",AF67/cfg_VAL_M)</f>
        <v/>
      </c>
    </row>
    <row r="68" customFormat="false" ht="15" hidden="false" customHeight="false" outlineLevel="0" collapsed="false">
      <c r="B68" s="80" t="str">
        <f aca="false">IF(الموظفون!$B68="","",الموظفون!$B68)</f>
        <v/>
      </c>
      <c r="C68" s="80" t="str">
        <f aca="false">IF(الموظفون!$B68="","",الموظفون!$C68)</f>
        <v/>
      </c>
      <c r="D68" s="80" t="str">
        <f aca="false">IF(الموظفون!$B68="","",الموظفون!$F68)</f>
        <v/>
      </c>
      <c r="E68" s="80" t="str">
        <f aca="false">IF(الموظفون!$B68="","",الموظفون!$E68)</f>
        <v/>
      </c>
      <c r="F68" s="97" t="str">
        <f aca="false">IF($B68="","",'مسير يناير'!T68)</f>
        <v/>
      </c>
      <c r="G68" s="97" t="str">
        <f aca="false">IF($B68="","",'مسير فبراير'!T68)</f>
        <v/>
      </c>
      <c r="H68" s="97" t="str">
        <f aca="false">IF($B68="","",'مسير مارس'!T68)</f>
        <v/>
      </c>
      <c r="I68" s="97" t="str">
        <f aca="false">IF($B68="","",'مسير أبريل'!T68)</f>
        <v/>
      </c>
      <c r="J68" s="97" t="str">
        <f aca="false">IF($B68="","",'مسير مايو'!T68)</f>
        <v/>
      </c>
      <c r="K68" s="97" t="str">
        <f aca="false">IF($B68="","",'مسير يونيو'!T68)</f>
        <v/>
      </c>
      <c r="L68" s="97" t="str">
        <f aca="false">IF($B68="","",'مسير يوليو'!T68)</f>
        <v/>
      </c>
      <c r="M68" s="97" t="str">
        <f aca="false">IF($B68="","",'مسير أغسطس'!T68)</f>
        <v/>
      </c>
      <c r="N68" s="97" t="str">
        <f aca="false">IF($B68="","",'مسير سبتمبر'!T68)</f>
        <v/>
      </c>
      <c r="O68" s="97" t="str">
        <f aca="false">IF($B68="","",'مسير أكتوبر'!T68)</f>
        <v/>
      </c>
      <c r="P68" s="97" t="str">
        <f aca="false">IF($B68="","",'مسير نوفمبر'!T68)</f>
        <v/>
      </c>
      <c r="Q68" s="97" t="str">
        <f aca="false">IF($B68="","",'مسير ديسمبر'!T68)</f>
        <v/>
      </c>
      <c r="R68" s="143" t="str">
        <f aca="false">IF($B68="","",IF(1&lt;=cfg_VAL_M,'مسير يناير'!T68,0)+IF(2&lt;=cfg_VAL_M,'مسير فبراير'!T68,0)+IF(3&lt;=cfg_VAL_M,'مسير مارس'!T68,0)+IF(4&lt;=cfg_VAL_M,'مسير أبريل'!T68,0)+IF(5&lt;=cfg_VAL_M,'مسير مايو'!T68,0)+IF(6&lt;=cfg_VAL_M,'مسير يونيو'!T68,0)+IF(7&lt;=cfg_VAL_M,'مسير يوليو'!T68,0)+IF(8&lt;=cfg_VAL_M,'مسير أغسطس'!T68,0)+IF(9&lt;=cfg_VAL_M,'مسير سبتمبر'!T68,0)+IF(10&lt;=cfg_VAL_M,'مسير أكتوبر'!T68,0)+IF(11&lt;=cfg_VAL_M,'مسير نوفمبر'!T68,0)+IF(12&lt;=cfg_VAL_M,'مسير ديسمبر'!T68,0))</f>
        <v/>
      </c>
      <c r="T68" s="97" t="str">
        <f aca="false">IF($B68="","",'مسير يناير'!AG68)</f>
        <v/>
      </c>
      <c r="U68" s="97" t="str">
        <f aca="false">IF($B68="","",'مسير فبراير'!AG68)</f>
        <v/>
      </c>
      <c r="V68" s="97" t="str">
        <f aca="false">IF($B68="","",'مسير مارس'!AG68)</f>
        <v/>
      </c>
      <c r="W68" s="97" t="str">
        <f aca="false">IF($B68="","",'مسير أبريل'!AG68)</f>
        <v/>
      </c>
      <c r="X68" s="97" t="str">
        <f aca="false">IF($B68="","",'مسير مايو'!AG68)</f>
        <v/>
      </c>
      <c r="Y68" s="97" t="str">
        <f aca="false">IF($B68="","",'مسير يونيو'!AG68)</f>
        <v/>
      </c>
      <c r="Z68" s="97" t="str">
        <f aca="false">IF($B68="","",'مسير يوليو'!AG68)</f>
        <v/>
      </c>
      <c r="AA68" s="97" t="str">
        <f aca="false">IF($B68="","",'مسير أغسطس'!AG68)</f>
        <v/>
      </c>
      <c r="AB68" s="97" t="str">
        <f aca="false">IF($B68="","",'مسير سبتمبر'!AG68)</f>
        <v/>
      </c>
      <c r="AC68" s="97" t="str">
        <f aca="false">IF($B68="","",'مسير أكتوبر'!AG68)</f>
        <v/>
      </c>
      <c r="AD68" s="97" t="str">
        <f aca="false">IF($B68="","",'مسير نوفمبر'!AG68)</f>
        <v/>
      </c>
      <c r="AE68" s="97" t="str">
        <f aca="false">IF($B68="","",'مسير ديسمبر'!AG68)</f>
        <v/>
      </c>
      <c r="AF68" s="143" t="str">
        <f aca="false">IF($B68="","",IF(1&lt;=cfg_VAL_M,'مسير يناير'!AG68,0)+IF(2&lt;=cfg_VAL_M,'مسير فبراير'!AG68,0)+IF(3&lt;=cfg_VAL_M,'مسير مارس'!AG68,0)+IF(4&lt;=cfg_VAL_M,'مسير أبريل'!AG68,0)+IF(5&lt;=cfg_VAL_M,'مسير مايو'!AG68,0)+IF(6&lt;=cfg_VAL_M,'مسير يونيو'!AG68,0)+IF(7&lt;=cfg_VAL_M,'مسير يوليو'!AG68,0)+IF(8&lt;=cfg_VAL_M,'مسير أغسطس'!AG68,0)+IF(9&lt;=cfg_VAL_M,'مسير سبتمبر'!AG68,0)+IF(10&lt;=cfg_VAL_M,'مسير أكتوبر'!AG68,0)+IF(11&lt;=cfg_VAL_M,'مسير نوفمبر'!AG68,0)+IF(12&lt;=cfg_VAL_M,'مسير ديسمبر'!AG68,0))</f>
        <v/>
      </c>
      <c r="AG68" s="143" t="str">
        <f aca="false">IF($B68="","",IF(1&lt;=cfg_VAL_M,'مسير يناير'!Y68,0)+IF(2&lt;=cfg_VAL_M,'مسير فبراير'!Y68,0)+IF(3&lt;=cfg_VAL_M,'مسير مارس'!Y68,0)+IF(4&lt;=cfg_VAL_M,'مسير أبريل'!Y68,0)+IF(5&lt;=cfg_VAL_M,'مسير مايو'!Y68,0)+IF(6&lt;=cfg_VAL_M,'مسير يونيو'!Y68,0)+IF(7&lt;=cfg_VAL_M,'مسير يوليو'!Y68,0)+IF(8&lt;=cfg_VAL_M,'مسير أغسطس'!Y68,0)+IF(9&lt;=cfg_VAL_M,'مسير سبتمبر'!Y68,0)+IF(10&lt;=cfg_VAL_M,'مسير أكتوبر'!Y68,0)+IF(11&lt;=cfg_VAL_M,'مسير نوفمبر'!Y68,0)+IF(12&lt;=cfg_VAL_M,'مسير ديسمبر'!Y68,0))</f>
        <v/>
      </c>
      <c r="AH68" s="97" t="str">
        <f aca="false">IF($B68="","",AF68/cfg_VAL_M)</f>
        <v/>
      </c>
    </row>
    <row r="69" customFormat="false" ht="15" hidden="false" customHeight="false" outlineLevel="0" collapsed="false">
      <c r="B69" s="102" t="str">
        <f aca="false">IF(الموظفون!$B69="","",الموظفون!$B69)</f>
        <v/>
      </c>
      <c r="C69" s="102" t="str">
        <f aca="false">IF(الموظفون!$B69="","",الموظفون!$C69)</f>
        <v/>
      </c>
      <c r="D69" s="102" t="str">
        <f aca="false">IF(الموظفون!$B69="","",الموظفون!$F69)</f>
        <v/>
      </c>
      <c r="E69" s="102" t="str">
        <f aca="false">IF(الموظفون!$B69="","",الموظفون!$E69)</f>
        <v/>
      </c>
      <c r="F69" s="101" t="str">
        <f aca="false">IF($B69="","",'مسير يناير'!T69)</f>
        <v/>
      </c>
      <c r="G69" s="101" t="str">
        <f aca="false">IF($B69="","",'مسير فبراير'!T69)</f>
        <v/>
      </c>
      <c r="H69" s="101" t="str">
        <f aca="false">IF($B69="","",'مسير مارس'!T69)</f>
        <v/>
      </c>
      <c r="I69" s="101" t="str">
        <f aca="false">IF($B69="","",'مسير أبريل'!T69)</f>
        <v/>
      </c>
      <c r="J69" s="101" t="str">
        <f aca="false">IF($B69="","",'مسير مايو'!T69)</f>
        <v/>
      </c>
      <c r="K69" s="101" t="str">
        <f aca="false">IF($B69="","",'مسير يونيو'!T69)</f>
        <v/>
      </c>
      <c r="L69" s="101" t="str">
        <f aca="false">IF($B69="","",'مسير يوليو'!T69)</f>
        <v/>
      </c>
      <c r="M69" s="101" t="str">
        <f aca="false">IF($B69="","",'مسير أغسطس'!T69)</f>
        <v/>
      </c>
      <c r="N69" s="101" t="str">
        <f aca="false">IF($B69="","",'مسير سبتمبر'!T69)</f>
        <v/>
      </c>
      <c r="O69" s="101" t="str">
        <f aca="false">IF($B69="","",'مسير أكتوبر'!T69)</f>
        <v/>
      </c>
      <c r="P69" s="101" t="str">
        <f aca="false">IF($B69="","",'مسير نوفمبر'!T69)</f>
        <v/>
      </c>
      <c r="Q69" s="101" t="str">
        <f aca="false">IF($B69="","",'مسير ديسمبر'!T69)</f>
        <v/>
      </c>
      <c r="R69" s="144" t="str">
        <f aca="false">IF($B69="","",IF(1&lt;=cfg_VAL_M,'مسير يناير'!T69,0)+IF(2&lt;=cfg_VAL_M,'مسير فبراير'!T69,0)+IF(3&lt;=cfg_VAL_M,'مسير مارس'!T69,0)+IF(4&lt;=cfg_VAL_M,'مسير أبريل'!T69,0)+IF(5&lt;=cfg_VAL_M,'مسير مايو'!T69,0)+IF(6&lt;=cfg_VAL_M,'مسير يونيو'!T69,0)+IF(7&lt;=cfg_VAL_M,'مسير يوليو'!T69,0)+IF(8&lt;=cfg_VAL_M,'مسير أغسطس'!T69,0)+IF(9&lt;=cfg_VAL_M,'مسير سبتمبر'!T69,0)+IF(10&lt;=cfg_VAL_M,'مسير أكتوبر'!T69,0)+IF(11&lt;=cfg_VAL_M,'مسير نوفمبر'!T69,0)+IF(12&lt;=cfg_VAL_M,'مسير ديسمبر'!T69,0))</f>
        <v/>
      </c>
      <c r="T69" s="101" t="str">
        <f aca="false">IF($B69="","",'مسير يناير'!AG69)</f>
        <v/>
      </c>
      <c r="U69" s="101" t="str">
        <f aca="false">IF($B69="","",'مسير فبراير'!AG69)</f>
        <v/>
      </c>
      <c r="V69" s="101" t="str">
        <f aca="false">IF($B69="","",'مسير مارس'!AG69)</f>
        <v/>
      </c>
      <c r="W69" s="101" t="str">
        <f aca="false">IF($B69="","",'مسير أبريل'!AG69)</f>
        <v/>
      </c>
      <c r="X69" s="101" t="str">
        <f aca="false">IF($B69="","",'مسير مايو'!AG69)</f>
        <v/>
      </c>
      <c r="Y69" s="101" t="str">
        <f aca="false">IF($B69="","",'مسير يونيو'!AG69)</f>
        <v/>
      </c>
      <c r="Z69" s="101" t="str">
        <f aca="false">IF($B69="","",'مسير يوليو'!AG69)</f>
        <v/>
      </c>
      <c r="AA69" s="101" t="str">
        <f aca="false">IF($B69="","",'مسير أغسطس'!AG69)</f>
        <v/>
      </c>
      <c r="AB69" s="101" t="str">
        <f aca="false">IF($B69="","",'مسير سبتمبر'!AG69)</f>
        <v/>
      </c>
      <c r="AC69" s="101" t="str">
        <f aca="false">IF($B69="","",'مسير أكتوبر'!AG69)</f>
        <v/>
      </c>
      <c r="AD69" s="101" t="str">
        <f aca="false">IF($B69="","",'مسير نوفمبر'!AG69)</f>
        <v/>
      </c>
      <c r="AE69" s="101" t="str">
        <f aca="false">IF($B69="","",'مسير ديسمبر'!AG69)</f>
        <v/>
      </c>
      <c r="AF69" s="144" t="str">
        <f aca="false">IF($B69="","",IF(1&lt;=cfg_VAL_M,'مسير يناير'!AG69,0)+IF(2&lt;=cfg_VAL_M,'مسير فبراير'!AG69,0)+IF(3&lt;=cfg_VAL_M,'مسير مارس'!AG69,0)+IF(4&lt;=cfg_VAL_M,'مسير أبريل'!AG69,0)+IF(5&lt;=cfg_VAL_M,'مسير مايو'!AG69,0)+IF(6&lt;=cfg_VAL_M,'مسير يونيو'!AG69,0)+IF(7&lt;=cfg_VAL_M,'مسير يوليو'!AG69,0)+IF(8&lt;=cfg_VAL_M,'مسير أغسطس'!AG69,0)+IF(9&lt;=cfg_VAL_M,'مسير سبتمبر'!AG69,0)+IF(10&lt;=cfg_VAL_M,'مسير أكتوبر'!AG69,0)+IF(11&lt;=cfg_VAL_M,'مسير نوفمبر'!AG69,0)+IF(12&lt;=cfg_VAL_M,'مسير ديسمبر'!AG69,0))</f>
        <v/>
      </c>
      <c r="AG69" s="144" t="str">
        <f aca="false">IF($B69="","",IF(1&lt;=cfg_VAL_M,'مسير يناير'!Y69,0)+IF(2&lt;=cfg_VAL_M,'مسير فبراير'!Y69,0)+IF(3&lt;=cfg_VAL_M,'مسير مارس'!Y69,0)+IF(4&lt;=cfg_VAL_M,'مسير أبريل'!Y69,0)+IF(5&lt;=cfg_VAL_M,'مسير مايو'!Y69,0)+IF(6&lt;=cfg_VAL_M,'مسير يونيو'!Y69,0)+IF(7&lt;=cfg_VAL_M,'مسير يوليو'!Y69,0)+IF(8&lt;=cfg_VAL_M,'مسير أغسطس'!Y69,0)+IF(9&lt;=cfg_VAL_M,'مسير سبتمبر'!Y69,0)+IF(10&lt;=cfg_VAL_M,'مسير أكتوبر'!Y69,0)+IF(11&lt;=cfg_VAL_M,'مسير نوفمبر'!Y69,0)+IF(12&lt;=cfg_VAL_M,'مسير ديسمبر'!Y69,0))</f>
        <v/>
      </c>
      <c r="AH69" s="101" t="str">
        <f aca="false">IF($B69="","",AF69/cfg_VAL_M)</f>
        <v/>
      </c>
    </row>
    <row r="70" customFormat="false" ht="15" hidden="false" customHeight="false" outlineLevel="0" collapsed="false">
      <c r="B70" s="80" t="str">
        <f aca="false">IF(الموظفون!$B70="","",الموظفون!$B70)</f>
        <v/>
      </c>
      <c r="C70" s="80" t="str">
        <f aca="false">IF(الموظفون!$B70="","",الموظفون!$C70)</f>
        <v/>
      </c>
      <c r="D70" s="80" t="str">
        <f aca="false">IF(الموظفون!$B70="","",الموظفون!$F70)</f>
        <v/>
      </c>
      <c r="E70" s="80" t="str">
        <f aca="false">IF(الموظفون!$B70="","",الموظفون!$E70)</f>
        <v/>
      </c>
      <c r="F70" s="97" t="str">
        <f aca="false">IF($B70="","",'مسير يناير'!T70)</f>
        <v/>
      </c>
      <c r="G70" s="97" t="str">
        <f aca="false">IF($B70="","",'مسير فبراير'!T70)</f>
        <v/>
      </c>
      <c r="H70" s="97" t="str">
        <f aca="false">IF($B70="","",'مسير مارس'!T70)</f>
        <v/>
      </c>
      <c r="I70" s="97" t="str">
        <f aca="false">IF($B70="","",'مسير أبريل'!T70)</f>
        <v/>
      </c>
      <c r="J70" s="97" t="str">
        <f aca="false">IF($B70="","",'مسير مايو'!T70)</f>
        <v/>
      </c>
      <c r="K70" s="97" t="str">
        <f aca="false">IF($B70="","",'مسير يونيو'!T70)</f>
        <v/>
      </c>
      <c r="L70" s="97" t="str">
        <f aca="false">IF($B70="","",'مسير يوليو'!T70)</f>
        <v/>
      </c>
      <c r="M70" s="97" t="str">
        <f aca="false">IF($B70="","",'مسير أغسطس'!T70)</f>
        <v/>
      </c>
      <c r="N70" s="97" t="str">
        <f aca="false">IF($B70="","",'مسير سبتمبر'!T70)</f>
        <v/>
      </c>
      <c r="O70" s="97" t="str">
        <f aca="false">IF($B70="","",'مسير أكتوبر'!T70)</f>
        <v/>
      </c>
      <c r="P70" s="97" t="str">
        <f aca="false">IF($B70="","",'مسير نوفمبر'!T70)</f>
        <v/>
      </c>
      <c r="Q70" s="97" t="str">
        <f aca="false">IF($B70="","",'مسير ديسمبر'!T70)</f>
        <v/>
      </c>
      <c r="R70" s="143" t="str">
        <f aca="false">IF($B70="","",IF(1&lt;=cfg_VAL_M,'مسير يناير'!T70,0)+IF(2&lt;=cfg_VAL_M,'مسير فبراير'!T70,0)+IF(3&lt;=cfg_VAL_M,'مسير مارس'!T70,0)+IF(4&lt;=cfg_VAL_M,'مسير أبريل'!T70,0)+IF(5&lt;=cfg_VAL_M,'مسير مايو'!T70,0)+IF(6&lt;=cfg_VAL_M,'مسير يونيو'!T70,0)+IF(7&lt;=cfg_VAL_M,'مسير يوليو'!T70,0)+IF(8&lt;=cfg_VAL_M,'مسير أغسطس'!T70,0)+IF(9&lt;=cfg_VAL_M,'مسير سبتمبر'!T70,0)+IF(10&lt;=cfg_VAL_M,'مسير أكتوبر'!T70,0)+IF(11&lt;=cfg_VAL_M,'مسير نوفمبر'!T70,0)+IF(12&lt;=cfg_VAL_M,'مسير ديسمبر'!T70,0))</f>
        <v/>
      </c>
      <c r="T70" s="97" t="str">
        <f aca="false">IF($B70="","",'مسير يناير'!AG70)</f>
        <v/>
      </c>
      <c r="U70" s="97" t="str">
        <f aca="false">IF($B70="","",'مسير فبراير'!AG70)</f>
        <v/>
      </c>
      <c r="V70" s="97" t="str">
        <f aca="false">IF($B70="","",'مسير مارس'!AG70)</f>
        <v/>
      </c>
      <c r="W70" s="97" t="str">
        <f aca="false">IF($B70="","",'مسير أبريل'!AG70)</f>
        <v/>
      </c>
      <c r="X70" s="97" t="str">
        <f aca="false">IF($B70="","",'مسير مايو'!AG70)</f>
        <v/>
      </c>
      <c r="Y70" s="97" t="str">
        <f aca="false">IF($B70="","",'مسير يونيو'!AG70)</f>
        <v/>
      </c>
      <c r="Z70" s="97" t="str">
        <f aca="false">IF($B70="","",'مسير يوليو'!AG70)</f>
        <v/>
      </c>
      <c r="AA70" s="97" t="str">
        <f aca="false">IF($B70="","",'مسير أغسطس'!AG70)</f>
        <v/>
      </c>
      <c r="AB70" s="97" t="str">
        <f aca="false">IF($B70="","",'مسير سبتمبر'!AG70)</f>
        <v/>
      </c>
      <c r="AC70" s="97" t="str">
        <f aca="false">IF($B70="","",'مسير أكتوبر'!AG70)</f>
        <v/>
      </c>
      <c r="AD70" s="97" t="str">
        <f aca="false">IF($B70="","",'مسير نوفمبر'!AG70)</f>
        <v/>
      </c>
      <c r="AE70" s="97" t="str">
        <f aca="false">IF($B70="","",'مسير ديسمبر'!AG70)</f>
        <v/>
      </c>
      <c r="AF70" s="143" t="str">
        <f aca="false">IF($B70="","",IF(1&lt;=cfg_VAL_M,'مسير يناير'!AG70,0)+IF(2&lt;=cfg_VAL_M,'مسير فبراير'!AG70,0)+IF(3&lt;=cfg_VAL_M,'مسير مارس'!AG70,0)+IF(4&lt;=cfg_VAL_M,'مسير أبريل'!AG70,0)+IF(5&lt;=cfg_VAL_M,'مسير مايو'!AG70,0)+IF(6&lt;=cfg_VAL_M,'مسير يونيو'!AG70,0)+IF(7&lt;=cfg_VAL_M,'مسير يوليو'!AG70,0)+IF(8&lt;=cfg_VAL_M,'مسير أغسطس'!AG70,0)+IF(9&lt;=cfg_VAL_M,'مسير سبتمبر'!AG70,0)+IF(10&lt;=cfg_VAL_M,'مسير أكتوبر'!AG70,0)+IF(11&lt;=cfg_VAL_M,'مسير نوفمبر'!AG70,0)+IF(12&lt;=cfg_VAL_M,'مسير ديسمبر'!AG70,0))</f>
        <v/>
      </c>
      <c r="AG70" s="143" t="str">
        <f aca="false">IF($B70="","",IF(1&lt;=cfg_VAL_M,'مسير يناير'!Y70,0)+IF(2&lt;=cfg_VAL_M,'مسير فبراير'!Y70,0)+IF(3&lt;=cfg_VAL_M,'مسير مارس'!Y70,0)+IF(4&lt;=cfg_VAL_M,'مسير أبريل'!Y70,0)+IF(5&lt;=cfg_VAL_M,'مسير مايو'!Y70,0)+IF(6&lt;=cfg_VAL_M,'مسير يونيو'!Y70,0)+IF(7&lt;=cfg_VAL_M,'مسير يوليو'!Y70,0)+IF(8&lt;=cfg_VAL_M,'مسير أغسطس'!Y70,0)+IF(9&lt;=cfg_VAL_M,'مسير سبتمبر'!Y70,0)+IF(10&lt;=cfg_VAL_M,'مسير أكتوبر'!Y70,0)+IF(11&lt;=cfg_VAL_M,'مسير نوفمبر'!Y70,0)+IF(12&lt;=cfg_VAL_M,'مسير ديسمبر'!Y70,0))</f>
        <v/>
      </c>
      <c r="AH70" s="97" t="str">
        <f aca="false">IF($B70="","",AF70/cfg_VAL_M)</f>
        <v/>
      </c>
    </row>
    <row r="71" customFormat="false" ht="15" hidden="false" customHeight="false" outlineLevel="0" collapsed="false">
      <c r="B71" s="102" t="str">
        <f aca="false">IF(الموظفون!$B71="","",الموظفون!$B71)</f>
        <v/>
      </c>
      <c r="C71" s="102" t="str">
        <f aca="false">IF(الموظفون!$B71="","",الموظفون!$C71)</f>
        <v/>
      </c>
      <c r="D71" s="102" t="str">
        <f aca="false">IF(الموظفون!$B71="","",الموظفون!$F71)</f>
        <v/>
      </c>
      <c r="E71" s="102" t="str">
        <f aca="false">IF(الموظفون!$B71="","",الموظفون!$E71)</f>
        <v/>
      </c>
      <c r="F71" s="101" t="str">
        <f aca="false">IF($B71="","",'مسير يناير'!T71)</f>
        <v/>
      </c>
      <c r="G71" s="101" t="str">
        <f aca="false">IF($B71="","",'مسير فبراير'!T71)</f>
        <v/>
      </c>
      <c r="H71" s="101" t="str">
        <f aca="false">IF($B71="","",'مسير مارس'!T71)</f>
        <v/>
      </c>
      <c r="I71" s="101" t="str">
        <f aca="false">IF($B71="","",'مسير أبريل'!T71)</f>
        <v/>
      </c>
      <c r="J71" s="101" t="str">
        <f aca="false">IF($B71="","",'مسير مايو'!T71)</f>
        <v/>
      </c>
      <c r="K71" s="101" t="str">
        <f aca="false">IF($B71="","",'مسير يونيو'!T71)</f>
        <v/>
      </c>
      <c r="L71" s="101" t="str">
        <f aca="false">IF($B71="","",'مسير يوليو'!T71)</f>
        <v/>
      </c>
      <c r="M71" s="101" t="str">
        <f aca="false">IF($B71="","",'مسير أغسطس'!T71)</f>
        <v/>
      </c>
      <c r="N71" s="101" t="str">
        <f aca="false">IF($B71="","",'مسير سبتمبر'!T71)</f>
        <v/>
      </c>
      <c r="O71" s="101" t="str">
        <f aca="false">IF($B71="","",'مسير أكتوبر'!T71)</f>
        <v/>
      </c>
      <c r="P71" s="101" t="str">
        <f aca="false">IF($B71="","",'مسير نوفمبر'!T71)</f>
        <v/>
      </c>
      <c r="Q71" s="101" t="str">
        <f aca="false">IF($B71="","",'مسير ديسمبر'!T71)</f>
        <v/>
      </c>
      <c r="R71" s="144" t="str">
        <f aca="false">IF($B71="","",IF(1&lt;=cfg_VAL_M,'مسير يناير'!T71,0)+IF(2&lt;=cfg_VAL_M,'مسير فبراير'!T71,0)+IF(3&lt;=cfg_VAL_M,'مسير مارس'!T71,0)+IF(4&lt;=cfg_VAL_M,'مسير أبريل'!T71,0)+IF(5&lt;=cfg_VAL_M,'مسير مايو'!T71,0)+IF(6&lt;=cfg_VAL_M,'مسير يونيو'!T71,0)+IF(7&lt;=cfg_VAL_M,'مسير يوليو'!T71,0)+IF(8&lt;=cfg_VAL_M,'مسير أغسطس'!T71,0)+IF(9&lt;=cfg_VAL_M,'مسير سبتمبر'!T71,0)+IF(10&lt;=cfg_VAL_M,'مسير أكتوبر'!T71,0)+IF(11&lt;=cfg_VAL_M,'مسير نوفمبر'!T71,0)+IF(12&lt;=cfg_VAL_M,'مسير ديسمبر'!T71,0))</f>
        <v/>
      </c>
      <c r="T71" s="101" t="str">
        <f aca="false">IF($B71="","",'مسير يناير'!AG71)</f>
        <v/>
      </c>
      <c r="U71" s="101" t="str">
        <f aca="false">IF($B71="","",'مسير فبراير'!AG71)</f>
        <v/>
      </c>
      <c r="V71" s="101" t="str">
        <f aca="false">IF($B71="","",'مسير مارس'!AG71)</f>
        <v/>
      </c>
      <c r="W71" s="101" t="str">
        <f aca="false">IF($B71="","",'مسير أبريل'!AG71)</f>
        <v/>
      </c>
      <c r="X71" s="101" t="str">
        <f aca="false">IF($B71="","",'مسير مايو'!AG71)</f>
        <v/>
      </c>
      <c r="Y71" s="101" t="str">
        <f aca="false">IF($B71="","",'مسير يونيو'!AG71)</f>
        <v/>
      </c>
      <c r="Z71" s="101" t="str">
        <f aca="false">IF($B71="","",'مسير يوليو'!AG71)</f>
        <v/>
      </c>
      <c r="AA71" s="101" t="str">
        <f aca="false">IF($B71="","",'مسير أغسطس'!AG71)</f>
        <v/>
      </c>
      <c r="AB71" s="101" t="str">
        <f aca="false">IF($B71="","",'مسير سبتمبر'!AG71)</f>
        <v/>
      </c>
      <c r="AC71" s="101" t="str">
        <f aca="false">IF($B71="","",'مسير أكتوبر'!AG71)</f>
        <v/>
      </c>
      <c r="AD71" s="101" t="str">
        <f aca="false">IF($B71="","",'مسير نوفمبر'!AG71)</f>
        <v/>
      </c>
      <c r="AE71" s="101" t="str">
        <f aca="false">IF($B71="","",'مسير ديسمبر'!AG71)</f>
        <v/>
      </c>
      <c r="AF71" s="144" t="str">
        <f aca="false">IF($B71="","",IF(1&lt;=cfg_VAL_M,'مسير يناير'!AG71,0)+IF(2&lt;=cfg_VAL_M,'مسير فبراير'!AG71,0)+IF(3&lt;=cfg_VAL_M,'مسير مارس'!AG71,0)+IF(4&lt;=cfg_VAL_M,'مسير أبريل'!AG71,0)+IF(5&lt;=cfg_VAL_M,'مسير مايو'!AG71,0)+IF(6&lt;=cfg_VAL_M,'مسير يونيو'!AG71,0)+IF(7&lt;=cfg_VAL_M,'مسير يوليو'!AG71,0)+IF(8&lt;=cfg_VAL_M,'مسير أغسطس'!AG71,0)+IF(9&lt;=cfg_VAL_M,'مسير سبتمبر'!AG71,0)+IF(10&lt;=cfg_VAL_M,'مسير أكتوبر'!AG71,0)+IF(11&lt;=cfg_VAL_M,'مسير نوفمبر'!AG71,0)+IF(12&lt;=cfg_VAL_M,'مسير ديسمبر'!AG71,0))</f>
        <v/>
      </c>
      <c r="AG71" s="144" t="str">
        <f aca="false">IF($B71="","",IF(1&lt;=cfg_VAL_M,'مسير يناير'!Y71,0)+IF(2&lt;=cfg_VAL_M,'مسير فبراير'!Y71,0)+IF(3&lt;=cfg_VAL_M,'مسير مارس'!Y71,0)+IF(4&lt;=cfg_VAL_M,'مسير أبريل'!Y71,0)+IF(5&lt;=cfg_VAL_M,'مسير مايو'!Y71,0)+IF(6&lt;=cfg_VAL_M,'مسير يونيو'!Y71,0)+IF(7&lt;=cfg_VAL_M,'مسير يوليو'!Y71,0)+IF(8&lt;=cfg_VAL_M,'مسير أغسطس'!Y71,0)+IF(9&lt;=cfg_VAL_M,'مسير سبتمبر'!Y71,0)+IF(10&lt;=cfg_VAL_M,'مسير أكتوبر'!Y71,0)+IF(11&lt;=cfg_VAL_M,'مسير نوفمبر'!Y71,0)+IF(12&lt;=cfg_VAL_M,'مسير ديسمبر'!Y71,0))</f>
        <v/>
      </c>
      <c r="AH71" s="101" t="str">
        <f aca="false">IF($B71="","",AF71/cfg_VAL_M)</f>
        <v/>
      </c>
    </row>
    <row r="72" customFormat="false" ht="15" hidden="false" customHeight="false" outlineLevel="0" collapsed="false">
      <c r="B72" s="80" t="str">
        <f aca="false">IF(الموظفون!$B72="","",الموظفون!$B72)</f>
        <v/>
      </c>
      <c r="C72" s="80" t="str">
        <f aca="false">IF(الموظفون!$B72="","",الموظفون!$C72)</f>
        <v/>
      </c>
      <c r="D72" s="80" t="str">
        <f aca="false">IF(الموظفون!$B72="","",الموظفون!$F72)</f>
        <v/>
      </c>
      <c r="E72" s="80" t="str">
        <f aca="false">IF(الموظفون!$B72="","",الموظفون!$E72)</f>
        <v/>
      </c>
      <c r="F72" s="97" t="str">
        <f aca="false">IF($B72="","",'مسير يناير'!T72)</f>
        <v/>
      </c>
      <c r="G72" s="97" t="str">
        <f aca="false">IF($B72="","",'مسير فبراير'!T72)</f>
        <v/>
      </c>
      <c r="H72" s="97" t="str">
        <f aca="false">IF($B72="","",'مسير مارس'!T72)</f>
        <v/>
      </c>
      <c r="I72" s="97" t="str">
        <f aca="false">IF($B72="","",'مسير أبريل'!T72)</f>
        <v/>
      </c>
      <c r="J72" s="97" t="str">
        <f aca="false">IF($B72="","",'مسير مايو'!T72)</f>
        <v/>
      </c>
      <c r="K72" s="97" t="str">
        <f aca="false">IF($B72="","",'مسير يونيو'!T72)</f>
        <v/>
      </c>
      <c r="L72" s="97" t="str">
        <f aca="false">IF($B72="","",'مسير يوليو'!T72)</f>
        <v/>
      </c>
      <c r="M72" s="97" t="str">
        <f aca="false">IF($B72="","",'مسير أغسطس'!T72)</f>
        <v/>
      </c>
      <c r="N72" s="97" t="str">
        <f aca="false">IF($B72="","",'مسير سبتمبر'!T72)</f>
        <v/>
      </c>
      <c r="O72" s="97" t="str">
        <f aca="false">IF($B72="","",'مسير أكتوبر'!T72)</f>
        <v/>
      </c>
      <c r="P72" s="97" t="str">
        <f aca="false">IF($B72="","",'مسير نوفمبر'!T72)</f>
        <v/>
      </c>
      <c r="Q72" s="97" t="str">
        <f aca="false">IF($B72="","",'مسير ديسمبر'!T72)</f>
        <v/>
      </c>
      <c r="R72" s="143" t="str">
        <f aca="false">IF($B72="","",IF(1&lt;=cfg_VAL_M,'مسير يناير'!T72,0)+IF(2&lt;=cfg_VAL_M,'مسير فبراير'!T72,0)+IF(3&lt;=cfg_VAL_M,'مسير مارس'!T72,0)+IF(4&lt;=cfg_VAL_M,'مسير أبريل'!T72,0)+IF(5&lt;=cfg_VAL_M,'مسير مايو'!T72,0)+IF(6&lt;=cfg_VAL_M,'مسير يونيو'!T72,0)+IF(7&lt;=cfg_VAL_M,'مسير يوليو'!T72,0)+IF(8&lt;=cfg_VAL_M,'مسير أغسطس'!T72,0)+IF(9&lt;=cfg_VAL_M,'مسير سبتمبر'!T72,0)+IF(10&lt;=cfg_VAL_M,'مسير أكتوبر'!T72,0)+IF(11&lt;=cfg_VAL_M,'مسير نوفمبر'!T72,0)+IF(12&lt;=cfg_VAL_M,'مسير ديسمبر'!T72,0))</f>
        <v/>
      </c>
      <c r="T72" s="97" t="str">
        <f aca="false">IF($B72="","",'مسير يناير'!AG72)</f>
        <v/>
      </c>
      <c r="U72" s="97" t="str">
        <f aca="false">IF($B72="","",'مسير فبراير'!AG72)</f>
        <v/>
      </c>
      <c r="V72" s="97" t="str">
        <f aca="false">IF($B72="","",'مسير مارس'!AG72)</f>
        <v/>
      </c>
      <c r="W72" s="97" t="str">
        <f aca="false">IF($B72="","",'مسير أبريل'!AG72)</f>
        <v/>
      </c>
      <c r="X72" s="97" t="str">
        <f aca="false">IF($B72="","",'مسير مايو'!AG72)</f>
        <v/>
      </c>
      <c r="Y72" s="97" t="str">
        <f aca="false">IF($B72="","",'مسير يونيو'!AG72)</f>
        <v/>
      </c>
      <c r="Z72" s="97" t="str">
        <f aca="false">IF($B72="","",'مسير يوليو'!AG72)</f>
        <v/>
      </c>
      <c r="AA72" s="97" t="str">
        <f aca="false">IF($B72="","",'مسير أغسطس'!AG72)</f>
        <v/>
      </c>
      <c r="AB72" s="97" t="str">
        <f aca="false">IF($B72="","",'مسير سبتمبر'!AG72)</f>
        <v/>
      </c>
      <c r="AC72" s="97" t="str">
        <f aca="false">IF($B72="","",'مسير أكتوبر'!AG72)</f>
        <v/>
      </c>
      <c r="AD72" s="97" t="str">
        <f aca="false">IF($B72="","",'مسير نوفمبر'!AG72)</f>
        <v/>
      </c>
      <c r="AE72" s="97" t="str">
        <f aca="false">IF($B72="","",'مسير ديسمبر'!AG72)</f>
        <v/>
      </c>
      <c r="AF72" s="143" t="str">
        <f aca="false">IF($B72="","",IF(1&lt;=cfg_VAL_M,'مسير يناير'!AG72,0)+IF(2&lt;=cfg_VAL_M,'مسير فبراير'!AG72,0)+IF(3&lt;=cfg_VAL_M,'مسير مارس'!AG72,0)+IF(4&lt;=cfg_VAL_M,'مسير أبريل'!AG72,0)+IF(5&lt;=cfg_VAL_M,'مسير مايو'!AG72,0)+IF(6&lt;=cfg_VAL_M,'مسير يونيو'!AG72,0)+IF(7&lt;=cfg_VAL_M,'مسير يوليو'!AG72,0)+IF(8&lt;=cfg_VAL_M,'مسير أغسطس'!AG72,0)+IF(9&lt;=cfg_VAL_M,'مسير سبتمبر'!AG72,0)+IF(10&lt;=cfg_VAL_M,'مسير أكتوبر'!AG72,0)+IF(11&lt;=cfg_VAL_M,'مسير نوفمبر'!AG72,0)+IF(12&lt;=cfg_VAL_M,'مسير ديسمبر'!AG72,0))</f>
        <v/>
      </c>
      <c r="AG72" s="143" t="str">
        <f aca="false">IF($B72="","",IF(1&lt;=cfg_VAL_M,'مسير يناير'!Y72,0)+IF(2&lt;=cfg_VAL_M,'مسير فبراير'!Y72,0)+IF(3&lt;=cfg_VAL_M,'مسير مارس'!Y72,0)+IF(4&lt;=cfg_VAL_M,'مسير أبريل'!Y72,0)+IF(5&lt;=cfg_VAL_M,'مسير مايو'!Y72,0)+IF(6&lt;=cfg_VAL_M,'مسير يونيو'!Y72,0)+IF(7&lt;=cfg_VAL_M,'مسير يوليو'!Y72,0)+IF(8&lt;=cfg_VAL_M,'مسير أغسطس'!Y72,0)+IF(9&lt;=cfg_VAL_M,'مسير سبتمبر'!Y72,0)+IF(10&lt;=cfg_VAL_M,'مسير أكتوبر'!Y72,0)+IF(11&lt;=cfg_VAL_M,'مسير نوفمبر'!Y72,0)+IF(12&lt;=cfg_VAL_M,'مسير ديسمبر'!Y72,0))</f>
        <v/>
      </c>
      <c r="AH72" s="97" t="str">
        <f aca="false">IF($B72="","",AF72/cfg_VAL_M)</f>
        <v/>
      </c>
    </row>
    <row r="73" customFormat="false" ht="15" hidden="false" customHeight="false" outlineLevel="0" collapsed="false">
      <c r="B73" s="102" t="str">
        <f aca="false">IF(الموظفون!$B73="","",الموظفون!$B73)</f>
        <v/>
      </c>
      <c r="C73" s="102" t="str">
        <f aca="false">IF(الموظفون!$B73="","",الموظفون!$C73)</f>
        <v/>
      </c>
      <c r="D73" s="102" t="str">
        <f aca="false">IF(الموظفون!$B73="","",الموظفون!$F73)</f>
        <v/>
      </c>
      <c r="E73" s="102" t="str">
        <f aca="false">IF(الموظفون!$B73="","",الموظفون!$E73)</f>
        <v/>
      </c>
      <c r="F73" s="101" t="str">
        <f aca="false">IF($B73="","",'مسير يناير'!T73)</f>
        <v/>
      </c>
      <c r="G73" s="101" t="str">
        <f aca="false">IF($B73="","",'مسير فبراير'!T73)</f>
        <v/>
      </c>
      <c r="H73" s="101" t="str">
        <f aca="false">IF($B73="","",'مسير مارس'!T73)</f>
        <v/>
      </c>
      <c r="I73" s="101" t="str">
        <f aca="false">IF($B73="","",'مسير أبريل'!T73)</f>
        <v/>
      </c>
      <c r="J73" s="101" t="str">
        <f aca="false">IF($B73="","",'مسير مايو'!T73)</f>
        <v/>
      </c>
      <c r="K73" s="101" t="str">
        <f aca="false">IF($B73="","",'مسير يونيو'!T73)</f>
        <v/>
      </c>
      <c r="L73" s="101" t="str">
        <f aca="false">IF($B73="","",'مسير يوليو'!T73)</f>
        <v/>
      </c>
      <c r="M73" s="101" t="str">
        <f aca="false">IF($B73="","",'مسير أغسطس'!T73)</f>
        <v/>
      </c>
      <c r="N73" s="101" t="str">
        <f aca="false">IF($B73="","",'مسير سبتمبر'!T73)</f>
        <v/>
      </c>
      <c r="O73" s="101" t="str">
        <f aca="false">IF($B73="","",'مسير أكتوبر'!T73)</f>
        <v/>
      </c>
      <c r="P73" s="101" t="str">
        <f aca="false">IF($B73="","",'مسير نوفمبر'!T73)</f>
        <v/>
      </c>
      <c r="Q73" s="101" t="str">
        <f aca="false">IF($B73="","",'مسير ديسمبر'!T73)</f>
        <v/>
      </c>
      <c r="R73" s="144" t="str">
        <f aca="false">IF($B73="","",IF(1&lt;=cfg_VAL_M,'مسير يناير'!T73,0)+IF(2&lt;=cfg_VAL_M,'مسير فبراير'!T73,0)+IF(3&lt;=cfg_VAL_M,'مسير مارس'!T73,0)+IF(4&lt;=cfg_VAL_M,'مسير أبريل'!T73,0)+IF(5&lt;=cfg_VAL_M,'مسير مايو'!T73,0)+IF(6&lt;=cfg_VAL_M,'مسير يونيو'!T73,0)+IF(7&lt;=cfg_VAL_M,'مسير يوليو'!T73,0)+IF(8&lt;=cfg_VAL_M,'مسير أغسطس'!T73,0)+IF(9&lt;=cfg_VAL_M,'مسير سبتمبر'!T73,0)+IF(10&lt;=cfg_VAL_M,'مسير أكتوبر'!T73,0)+IF(11&lt;=cfg_VAL_M,'مسير نوفمبر'!T73,0)+IF(12&lt;=cfg_VAL_M,'مسير ديسمبر'!T73,0))</f>
        <v/>
      </c>
      <c r="T73" s="101" t="str">
        <f aca="false">IF($B73="","",'مسير يناير'!AG73)</f>
        <v/>
      </c>
      <c r="U73" s="101" t="str">
        <f aca="false">IF($B73="","",'مسير فبراير'!AG73)</f>
        <v/>
      </c>
      <c r="V73" s="101" t="str">
        <f aca="false">IF($B73="","",'مسير مارس'!AG73)</f>
        <v/>
      </c>
      <c r="W73" s="101" t="str">
        <f aca="false">IF($B73="","",'مسير أبريل'!AG73)</f>
        <v/>
      </c>
      <c r="X73" s="101" t="str">
        <f aca="false">IF($B73="","",'مسير مايو'!AG73)</f>
        <v/>
      </c>
      <c r="Y73" s="101" t="str">
        <f aca="false">IF($B73="","",'مسير يونيو'!AG73)</f>
        <v/>
      </c>
      <c r="Z73" s="101" t="str">
        <f aca="false">IF($B73="","",'مسير يوليو'!AG73)</f>
        <v/>
      </c>
      <c r="AA73" s="101" t="str">
        <f aca="false">IF($B73="","",'مسير أغسطس'!AG73)</f>
        <v/>
      </c>
      <c r="AB73" s="101" t="str">
        <f aca="false">IF($B73="","",'مسير سبتمبر'!AG73)</f>
        <v/>
      </c>
      <c r="AC73" s="101" t="str">
        <f aca="false">IF($B73="","",'مسير أكتوبر'!AG73)</f>
        <v/>
      </c>
      <c r="AD73" s="101" t="str">
        <f aca="false">IF($B73="","",'مسير نوفمبر'!AG73)</f>
        <v/>
      </c>
      <c r="AE73" s="101" t="str">
        <f aca="false">IF($B73="","",'مسير ديسمبر'!AG73)</f>
        <v/>
      </c>
      <c r="AF73" s="144" t="str">
        <f aca="false">IF($B73="","",IF(1&lt;=cfg_VAL_M,'مسير يناير'!AG73,0)+IF(2&lt;=cfg_VAL_M,'مسير فبراير'!AG73,0)+IF(3&lt;=cfg_VAL_M,'مسير مارس'!AG73,0)+IF(4&lt;=cfg_VAL_M,'مسير أبريل'!AG73,0)+IF(5&lt;=cfg_VAL_M,'مسير مايو'!AG73,0)+IF(6&lt;=cfg_VAL_M,'مسير يونيو'!AG73,0)+IF(7&lt;=cfg_VAL_M,'مسير يوليو'!AG73,0)+IF(8&lt;=cfg_VAL_M,'مسير أغسطس'!AG73,0)+IF(9&lt;=cfg_VAL_M,'مسير سبتمبر'!AG73,0)+IF(10&lt;=cfg_VAL_M,'مسير أكتوبر'!AG73,0)+IF(11&lt;=cfg_VAL_M,'مسير نوفمبر'!AG73,0)+IF(12&lt;=cfg_VAL_M,'مسير ديسمبر'!AG73,0))</f>
        <v/>
      </c>
      <c r="AG73" s="144" t="str">
        <f aca="false">IF($B73="","",IF(1&lt;=cfg_VAL_M,'مسير يناير'!Y73,0)+IF(2&lt;=cfg_VAL_M,'مسير فبراير'!Y73,0)+IF(3&lt;=cfg_VAL_M,'مسير مارس'!Y73,0)+IF(4&lt;=cfg_VAL_M,'مسير أبريل'!Y73,0)+IF(5&lt;=cfg_VAL_M,'مسير مايو'!Y73,0)+IF(6&lt;=cfg_VAL_M,'مسير يونيو'!Y73,0)+IF(7&lt;=cfg_VAL_M,'مسير يوليو'!Y73,0)+IF(8&lt;=cfg_VAL_M,'مسير أغسطس'!Y73,0)+IF(9&lt;=cfg_VAL_M,'مسير سبتمبر'!Y73,0)+IF(10&lt;=cfg_VAL_M,'مسير أكتوبر'!Y73,0)+IF(11&lt;=cfg_VAL_M,'مسير نوفمبر'!Y73,0)+IF(12&lt;=cfg_VAL_M,'مسير ديسمبر'!Y73,0))</f>
        <v/>
      </c>
      <c r="AH73" s="101" t="str">
        <f aca="false">IF($B73="","",AF73/cfg_VAL_M)</f>
        <v/>
      </c>
    </row>
    <row r="74" customFormat="false" ht="15" hidden="false" customHeight="false" outlineLevel="0" collapsed="false">
      <c r="B74" s="80" t="str">
        <f aca="false">IF(الموظفون!$B74="","",الموظفون!$B74)</f>
        <v/>
      </c>
      <c r="C74" s="80" t="str">
        <f aca="false">IF(الموظفون!$B74="","",الموظفون!$C74)</f>
        <v/>
      </c>
      <c r="D74" s="80" t="str">
        <f aca="false">IF(الموظفون!$B74="","",الموظفون!$F74)</f>
        <v/>
      </c>
      <c r="E74" s="80" t="str">
        <f aca="false">IF(الموظفون!$B74="","",الموظفون!$E74)</f>
        <v/>
      </c>
      <c r="F74" s="97" t="str">
        <f aca="false">IF($B74="","",'مسير يناير'!T74)</f>
        <v/>
      </c>
      <c r="G74" s="97" t="str">
        <f aca="false">IF($B74="","",'مسير فبراير'!T74)</f>
        <v/>
      </c>
      <c r="H74" s="97" t="str">
        <f aca="false">IF($B74="","",'مسير مارس'!T74)</f>
        <v/>
      </c>
      <c r="I74" s="97" t="str">
        <f aca="false">IF($B74="","",'مسير أبريل'!T74)</f>
        <v/>
      </c>
      <c r="J74" s="97" t="str">
        <f aca="false">IF($B74="","",'مسير مايو'!T74)</f>
        <v/>
      </c>
      <c r="K74" s="97" t="str">
        <f aca="false">IF($B74="","",'مسير يونيو'!T74)</f>
        <v/>
      </c>
      <c r="L74" s="97" t="str">
        <f aca="false">IF($B74="","",'مسير يوليو'!T74)</f>
        <v/>
      </c>
      <c r="M74" s="97" t="str">
        <f aca="false">IF($B74="","",'مسير أغسطس'!T74)</f>
        <v/>
      </c>
      <c r="N74" s="97" t="str">
        <f aca="false">IF($B74="","",'مسير سبتمبر'!T74)</f>
        <v/>
      </c>
      <c r="O74" s="97" t="str">
        <f aca="false">IF($B74="","",'مسير أكتوبر'!T74)</f>
        <v/>
      </c>
      <c r="P74" s="97" t="str">
        <f aca="false">IF($B74="","",'مسير نوفمبر'!T74)</f>
        <v/>
      </c>
      <c r="Q74" s="97" t="str">
        <f aca="false">IF($B74="","",'مسير ديسمبر'!T74)</f>
        <v/>
      </c>
      <c r="R74" s="143" t="str">
        <f aca="false">IF($B74="","",IF(1&lt;=cfg_VAL_M,'مسير يناير'!T74,0)+IF(2&lt;=cfg_VAL_M,'مسير فبراير'!T74,0)+IF(3&lt;=cfg_VAL_M,'مسير مارس'!T74,0)+IF(4&lt;=cfg_VAL_M,'مسير أبريل'!T74,0)+IF(5&lt;=cfg_VAL_M,'مسير مايو'!T74,0)+IF(6&lt;=cfg_VAL_M,'مسير يونيو'!T74,0)+IF(7&lt;=cfg_VAL_M,'مسير يوليو'!T74,0)+IF(8&lt;=cfg_VAL_M,'مسير أغسطس'!T74,0)+IF(9&lt;=cfg_VAL_M,'مسير سبتمبر'!T74,0)+IF(10&lt;=cfg_VAL_M,'مسير أكتوبر'!T74,0)+IF(11&lt;=cfg_VAL_M,'مسير نوفمبر'!T74,0)+IF(12&lt;=cfg_VAL_M,'مسير ديسمبر'!T74,0))</f>
        <v/>
      </c>
      <c r="T74" s="97" t="str">
        <f aca="false">IF($B74="","",'مسير يناير'!AG74)</f>
        <v/>
      </c>
      <c r="U74" s="97" t="str">
        <f aca="false">IF($B74="","",'مسير فبراير'!AG74)</f>
        <v/>
      </c>
      <c r="V74" s="97" t="str">
        <f aca="false">IF($B74="","",'مسير مارس'!AG74)</f>
        <v/>
      </c>
      <c r="W74" s="97" t="str">
        <f aca="false">IF($B74="","",'مسير أبريل'!AG74)</f>
        <v/>
      </c>
      <c r="X74" s="97" t="str">
        <f aca="false">IF($B74="","",'مسير مايو'!AG74)</f>
        <v/>
      </c>
      <c r="Y74" s="97" t="str">
        <f aca="false">IF($B74="","",'مسير يونيو'!AG74)</f>
        <v/>
      </c>
      <c r="Z74" s="97" t="str">
        <f aca="false">IF($B74="","",'مسير يوليو'!AG74)</f>
        <v/>
      </c>
      <c r="AA74" s="97" t="str">
        <f aca="false">IF($B74="","",'مسير أغسطس'!AG74)</f>
        <v/>
      </c>
      <c r="AB74" s="97" t="str">
        <f aca="false">IF($B74="","",'مسير سبتمبر'!AG74)</f>
        <v/>
      </c>
      <c r="AC74" s="97" t="str">
        <f aca="false">IF($B74="","",'مسير أكتوبر'!AG74)</f>
        <v/>
      </c>
      <c r="AD74" s="97" t="str">
        <f aca="false">IF($B74="","",'مسير نوفمبر'!AG74)</f>
        <v/>
      </c>
      <c r="AE74" s="97" t="str">
        <f aca="false">IF($B74="","",'مسير ديسمبر'!AG74)</f>
        <v/>
      </c>
      <c r="AF74" s="143" t="str">
        <f aca="false">IF($B74="","",IF(1&lt;=cfg_VAL_M,'مسير يناير'!AG74,0)+IF(2&lt;=cfg_VAL_M,'مسير فبراير'!AG74,0)+IF(3&lt;=cfg_VAL_M,'مسير مارس'!AG74,0)+IF(4&lt;=cfg_VAL_M,'مسير أبريل'!AG74,0)+IF(5&lt;=cfg_VAL_M,'مسير مايو'!AG74,0)+IF(6&lt;=cfg_VAL_M,'مسير يونيو'!AG74,0)+IF(7&lt;=cfg_VAL_M,'مسير يوليو'!AG74,0)+IF(8&lt;=cfg_VAL_M,'مسير أغسطس'!AG74,0)+IF(9&lt;=cfg_VAL_M,'مسير سبتمبر'!AG74,0)+IF(10&lt;=cfg_VAL_M,'مسير أكتوبر'!AG74,0)+IF(11&lt;=cfg_VAL_M,'مسير نوفمبر'!AG74,0)+IF(12&lt;=cfg_VAL_M,'مسير ديسمبر'!AG74,0))</f>
        <v/>
      </c>
      <c r="AG74" s="143" t="str">
        <f aca="false">IF($B74="","",IF(1&lt;=cfg_VAL_M,'مسير يناير'!Y74,0)+IF(2&lt;=cfg_VAL_M,'مسير فبراير'!Y74,0)+IF(3&lt;=cfg_VAL_M,'مسير مارس'!Y74,0)+IF(4&lt;=cfg_VAL_M,'مسير أبريل'!Y74,0)+IF(5&lt;=cfg_VAL_M,'مسير مايو'!Y74,0)+IF(6&lt;=cfg_VAL_M,'مسير يونيو'!Y74,0)+IF(7&lt;=cfg_VAL_M,'مسير يوليو'!Y74,0)+IF(8&lt;=cfg_VAL_M,'مسير أغسطس'!Y74,0)+IF(9&lt;=cfg_VAL_M,'مسير سبتمبر'!Y74,0)+IF(10&lt;=cfg_VAL_M,'مسير أكتوبر'!Y74,0)+IF(11&lt;=cfg_VAL_M,'مسير نوفمبر'!Y74,0)+IF(12&lt;=cfg_VAL_M,'مسير ديسمبر'!Y74,0))</f>
        <v/>
      </c>
      <c r="AH74" s="97" t="str">
        <f aca="false">IF($B74="","",AF74/cfg_VAL_M)</f>
        <v/>
      </c>
    </row>
    <row r="75" customFormat="false" ht="15" hidden="false" customHeight="false" outlineLevel="0" collapsed="false">
      <c r="B75" s="102" t="str">
        <f aca="false">IF(الموظفون!$B75="","",الموظفون!$B75)</f>
        <v/>
      </c>
      <c r="C75" s="102" t="str">
        <f aca="false">IF(الموظفون!$B75="","",الموظفون!$C75)</f>
        <v/>
      </c>
      <c r="D75" s="102" t="str">
        <f aca="false">IF(الموظفون!$B75="","",الموظفون!$F75)</f>
        <v/>
      </c>
      <c r="E75" s="102" t="str">
        <f aca="false">IF(الموظفون!$B75="","",الموظفون!$E75)</f>
        <v/>
      </c>
      <c r="F75" s="101" t="str">
        <f aca="false">IF($B75="","",'مسير يناير'!T75)</f>
        <v/>
      </c>
      <c r="G75" s="101" t="str">
        <f aca="false">IF($B75="","",'مسير فبراير'!T75)</f>
        <v/>
      </c>
      <c r="H75" s="101" t="str">
        <f aca="false">IF($B75="","",'مسير مارس'!T75)</f>
        <v/>
      </c>
      <c r="I75" s="101" t="str">
        <f aca="false">IF($B75="","",'مسير أبريل'!T75)</f>
        <v/>
      </c>
      <c r="J75" s="101" t="str">
        <f aca="false">IF($B75="","",'مسير مايو'!T75)</f>
        <v/>
      </c>
      <c r="K75" s="101" t="str">
        <f aca="false">IF($B75="","",'مسير يونيو'!T75)</f>
        <v/>
      </c>
      <c r="L75" s="101" t="str">
        <f aca="false">IF($B75="","",'مسير يوليو'!T75)</f>
        <v/>
      </c>
      <c r="M75" s="101" t="str">
        <f aca="false">IF($B75="","",'مسير أغسطس'!T75)</f>
        <v/>
      </c>
      <c r="N75" s="101" t="str">
        <f aca="false">IF($B75="","",'مسير سبتمبر'!T75)</f>
        <v/>
      </c>
      <c r="O75" s="101" t="str">
        <f aca="false">IF($B75="","",'مسير أكتوبر'!T75)</f>
        <v/>
      </c>
      <c r="P75" s="101" t="str">
        <f aca="false">IF($B75="","",'مسير نوفمبر'!T75)</f>
        <v/>
      </c>
      <c r="Q75" s="101" t="str">
        <f aca="false">IF($B75="","",'مسير ديسمبر'!T75)</f>
        <v/>
      </c>
      <c r="R75" s="144" t="str">
        <f aca="false">IF($B75="","",IF(1&lt;=cfg_VAL_M,'مسير يناير'!T75,0)+IF(2&lt;=cfg_VAL_M,'مسير فبراير'!T75,0)+IF(3&lt;=cfg_VAL_M,'مسير مارس'!T75,0)+IF(4&lt;=cfg_VAL_M,'مسير أبريل'!T75,0)+IF(5&lt;=cfg_VAL_M,'مسير مايو'!T75,0)+IF(6&lt;=cfg_VAL_M,'مسير يونيو'!T75,0)+IF(7&lt;=cfg_VAL_M,'مسير يوليو'!T75,0)+IF(8&lt;=cfg_VAL_M,'مسير أغسطس'!T75,0)+IF(9&lt;=cfg_VAL_M,'مسير سبتمبر'!T75,0)+IF(10&lt;=cfg_VAL_M,'مسير أكتوبر'!T75,0)+IF(11&lt;=cfg_VAL_M,'مسير نوفمبر'!T75,0)+IF(12&lt;=cfg_VAL_M,'مسير ديسمبر'!T75,0))</f>
        <v/>
      </c>
      <c r="T75" s="101" t="str">
        <f aca="false">IF($B75="","",'مسير يناير'!AG75)</f>
        <v/>
      </c>
      <c r="U75" s="101" t="str">
        <f aca="false">IF($B75="","",'مسير فبراير'!AG75)</f>
        <v/>
      </c>
      <c r="V75" s="101" t="str">
        <f aca="false">IF($B75="","",'مسير مارس'!AG75)</f>
        <v/>
      </c>
      <c r="W75" s="101" t="str">
        <f aca="false">IF($B75="","",'مسير أبريل'!AG75)</f>
        <v/>
      </c>
      <c r="X75" s="101" t="str">
        <f aca="false">IF($B75="","",'مسير مايو'!AG75)</f>
        <v/>
      </c>
      <c r="Y75" s="101" t="str">
        <f aca="false">IF($B75="","",'مسير يونيو'!AG75)</f>
        <v/>
      </c>
      <c r="Z75" s="101" t="str">
        <f aca="false">IF($B75="","",'مسير يوليو'!AG75)</f>
        <v/>
      </c>
      <c r="AA75" s="101" t="str">
        <f aca="false">IF($B75="","",'مسير أغسطس'!AG75)</f>
        <v/>
      </c>
      <c r="AB75" s="101" t="str">
        <f aca="false">IF($B75="","",'مسير سبتمبر'!AG75)</f>
        <v/>
      </c>
      <c r="AC75" s="101" t="str">
        <f aca="false">IF($B75="","",'مسير أكتوبر'!AG75)</f>
        <v/>
      </c>
      <c r="AD75" s="101" t="str">
        <f aca="false">IF($B75="","",'مسير نوفمبر'!AG75)</f>
        <v/>
      </c>
      <c r="AE75" s="101" t="str">
        <f aca="false">IF($B75="","",'مسير ديسمبر'!AG75)</f>
        <v/>
      </c>
      <c r="AF75" s="144" t="str">
        <f aca="false">IF($B75="","",IF(1&lt;=cfg_VAL_M,'مسير يناير'!AG75,0)+IF(2&lt;=cfg_VAL_M,'مسير فبراير'!AG75,0)+IF(3&lt;=cfg_VAL_M,'مسير مارس'!AG75,0)+IF(4&lt;=cfg_VAL_M,'مسير أبريل'!AG75,0)+IF(5&lt;=cfg_VAL_M,'مسير مايو'!AG75,0)+IF(6&lt;=cfg_VAL_M,'مسير يونيو'!AG75,0)+IF(7&lt;=cfg_VAL_M,'مسير يوليو'!AG75,0)+IF(8&lt;=cfg_VAL_M,'مسير أغسطس'!AG75,0)+IF(9&lt;=cfg_VAL_M,'مسير سبتمبر'!AG75,0)+IF(10&lt;=cfg_VAL_M,'مسير أكتوبر'!AG75,0)+IF(11&lt;=cfg_VAL_M,'مسير نوفمبر'!AG75,0)+IF(12&lt;=cfg_VAL_M,'مسير ديسمبر'!AG75,0))</f>
        <v/>
      </c>
      <c r="AG75" s="144" t="str">
        <f aca="false">IF($B75="","",IF(1&lt;=cfg_VAL_M,'مسير يناير'!Y75,0)+IF(2&lt;=cfg_VAL_M,'مسير فبراير'!Y75,0)+IF(3&lt;=cfg_VAL_M,'مسير مارس'!Y75,0)+IF(4&lt;=cfg_VAL_M,'مسير أبريل'!Y75,0)+IF(5&lt;=cfg_VAL_M,'مسير مايو'!Y75,0)+IF(6&lt;=cfg_VAL_M,'مسير يونيو'!Y75,0)+IF(7&lt;=cfg_VAL_M,'مسير يوليو'!Y75,0)+IF(8&lt;=cfg_VAL_M,'مسير أغسطس'!Y75,0)+IF(9&lt;=cfg_VAL_M,'مسير سبتمبر'!Y75,0)+IF(10&lt;=cfg_VAL_M,'مسير أكتوبر'!Y75,0)+IF(11&lt;=cfg_VAL_M,'مسير نوفمبر'!Y75,0)+IF(12&lt;=cfg_VAL_M,'مسير ديسمبر'!Y75,0))</f>
        <v/>
      </c>
      <c r="AH75" s="101" t="str">
        <f aca="false">IF($B75="","",AF75/cfg_VAL_M)</f>
        <v/>
      </c>
    </row>
    <row r="76" customFormat="false" ht="15" hidden="false" customHeight="false" outlineLevel="0" collapsed="false">
      <c r="B76" s="80" t="str">
        <f aca="false">IF(الموظفون!$B76="","",الموظفون!$B76)</f>
        <v/>
      </c>
      <c r="C76" s="80" t="str">
        <f aca="false">IF(الموظفون!$B76="","",الموظفون!$C76)</f>
        <v/>
      </c>
      <c r="D76" s="80" t="str">
        <f aca="false">IF(الموظفون!$B76="","",الموظفون!$F76)</f>
        <v/>
      </c>
      <c r="E76" s="80" t="str">
        <f aca="false">IF(الموظفون!$B76="","",الموظفون!$E76)</f>
        <v/>
      </c>
      <c r="F76" s="97" t="str">
        <f aca="false">IF($B76="","",'مسير يناير'!T76)</f>
        <v/>
      </c>
      <c r="G76" s="97" t="str">
        <f aca="false">IF($B76="","",'مسير فبراير'!T76)</f>
        <v/>
      </c>
      <c r="H76" s="97" t="str">
        <f aca="false">IF($B76="","",'مسير مارس'!T76)</f>
        <v/>
      </c>
      <c r="I76" s="97" t="str">
        <f aca="false">IF($B76="","",'مسير أبريل'!T76)</f>
        <v/>
      </c>
      <c r="J76" s="97" t="str">
        <f aca="false">IF($B76="","",'مسير مايو'!T76)</f>
        <v/>
      </c>
      <c r="K76" s="97" t="str">
        <f aca="false">IF($B76="","",'مسير يونيو'!T76)</f>
        <v/>
      </c>
      <c r="L76" s="97" t="str">
        <f aca="false">IF($B76="","",'مسير يوليو'!T76)</f>
        <v/>
      </c>
      <c r="M76" s="97" t="str">
        <f aca="false">IF($B76="","",'مسير أغسطس'!T76)</f>
        <v/>
      </c>
      <c r="N76" s="97" t="str">
        <f aca="false">IF($B76="","",'مسير سبتمبر'!T76)</f>
        <v/>
      </c>
      <c r="O76" s="97" t="str">
        <f aca="false">IF($B76="","",'مسير أكتوبر'!T76)</f>
        <v/>
      </c>
      <c r="P76" s="97" t="str">
        <f aca="false">IF($B76="","",'مسير نوفمبر'!T76)</f>
        <v/>
      </c>
      <c r="Q76" s="97" t="str">
        <f aca="false">IF($B76="","",'مسير ديسمبر'!T76)</f>
        <v/>
      </c>
      <c r="R76" s="143" t="str">
        <f aca="false">IF($B76="","",IF(1&lt;=cfg_VAL_M,'مسير يناير'!T76,0)+IF(2&lt;=cfg_VAL_M,'مسير فبراير'!T76,0)+IF(3&lt;=cfg_VAL_M,'مسير مارس'!T76,0)+IF(4&lt;=cfg_VAL_M,'مسير أبريل'!T76,0)+IF(5&lt;=cfg_VAL_M,'مسير مايو'!T76,0)+IF(6&lt;=cfg_VAL_M,'مسير يونيو'!T76,0)+IF(7&lt;=cfg_VAL_M,'مسير يوليو'!T76,0)+IF(8&lt;=cfg_VAL_M,'مسير أغسطس'!T76,0)+IF(9&lt;=cfg_VAL_M,'مسير سبتمبر'!T76,0)+IF(10&lt;=cfg_VAL_M,'مسير أكتوبر'!T76,0)+IF(11&lt;=cfg_VAL_M,'مسير نوفمبر'!T76,0)+IF(12&lt;=cfg_VAL_M,'مسير ديسمبر'!T76,0))</f>
        <v/>
      </c>
      <c r="T76" s="97" t="str">
        <f aca="false">IF($B76="","",'مسير يناير'!AG76)</f>
        <v/>
      </c>
      <c r="U76" s="97" t="str">
        <f aca="false">IF($B76="","",'مسير فبراير'!AG76)</f>
        <v/>
      </c>
      <c r="V76" s="97" t="str">
        <f aca="false">IF($B76="","",'مسير مارس'!AG76)</f>
        <v/>
      </c>
      <c r="W76" s="97" t="str">
        <f aca="false">IF($B76="","",'مسير أبريل'!AG76)</f>
        <v/>
      </c>
      <c r="X76" s="97" t="str">
        <f aca="false">IF($B76="","",'مسير مايو'!AG76)</f>
        <v/>
      </c>
      <c r="Y76" s="97" t="str">
        <f aca="false">IF($B76="","",'مسير يونيو'!AG76)</f>
        <v/>
      </c>
      <c r="Z76" s="97" t="str">
        <f aca="false">IF($B76="","",'مسير يوليو'!AG76)</f>
        <v/>
      </c>
      <c r="AA76" s="97" t="str">
        <f aca="false">IF($B76="","",'مسير أغسطس'!AG76)</f>
        <v/>
      </c>
      <c r="AB76" s="97" t="str">
        <f aca="false">IF($B76="","",'مسير سبتمبر'!AG76)</f>
        <v/>
      </c>
      <c r="AC76" s="97" t="str">
        <f aca="false">IF($B76="","",'مسير أكتوبر'!AG76)</f>
        <v/>
      </c>
      <c r="AD76" s="97" t="str">
        <f aca="false">IF($B76="","",'مسير نوفمبر'!AG76)</f>
        <v/>
      </c>
      <c r="AE76" s="97" t="str">
        <f aca="false">IF($B76="","",'مسير ديسمبر'!AG76)</f>
        <v/>
      </c>
      <c r="AF76" s="143" t="str">
        <f aca="false">IF($B76="","",IF(1&lt;=cfg_VAL_M,'مسير يناير'!AG76,0)+IF(2&lt;=cfg_VAL_M,'مسير فبراير'!AG76,0)+IF(3&lt;=cfg_VAL_M,'مسير مارس'!AG76,0)+IF(4&lt;=cfg_VAL_M,'مسير أبريل'!AG76,0)+IF(5&lt;=cfg_VAL_M,'مسير مايو'!AG76,0)+IF(6&lt;=cfg_VAL_M,'مسير يونيو'!AG76,0)+IF(7&lt;=cfg_VAL_M,'مسير يوليو'!AG76,0)+IF(8&lt;=cfg_VAL_M,'مسير أغسطس'!AG76,0)+IF(9&lt;=cfg_VAL_M,'مسير سبتمبر'!AG76,0)+IF(10&lt;=cfg_VAL_M,'مسير أكتوبر'!AG76,0)+IF(11&lt;=cfg_VAL_M,'مسير نوفمبر'!AG76,0)+IF(12&lt;=cfg_VAL_M,'مسير ديسمبر'!AG76,0))</f>
        <v/>
      </c>
      <c r="AG76" s="143" t="str">
        <f aca="false">IF($B76="","",IF(1&lt;=cfg_VAL_M,'مسير يناير'!Y76,0)+IF(2&lt;=cfg_VAL_M,'مسير فبراير'!Y76,0)+IF(3&lt;=cfg_VAL_M,'مسير مارس'!Y76,0)+IF(4&lt;=cfg_VAL_M,'مسير أبريل'!Y76,0)+IF(5&lt;=cfg_VAL_M,'مسير مايو'!Y76,0)+IF(6&lt;=cfg_VAL_M,'مسير يونيو'!Y76,0)+IF(7&lt;=cfg_VAL_M,'مسير يوليو'!Y76,0)+IF(8&lt;=cfg_VAL_M,'مسير أغسطس'!Y76,0)+IF(9&lt;=cfg_VAL_M,'مسير سبتمبر'!Y76,0)+IF(10&lt;=cfg_VAL_M,'مسير أكتوبر'!Y76,0)+IF(11&lt;=cfg_VAL_M,'مسير نوفمبر'!Y76,0)+IF(12&lt;=cfg_VAL_M,'مسير ديسمبر'!Y76,0))</f>
        <v/>
      </c>
      <c r="AH76" s="97" t="str">
        <f aca="false">IF($B76="","",AF76/cfg_VAL_M)</f>
        <v/>
      </c>
    </row>
    <row r="77" customFormat="false" ht="15" hidden="false" customHeight="false" outlineLevel="0" collapsed="false">
      <c r="B77" s="102" t="str">
        <f aca="false">IF(الموظفون!$B77="","",الموظفون!$B77)</f>
        <v/>
      </c>
      <c r="C77" s="102" t="str">
        <f aca="false">IF(الموظفون!$B77="","",الموظفون!$C77)</f>
        <v/>
      </c>
      <c r="D77" s="102" t="str">
        <f aca="false">IF(الموظفون!$B77="","",الموظفون!$F77)</f>
        <v/>
      </c>
      <c r="E77" s="102" t="str">
        <f aca="false">IF(الموظفون!$B77="","",الموظفون!$E77)</f>
        <v/>
      </c>
      <c r="F77" s="101" t="str">
        <f aca="false">IF($B77="","",'مسير يناير'!T77)</f>
        <v/>
      </c>
      <c r="G77" s="101" t="str">
        <f aca="false">IF($B77="","",'مسير فبراير'!T77)</f>
        <v/>
      </c>
      <c r="H77" s="101" t="str">
        <f aca="false">IF($B77="","",'مسير مارس'!T77)</f>
        <v/>
      </c>
      <c r="I77" s="101" t="str">
        <f aca="false">IF($B77="","",'مسير أبريل'!T77)</f>
        <v/>
      </c>
      <c r="J77" s="101" t="str">
        <f aca="false">IF($B77="","",'مسير مايو'!T77)</f>
        <v/>
      </c>
      <c r="K77" s="101" t="str">
        <f aca="false">IF($B77="","",'مسير يونيو'!T77)</f>
        <v/>
      </c>
      <c r="L77" s="101" t="str">
        <f aca="false">IF($B77="","",'مسير يوليو'!T77)</f>
        <v/>
      </c>
      <c r="M77" s="101" t="str">
        <f aca="false">IF($B77="","",'مسير أغسطس'!T77)</f>
        <v/>
      </c>
      <c r="N77" s="101" t="str">
        <f aca="false">IF($B77="","",'مسير سبتمبر'!T77)</f>
        <v/>
      </c>
      <c r="O77" s="101" t="str">
        <f aca="false">IF($B77="","",'مسير أكتوبر'!T77)</f>
        <v/>
      </c>
      <c r="P77" s="101" t="str">
        <f aca="false">IF($B77="","",'مسير نوفمبر'!T77)</f>
        <v/>
      </c>
      <c r="Q77" s="101" t="str">
        <f aca="false">IF($B77="","",'مسير ديسمبر'!T77)</f>
        <v/>
      </c>
      <c r="R77" s="144" t="str">
        <f aca="false">IF($B77="","",IF(1&lt;=cfg_VAL_M,'مسير يناير'!T77,0)+IF(2&lt;=cfg_VAL_M,'مسير فبراير'!T77,0)+IF(3&lt;=cfg_VAL_M,'مسير مارس'!T77,0)+IF(4&lt;=cfg_VAL_M,'مسير أبريل'!T77,0)+IF(5&lt;=cfg_VAL_M,'مسير مايو'!T77,0)+IF(6&lt;=cfg_VAL_M,'مسير يونيو'!T77,0)+IF(7&lt;=cfg_VAL_M,'مسير يوليو'!T77,0)+IF(8&lt;=cfg_VAL_M,'مسير أغسطس'!T77,0)+IF(9&lt;=cfg_VAL_M,'مسير سبتمبر'!T77,0)+IF(10&lt;=cfg_VAL_M,'مسير أكتوبر'!T77,0)+IF(11&lt;=cfg_VAL_M,'مسير نوفمبر'!T77,0)+IF(12&lt;=cfg_VAL_M,'مسير ديسمبر'!T77,0))</f>
        <v/>
      </c>
      <c r="T77" s="101" t="str">
        <f aca="false">IF($B77="","",'مسير يناير'!AG77)</f>
        <v/>
      </c>
      <c r="U77" s="101" t="str">
        <f aca="false">IF($B77="","",'مسير فبراير'!AG77)</f>
        <v/>
      </c>
      <c r="V77" s="101" t="str">
        <f aca="false">IF($B77="","",'مسير مارس'!AG77)</f>
        <v/>
      </c>
      <c r="W77" s="101" t="str">
        <f aca="false">IF($B77="","",'مسير أبريل'!AG77)</f>
        <v/>
      </c>
      <c r="X77" s="101" t="str">
        <f aca="false">IF($B77="","",'مسير مايو'!AG77)</f>
        <v/>
      </c>
      <c r="Y77" s="101" t="str">
        <f aca="false">IF($B77="","",'مسير يونيو'!AG77)</f>
        <v/>
      </c>
      <c r="Z77" s="101" t="str">
        <f aca="false">IF($B77="","",'مسير يوليو'!AG77)</f>
        <v/>
      </c>
      <c r="AA77" s="101" t="str">
        <f aca="false">IF($B77="","",'مسير أغسطس'!AG77)</f>
        <v/>
      </c>
      <c r="AB77" s="101" t="str">
        <f aca="false">IF($B77="","",'مسير سبتمبر'!AG77)</f>
        <v/>
      </c>
      <c r="AC77" s="101" t="str">
        <f aca="false">IF($B77="","",'مسير أكتوبر'!AG77)</f>
        <v/>
      </c>
      <c r="AD77" s="101" t="str">
        <f aca="false">IF($B77="","",'مسير نوفمبر'!AG77)</f>
        <v/>
      </c>
      <c r="AE77" s="101" t="str">
        <f aca="false">IF($B77="","",'مسير ديسمبر'!AG77)</f>
        <v/>
      </c>
      <c r="AF77" s="144" t="str">
        <f aca="false">IF($B77="","",IF(1&lt;=cfg_VAL_M,'مسير يناير'!AG77,0)+IF(2&lt;=cfg_VAL_M,'مسير فبراير'!AG77,0)+IF(3&lt;=cfg_VAL_M,'مسير مارس'!AG77,0)+IF(4&lt;=cfg_VAL_M,'مسير أبريل'!AG77,0)+IF(5&lt;=cfg_VAL_M,'مسير مايو'!AG77,0)+IF(6&lt;=cfg_VAL_M,'مسير يونيو'!AG77,0)+IF(7&lt;=cfg_VAL_M,'مسير يوليو'!AG77,0)+IF(8&lt;=cfg_VAL_M,'مسير أغسطس'!AG77,0)+IF(9&lt;=cfg_VAL_M,'مسير سبتمبر'!AG77,0)+IF(10&lt;=cfg_VAL_M,'مسير أكتوبر'!AG77,0)+IF(11&lt;=cfg_VAL_M,'مسير نوفمبر'!AG77,0)+IF(12&lt;=cfg_VAL_M,'مسير ديسمبر'!AG77,0))</f>
        <v/>
      </c>
      <c r="AG77" s="144" t="str">
        <f aca="false">IF($B77="","",IF(1&lt;=cfg_VAL_M,'مسير يناير'!Y77,0)+IF(2&lt;=cfg_VAL_M,'مسير فبراير'!Y77,0)+IF(3&lt;=cfg_VAL_M,'مسير مارس'!Y77,0)+IF(4&lt;=cfg_VAL_M,'مسير أبريل'!Y77,0)+IF(5&lt;=cfg_VAL_M,'مسير مايو'!Y77,0)+IF(6&lt;=cfg_VAL_M,'مسير يونيو'!Y77,0)+IF(7&lt;=cfg_VAL_M,'مسير يوليو'!Y77,0)+IF(8&lt;=cfg_VAL_M,'مسير أغسطس'!Y77,0)+IF(9&lt;=cfg_VAL_M,'مسير سبتمبر'!Y77,0)+IF(10&lt;=cfg_VAL_M,'مسير أكتوبر'!Y77,0)+IF(11&lt;=cfg_VAL_M,'مسير نوفمبر'!Y77,0)+IF(12&lt;=cfg_VAL_M,'مسير ديسمبر'!Y77,0))</f>
        <v/>
      </c>
      <c r="AH77" s="101" t="str">
        <f aca="false">IF($B77="","",AF77/cfg_VAL_M)</f>
        <v/>
      </c>
    </row>
    <row r="78" customFormat="false" ht="15" hidden="false" customHeight="false" outlineLevel="0" collapsed="false">
      <c r="B78" s="80" t="str">
        <f aca="false">IF(الموظفون!$B78="","",الموظفون!$B78)</f>
        <v/>
      </c>
      <c r="C78" s="80" t="str">
        <f aca="false">IF(الموظفون!$B78="","",الموظفون!$C78)</f>
        <v/>
      </c>
      <c r="D78" s="80" t="str">
        <f aca="false">IF(الموظفون!$B78="","",الموظفون!$F78)</f>
        <v/>
      </c>
      <c r="E78" s="80" t="str">
        <f aca="false">IF(الموظفون!$B78="","",الموظفون!$E78)</f>
        <v/>
      </c>
      <c r="F78" s="97" t="str">
        <f aca="false">IF($B78="","",'مسير يناير'!T78)</f>
        <v/>
      </c>
      <c r="G78" s="97" t="str">
        <f aca="false">IF($B78="","",'مسير فبراير'!T78)</f>
        <v/>
      </c>
      <c r="H78" s="97" t="str">
        <f aca="false">IF($B78="","",'مسير مارس'!T78)</f>
        <v/>
      </c>
      <c r="I78" s="97" t="str">
        <f aca="false">IF($B78="","",'مسير أبريل'!T78)</f>
        <v/>
      </c>
      <c r="J78" s="97" t="str">
        <f aca="false">IF($B78="","",'مسير مايو'!T78)</f>
        <v/>
      </c>
      <c r="K78" s="97" t="str">
        <f aca="false">IF($B78="","",'مسير يونيو'!T78)</f>
        <v/>
      </c>
      <c r="L78" s="97" t="str">
        <f aca="false">IF($B78="","",'مسير يوليو'!T78)</f>
        <v/>
      </c>
      <c r="M78" s="97" t="str">
        <f aca="false">IF($B78="","",'مسير أغسطس'!T78)</f>
        <v/>
      </c>
      <c r="N78" s="97" t="str">
        <f aca="false">IF($B78="","",'مسير سبتمبر'!T78)</f>
        <v/>
      </c>
      <c r="O78" s="97" t="str">
        <f aca="false">IF($B78="","",'مسير أكتوبر'!T78)</f>
        <v/>
      </c>
      <c r="P78" s="97" t="str">
        <f aca="false">IF($B78="","",'مسير نوفمبر'!T78)</f>
        <v/>
      </c>
      <c r="Q78" s="97" t="str">
        <f aca="false">IF($B78="","",'مسير ديسمبر'!T78)</f>
        <v/>
      </c>
      <c r="R78" s="143" t="str">
        <f aca="false">IF($B78="","",IF(1&lt;=cfg_VAL_M,'مسير يناير'!T78,0)+IF(2&lt;=cfg_VAL_M,'مسير فبراير'!T78,0)+IF(3&lt;=cfg_VAL_M,'مسير مارس'!T78,0)+IF(4&lt;=cfg_VAL_M,'مسير أبريل'!T78,0)+IF(5&lt;=cfg_VAL_M,'مسير مايو'!T78,0)+IF(6&lt;=cfg_VAL_M,'مسير يونيو'!T78,0)+IF(7&lt;=cfg_VAL_M,'مسير يوليو'!T78,0)+IF(8&lt;=cfg_VAL_M,'مسير أغسطس'!T78,0)+IF(9&lt;=cfg_VAL_M,'مسير سبتمبر'!T78,0)+IF(10&lt;=cfg_VAL_M,'مسير أكتوبر'!T78,0)+IF(11&lt;=cfg_VAL_M,'مسير نوفمبر'!T78,0)+IF(12&lt;=cfg_VAL_M,'مسير ديسمبر'!T78,0))</f>
        <v/>
      </c>
      <c r="T78" s="97" t="str">
        <f aca="false">IF($B78="","",'مسير يناير'!AG78)</f>
        <v/>
      </c>
      <c r="U78" s="97" t="str">
        <f aca="false">IF($B78="","",'مسير فبراير'!AG78)</f>
        <v/>
      </c>
      <c r="V78" s="97" t="str">
        <f aca="false">IF($B78="","",'مسير مارس'!AG78)</f>
        <v/>
      </c>
      <c r="W78" s="97" t="str">
        <f aca="false">IF($B78="","",'مسير أبريل'!AG78)</f>
        <v/>
      </c>
      <c r="X78" s="97" t="str">
        <f aca="false">IF($B78="","",'مسير مايو'!AG78)</f>
        <v/>
      </c>
      <c r="Y78" s="97" t="str">
        <f aca="false">IF($B78="","",'مسير يونيو'!AG78)</f>
        <v/>
      </c>
      <c r="Z78" s="97" t="str">
        <f aca="false">IF($B78="","",'مسير يوليو'!AG78)</f>
        <v/>
      </c>
      <c r="AA78" s="97" t="str">
        <f aca="false">IF($B78="","",'مسير أغسطس'!AG78)</f>
        <v/>
      </c>
      <c r="AB78" s="97" t="str">
        <f aca="false">IF($B78="","",'مسير سبتمبر'!AG78)</f>
        <v/>
      </c>
      <c r="AC78" s="97" t="str">
        <f aca="false">IF($B78="","",'مسير أكتوبر'!AG78)</f>
        <v/>
      </c>
      <c r="AD78" s="97" t="str">
        <f aca="false">IF($B78="","",'مسير نوفمبر'!AG78)</f>
        <v/>
      </c>
      <c r="AE78" s="97" t="str">
        <f aca="false">IF($B78="","",'مسير ديسمبر'!AG78)</f>
        <v/>
      </c>
      <c r="AF78" s="143" t="str">
        <f aca="false">IF($B78="","",IF(1&lt;=cfg_VAL_M,'مسير يناير'!AG78,0)+IF(2&lt;=cfg_VAL_M,'مسير فبراير'!AG78,0)+IF(3&lt;=cfg_VAL_M,'مسير مارس'!AG78,0)+IF(4&lt;=cfg_VAL_M,'مسير أبريل'!AG78,0)+IF(5&lt;=cfg_VAL_M,'مسير مايو'!AG78,0)+IF(6&lt;=cfg_VAL_M,'مسير يونيو'!AG78,0)+IF(7&lt;=cfg_VAL_M,'مسير يوليو'!AG78,0)+IF(8&lt;=cfg_VAL_M,'مسير أغسطس'!AG78,0)+IF(9&lt;=cfg_VAL_M,'مسير سبتمبر'!AG78,0)+IF(10&lt;=cfg_VAL_M,'مسير أكتوبر'!AG78,0)+IF(11&lt;=cfg_VAL_M,'مسير نوفمبر'!AG78,0)+IF(12&lt;=cfg_VAL_M,'مسير ديسمبر'!AG78,0))</f>
        <v/>
      </c>
      <c r="AG78" s="143" t="str">
        <f aca="false">IF($B78="","",IF(1&lt;=cfg_VAL_M,'مسير يناير'!Y78,0)+IF(2&lt;=cfg_VAL_M,'مسير فبراير'!Y78,0)+IF(3&lt;=cfg_VAL_M,'مسير مارس'!Y78,0)+IF(4&lt;=cfg_VAL_M,'مسير أبريل'!Y78,0)+IF(5&lt;=cfg_VAL_M,'مسير مايو'!Y78,0)+IF(6&lt;=cfg_VAL_M,'مسير يونيو'!Y78,0)+IF(7&lt;=cfg_VAL_M,'مسير يوليو'!Y78,0)+IF(8&lt;=cfg_VAL_M,'مسير أغسطس'!Y78,0)+IF(9&lt;=cfg_VAL_M,'مسير سبتمبر'!Y78,0)+IF(10&lt;=cfg_VAL_M,'مسير أكتوبر'!Y78,0)+IF(11&lt;=cfg_VAL_M,'مسير نوفمبر'!Y78,0)+IF(12&lt;=cfg_VAL_M,'مسير ديسمبر'!Y78,0))</f>
        <v/>
      </c>
      <c r="AH78" s="97" t="str">
        <f aca="false">IF($B78="","",AF78/cfg_VAL_M)</f>
        <v/>
      </c>
    </row>
    <row r="79" customFormat="false" ht="15" hidden="false" customHeight="false" outlineLevel="0" collapsed="false">
      <c r="B79" s="102" t="str">
        <f aca="false">IF(الموظفون!$B79="","",الموظفون!$B79)</f>
        <v/>
      </c>
      <c r="C79" s="102" t="str">
        <f aca="false">IF(الموظفون!$B79="","",الموظفون!$C79)</f>
        <v/>
      </c>
      <c r="D79" s="102" t="str">
        <f aca="false">IF(الموظفون!$B79="","",الموظفون!$F79)</f>
        <v/>
      </c>
      <c r="E79" s="102" t="str">
        <f aca="false">IF(الموظفون!$B79="","",الموظفون!$E79)</f>
        <v/>
      </c>
      <c r="F79" s="101" t="str">
        <f aca="false">IF($B79="","",'مسير يناير'!T79)</f>
        <v/>
      </c>
      <c r="G79" s="101" t="str">
        <f aca="false">IF($B79="","",'مسير فبراير'!T79)</f>
        <v/>
      </c>
      <c r="H79" s="101" t="str">
        <f aca="false">IF($B79="","",'مسير مارس'!T79)</f>
        <v/>
      </c>
      <c r="I79" s="101" t="str">
        <f aca="false">IF($B79="","",'مسير أبريل'!T79)</f>
        <v/>
      </c>
      <c r="J79" s="101" t="str">
        <f aca="false">IF($B79="","",'مسير مايو'!T79)</f>
        <v/>
      </c>
      <c r="K79" s="101" t="str">
        <f aca="false">IF($B79="","",'مسير يونيو'!T79)</f>
        <v/>
      </c>
      <c r="L79" s="101" t="str">
        <f aca="false">IF($B79="","",'مسير يوليو'!T79)</f>
        <v/>
      </c>
      <c r="M79" s="101" t="str">
        <f aca="false">IF($B79="","",'مسير أغسطس'!T79)</f>
        <v/>
      </c>
      <c r="N79" s="101" t="str">
        <f aca="false">IF($B79="","",'مسير سبتمبر'!T79)</f>
        <v/>
      </c>
      <c r="O79" s="101" t="str">
        <f aca="false">IF($B79="","",'مسير أكتوبر'!T79)</f>
        <v/>
      </c>
      <c r="P79" s="101" t="str">
        <f aca="false">IF($B79="","",'مسير نوفمبر'!T79)</f>
        <v/>
      </c>
      <c r="Q79" s="101" t="str">
        <f aca="false">IF($B79="","",'مسير ديسمبر'!T79)</f>
        <v/>
      </c>
      <c r="R79" s="144" t="str">
        <f aca="false">IF($B79="","",IF(1&lt;=cfg_VAL_M,'مسير يناير'!T79,0)+IF(2&lt;=cfg_VAL_M,'مسير فبراير'!T79,0)+IF(3&lt;=cfg_VAL_M,'مسير مارس'!T79,0)+IF(4&lt;=cfg_VAL_M,'مسير أبريل'!T79,0)+IF(5&lt;=cfg_VAL_M,'مسير مايو'!T79,0)+IF(6&lt;=cfg_VAL_M,'مسير يونيو'!T79,0)+IF(7&lt;=cfg_VAL_M,'مسير يوليو'!T79,0)+IF(8&lt;=cfg_VAL_M,'مسير أغسطس'!T79,0)+IF(9&lt;=cfg_VAL_M,'مسير سبتمبر'!T79,0)+IF(10&lt;=cfg_VAL_M,'مسير أكتوبر'!T79,0)+IF(11&lt;=cfg_VAL_M,'مسير نوفمبر'!T79,0)+IF(12&lt;=cfg_VAL_M,'مسير ديسمبر'!T79,0))</f>
        <v/>
      </c>
      <c r="T79" s="101" t="str">
        <f aca="false">IF($B79="","",'مسير يناير'!AG79)</f>
        <v/>
      </c>
      <c r="U79" s="101" t="str">
        <f aca="false">IF($B79="","",'مسير فبراير'!AG79)</f>
        <v/>
      </c>
      <c r="V79" s="101" t="str">
        <f aca="false">IF($B79="","",'مسير مارس'!AG79)</f>
        <v/>
      </c>
      <c r="W79" s="101" t="str">
        <f aca="false">IF($B79="","",'مسير أبريل'!AG79)</f>
        <v/>
      </c>
      <c r="X79" s="101" t="str">
        <f aca="false">IF($B79="","",'مسير مايو'!AG79)</f>
        <v/>
      </c>
      <c r="Y79" s="101" t="str">
        <f aca="false">IF($B79="","",'مسير يونيو'!AG79)</f>
        <v/>
      </c>
      <c r="Z79" s="101" t="str">
        <f aca="false">IF($B79="","",'مسير يوليو'!AG79)</f>
        <v/>
      </c>
      <c r="AA79" s="101" t="str">
        <f aca="false">IF($B79="","",'مسير أغسطس'!AG79)</f>
        <v/>
      </c>
      <c r="AB79" s="101" t="str">
        <f aca="false">IF($B79="","",'مسير سبتمبر'!AG79)</f>
        <v/>
      </c>
      <c r="AC79" s="101" t="str">
        <f aca="false">IF($B79="","",'مسير أكتوبر'!AG79)</f>
        <v/>
      </c>
      <c r="AD79" s="101" t="str">
        <f aca="false">IF($B79="","",'مسير نوفمبر'!AG79)</f>
        <v/>
      </c>
      <c r="AE79" s="101" t="str">
        <f aca="false">IF($B79="","",'مسير ديسمبر'!AG79)</f>
        <v/>
      </c>
      <c r="AF79" s="144" t="str">
        <f aca="false">IF($B79="","",IF(1&lt;=cfg_VAL_M,'مسير يناير'!AG79,0)+IF(2&lt;=cfg_VAL_M,'مسير فبراير'!AG79,0)+IF(3&lt;=cfg_VAL_M,'مسير مارس'!AG79,0)+IF(4&lt;=cfg_VAL_M,'مسير أبريل'!AG79,0)+IF(5&lt;=cfg_VAL_M,'مسير مايو'!AG79,0)+IF(6&lt;=cfg_VAL_M,'مسير يونيو'!AG79,0)+IF(7&lt;=cfg_VAL_M,'مسير يوليو'!AG79,0)+IF(8&lt;=cfg_VAL_M,'مسير أغسطس'!AG79,0)+IF(9&lt;=cfg_VAL_M,'مسير سبتمبر'!AG79,0)+IF(10&lt;=cfg_VAL_M,'مسير أكتوبر'!AG79,0)+IF(11&lt;=cfg_VAL_M,'مسير نوفمبر'!AG79,0)+IF(12&lt;=cfg_VAL_M,'مسير ديسمبر'!AG79,0))</f>
        <v/>
      </c>
      <c r="AG79" s="144" t="str">
        <f aca="false">IF($B79="","",IF(1&lt;=cfg_VAL_M,'مسير يناير'!Y79,0)+IF(2&lt;=cfg_VAL_M,'مسير فبراير'!Y79,0)+IF(3&lt;=cfg_VAL_M,'مسير مارس'!Y79,0)+IF(4&lt;=cfg_VAL_M,'مسير أبريل'!Y79,0)+IF(5&lt;=cfg_VAL_M,'مسير مايو'!Y79,0)+IF(6&lt;=cfg_VAL_M,'مسير يونيو'!Y79,0)+IF(7&lt;=cfg_VAL_M,'مسير يوليو'!Y79,0)+IF(8&lt;=cfg_VAL_M,'مسير أغسطس'!Y79,0)+IF(9&lt;=cfg_VAL_M,'مسير سبتمبر'!Y79,0)+IF(10&lt;=cfg_VAL_M,'مسير أكتوبر'!Y79,0)+IF(11&lt;=cfg_VAL_M,'مسير نوفمبر'!Y79,0)+IF(12&lt;=cfg_VAL_M,'مسير ديسمبر'!Y79,0))</f>
        <v/>
      </c>
      <c r="AH79" s="101" t="str">
        <f aca="false">IF($B79="","",AF79/cfg_VAL_M)</f>
        <v/>
      </c>
    </row>
    <row r="80" customFormat="false" ht="15" hidden="false" customHeight="false" outlineLevel="0" collapsed="false">
      <c r="B80" s="80" t="str">
        <f aca="false">IF(الموظفون!$B80="","",الموظفون!$B80)</f>
        <v/>
      </c>
      <c r="C80" s="80" t="str">
        <f aca="false">IF(الموظفون!$B80="","",الموظفون!$C80)</f>
        <v/>
      </c>
      <c r="D80" s="80" t="str">
        <f aca="false">IF(الموظفون!$B80="","",الموظفون!$F80)</f>
        <v/>
      </c>
      <c r="E80" s="80" t="str">
        <f aca="false">IF(الموظفون!$B80="","",الموظفون!$E80)</f>
        <v/>
      </c>
      <c r="F80" s="97" t="str">
        <f aca="false">IF($B80="","",'مسير يناير'!T80)</f>
        <v/>
      </c>
      <c r="G80" s="97" t="str">
        <f aca="false">IF($B80="","",'مسير فبراير'!T80)</f>
        <v/>
      </c>
      <c r="H80" s="97" t="str">
        <f aca="false">IF($B80="","",'مسير مارس'!T80)</f>
        <v/>
      </c>
      <c r="I80" s="97" t="str">
        <f aca="false">IF($B80="","",'مسير أبريل'!T80)</f>
        <v/>
      </c>
      <c r="J80" s="97" t="str">
        <f aca="false">IF($B80="","",'مسير مايو'!T80)</f>
        <v/>
      </c>
      <c r="K80" s="97" t="str">
        <f aca="false">IF($B80="","",'مسير يونيو'!T80)</f>
        <v/>
      </c>
      <c r="L80" s="97" t="str">
        <f aca="false">IF($B80="","",'مسير يوليو'!T80)</f>
        <v/>
      </c>
      <c r="M80" s="97" t="str">
        <f aca="false">IF($B80="","",'مسير أغسطس'!T80)</f>
        <v/>
      </c>
      <c r="N80" s="97" t="str">
        <f aca="false">IF($B80="","",'مسير سبتمبر'!T80)</f>
        <v/>
      </c>
      <c r="O80" s="97" t="str">
        <f aca="false">IF($B80="","",'مسير أكتوبر'!T80)</f>
        <v/>
      </c>
      <c r="P80" s="97" t="str">
        <f aca="false">IF($B80="","",'مسير نوفمبر'!T80)</f>
        <v/>
      </c>
      <c r="Q80" s="97" t="str">
        <f aca="false">IF($B80="","",'مسير ديسمبر'!T80)</f>
        <v/>
      </c>
      <c r="R80" s="143" t="str">
        <f aca="false">IF($B80="","",IF(1&lt;=cfg_VAL_M,'مسير يناير'!T80,0)+IF(2&lt;=cfg_VAL_M,'مسير فبراير'!T80,0)+IF(3&lt;=cfg_VAL_M,'مسير مارس'!T80,0)+IF(4&lt;=cfg_VAL_M,'مسير أبريل'!T80,0)+IF(5&lt;=cfg_VAL_M,'مسير مايو'!T80,0)+IF(6&lt;=cfg_VAL_M,'مسير يونيو'!T80,0)+IF(7&lt;=cfg_VAL_M,'مسير يوليو'!T80,0)+IF(8&lt;=cfg_VAL_M,'مسير أغسطس'!T80,0)+IF(9&lt;=cfg_VAL_M,'مسير سبتمبر'!T80,0)+IF(10&lt;=cfg_VAL_M,'مسير أكتوبر'!T80,0)+IF(11&lt;=cfg_VAL_M,'مسير نوفمبر'!T80,0)+IF(12&lt;=cfg_VAL_M,'مسير ديسمبر'!T80,0))</f>
        <v/>
      </c>
      <c r="T80" s="97" t="str">
        <f aca="false">IF($B80="","",'مسير يناير'!AG80)</f>
        <v/>
      </c>
      <c r="U80" s="97" t="str">
        <f aca="false">IF($B80="","",'مسير فبراير'!AG80)</f>
        <v/>
      </c>
      <c r="V80" s="97" t="str">
        <f aca="false">IF($B80="","",'مسير مارس'!AG80)</f>
        <v/>
      </c>
      <c r="W80" s="97" t="str">
        <f aca="false">IF($B80="","",'مسير أبريل'!AG80)</f>
        <v/>
      </c>
      <c r="X80" s="97" t="str">
        <f aca="false">IF($B80="","",'مسير مايو'!AG80)</f>
        <v/>
      </c>
      <c r="Y80" s="97" t="str">
        <f aca="false">IF($B80="","",'مسير يونيو'!AG80)</f>
        <v/>
      </c>
      <c r="Z80" s="97" t="str">
        <f aca="false">IF($B80="","",'مسير يوليو'!AG80)</f>
        <v/>
      </c>
      <c r="AA80" s="97" t="str">
        <f aca="false">IF($B80="","",'مسير أغسطس'!AG80)</f>
        <v/>
      </c>
      <c r="AB80" s="97" t="str">
        <f aca="false">IF($B80="","",'مسير سبتمبر'!AG80)</f>
        <v/>
      </c>
      <c r="AC80" s="97" t="str">
        <f aca="false">IF($B80="","",'مسير أكتوبر'!AG80)</f>
        <v/>
      </c>
      <c r="AD80" s="97" t="str">
        <f aca="false">IF($B80="","",'مسير نوفمبر'!AG80)</f>
        <v/>
      </c>
      <c r="AE80" s="97" t="str">
        <f aca="false">IF($B80="","",'مسير ديسمبر'!AG80)</f>
        <v/>
      </c>
      <c r="AF80" s="143" t="str">
        <f aca="false">IF($B80="","",IF(1&lt;=cfg_VAL_M,'مسير يناير'!AG80,0)+IF(2&lt;=cfg_VAL_M,'مسير فبراير'!AG80,0)+IF(3&lt;=cfg_VAL_M,'مسير مارس'!AG80,0)+IF(4&lt;=cfg_VAL_M,'مسير أبريل'!AG80,0)+IF(5&lt;=cfg_VAL_M,'مسير مايو'!AG80,0)+IF(6&lt;=cfg_VAL_M,'مسير يونيو'!AG80,0)+IF(7&lt;=cfg_VAL_M,'مسير يوليو'!AG80,0)+IF(8&lt;=cfg_VAL_M,'مسير أغسطس'!AG80,0)+IF(9&lt;=cfg_VAL_M,'مسير سبتمبر'!AG80,0)+IF(10&lt;=cfg_VAL_M,'مسير أكتوبر'!AG80,0)+IF(11&lt;=cfg_VAL_M,'مسير نوفمبر'!AG80,0)+IF(12&lt;=cfg_VAL_M,'مسير ديسمبر'!AG80,0))</f>
        <v/>
      </c>
      <c r="AG80" s="143" t="str">
        <f aca="false">IF($B80="","",IF(1&lt;=cfg_VAL_M,'مسير يناير'!Y80,0)+IF(2&lt;=cfg_VAL_M,'مسير فبراير'!Y80,0)+IF(3&lt;=cfg_VAL_M,'مسير مارس'!Y80,0)+IF(4&lt;=cfg_VAL_M,'مسير أبريل'!Y80,0)+IF(5&lt;=cfg_VAL_M,'مسير مايو'!Y80,0)+IF(6&lt;=cfg_VAL_M,'مسير يونيو'!Y80,0)+IF(7&lt;=cfg_VAL_M,'مسير يوليو'!Y80,0)+IF(8&lt;=cfg_VAL_M,'مسير أغسطس'!Y80,0)+IF(9&lt;=cfg_VAL_M,'مسير سبتمبر'!Y80,0)+IF(10&lt;=cfg_VAL_M,'مسير أكتوبر'!Y80,0)+IF(11&lt;=cfg_VAL_M,'مسير نوفمبر'!Y80,0)+IF(12&lt;=cfg_VAL_M,'مسير ديسمبر'!Y80,0))</f>
        <v/>
      </c>
      <c r="AH80" s="97" t="str">
        <f aca="false">IF($B80="","",AF80/cfg_VAL_M)</f>
        <v/>
      </c>
    </row>
    <row r="81" customFormat="false" ht="15" hidden="false" customHeight="false" outlineLevel="0" collapsed="false">
      <c r="B81" s="102" t="str">
        <f aca="false">IF(الموظفون!$B81="","",الموظفون!$B81)</f>
        <v/>
      </c>
      <c r="C81" s="102" t="str">
        <f aca="false">IF(الموظفون!$B81="","",الموظفون!$C81)</f>
        <v/>
      </c>
      <c r="D81" s="102" t="str">
        <f aca="false">IF(الموظفون!$B81="","",الموظفون!$F81)</f>
        <v/>
      </c>
      <c r="E81" s="102" t="str">
        <f aca="false">IF(الموظفون!$B81="","",الموظفون!$E81)</f>
        <v/>
      </c>
      <c r="F81" s="101" t="str">
        <f aca="false">IF($B81="","",'مسير يناير'!T81)</f>
        <v/>
      </c>
      <c r="G81" s="101" t="str">
        <f aca="false">IF($B81="","",'مسير فبراير'!T81)</f>
        <v/>
      </c>
      <c r="H81" s="101" t="str">
        <f aca="false">IF($B81="","",'مسير مارس'!T81)</f>
        <v/>
      </c>
      <c r="I81" s="101" t="str">
        <f aca="false">IF($B81="","",'مسير أبريل'!T81)</f>
        <v/>
      </c>
      <c r="J81" s="101" t="str">
        <f aca="false">IF($B81="","",'مسير مايو'!T81)</f>
        <v/>
      </c>
      <c r="K81" s="101" t="str">
        <f aca="false">IF($B81="","",'مسير يونيو'!T81)</f>
        <v/>
      </c>
      <c r="L81" s="101" t="str">
        <f aca="false">IF($B81="","",'مسير يوليو'!T81)</f>
        <v/>
      </c>
      <c r="M81" s="101" t="str">
        <f aca="false">IF($B81="","",'مسير أغسطس'!T81)</f>
        <v/>
      </c>
      <c r="N81" s="101" t="str">
        <f aca="false">IF($B81="","",'مسير سبتمبر'!T81)</f>
        <v/>
      </c>
      <c r="O81" s="101" t="str">
        <f aca="false">IF($B81="","",'مسير أكتوبر'!T81)</f>
        <v/>
      </c>
      <c r="P81" s="101" t="str">
        <f aca="false">IF($B81="","",'مسير نوفمبر'!T81)</f>
        <v/>
      </c>
      <c r="Q81" s="101" t="str">
        <f aca="false">IF($B81="","",'مسير ديسمبر'!T81)</f>
        <v/>
      </c>
      <c r="R81" s="144" t="str">
        <f aca="false">IF($B81="","",IF(1&lt;=cfg_VAL_M,'مسير يناير'!T81,0)+IF(2&lt;=cfg_VAL_M,'مسير فبراير'!T81,0)+IF(3&lt;=cfg_VAL_M,'مسير مارس'!T81,0)+IF(4&lt;=cfg_VAL_M,'مسير أبريل'!T81,0)+IF(5&lt;=cfg_VAL_M,'مسير مايو'!T81,0)+IF(6&lt;=cfg_VAL_M,'مسير يونيو'!T81,0)+IF(7&lt;=cfg_VAL_M,'مسير يوليو'!T81,0)+IF(8&lt;=cfg_VAL_M,'مسير أغسطس'!T81,0)+IF(9&lt;=cfg_VAL_M,'مسير سبتمبر'!T81,0)+IF(10&lt;=cfg_VAL_M,'مسير أكتوبر'!T81,0)+IF(11&lt;=cfg_VAL_M,'مسير نوفمبر'!T81,0)+IF(12&lt;=cfg_VAL_M,'مسير ديسمبر'!T81,0))</f>
        <v/>
      </c>
      <c r="T81" s="101" t="str">
        <f aca="false">IF($B81="","",'مسير يناير'!AG81)</f>
        <v/>
      </c>
      <c r="U81" s="101" t="str">
        <f aca="false">IF($B81="","",'مسير فبراير'!AG81)</f>
        <v/>
      </c>
      <c r="V81" s="101" t="str">
        <f aca="false">IF($B81="","",'مسير مارس'!AG81)</f>
        <v/>
      </c>
      <c r="W81" s="101" t="str">
        <f aca="false">IF($B81="","",'مسير أبريل'!AG81)</f>
        <v/>
      </c>
      <c r="X81" s="101" t="str">
        <f aca="false">IF($B81="","",'مسير مايو'!AG81)</f>
        <v/>
      </c>
      <c r="Y81" s="101" t="str">
        <f aca="false">IF($B81="","",'مسير يونيو'!AG81)</f>
        <v/>
      </c>
      <c r="Z81" s="101" t="str">
        <f aca="false">IF($B81="","",'مسير يوليو'!AG81)</f>
        <v/>
      </c>
      <c r="AA81" s="101" t="str">
        <f aca="false">IF($B81="","",'مسير أغسطس'!AG81)</f>
        <v/>
      </c>
      <c r="AB81" s="101" t="str">
        <f aca="false">IF($B81="","",'مسير سبتمبر'!AG81)</f>
        <v/>
      </c>
      <c r="AC81" s="101" t="str">
        <f aca="false">IF($B81="","",'مسير أكتوبر'!AG81)</f>
        <v/>
      </c>
      <c r="AD81" s="101" t="str">
        <f aca="false">IF($B81="","",'مسير نوفمبر'!AG81)</f>
        <v/>
      </c>
      <c r="AE81" s="101" t="str">
        <f aca="false">IF($B81="","",'مسير ديسمبر'!AG81)</f>
        <v/>
      </c>
      <c r="AF81" s="144" t="str">
        <f aca="false">IF($B81="","",IF(1&lt;=cfg_VAL_M,'مسير يناير'!AG81,0)+IF(2&lt;=cfg_VAL_M,'مسير فبراير'!AG81,0)+IF(3&lt;=cfg_VAL_M,'مسير مارس'!AG81,0)+IF(4&lt;=cfg_VAL_M,'مسير أبريل'!AG81,0)+IF(5&lt;=cfg_VAL_M,'مسير مايو'!AG81,0)+IF(6&lt;=cfg_VAL_M,'مسير يونيو'!AG81,0)+IF(7&lt;=cfg_VAL_M,'مسير يوليو'!AG81,0)+IF(8&lt;=cfg_VAL_M,'مسير أغسطس'!AG81,0)+IF(9&lt;=cfg_VAL_M,'مسير سبتمبر'!AG81,0)+IF(10&lt;=cfg_VAL_M,'مسير أكتوبر'!AG81,0)+IF(11&lt;=cfg_VAL_M,'مسير نوفمبر'!AG81,0)+IF(12&lt;=cfg_VAL_M,'مسير ديسمبر'!AG81,0))</f>
        <v/>
      </c>
      <c r="AG81" s="144" t="str">
        <f aca="false">IF($B81="","",IF(1&lt;=cfg_VAL_M,'مسير يناير'!Y81,0)+IF(2&lt;=cfg_VAL_M,'مسير فبراير'!Y81,0)+IF(3&lt;=cfg_VAL_M,'مسير مارس'!Y81,0)+IF(4&lt;=cfg_VAL_M,'مسير أبريل'!Y81,0)+IF(5&lt;=cfg_VAL_M,'مسير مايو'!Y81,0)+IF(6&lt;=cfg_VAL_M,'مسير يونيو'!Y81,0)+IF(7&lt;=cfg_VAL_M,'مسير يوليو'!Y81,0)+IF(8&lt;=cfg_VAL_M,'مسير أغسطس'!Y81,0)+IF(9&lt;=cfg_VAL_M,'مسير سبتمبر'!Y81,0)+IF(10&lt;=cfg_VAL_M,'مسير أكتوبر'!Y81,0)+IF(11&lt;=cfg_VAL_M,'مسير نوفمبر'!Y81,0)+IF(12&lt;=cfg_VAL_M,'مسير ديسمبر'!Y81,0))</f>
        <v/>
      </c>
      <c r="AH81" s="101" t="str">
        <f aca="false">IF($B81="","",AF81/cfg_VAL_M)</f>
        <v/>
      </c>
    </row>
    <row r="82" customFormat="false" ht="15" hidden="false" customHeight="false" outlineLevel="0" collapsed="false">
      <c r="B82" s="80" t="str">
        <f aca="false">IF(الموظفون!$B82="","",الموظفون!$B82)</f>
        <v/>
      </c>
      <c r="C82" s="80" t="str">
        <f aca="false">IF(الموظفون!$B82="","",الموظفون!$C82)</f>
        <v/>
      </c>
      <c r="D82" s="80" t="str">
        <f aca="false">IF(الموظفون!$B82="","",الموظفون!$F82)</f>
        <v/>
      </c>
      <c r="E82" s="80" t="str">
        <f aca="false">IF(الموظفون!$B82="","",الموظفون!$E82)</f>
        <v/>
      </c>
      <c r="F82" s="97" t="str">
        <f aca="false">IF($B82="","",'مسير يناير'!T82)</f>
        <v/>
      </c>
      <c r="G82" s="97" t="str">
        <f aca="false">IF($B82="","",'مسير فبراير'!T82)</f>
        <v/>
      </c>
      <c r="H82" s="97" t="str">
        <f aca="false">IF($B82="","",'مسير مارس'!T82)</f>
        <v/>
      </c>
      <c r="I82" s="97" t="str">
        <f aca="false">IF($B82="","",'مسير أبريل'!T82)</f>
        <v/>
      </c>
      <c r="J82" s="97" t="str">
        <f aca="false">IF($B82="","",'مسير مايو'!T82)</f>
        <v/>
      </c>
      <c r="K82" s="97" t="str">
        <f aca="false">IF($B82="","",'مسير يونيو'!T82)</f>
        <v/>
      </c>
      <c r="L82" s="97" t="str">
        <f aca="false">IF($B82="","",'مسير يوليو'!T82)</f>
        <v/>
      </c>
      <c r="M82" s="97" t="str">
        <f aca="false">IF($B82="","",'مسير أغسطس'!T82)</f>
        <v/>
      </c>
      <c r="N82" s="97" t="str">
        <f aca="false">IF($B82="","",'مسير سبتمبر'!T82)</f>
        <v/>
      </c>
      <c r="O82" s="97" t="str">
        <f aca="false">IF($B82="","",'مسير أكتوبر'!T82)</f>
        <v/>
      </c>
      <c r="P82" s="97" t="str">
        <f aca="false">IF($B82="","",'مسير نوفمبر'!T82)</f>
        <v/>
      </c>
      <c r="Q82" s="97" t="str">
        <f aca="false">IF($B82="","",'مسير ديسمبر'!T82)</f>
        <v/>
      </c>
      <c r="R82" s="143" t="str">
        <f aca="false">IF($B82="","",IF(1&lt;=cfg_VAL_M,'مسير يناير'!T82,0)+IF(2&lt;=cfg_VAL_M,'مسير فبراير'!T82,0)+IF(3&lt;=cfg_VAL_M,'مسير مارس'!T82,0)+IF(4&lt;=cfg_VAL_M,'مسير أبريل'!T82,0)+IF(5&lt;=cfg_VAL_M,'مسير مايو'!T82,0)+IF(6&lt;=cfg_VAL_M,'مسير يونيو'!T82,0)+IF(7&lt;=cfg_VAL_M,'مسير يوليو'!T82,0)+IF(8&lt;=cfg_VAL_M,'مسير أغسطس'!T82,0)+IF(9&lt;=cfg_VAL_M,'مسير سبتمبر'!T82,0)+IF(10&lt;=cfg_VAL_M,'مسير أكتوبر'!T82,0)+IF(11&lt;=cfg_VAL_M,'مسير نوفمبر'!T82,0)+IF(12&lt;=cfg_VAL_M,'مسير ديسمبر'!T82,0))</f>
        <v/>
      </c>
      <c r="T82" s="97" t="str">
        <f aca="false">IF($B82="","",'مسير يناير'!AG82)</f>
        <v/>
      </c>
      <c r="U82" s="97" t="str">
        <f aca="false">IF($B82="","",'مسير فبراير'!AG82)</f>
        <v/>
      </c>
      <c r="V82" s="97" t="str">
        <f aca="false">IF($B82="","",'مسير مارس'!AG82)</f>
        <v/>
      </c>
      <c r="W82" s="97" t="str">
        <f aca="false">IF($B82="","",'مسير أبريل'!AG82)</f>
        <v/>
      </c>
      <c r="X82" s="97" t="str">
        <f aca="false">IF($B82="","",'مسير مايو'!AG82)</f>
        <v/>
      </c>
      <c r="Y82" s="97" t="str">
        <f aca="false">IF($B82="","",'مسير يونيو'!AG82)</f>
        <v/>
      </c>
      <c r="Z82" s="97" t="str">
        <f aca="false">IF($B82="","",'مسير يوليو'!AG82)</f>
        <v/>
      </c>
      <c r="AA82" s="97" t="str">
        <f aca="false">IF($B82="","",'مسير أغسطس'!AG82)</f>
        <v/>
      </c>
      <c r="AB82" s="97" t="str">
        <f aca="false">IF($B82="","",'مسير سبتمبر'!AG82)</f>
        <v/>
      </c>
      <c r="AC82" s="97" t="str">
        <f aca="false">IF($B82="","",'مسير أكتوبر'!AG82)</f>
        <v/>
      </c>
      <c r="AD82" s="97" t="str">
        <f aca="false">IF($B82="","",'مسير نوفمبر'!AG82)</f>
        <v/>
      </c>
      <c r="AE82" s="97" t="str">
        <f aca="false">IF($B82="","",'مسير ديسمبر'!AG82)</f>
        <v/>
      </c>
      <c r="AF82" s="143" t="str">
        <f aca="false">IF($B82="","",IF(1&lt;=cfg_VAL_M,'مسير يناير'!AG82,0)+IF(2&lt;=cfg_VAL_M,'مسير فبراير'!AG82,0)+IF(3&lt;=cfg_VAL_M,'مسير مارس'!AG82,0)+IF(4&lt;=cfg_VAL_M,'مسير أبريل'!AG82,0)+IF(5&lt;=cfg_VAL_M,'مسير مايو'!AG82,0)+IF(6&lt;=cfg_VAL_M,'مسير يونيو'!AG82,0)+IF(7&lt;=cfg_VAL_M,'مسير يوليو'!AG82,0)+IF(8&lt;=cfg_VAL_M,'مسير أغسطس'!AG82,0)+IF(9&lt;=cfg_VAL_M,'مسير سبتمبر'!AG82,0)+IF(10&lt;=cfg_VAL_M,'مسير أكتوبر'!AG82,0)+IF(11&lt;=cfg_VAL_M,'مسير نوفمبر'!AG82,0)+IF(12&lt;=cfg_VAL_M,'مسير ديسمبر'!AG82,0))</f>
        <v/>
      </c>
      <c r="AG82" s="143" t="str">
        <f aca="false">IF($B82="","",IF(1&lt;=cfg_VAL_M,'مسير يناير'!Y82,0)+IF(2&lt;=cfg_VAL_M,'مسير فبراير'!Y82,0)+IF(3&lt;=cfg_VAL_M,'مسير مارس'!Y82,0)+IF(4&lt;=cfg_VAL_M,'مسير أبريل'!Y82,0)+IF(5&lt;=cfg_VAL_M,'مسير مايو'!Y82,0)+IF(6&lt;=cfg_VAL_M,'مسير يونيو'!Y82,0)+IF(7&lt;=cfg_VAL_M,'مسير يوليو'!Y82,0)+IF(8&lt;=cfg_VAL_M,'مسير أغسطس'!Y82,0)+IF(9&lt;=cfg_VAL_M,'مسير سبتمبر'!Y82,0)+IF(10&lt;=cfg_VAL_M,'مسير أكتوبر'!Y82,0)+IF(11&lt;=cfg_VAL_M,'مسير نوفمبر'!Y82,0)+IF(12&lt;=cfg_VAL_M,'مسير ديسمبر'!Y82,0))</f>
        <v/>
      </c>
      <c r="AH82" s="97" t="str">
        <f aca="false">IF($B82="","",AF82/cfg_VAL_M)</f>
        <v/>
      </c>
    </row>
    <row r="83" customFormat="false" ht="15" hidden="false" customHeight="false" outlineLevel="0" collapsed="false">
      <c r="B83" s="102" t="str">
        <f aca="false">IF(الموظفون!$B83="","",الموظفون!$B83)</f>
        <v/>
      </c>
      <c r="C83" s="102" t="str">
        <f aca="false">IF(الموظفون!$B83="","",الموظفون!$C83)</f>
        <v/>
      </c>
      <c r="D83" s="102" t="str">
        <f aca="false">IF(الموظفون!$B83="","",الموظفون!$F83)</f>
        <v/>
      </c>
      <c r="E83" s="102" t="str">
        <f aca="false">IF(الموظفون!$B83="","",الموظفون!$E83)</f>
        <v/>
      </c>
      <c r="F83" s="101" t="str">
        <f aca="false">IF($B83="","",'مسير يناير'!T83)</f>
        <v/>
      </c>
      <c r="G83" s="101" t="str">
        <f aca="false">IF($B83="","",'مسير فبراير'!T83)</f>
        <v/>
      </c>
      <c r="H83" s="101" t="str">
        <f aca="false">IF($B83="","",'مسير مارس'!T83)</f>
        <v/>
      </c>
      <c r="I83" s="101" t="str">
        <f aca="false">IF($B83="","",'مسير أبريل'!T83)</f>
        <v/>
      </c>
      <c r="J83" s="101" t="str">
        <f aca="false">IF($B83="","",'مسير مايو'!T83)</f>
        <v/>
      </c>
      <c r="K83" s="101" t="str">
        <f aca="false">IF($B83="","",'مسير يونيو'!T83)</f>
        <v/>
      </c>
      <c r="L83" s="101" t="str">
        <f aca="false">IF($B83="","",'مسير يوليو'!T83)</f>
        <v/>
      </c>
      <c r="M83" s="101" t="str">
        <f aca="false">IF($B83="","",'مسير أغسطس'!T83)</f>
        <v/>
      </c>
      <c r="N83" s="101" t="str">
        <f aca="false">IF($B83="","",'مسير سبتمبر'!T83)</f>
        <v/>
      </c>
      <c r="O83" s="101" t="str">
        <f aca="false">IF($B83="","",'مسير أكتوبر'!T83)</f>
        <v/>
      </c>
      <c r="P83" s="101" t="str">
        <f aca="false">IF($B83="","",'مسير نوفمبر'!T83)</f>
        <v/>
      </c>
      <c r="Q83" s="101" t="str">
        <f aca="false">IF($B83="","",'مسير ديسمبر'!T83)</f>
        <v/>
      </c>
      <c r="R83" s="144" t="str">
        <f aca="false">IF($B83="","",IF(1&lt;=cfg_VAL_M,'مسير يناير'!T83,0)+IF(2&lt;=cfg_VAL_M,'مسير فبراير'!T83,0)+IF(3&lt;=cfg_VAL_M,'مسير مارس'!T83,0)+IF(4&lt;=cfg_VAL_M,'مسير أبريل'!T83,0)+IF(5&lt;=cfg_VAL_M,'مسير مايو'!T83,0)+IF(6&lt;=cfg_VAL_M,'مسير يونيو'!T83,0)+IF(7&lt;=cfg_VAL_M,'مسير يوليو'!T83,0)+IF(8&lt;=cfg_VAL_M,'مسير أغسطس'!T83,0)+IF(9&lt;=cfg_VAL_M,'مسير سبتمبر'!T83,0)+IF(10&lt;=cfg_VAL_M,'مسير أكتوبر'!T83,0)+IF(11&lt;=cfg_VAL_M,'مسير نوفمبر'!T83,0)+IF(12&lt;=cfg_VAL_M,'مسير ديسمبر'!T83,0))</f>
        <v/>
      </c>
      <c r="T83" s="101" t="str">
        <f aca="false">IF($B83="","",'مسير يناير'!AG83)</f>
        <v/>
      </c>
      <c r="U83" s="101" t="str">
        <f aca="false">IF($B83="","",'مسير فبراير'!AG83)</f>
        <v/>
      </c>
      <c r="V83" s="101" t="str">
        <f aca="false">IF($B83="","",'مسير مارس'!AG83)</f>
        <v/>
      </c>
      <c r="W83" s="101" t="str">
        <f aca="false">IF($B83="","",'مسير أبريل'!AG83)</f>
        <v/>
      </c>
      <c r="X83" s="101" t="str">
        <f aca="false">IF($B83="","",'مسير مايو'!AG83)</f>
        <v/>
      </c>
      <c r="Y83" s="101" t="str">
        <f aca="false">IF($B83="","",'مسير يونيو'!AG83)</f>
        <v/>
      </c>
      <c r="Z83" s="101" t="str">
        <f aca="false">IF($B83="","",'مسير يوليو'!AG83)</f>
        <v/>
      </c>
      <c r="AA83" s="101" t="str">
        <f aca="false">IF($B83="","",'مسير أغسطس'!AG83)</f>
        <v/>
      </c>
      <c r="AB83" s="101" t="str">
        <f aca="false">IF($B83="","",'مسير سبتمبر'!AG83)</f>
        <v/>
      </c>
      <c r="AC83" s="101" t="str">
        <f aca="false">IF($B83="","",'مسير أكتوبر'!AG83)</f>
        <v/>
      </c>
      <c r="AD83" s="101" t="str">
        <f aca="false">IF($B83="","",'مسير نوفمبر'!AG83)</f>
        <v/>
      </c>
      <c r="AE83" s="101" t="str">
        <f aca="false">IF($B83="","",'مسير ديسمبر'!AG83)</f>
        <v/>
      </c>
      <c r="AF83" s="144" t="str">
        <f aca="false">IF($B83="","",IF(1&lt;=cfg_VAL_M,'مسير يناير'!AG83,0)+IF(2&lt;=cfg_VAL_M,'مسير فبراير'!AG83,0)+IF(3&lt;=cfg_VAL_M,'مسير مارس'!AG83,0)+IF(4&lt;=cfg_VAL_M,'مسير أبريل'!AG83,0)+IF(5&lt;=cfg_VAL_M,'مسير مايو'!AG83,0)+IF(6&lt;=cfg_VAL_M,'مسير يونيو'!AG83,0)+IF(7&lt;=cfg_VAL_M,'مسير يوليو'!AG83,0)+IF(8&lt;=cfg_VAL_M,'مسير أغسطس'!AG83,0)+IF(9&lt;=cfg_VAL_M,'مسير سبتمبر'!AG83,0)+IF(10&lt;=cfg_VAL_M,'مسير أكتوبر'!AG83,0)+IF(11&lt;=cfg_VAL_M,'مسير نوفمبر'!AG83,0)+IF(12&lt;=cfg_VAL_M,'مسير ديسمبر'!AG83,0))</f>
        <v/>
      </c>
      <c r="AG83" s="144" t="str">
        <f aca="false">IF($B83="","",IF(1&lt;=cfg_VAL_M,'مسير يناير'!Y83,0)+IF(2&lt;=cfg_VAL_M,'مسير فبراير'!Y83,0)+IF(3&lt;=cfg_VAL_M,'مسير مارس'!Y83,0)+IF(4&lt;=cfg_VAL_M,'مسير أبريل'!Y83,0)+IF(5&lt;=cfg_VAL_M,'مسير مايو'!Y83,0)+IF(6&lt;=cfg_VAL_M,'مسير يونيو'!Y83,0)+IF(7&lt;=cfg_VAL_M,'مسير يوليو'!Y83,0)+IF(8&lt;=cfg_VAL_M,'مسير أغسطس'!Y83,0)+IF(9&lt;=cfg_VAL_M,'مسير سبتمبر'!Y83,0)+IF(10&lt;=cfg_VAL_M,'مسير أكتوبر'!Y83,0)+IF(11&lt;=cfg_VAL_M,'مسير نوفمبر'!Y83,0)+IF(12&lt;=cfg_VAL_M,'مسير ديسمبر'!Y83,0))</f>
        <v/>
      </c>
      <c r="AH83" s="101" t="str">
        <f aca="false">IF($B83="","",AF83/cfg_VAL_M)</f>
        <v/>
      </c>
    </row>
    <row r="84" customFormat="false" ht="15" hidden="false" customHeight="false" outlineLevel="0" collapsed="false">
      <c r="B84" s="80" t="str">
        <f aca="false">IF(الموظفون!$B84="","",الموظفون!$B84)</f>
        <v/>
      </c>
      <c r="C84" s="80" t="str">
        <f aca="false">IF(الموظفون!$B84="","",الموظفون!$C84)</f>
        <v/>
      </c>
      <c r="D84" s="80" t="str">
        <f aca="false">IF(الموظفون!$B84="","",الموظفون!$F84)</f>
        <v/>
      </c>
      <c r="E84" s="80" t="str">
        <f aca="false">IF(الموظفون!$B84="","",الموظفون!$E84)</f>
        <v/>
      </c>
      <c r="F84" s="97" t="str">
        <f aca="false">IF($B84="","",'مسير يناير'!T84)</f>
        <v/>
      </c>
      <c r="G84" s="97" t="str">
        <f aca="false">IF($B84="","",'مسير فبراير'!T84)</f>
        <v/>
      </c>
      <c r="H84" s="97" t="str">
        <f aca="false">IF($B84="","",'مسير مارس'!T84)</f>
        <v/>
      </c>
      <c r="I84" s="97" t="str">
        <f aca="false">IF($B84="","",'مسير أبريل'!T84)</f>
        <v/>
      </c>
      <c r="J84" s="97" t="str">
        <f aca="false">IF($B84="","",'مسير مايو'!T84)</f>
        <v/>
      </c>
      <c r="K84" s="97" t="str">
        <f aca="false">IF($B84="","",'مسير يونيو'!T84)</f>
        <v/>
      </c>
      <c r="L84" s="97" t="str">
        <f aca="false">IF($B84="","",'مسير يوليو'!T84)</f>
        <v/>
      </c>
      <c r="M84" s="97" t="str">
        <f aca="false">IF($B84="","",'مسير أغسطس'!T84)</f>
        <v/>
      </c>
      <c r="N84" s="97" t="str">
        <f aca="false">IF($B84="","",'مسير سبتمبر'!T84)</f>
        <v/>
      </c>
      <c r="O84" s="97" t="str">
        <f aca="false">IF($B84="","",'مسير أكتوبر'!T84)</f>
        <v/>
      </c>
      <c r="P84" s="97" t="str">
        <f aca="false">IF($B84="","",'مسير نوفمبر'!T84)</f>
        <v/>
      </c>
      <c r="Q84" s="97" t="str">
        <f aca="false">IF($B84="","",'مسير ديسمبر'!T84)</f>
        <v/>
      </c>
      <c r="R84" s="143" t="str">
        <f aca="false">IF($B84="","",IF(1&lt;=cfg_VAL_M,'مسير يناير'!T84,0)+IF(2&lt;=cfg_VAL_M,'مسير فبراير'!T84,0)+IF(3&lt;=cfg_VAL_M,'مسير مارس'!T84,0)+IF(4&lt;=cfg_VAL_M,'مسير أبريل'!T84,0)+IF(5&lt;=cfg_VAL_M,'مسير مايو'!T84,0)+IF(6&lt;=cfg_VAL_M,'مسير يونيو'!T84,0)+IF(7&lt;=cfg_VAL_M,'مسير يوليو'!T84,0)+IF(8&lt;=cfg_VAL_M,'مسير أغسطس'!T84,0)+IF(9&lt;=cfg_VAL_M,'مسير سبتمبر'!T84,0)+IF(10&lt;=cfg_VAL_M,'مسير أكتوبر'!T84,0)+IF(11&lt;=cfg_VAL_M,'مسير نوفمبر'!T84,0)+IF(12&lt;=cfg_VAL_M,'مسير ديسمبر'!T84,0))</f>
        <v/>
      </c>
      <c r="T84" s="97" t="str">
        <f aca="false">IF($B84="","",'مسير يناير'!AG84)</f>
        <v/>
      </c>
      <c r="U84" s="97" t="str">
        <f aca="false">IF($B84="","",'مسير فبراير'!AG84)</f>
        <v/>
      </c>
      <c r="V84" s="97" t="str">
        <f aca="false">IF($B84="","",'مسير مارس'!AG84)</f>
        <v/>
      </c>
      <c r="W84" s="97" t="str">
        <f aca="false">IF($B84="","",'مسير أبريل'!AG84)</f>
        <v/>
      </c>
      <c r="X84" s="97" t="str">
        <f aca="false">IF($B84="","",'مسير مايو'!AG84)</f>
        <v/>
      </c>
      <c r="Y84" s="97" t="str">
        <f aca="false">IF($B84="","",'مسير يونيو'!AG84)</f>
        <v/>
      </c>
      <c r="Z84" s="97" t="str">
        <f aca="false">IF($B84="","",'مسير يوليو'!AG84)</f>
        <v/>
      </c>
      <c r="AA84" s="97" t="str">
        <f aca="false">IF($B84="","",'مسير أغسطس'!AG84)</f>
        <v/>
      </c>
      <c r="AB84" s="97" t="str">
        <f aca="false">IF($B84="","",'مسير سبتمبر'!AG84)</f>
        <v/>
      </c>
      <c r="AC84" s="97" t="str">
        <f aca="false">IF($B84="","",'مسير أكتوبر'!AG84)</f>
        <v/>
      </c>
      <c r="AD84" s="97" t="str">
        <f aca="false">IF($B84="","",'مسير نوفمبر'!AG84)</f>
        <v/>
      </c>
      <c r="AE84" s="97" t="str">
        <f aca="false">IF($B84="","",'مسير ديسمبر'!AG84)</f>
        <v/>
      </c>
      <c r="AF84" s="143" t="str">
        <f aca="false">IF($B84="","",IF(1&lt;=cfg_VAL_M,'مسير يناير'!AG84,0)+IF(2&lt;=cfg_VAL_M,'مسير فبراير'!AG84,0)+IF(3&lt;=cfg_VAL_M,'مسير مارس'!AG84,0)+IF(4&lt;=cfg_VAL_M,'مسير أبريل'!AG84,0)+IF(5&lt;=cfg_VAL_M,'مسير مايو'!AG84,0)+IF(6&lt;=cfg_VAL_M,'مسير يونيو'!AG84,0)+IF(7&lt;=cfg_VAL_M,'مسير يوليو'!AG84,0)+IF(8&lt;=cfg_VAL_M,'مسير أغسطس'!AG84,0)+IF(9&lt;=cfg_VAL_M,'مسير سبتمبر'!AG84,0)+IF(10&lt;=cfg_VAL_M,'مسير أكتوبر'!AG84,0)+IF(11&lt;=cfg_VAL_M,'مسير نوفمبر'!AG84,0)+IF(12&lt;=cfg_VAL_M,'مسير ديسمبر'!AG84,0))</f>
        <v/>
      </c>
      <c r="AG84" s="143" t="str">
        <f aca="false">IF($B84="","",IF(1&lt;=cfg_VAL_M,'مسير يناير'!Y84,0)+IF(2&lt;=cfg_VAL_M,'مسير فبراير'!Y84,0)+IF(3&lt;=cfg_VAL_M,'مسير مارس'!Y84,0)+IF(4&lt;=cfg_VAL_M,'مسير أبريل'!Y84,0)+IF(5&lt;=cfg_VAL_M,'مسير مايو'!Y84,0)+IF(6&lt;=cfg_VAL_M,'مسير يونيو'!Y84,0)+IF(7&lt;=cfg_VAL_M,'مسير يوليو'!Y84,0)+IF(8&lt;=cfg_VAL_M,'مسير أغسطس'!Y84,0)+IF(9&lt;=cfg_VAL_M,'مسير سبتمبر'!Y84,0)+IF(10&lt;=cfg_VAL_M,'مسير أكتوبر'!Y84,0)+IF(11&lt;=cfg_VAL_M,'مسير نوفمبر'!Y84,0)+IF(12&lt;=cfg_VAL_M,'مسير ديسمبر'!Y84,0))</f>
        <v/>
      </c>
      <c r="AH84" s="97" t="str">
        <f aca="false">IF($B84="","",AF84/cfg_VAL_M)</f>
        <v/>
      </c>
    </row>
    <row r="85" customFormat="false" ht="15" hidden="false" customHeight="false" outlineLevel="0" collapsed="false">
      <c r="B85" s="102" t="str">
        <f aca="false">IF(الموظفون!$B85="","",الموظفون!$B85)</f>
        <v/>
      </c>
      <c r="C85" s="102" t="str">
        <f aca="false">IF(الموظفون!$B85="","",الموظفون!$C85)</f>
        <v/>
      </c>
      <c r="D85" s="102" t="str">
        <f aca="false">IF(الموظفون!$B85="","",الموظفون!$F85)</f>
        <v/>
      </c>
      <c r="E85" s="102" t="str">
        <f aca="false">IF(الموظفون!$B85="","",الموظفون!$E85)</f>
        <v/>
      </c>
      <c r="F85" s="101" t="str">
        <f aca="false">IF($B85="","",'مسير يناير'!T85)</f>
        <v/>
      </c>
      <c r="G85" s="101" t="str">
        <f aca="false">IF($B85="","",'مسير فبراير'!T85)</f>
        <v/>
      </c>
      <c r="H85" s="101" t="str">
        <f aca="false">IF($B85="","",'مسير مارس'!T85)</f>
        <v/>
      </c>
      <c r="I85" s="101" t="str">
        <f aca="false">IF($B85="","",'مسير أبريل'!T85)</f>
        <v/>
      </c>
      <c r="J85" s="101" t="str">
        <f aca="false">IF($B85="","",'مسير مايو'!T85)</f>
        <v/>
      </c>
      <c r="K85" s="101" t="str">
        <f aca="false">IF($B85="","",'مسير يونيو'!T85)</f>
        <v/>
      </c>
      <c r="L85" s="101" t="str">
        <f aca="false">IF($B85="","",'مسير يوليو'!T85)</f>
        <v/>
      </c>
      <c r="M85" s="101" t="str">
        <f aca="false">IF($B85="","",'مسير أغسطس'!T85)</f>
        <v/>
      </c>
      <c r="N85" s="101" t="str">
        <f aca="false">IF($B85="","",'مسير سبتمبر'!T85)</f>
        <v/>
      </c>
      <c r="O85" s="101" t="str">
        <f aca="false">IF($B85="","",'مسير أكتوبر'!T85)</f>
        <v/>
      </c>
      <c r="P85" s="101" t="str">
        <f aca="false">IF($B85="","",'مسير نوفمبر'!T85)</f>
        <v/>
      </c>
      <c r="Q85" s="101" t="str">
        <f aca="false">IF($B85="","",'مسير ديسمبر'!T85)</f>
        <v/>
      </c>
      <c r="R85" s="144" t="str">
        <f aca="false">IF($B85="","",IF(1&lt;=cfg_VAL_M,'مسير يناير'!T85,0)+IF(2&lt;=cfg_VAL_M,'مسير فبراير'!T85,0)+IF(3&lt;=cfg_VAL_M,'مسير مارس'!T85,0)+IF(4&lt;=cfg_VAL_M,'مسير أبريل'!T85,0)+IF(5&lt;=cfg_VAL_M,'مسير مايو'!T85,0)+IF(6&lt;=cfg_VAL_M,'مسير يونيو'!T85,0)+IF(7&lt;=cfg_VAL_M,'مسير يوليو'!T85,0)+IF(8&lt;=cfg_VAL_M,'مسير أغسطس'!T85,0)+IF(9&lt;=cfg_VAL_M,'مسير سبتمبر'!T85,0)+IF(10&lt;=cfg_VAL_M,'مسير أكتوبر'!T85,0)+IF(11&lt;=cfg_VAL_M,'مسير نوفمبر'!T85,0)+IF(12&lt;=cfg_VAL_M,'مسير ديسمبر'!T85,0))</f>
        <v/>
      </c>
      <c r="T85" s="101" t="str">
        <f aca="false">IF($B85="","",'مسير يناير'!AG85)</f>
        <v/>
      </c>
      <c r="U85" s="101" t="str">
        <f aca="false">IF($B85="","",'مسير فبراير'!AG85)</f>
        <v/>
      </c>
      <c r="V85" s="101" t="str">
        <f aca="false">IF($B85="","",'مسير مارس'!AG85)</f>
        <v/>
      </c>
      <c r="W85" s="101" t="str">
        <f aca="false">IF($B85="","",'مسير أبريل'!AG85)</f>
        <v/>
      </c>
      <c r="X85" s="101" t="str">
        <f aca="false">IF($B85="","",'مسير مايو'!AG85)</f>
        <v/>
      </c>
      <c r="Y85" s="101" t="str">
        <f aca="false">IF($B85="","",'مسير يونيو'!AG85)</f>
        <v/>
      </c>
      <c r="Z85" s="101" t="str">
        <f aca="false">IF($B85="","",'مسير يوليو'!AG85)</f>
        <v/>
      </c>
      <c r="AA85" s="101" t="str">
        <f aca="false">IF($B85="","",'مسير أغسطس'!AG85)</f>
        <v/>
      </c>
      <c r="AB85" s="101" t="str">
        <f aca="false">IF($B85="","",'مسير سبتمبر'!AG85)</f>
        <v/>
      </c>
      <c r="AC85" s="101" t="str">
        <f aca="false">IF($B85="","",'مسير أكتوبر'!AG85)</f>
        <v/>
      </c>
      <c r="AD85" s="101" t="str">
        <f aca="false">IF($B85="","",'مسير نوفمبر'!AG85)</f>
        <v/>
      </c>
      <c r="AE85" s="101" t="str">
        <f aca="false">IF($B85="","",'مسير ديسمبر'!AG85)</f>
        <v/>
      </c>
      <c r="AF85" s="144" t="str">
        <f aca="false">IF($B85="","",IF(1&lt;=cfg_VAL_M,'مسير يناير'!AG85,0)+IF(2&lt;=cfg_VAL_M,'مسير فبراير'!AG85,0)+IF(3&lt;=cfg_VAL_M,'مسير مارس'!AG85,0)+IF(4&lt;=cfg_VAL_M,'مسير أبريل'!AG85,0)+IF(5&lt;=cfg_VAL_M,'مسير مايو'!AG85,0)+IF(6&lt;=cfg_VAL_M,'مسير يونيو'!AG85,0)+IF(7&lt;=cfg_VAL_M,'مسير يوليو'!AG85,0)+IF(8&lt;=cfg_VAL_M,'مسير أغسطس'!AG85,0)+IF(9&lt;=cfg_VAL_M,'مسير سبتمبر'!AG85,0)+IF(10&lt;=cfg_VAL_M,'مسير أكتوبر'!AG85,0)+IF(11&lt;=cfg_VAL_M,'مسير نوفمبر'!AG85,0)+IF(12&lt;=cfg_VAL_M,'مسير ديسمبر'!AG85,0))</f>
        <v/>
      </c>
      <c r="AG85" s="144" t="str">
        <f aca="false">IF($B85="","",IF(1&lt;=cfg_VAL_M,'مسير يناير'!Y85,0)+IF(2&lt;=cfg_VAL_M,'مسير فبراير'!Y85,0)+IF(3&lt;=cfg_VAL_M,'مسير مارس'!Y85,0)+IF(4&lt;=cfg_VAL_M,'مسير أبريل'!Y85,0)+IF(5&lt;=cfg_VAL_M,'مسير مايو'!Y85,0)+IF(6&lt;=cfg_VAL_M,'مسير يونيو'!Y85,0)+IF(7&lt;=cfg_VAL_M,'مسير يوليو'!Y85,0)+IF(8&lt;=cfg_VAL_M,'مسير أغسطس'!Y85,0)+IF(9&lt;=cfg_VAL_M,'مسير سبتمبر'!Y85,0)+IF(10&lt;=cfg_VAL_M,'مسير أكتوبر'!Y85,0)+IF(11&lt;=cfg_VAL_M,'مسير نوفمبر'!Y85,0)+IF(12&lt;=cfg_VAL_M,'مسير ديسمبر'!Y85,0))</f>
        <v/>
      </c>
      <c r="AH85" s="101" t="str">
        <f aca="false">IF($B85="","",AF85/cfg_VAL_M)</f>
        <v/>
      </c>
    </row>
    <row r="86" customFormat="false" ht="15" hidden="false" customHeight="false" outlineLevel="0" collapsed="false">
      <c r="B86" s="80" t="str">
        <f aca="false">IF(الموظفون!$B86="","",الموظفون!$B86)</f>
        <v/>
      </c>
      <c r="C86" s="80" t="str">
        <f aca="false">IF(الموظفون!$B86="","",الموظفون!$C86)</f>
        <v/>
      </c>
      <c r="D86" s="80" t="str">
        <f aca="false">IF(الموظفون!$B86="","",الموظفون!$F86)</f>
        <v/>
      </c>
      <c r="E86" s="80" t="str">
        <f aca="false">IF(الموظفون!$B86="","",الموظفون!$E86)</f>
        <v/>
      </c>
      <c r="F86" s="97" t="str">
        <f aca="false">IF($B86="","",'مسير يناير'!T86)</f>
        <v/>
      </c>
      <c r="G86" s="97" t="str">
        <f aca="false">IF($B86="","",'مسير فبراير'!T86)</f>
        <v/>
      </c>
      <c r="H86" s="97" t="str">
        <f aca="false">IF($B86="","",'مسير مارس'!T86)</f>
        <v/>
      </c>
      <c r="I86" s="97" t="str">
        <f aca="false">IF($B86="","",'مسير أبريل'!T86)</f>
        <v/>
      </c>
      <c r="J86" s="97" t="str">
        <f aca="false">IF($B86="","",'مسير مايو'!T86)</f>
        <v/>
      </c>
      <c r="K86" s="97" t="str">
        <f aca="false">IF($B86="","",'مسير يونيو'!T86)</f>
        <v/>
      </c>
      <c r="L86" s="97" t="str">
        <f aca="false">IF($B86="","",'مسير يوليو'!T86)</f>
        <v/>
      </c>
      <c r="M86" s="97" t="str">
        <f aca="false">IF($B86="","",'مسير أغسطس'!T86)</f>
        <v/>
      </c>
      <c r="N86" s="97" t="str">
        <f aca="false">IF($B86="","",'مسير سبتمبر'!T86)</f>
        <v/>
      </c>
      <c r="O86" s="97" t="str">
        <f aca="false">IF($B86="","",'مسير أكتوبر'!T86)</f>
        <v/>
      </c>
      <c r="P86" s="97" t="str">
        <f aca="false">IF($B86="","",'مسير نوفمبر'!T86)</f>
        <v/>
      </c>
      <c r="Q86" s="97" t="str">
        <f aca="false">IF($B86="","",'مسير ديسمبر'!T86)</f>
        <v/>
      </c>
      <c r="R86" s="143" t="str">
        <f aca="false">IF($B86="","",IF(1&lt;=cfg_VAL_M,'مسير يناير'!T86,0)+IF(2&lt;=cfg_VAL_M,'مسير فبراير'!T86,0)+IF(3&lt;=cfg_VAL_M,'مسير مارس'!T86,0)+IF(4&lt;=cfg_VAL_M,'مسير أبريل'!T86,0)+IF(5&lt;=cfg_VAL_M,'مسير مايو'!T86,0)+IF(6&lt;=cfg_VAL_M,'مسير يونيو'!T86,0)+IF(7&lt;=cfg_VAL_M,'مسير يوليو'!T86,0)+IF(8&lt;=cfg_VAL_M,'مسير أغسطس'!T86,0)+IF(9&lt;=cfg_VAL_M,'مسير سبتمبر'!T86,0)+IF(10&lt;=cfg_VAL_M,'مسير أكتوبر'!T86,0)+IF(11&lt;=cfg_VAL_M,'مسير نوفمبر'!T86,0)+IF(12&lt;=cfg_VAL_M,'مسير ديسمبر'!T86,0))</f>
        <v/>
      </c>
      <c r="T86" s="97" t="str">
        <f aca="false">IF($B86="","",'مسير يناير'!AG86)</f>
        <v/>
      </c>
      <c r="U86" s="97" t="str">
        <f aca="false">IF($B86="","",'مسير فبراير'!AG86)</f>
        <v/>
      </c>
      <c r="V86" s="97" t="str">
        <f aca="false">IF($B86="","",'مسير مارس'!AG86)</f>
        <v/>
      </c>
      <c r="W86" s="97" t="str">
        <f aca="false">IF($B86="","",'مسير أبريل'!AG86)</f>
        <v/>
      </c>
      <c r="X86" s="97" t="str">
        <f aca="false">IF($B86="","",'مسير مايو'!AG86)</f>
        <v/>
      </c>
      <c r="Y86" s="97" t="str">
        <f aca="false">IF($B86="","",'مسير يونيو'!AG86)</f>
        <v/>
      </c>
      <c r="Z86" s="97" t="str">
        <f aca="false">IF($B86="","",'مسير يوليو'!AG86)</f>
        <v/>
      </c>
      <c r="AA86" s="97" t="str">
        <f aca="false">IF($B86="","",'مسير أغسطس'!AG86)</f>
        <v/>
      </c>
      <c r="AB86" s="97" t="str">
        <f aca="false">IF($B86="","",'مسير سبتمبر'!AG86)</f>
        <v/>
      </c>
      <c r="AC86" s="97" t="str">
        <f aca="false">IF($B86="","",'مسير أكتوبر'!AG86)</f>
        <v/>
      </c>
      <c r="AD86" s="97" t="str">
        <f aca="false">IF($B86="","",'مسير نوفمبر'!AG86)</f>
        <v/>
      </c>
      <c r="AE86" s="97" t="str">
        <f aca="false">IF($B86="","",'مسير ديسمبر'!AG86)</f>
        <v/>
      </c>
      <c r="AF86" s="143" t="str">
        <f aca="false">IF($B86="","",IF(1&lt;=cfg_VAL_M,'مسير يناير'!AG86,0)+IF(2&lt;=cfg_VAL_M,'مسير فبراير'!AG86,0)+IF(3&lt;=cfg_VAL_M,'مسير مارس'!AG86,0)+IF(4&lt;=cfg_VAL_M,'مسير أبريل'!AG86,0)+IF(5&lt;=cfg_VAL_M,'مسير مايو'!AG86,0)+IF(6&lt;=cfg_VAL_M,'مسير يونيو'!AG86,0)+IF(7&lt;=cfg_VAL_M,'مسير يوليو'!AG86,0)+IF(8&lt;=cfg_VAL_M,'مسير أغسطس'!AG86,0)+IF(9&lt;=cfg_VAL_M,'مسير سبتمبر'!AG86,0)+IF(10&lt;=cfg_VAL_M,'مسير أكتوبر'!AG86,0)+IF(11&lt;=cfg_VAL_M,'مسير نوفمبر'!AG86,0)+IF(12&lt;=cfg_VAL_M,'مسير ديسمبر'!AG86,0))</f>
        <v/>
      </c>
      <c r="AG86" s="143" t="str">
        <f aca="false">IF($B86="","",IF(1&lt;=cfg_VAL_M,'مسير يناير'!Y86,0)+IF(2&lt;=cfg_VAL_M,'مسير فبراير'!Y86,0)+IF(3&lt;=cfg_VAL_M,'مسير مارس'!Y86,0)+IF(4&lt;=cfg_VAL_M,'مسير أبريل'!Y86,0)+IF(5&lt;=cfg_VAL_M,'مسير مايو'!Y86,0)+IF(6&lt;=cfg_VAL_M,'مسير يونيو'!Y86,0)+IF(7&lt;=cfg_VAL_M,'مسير يوليو'!Y86,0)+IF(8&lt;=cfg_VAL_M,'مسير أغسطس'!Y86,0)+IF(9&lt;=cfg_VAL_M,'مسير سبتمبر'!Y86,0)+IF(10&lt;=cfg_VAL_M,'مسير أكتوبر'!Y86,0)+IF(11&lt;=cfg_VAL_M,'مسير نوفمبر'!Y86,0)+IF(12&lt;=cfg_VAL_M,'مسير ديسمبر'!Y86,0))</f>
        <v/>
      </c>
      <c r="AH86" s="97" t="str">
        <f aca="false">IF($B86="","",AF86/cfg_VAL_M)</f>
        <v/>
      </c>
    </row>
    <row r="87" customFormat="false" ht="15" hidden="false" customHeight="false" outlineLevel="0" collapsed="false">
      <c r="B87" s="102" t="str">
        <f aca="false">IF(الموظفون!$B87="","",الموظفون!$B87)</f>
        <v/>
      </c>
      <c r="C87" s="102" t="str">
        <f aca="false">IF(الموظفون!$B87="","",الموظفون!$C87)</f>
        <v/>
      </c>
      <c r="D87" s="102" t="str">
        <f aca="false">IF(الموظفون!$B87="","",الموظفون!$F87)</f>
        <v/>
      </c>
      <c r="E87" s="102" t="str">
        <f aca="false">IF(الموظفون!$B87="","",الموظفون!$E87)</f>
        <v/>
      </c>
      <c r="F87" s="101" t="str">
        <f aca="false">IF($B87="","",'مسير يناير'!T87)</f>
        <v/>
      </c>
      <c r="G87" s="101" t="str">
        <f aca="false">IF($B87="","",'مسير فبراير'!T87)</f>
        <v/>
      </c>
      <c r="H87" s="101" t="str">
        <f aca="false">IF($B87="","",'مسير مارس'!T87)</f>
        <v/>
      </c>
      <c r="I87" s="101" t="str">
        <f aca="false">IF($B87="","",'مسير أبريل'!T87)</f>
        <v/>
      </c>
      <c r="J87" s="101" t="str">
        <f aca="false">IF($B87="","",'مسير مايو'!T87)</f>
        <v/>
      </c>
      <c r="K87" s="101" t="str">
        <f aca="false">IF($B87="","",'مسير يونيو'!T87)</f>
        <v/>
      </c>
      <c r="L87" s="101" t="str">
        <f aca="false">IF($B87="","",'مسير يوليو'!T87)</f>
        <v/>
      </c>
      <c r="M87" s="101" t="str">
        <f aca="false">IF($B87="","",'مسير أغسطس'!T87)</f>
        <v/>
      </c>
      <c r="N87" s="101" t="str">
        <f aca="false">IF($B87="","",'مسير سبتمبر'!T87)</f>
        <v/>
      </c>
      <c r="O87" s="101" t="str">
        <f aca="false">IF($B87="","",'مسير أكتوبر'!T87)</f>
        <v/>
      </c>
      <c r="P87" s="101" t="str">
        <f aca="false">IF($B87="","",'مسير نوفمبر'!T87)</f>
        <v/>
      </c>
      <c r="Q87" s="101" t="str">
        <f aca="false">IF($B87="","",'مسير ديسمبر'!T87)</f>
        <v/>
      </c>
      <c r="R87" s="144" t="str">
        <f aca="false">IF($B87="","",IF(1&lt;=cfg_VAL_M,'مسير يناير'!T87,0)+IF(2&lt;=cfg_VAL_M,'مسير فبراير'!T87,0)+IF(3&lt;=cfg_VAL_M,'مسير مارس'!T87,0)+IF(4&lt;=cfg_VAL_M,'مسير أبريل'!T87,0)+IF(5&lt;=cfg_VAL_M,'مسير مايو'!T87,0)+IF(6&lt;=cfg_VAL_M,'مسير يونيو'!T87,0)+IF(7&lt;=cfg_VAL_M,'مسير يوليو'!T87,0)+IF(8&lt;=cfg_VAL_M,'مسير أغسطس'!T87,0)+IF(9&lt;=cfg_VAL_M,'مسير سبتمبر'!T87,0)+IF(10&lt;=cfg_VAL_M,'مسير أكتوبر'!T87,0)+IF(11&lt;=cfg_VAL_M,'مسير نوفمبر'!T87,0)+IF(12&lt;=cfg_VAL_M,'مسير ديسمبر'!T87,0))</f>
        <v/>
      </c>
      <c r="T87" s="101" t="str">
        <f aca="false">IF($B87="","",'مسير يناير'!AG87)</f>
        <v/>
      </c>
      <c r="U87" s="101" t="str">
        <f aca="false">IF($B87="","",'مسير فبراير'!AG87)</f>
        <v/>
      </c>
      <c r="V87" s="101" t="str">
        <f aca="false">IF($B87="","",'مسير مارس'!AG87)</f>
        <v/>
      </c>
      <c r="W87" s="101" t="str">
        <f aca="false">IF($B87="","",'مسير أبريل'!AG87)</f>
        <v/>
      </c>
      <c r="X87" s="101" t="str">
        <f aca="false">IF($B87="","",'مسير مايو'!AG87)</f>
        <v/>
      </c>
      <c r="Y87" s="101" t="str">
        <f aca="false">IF($B87="","",'مسير يونيو'!AG87)</f>
        <v/>
      </c>
      <c r="Z87" s="101" t="str">
        <f aca="false">IF($B87="","",'مسير يوليو'!AG87)</f>
        <v/>
      </c>
      <c r="AA87" s="101" t="str">
        <f aca="false">IF($B87="","",'مسير أغسطس'!AG87)</f>
        <v/>
      </c>
      <c r="AB87" s="101" t="str">
        <f aca="false">IF($B87="","",'مسير سبتمبر'!AG87)</f>
        <v/>
      </c>
      <c r="AC87" s="101" t="str">
        <f aca="false">IF($B87="","",'مسير أكتوبر'!AG87)</f>
        <v/>
      </c>
      <c r="AD87" s="101" t="str">
        <f aca="false">IF($B87="","",'مسير نوفمبر'!AG87)</f>
        <v/>
      </c>
      <c r="AE87" s="101" t="str">
        <f aca="false">IF($B87="","",'مسير ديسمبر'!AG87)</f>
        <v/>
      </c>
      <c r="AF87" s="144" t="str">
        <f aca="false">IF($B87="","",IF(1&lt;=cfg_VAL_M,'مسير يناير'!AG87,0)+IF(2&lt;=cfg_VAL_M,'مسير فبراير'!AG87,0)+IF(3&lt;=cfg_VAL_M,'مسير مارس'!AG87,0)+IF(4&lt;=cfg_VAL_M,'مسير أبريل'!AG87,0)+IF(5&lt;=cfg_VAL_M,'مسير مايو'!AG87,0)+IF(6&lt;=cfg_VAL_M,'مسير يونيو'!AG87,0)+IF(7&lt;=cfg_VAL_M,'مسير يوليو'!AG87,0)+IF(8&lt;=cfg_VAL_M,'مسير أغسطس'!AG87,0)+IF(9&lt;=cfg_VAL_M,'مسير سبتمبر'!AG87,0)+IF(10&lt;=cfg_VAL_M,'مسير أكتوبر'!AG87,0)+IF(11&lt;=cfg_VAL_M,'مسير نوفمبر'!AG87,0)+IF(12&lt;=cfg_VAL_M,'مسير ديسمبر'!AG87,0))</f>
        <v/>
      </c>
      <c r="AG87" s="144" t="str">
        <f aca="false">IF($B87="","",IF(1&lt;=cfg_VAL_M,'مسير يناير'!Y87,0)+IF(2&lt;=cfg_VAL_M,'مسير فبراير'!Y87,0)+IF(3&lt;=cfg_VAL_M,'مسير مارس'!Y87,0)+IF(4&lt;=cfg_VAL_M,'مسير أبريل'!Y87,0)+IF(5&lt;=cfg_VAL_M,'مسير مايو'!Y87,0)+IF(6&lt;=cfg_VAL_M,'مسير يونيو'!Y87,0)+IF(7&lt;=cfg_VAL_M,'مسير يوليو'!Y87,0)+IF(8&lt;=cfg_VAL_M,'مسير أغسطس'!Y87,0)+IF(9&lt;=cfg_VAL_M,'مسير سبتمبر'!Y87,0)+IF(10&lt;=cfg_VAL_M,'مسير أكتوبر'!Y87,0)+IF(11&lt;=cfg_VAL_M,'مسير نوفمبر'!Y87,0)+IF(12&lt;=cfg_VAL_M,'مسير ديسمبر'!Y87,0))</f>
        <v/>
      </c>
      <c r="AH87" s="101" t="str">
        <f aca="false">IF($B87="","",AF87/cfg_VAL_M)</f>
        <v/>
      </c>
    </row>
    <row r="88" customFormat="false" ht="15" hidden="false" customHeight="false" outlineLevel="0" collapsed="false">
      <c r="B88" s="80" t="str">
        <f aca="false">IF(الموظفون!$B88="","",الموظفون!$B88)</f>
        <v/>
      </c>
      <c r="C88" s="80" t="str">
        <f aca="false">IF(الموظفون!$B88="","",الموظفون!$C88)</f>
        <v/>
      </c>
      <c r="D88" s="80" t="str">
        <f aca="false">IF(الموظفون!$B88="","",الموظفون!$F88)</f>
        <v/>
      </c>
      <c r="E88" s="80" t="str">
        <f aca="false">IF(الموظفون!$B88="","",الموظفون!$E88)</f>
        <v/>
      </c>
      <c r="F88" s="97" t="str">
        <f aca="false">IF($B88="","",'مسير يناير'!T88)</f>
        <v/>
      </c>
      <c r="G88" s="97" t="str">
        <f aca="false">IF($B88="","",'مسير فبراير'!T88)</f>
        <v/>
      </c>
      <c r="H88" s="97" t="str">
        <f aca="false">IF($B88="","",'مسير مارس'!T88)</f>
        <v/>
      </c>
      <c r="I88" s="97" t="str">
        <f aca="false">IF($B88="","",'مسير أبريل'!T88)</f>
        <v/>
      </c>
      <c r="J88" s="97" t="str">
        <f aca="false">IF($B88="","",'مسير مايو'!T88)</f>
        <v/>
      </c>
      <c r="K88" s="97" t="str">
        <f aca="false">IF($B88="","",'مسير يونيو'!T88)</f>
        <v/>
      </c>
      <c r="L88" s="97" t="str">
        <f aca="false">IF($B88="","",'مسير يوليو'!T88)</f>
        <v/>
      </c>
      <c r="M88" s="97" t="str">
        <f aca="false">IF($B88="","",'مسير أغسطس'!T88)</f>
        <v/>
      </c>
      <c r="N88" s="97" t="str">
        <f aca="false">IF($B88="","",'مسير سبتمبر'!T88)</f>
        <v/>
      </c>
      <c r="O88" s="97" t="str">
        <f aca="false">IF($B88="","",'مسير أكتوبر'!T88)</f>
        <v/>
      </c>
      <c r="P88" s="97" t="str">
        <f aca="false">IF($B88="","",'مسير نوفمبر'!T88)</f>
        <v/>
      </c>
      <c r="Q88" s="97" t="str">
        <f aca="false">IF($B88="","",'مسير ديسمبر'!T88)</f>
        <v/>
      </c>
      <c r="R88" s="143" t="str">
        <f aca="false">IF($B88="","",IF(1&lt;=cfg_VAL_M,'مسير يناير'!T88,0)+IF(2&lt;=cfg_VAL_M,'مسير فبراير'!T88,0)+IF(3&lt;=cfg_VAL_M,'مسير مارس'!T88,0)+IF(4&lt;=cfg_VAL_M,'مسير أبريل'!T88,0)+IF(5&lt;=cfg_VAL_M,'مسير مايو'!T88,0)+IF(6&lt;=cfg_VAL_M,'مسير يونيو'!T88,0)+IF(7&lt;=cfg_VAL_M,'مسير يوليو'!T88,0)+IF(8&lt;=cfg_VAL_M,'مسير أغسطس'!T88,0)+IF(9&lt;=cfg_VAL_M,'مسير سبتمبر'!T88,0)+IF(10&lt;=cfg_VAL_M,'مسير أكتوبر'!T88,0)+IF(11&lt;=cfg_VAL_M,'مسير نوفمبر'!T88,0)+IF(12&lt;=cfg_VAL_M,'مسير ديسمبر'!T88,0))</f>
        <v/>
      </c>
      <c r="T88" s="97" t="str">
        <f aca="false">IF($B88="","",'مسير يناير'!AG88)</f>
        <v/>
      </c>
      <c r="U88" s="97" t="str">
        <f aca="false">IF($B88="","",'مسير فبراير'!AG88)</f>
        <v/>
      </c>
      <c r="V88" s="97" t="str">
        <f aca="false">IF($B88="","",'مسير مارس'!AG88)</f>
        <v/>
      </c>
      <c r="W88" s="97" t="str">
        <f aca="false">IF($B88="","",'مسير أبريل'!AG88)</f>
        <v/>
      </c>
      <c r="X88" s="97" t="str">
        <f aca="false">IF($B88="","",'مسير مايو'!AG88)</f>
        <v/>
      </c>
      <c r="Y88" s="97" t="str">
        <f aca="false">IF($B88="","",'مسير يونيو'!AG88)</f>
        <v/>
      </c>
      <c r="Z88" s="97" t="str">
        <f aca="false">IF($B88="","",'مسير يوليو'!AG88)</f>
        <v/>
      </c>
      <c r="AA88" s="97" t="str">
        <f aca="false">IF($B88="","",'مسير أغسطس'!AG88)</f>
        <v/>
      </c>
      <c r="AB88" s="97" t="str">
        <f aca="false">IF($B88="","",'مسير سبتمبر'!AG88)</f>
        <v/>
      </c>
      <c r="AC88" s="97" t="str">
        <f aca="false">IF($B88="","",'مسير أكتوبر'!AG88)</f>
        <v/>
      </c>
      <c r="AD88" s="97" t="str">
        <f aca="false">IF($B88="","",'مسير نوفمبر'!AG88)</f>
        <v/>
      </c>
      <c r="AE88" s="97" t="str">
        <f aca="false">IF($B88="","",'مسير ديسمبر'!AG88)</f>
        <v/>
      </c>
      <c r="AF88" s="143" t="str">
        <f aca="false">IF($B88="","",IF(1&lt;=cfg_VAL_M,'مسير يناير'!AG88,0)+IF(2&lt;=cfg_VAL_M,'مسير فبراير'!AG88,0)+IF(3&lt;=cfg_VAL_M,'مسير مارس'!AG88,0)+IF(4&lt;=cfg_VAL_M,'مسير أبريل'!AG88,0)+IF(5&lt;=cfg_VAL_M,'مسير مايو'!AG88,0)+IF(6&lt;=cfg_VAL_M,'مسير يونيو'!AG88,0)+IF(7&lt;=cfg_VAL_M,'مسير يوليو'!AG88,0)+IF(8&lt;=cfg_VAL_M,'مسير أغسطس'!AG88,0)+IF(9&lt;=cfg_VAL_M,'مسير سبتمبر'!AG88,0)+IF(10&lt;=cfg_VAL_M,'مسير أكتوبر'!AG88,0)+IF(11&lt;=cfg_VAL_M,'مسير نوفمبر'!AG88,0)+IF(12&lt;=cfg_VAL_M,'مسير ديسمبر'!AG88,0))</f>
        <v/>
      </c>
      <c r="AG88" s="143" t="str">
        <f aca="false">IF($B88="","",IF(1&lt;=cfg_VAL_M,'مسير يناير'!Y88,0)+IF(2&lt;=cfg_VAL_M,'مسير فبراير'!Y88,0)+IF(3&lt;=cfg_VAL_M,'مسير مارس'!Y88,0)+IF(4&lt;=cfg_VAL_M,'مسير أبريل'!Y88,0)+IF(5&lt;=cfg_VAL_M,'مسير مايو'!Y88,0)+IF(6&lt;=cfg_VAL_M,'مسير يونيو'!Y88,0)+IF(7&lt;=cfg_VAL_M,'مسير يوليو'!Y88,0)+IF(8&lt;=cfg_VAL_M,'مسير أغسطس'!Y88,0)+IF(9&lt;=cfg_VAL_M,'مسير سبتمبر'!Y88,0)+IF(10&lt;=cfg_VAL_M,'مسير أكتوبر'!Y88,0)+IF(11&lt;=cfg_VAL_M,'مسير نوفمبر'!Y88,0)+IF(12&lt;=cfg_VAL_M,'مسير ديسمبر'!Y88,0))</f>
        <v/>
      </c>
      <c r="AH88" s="97" t="str">
        <f aca="false">IF($B88="","",AF88/cfg_VAL_M)</f>
        <v/>
      </c>
    </row>
    <row r="89" customFormat="false" ht="15" hidden="false" customHeight="false" outlineLevel="0" collapsed="false">
      <c r="B89" s="102" t="str">
        <f aca="false">IF(الموظفون!$B89="","",الموظفون!$B89)</f>
        <v/>
      </c>
      <c r="C89" s="102" t="str">
        <f aca="false">IF(الموظفون!$B89="","",الموظفون!$C89)</f>
        <v/>
      </c>
      <c r="D89" s="102" t="str">
        <f aca="false">IF(الموظفون!$B89="","",الموظفون!$F89)</f>
        <v/>
      </c>
      <c r="E89" s="102" t="str">
        <f aca="false">IF(الموظفون!$B89="","",الموظفون!$E89)</f>
        <v/>
      </c>
      <c r="F89" s="101" t="str">
        <f aca="false">IF($B89="","",'مسير يناير'!T89)</f>
        <v/>
      </c>
      <c r="G89" s="101" t="str">
        <f aca="false">IF($B89="","",'مسير فبراير'!T89)</f>
        <v/>
      </c>
      <c r="H89" s="101" t="str">
        <f aca="false">IF($B89="","",'مسير مارس'!T89)</f>
        <v/>
      </c>
      <c r="I89" s="101" t="str">
        <f aca="false">IF($B89="","",'مسير أبريل'!T89)</f>
        <v/>
      </c>
      <c r="J89" s="101" t="str">
        <f aca="false">IF($B89="","",'مسير مايو'!T89)</f>
        <v/>
      </c>
      <c r="K89" s="101" t="str">
        <f aca="false">IF($B89="","",'مسير يونيو'!T89)</f>
        <v/>
      </c>
      <c r="L89" s="101" t="str">
        <f aca="false">IF($B89="","",'مسير يوليو'!T89)</f>
        <v/>
      </c>
      <c r="M89" s="101" t="str">
        <f aca="false">IF($B89="","",'مسير أغسطس'!T89)</f>
        <v/>
      </c>
      <c r="N89" s="101" t="str">
        <f aca="false">IF($B89="","",'مسير سبتمبر'!T89)</f>
        <v/>
      </c>
      <c r="O89" s="101" t="str">
        <f aca="false">IF($B89="","",'مسير أكتوبر'!T89)</f>
        <v/>
      </c>
      <c r="P89" s="101" t="str">
        <f aca="false">IF($B89="","",'مسير نوفمبر'!T89)</f>
        <v/>
      </c>
      <c r="Q89" s="101" t="str">
        <f aca="false">IF($B89="","",'مسير ديسمبر'!T89)</f>
        <v/>
      </c>
      <c r="R89" s="144" t="str">
        <f aca="false">IF($B89="","",IF(1&lt;=cfg_VAL_M,'مسير يناير'!T89,0)+IF(2&lt;=cfg_VAL_M,'مسير فبراير'!T89,0)+IF(3&lt;=cfg_VAL_M,'مسير مارس'!T89,0)+IF(4&lt;=cfg_VAL_M,'مسير أبريل'!T89,0)+IF(5&lt;=cfg_VAL_M,'مسير مايو'!T89,0)+IF(6&lt;=cfg_VAL_M,'مسير يونيو'!T89,0)+IF(7&lt;=cfg_VAL_M,'مسير يوليو'!T89,0)+IF(8&lt;=cfg_VAL_M,'مسير أغسطس'!T89,0)+IF(9&lt;=cfg_VAL_M,'مسير سبتمبر'!T89,0)+IF(10&lt;=cfg_VAL_M,'مسير أكتوبر'!T89,0)+IF(11&lt;=cfg_VAL_M,'مسير نوفمبر'!T89,0)+IF(12&lt;=cfg_VAL_M,'مسير ديسمبر'!T89,0))</f>
        <v/>
      </c>
      <c r="T89" s="101" t="str">
        <f aca="false">IF($B89="","",'مسير يناير'!AG89)</f>
        <v/>
      </c>
      <c r="U89" s="101" t="str">
        <f aca="false">IF($B89="","",'مسير فبراير'!AG89)</f>
        <v/>
      </c>
      <c r="V89" s="101" t="str">
        <f aca="false">IF($B89="","",'مسير مارس'!AG89)</f>
        <v/>
      </c>
      <c r="W89" s="101" t="str">
        <f aca="false">IF($B89="","",'مسير أبريل'!AG89)</f>
        <v/>
      </c>
      <c r="X89" s="101" t="str">
        <f aca="false">IF($B89="","",'مسير مايو'!AG89)</f>
        <v/>
      </c>
      <c r="Y89" s="101" t="str">
        <f aca="false">IF($B89="","",'مسير يونيو'!AG89)</f>
        <v/>
      </c>
      <c r="Z89" s="101" t="str">
        <f aca="false">IF($B89="","",'مسير يوليو'!AG89)</f>
        <v/>
      </c>
      <c r="AA89" s="101" t="str">
        <f aca="false">IF($B89="","",'مسير أغسطس'!AG89)</f>
        <v/>
      </c>
      <c r="AB89" s="101" t="str">
        <f aca="false">IF($B89="","",'مسير سبتمبر'!AG89)</f>
        <v/>
      </c>
      <c r="AC89" s="101" t="str">
        <f aca="false">IF($B89="","",'مسير أكتوبر'!AG89)</f>
        <v/>
      </c>
      <c r="AD89" s="101" t="str">
        <f aca="false">IF($B89="","",'مسير نوفمبر'!AG89)</f>
        <v/>
      </c>
      <c r="AE89" s="101" t="str">
        <f aca="false">IF($B89="","",'مسير ديسمبر'!AG89)</f>
        <v/>
      </c>
      <c r="AF89" s="144" t="str">
        <f aca="false">IF($B89="","",IF(1&lt;=cfg_VAL_M,'مسير يناير'!AG89,0)+IF(2&lt;=cfg_VAL_M,'مسير فبراير'!AG89,0)+IF(3&lt;=cfg_VAL_M,'مسير مارس'!AG89,0)+IF(4&lt;=cfg_VAL_M,'مسير أبريل'!AG89,0)+IF(5&lt;=cfg_VAL_M,'مسير مايو'!AG89,0)+IF(6&lt;=cfg_VAL_M,'مسير يونيو'!AG89,0)+IF(7&lt;=cfg_VAL_M,'مسير يوليو'!AG89,0)+IF(8&lt;=cfg_VAL_M,'مسير أغسطس'!AG89,0)+IF(9&lt;=cfg_VAL_M,'مسير سبتمبر'!AG89,0)+IF(10&lt;=cfg_VAL_M,'مسير أكتوبر'!AG89,0)+IF(11&lt;=cfg_VAL_M,'مسير نوفمبر'!AG89,0)+IF(12&lt;=cfg_VAL_M,'مسير ديسمبر'!AG89,0))</f>
        <v/>
      </c>
      <c r="AG89" s="144" t="str">
        <f aca="false">IF($B89="","",IF(1&lt;=cfg_VAL_M,'مسير يناير'!Y89,0)+IF(2&lt;=cfg_VAL_M,'مسير فبراير'!Y89,0)+IF(3&lt;=cfg_VAL_M,'مسير مارس'!Y89,0)+IF(4&lt;=cfg_VAL_M,'مسير أبريل'!Y89,0)+IF(5&lt;=cfg_VAL_M,'مسير مايو'!Y89,0)+IF(6&lt;=cfg_VAL_M,'مسير يونيو'!Y89,0)+IF(7&lt;=cfg_VAL_M,'مسير يوليو'!Y89,0)+IF(8&lt;=cfg_VAL_M,'مسير أغسطس'!Y89,0)+IF(9&lt;=cfg_VAL_M,'مسير سبتمبر'!Y89,0)+IF(10&lt;=cfg_VAL_M,'مسير أكتوبر'!Y89,0)+IF(11&lt;=cfg_VAL_M,'مسير نوفمبر'!Y89,0)+IF(12&lt;=cfg_VAL_M,'مسير ديسمبر'!Y89,0))</f>
        <v/>
      </c>
      <c r="AH89" s="101" t="str">
        <f aca="false">IF($B89="","",AF89/cfg_VAL_M)</f>
        <v/>
      </c>
    </row>
    <row r="90" customFormat="false" ht="15" hidden="false" customHeight="false" outlineLevel="0" collapsed="false">
      <c r="B90" s="80" t="str">
        <f aca="false">IF(الموظفون!$B90="","",الموظفون!$B90)</f>
        <v/>
      </c>
      <c r="C90" s="80" t="str">
        <f aca="false">IF(الموظفون!$B90="","",الموظفون!$C90)</f>
        <v/>
      </c>
      <c r="D90" s="80" t="str">
        <f aca="false">IF(الموظفون!$B90="","",الموظفون!$F90)</f>
        <v/>
      </c>
      <c r="E90" s="80" t="str">
        <f aca="false">IF(الموظفون!$B90="","",الموظفون!$E90)</f>
        <v/>
      </c>
      <c r="F90" s="97" t="str">
        <f aca="false">IF($B90="","",'مسير يناير'!T90)</f>
        <v/>
      </c>
      <c r="G90" s="97" t="str">
        <f aca="false">IF($B90="","",'مسير فبراير'!T90)</f>
        <v/>
      </c>
      <c r="H90" s="97" t="str">
        <f aca="false">IF($B90="","",'مسير مارس'!T90)</f>
        <v/>
      </c>
      <c r="I90" s="97" t="str">
        <f aca="false">IF($B90="","",'مسير أبريل'!T90)</f>
        <v/>
      </c>
      <c r="J90" s="97" t="str">
        <f aca="false">IF($B90="","",'مسير مايو'!T90)</f>
        <v/>
      </c>
      <c r="K90" s="97" t="str">
        <f aca="false">IF($B90="","",'مسير يونيو'!T90)</f>
        <v/>
      </c>
      <c r="L90" s="97" t="str">
        <f aca="false">IF($B90="","",'مسير يوليو'!T90)</f>
        <v/>
      </c>
      <c r="M90" s="97" t="str">
        <f aca="false">IF($B90="","",'مسير أغسطس'!T90)</f>
        <v/>
      </c>
      <c r="N90" s="97" t="str">
        <f aca="false">IF($B90="","",'مسير سبتمبر'!T90)</f>
        <v/>
      </c>
      <c r="O90" s="97" t="str">
        <f aca="false">IF($B90="","",'مسير أكتوبر'!T90)</f>
        <v/>
      </c>
      <c r="P90" s="97" t="str">
        <f aca="false">IF($B90="","",'مسير نوفمبر'!T90)</f>
        <v/>
      </c>
      <c r="Q90" s="97" t="str">
        <f aca="false">IF($B90="","",'مسير ديسمبر'!T90)</f>
        <v/>
      </c>
      <c r="R90" s="143" t="str">
        <f aca="false">IF($B90="","",IF(1&lt;=cfg_VAL_M,'مسير يناير'!T90,0)+IF(2&lt;=cfg_VAL_M,'مسير فبراير'!T90,0)+IF(3&lt;=cfg_VAL_M,'مسير مارس'!T90,0)+IF(4&lt;=cfg_VAL_M,'مسير أبريل'!T90,0)+IF(5&lt;=cfg_VAL_M,'مسير مايو'!T90,0)+IF(6&lt;=cfg_VAL_M,'مسير يونيو'!T90,0)+IF(7&lt;=cfg_VAL_M,'مسير يوليو'!T90,0)+IF(8&lt;=cfg_VAL_M,'مسير أغسطس'!T90,0)+IF(9&lt;=cfg_VAL_M,'مسير سبتمبر'!T90,0)+IF(10&lt;=cfg_VAL_M,'مسير أكتوبر'!T90,0)+IF(11&lt;=cfg_VAL_M,'مسير نوفمبر'!T90,0)+IF(12&lt;=cfg_VAL_M,'مسير ديسمبر'!T90,0))</f>
        <v/>
      </c>
      <c r="T90" s="97" t="str">
        <f aca="false">IF($B90="","",'مسير يناير'!AG90)</f>
        <v/>
      </c>
      <c r="U90" s="97" t="str">
        <f aca="false">IF($B90="","",'مسير فبراير'!AG90)</f>
        <v/>
      </c>
      <c r="V90" s="97" t="str">
        <f aca="false">IF($B90="","",'مسير مارس'!AG90)</f>
        <v/>
      </c>
      <c r="W90" s="97" t="str">
        <f aca="false">IF($B90="","",'مسير أبريل'!AG90)</f>
        <v/>
      </c>
      <c r="X90" s="97" t="str">
        <f aca="false">IF($B90="","",'مسير مايو'!AG90)</f>
        <v/>
      </c>
      <c r="Y90" s="97" t="str">
        <f aca="false">IF($B90="","",'مسير يونيو'!AG90)</f>
        <v/>
      </c>
      <c r="Z90" s="97" t="str">
        <f aca="false">IF($B90="","",'مسير يوليو'!AG90)</f>
        <v/>
      </c>
      <c r="AA90" s="97" t="str">
        <f aca="false">IF($B90="","",'مسير أغسطس'!AG90)</f>
        <v/>
      </c>
      <c r="AB90" s="97" t="str">
        <f aca="false">IF($B90="","",'مسير سبتمبر'!AG90)</f>
        <v/>
      </c>
      <c r="AC90" s="97" t="str">
        <f aca="false">IF($B90="","",'مسير أكتوبر'!AG90)</f>
        <v/>
      </c>
      <c r="AD90" s="97" t="str">
        <f aca="false">IF($B90="","",'مسير نوفمبر'!AG90)</f>
        <v/>
      </c>
      <c r="AE90" s="97" t="str">
        <f aca="false">IF($B90="","",'مسير ديسمبر'!AG90)</f>
        <v/>
      </c>
      <c r="AF90" s="143" t="str">
        <f aca="false">IF($B90="","",IF(1&lt;=cfg_VAL_M,'مسير يناير'!AG90,0)+IF(2&lt;=cfg_VAL_M,'مسير فبراير'!AG90,0)+IF(3&lt;=cfg_VAL_M,'مسير مارس'!AG90,0)+IF(4&lt;=cfg_VAL_M,'مسير أبريل'!AG90,0)+IF(5&lt;=cfg_VAL_M,'مسير مايو'!AG90,0)+IF(6&lt;=cfg_VAL_M,'مسير يونيو'!AG90,0)+IF(7&lt;=cfg_VAL_M,'مسير يوليو'!AG90,0)+IF(8&lt;=cfg_VAL_M,'مسير أغسطس'!AG90,0)+IF(9&lt;=cfg_VAL_M,'مسير سبتمبر'!AG90,0)+IF(10&lt;=cfg_VAL_M,'مسير أكتوبر'!AG90,0)+IF(11&lt;=cfg_VAL_M,'مسير نوفمبر'!AG90,0)+IF(12&lt;=cfg_VAL_M,'مسير ديسمبر'!AG90,0))</f>
        <v/>
      </c>
      <c r="AG90" s="143" t="str">
        <f aca="false">IF($B90="","",IF(1&lt;=cfg_VAL_M,'مسير يناير'!Y90,0)+IF(2&lt;=cfg_VAL_M,'مسير فبراير'!Y90,0)+IF(3&lt;=cfg_VAL_M,'مسير مارس'!Y90,0)+IF(4&lt;=cfg_VAL_M,'مسير أبريل'!Y90,0)+IF(5&lt;=cfg_VAL_M,'مسير مايو'!Y90,0)+IF(6&lt;=cfg_VAL_M,'مسير يونيو'!Y90,0)+IF(7&lt;=cfg_VAL_M,'مسير يوليو'!Y90,0)+IF(8&lt;=cfg_VAL_M,'مسير أغسطس'!Y90,0)+IF(9&lt;=cfg_VAL_M,'مسير سبتمبر'!Y90,0)+IF(10&lt;=cfg_VAL_M,'مسير أكتوبر'!Y90,0)+IF(11&lt;=cfg_VAL_M,'مسير نوفمبر'!Y90,0)+IF(12&lt;=cfg_VAL_M,'مسير ديسمبر'!Y90,0))</f>
        <v/>
      </c>
      <c r="AH90" s="97" t="str">
        <f aca="false">IF($B90="","",AF90/cfg_VAL_M)</f>
        <v/>
      </c>
    </row>
    <row r="91" customFormat="false" ht="15" hidden="false" customHeight="false" outlineLevel="0" collapsed="false">
      <c r="B91" s="102" t="str">
        <f aca="false">IF(الموظفون!$B91="","",الموظفون!$B91)</f>
        <v/>
      </c>
      <c r="C91" s="102" t="str">
        <f aca="false">IF(الموظفون!$B91="","",الموظفون!$C91)</f>
        <v/>
      </c>
      <c r="D91" s="102" t="str">
        <f aca="false">IF(الموظفون!$B91="","",الموظفون!$F91)</f>
        <v/>
      </c>
      <c r="E91" s="102" t="str">
        <f aca="false">IF(الموظفون!$B91="","",الموظفون!$E91)</f>
        <v/>
      </c>
      <c r="F91" s="101" t="str">
        <f aca="false">IF($B91="","",'مسير يناير'!T91)</f>
        <v/>
      </c>
      <c r="G91" s="101" t="str">
        <f aca="false">IF($B91="","",'مسير فبراير'!T91)</f>
        <v/>
      </c>
      <c r="H91" s="101" t="str">
        <f aca="false">IF($B91="","",'مسير مارس'!T91)</f>
        <v/>
      </c>
      <c r="I91" s="101" t="str">
        <f aca="false">IF($B91="","",'مسير أبريل'!T91)</f>
        <v/>
      </c>
      <c r="J91" s="101" t="str">
        <f aca="false">IF($B91="","",'مسير مايو'!T91)</f>
        <v/>
      </c>
      <c r="K91" s="101" t="str">
        <f aca="false">IF($B91="","",'مسير يونيو'!T91)</f>
        <v/>
      </c>
      <c r="L91" s="101" t="str">
        <f aca="false">IF($B91="","",'مسير يوليو'!T91)</f>
        <v/>
      </c>
      <c r="M91" s="101" t="str">
        <f aca="false">IF($B91="","",'مسير أغسطس'!T91)</f>
        <v/>
      </c>
      <c r="N91" s="101" t="str">
        <f aca="false">IF($B91="","",'مسير سبتمبر'!T91)</f>
        <v/>
      </c>
      <c r="O91" s="101" t="str">
        <f aca="false">IF($B91="","",'مسير أكتوبر'!T91)</f>
        <v/>
      </c>
      <c r="P91" s="101" t="str">
        <f aca="false">IF($B91="","",'مسير نوفمبر'!T91)</f>
        <v/>
      </c>
      <c r="Q91" s="101" t="str">
        <f aca="false">IF($B91="","",'مسير ديسمبر'!T91)</f>
        <v/>
      </c>
      <c r="R91" s="144" t="str">
        <f aca="false">IF($B91="","",IF(1&lt;=cfg_VAL_M,'مسير يناير'!T91,0)+IF(2&lt;=cfg_VAL_M,'مسير فبراير'!T91,0)+IF(3&lt;=cfg_VAL_M,'مسير مارس'!T91,0)+IF(4&lt;=cfg_VAL_M,'مسير أبريل'!T91,0)+IF(5&lt;=cfg_VAL_M,'مسير مايو'!T91,0)+IF(6&lt;=cfg_VAL_M,'مسير يونيو'!T91,0)+IF(7&lt;=cfg_VAL_M,'مسير يوليو'!T91,0)+IF(8&lt;=cfg_VAL_M,'مسير أغسطس'!T91,0)+IF(9&lt;=cfg_VAL_M,'مسير سبتمبر'!T91,0)+IF(10&lt;=cfg_VAL_M,'مسير أكتوبر'!T91,0)+IF(11&lt;=cfg_VAL_M,'مسير نوفمبر'!T91,0)+IF(12&lt;=cfg_VAL_M,'مسير ديسمبر'!T91,0))</f>
        <v/>
      </c>
      <c r="T91" s="101" t="str">
        <f aca="false">IF($B91="","",'مسير يناير'!AG91)</f>
        <v/>
      </c>
      <c r="U91" s="101" t="str">
        <f aca="false">IF($B91="","",'مسير فبراير'!AG91)</f>
        <v/>
      </c>
      <c r="V91" s="101" t="str">
        <f aca="false">IF($B91="","",'مسير مارس'!AG91)</f>
        <v/>
      </c>
      <c r="W91" s="101" t="str">
        <f aca="false">IF($B91="","",'مسير أبريل'!AG91)</f>
        <v/>
      </c>
      <c r="X91" s="101" t="str">
        <f aca="false">IF($B91="","",'مسير مايو'!AG91)</f>
        <v/>
      </c>
      <c r="Y91" s="101" t="str">
        <f aca="false">IF($B91="","",'مسير يونيو'!AG91)</f>
        <v/>
      </c>
      <c r="Z91" s="101" t="str">
        <f aca="false">IF($B91="","",'مسير يوليو'!AG91)</f>
        <v/>
      </c>
      <c r="AA91" s="101" t="str">
        <f aca="false">IF($B91="","",'مسير أغسطس'!AG91)</f>
        <v/>
      </c>
      <c r="AB91" s="101" t="str">
        <f aca="false">IF($B91="","",'مسير سبتمبر'!AG91)</f>
        <v/>
      </c>
      <c r="AC91" s="101" t="str">
        <f aca="false">IF($B91="","",'مسير أكتوبر'!AG91)</f>
        <v/>
      </c>
      <c r="AD91" s="101" t="str">
        <f aca="false">IF($B91="","",'مسير نوفمبر'!AG91)</f>
        <v/>
      </c>
      <c r="AE91" s="101" t="str">
        <f aca="false">IF($B91="","",'مسير ديسمبر'!AG91)</f>
        <v/>
      </c>
      <c r="AF91" s="144" t="str">
        <f aca="false">IF($B91="","",IF(1&lt;=cfg_VAL_M,'مسير يناير'!AG91,0)+IF(2&lt;=cfg_VAL_M,'مسير فبراير'!AG91,0)+IF(3&lt;=cfg_VAL_M,'مسير مارس'!AG91,0)+IF(4&lt;=cfg_VAL_M,'مسير أبريل'!AG91,0)+IF(5&lt;=cfg_VAL_M,'مسير مايو'!AG91,0)+IF(6&lt;=cfg_VAL_M,'مسير يونيو'!AG91,0)+IF(7&lt;=cfg_VAL_M,'مسير يوليو'!AG91,0)+IF(8&lt;=cfg_VAL_M,'مسير أغسطس'!AG91,0)+IF(9&lt;=cfg_VAL_M,'مسير سبتمبر'!AG91,0)+IF(10&lt;=cfg_VAL_M,'مسير أكتوبر'!AG91,0)+IF(11&lt;=cfg_VAL_M,'مسير نوفمبر'!AG91,0)+IF(12&lt;=cfg_VAL_M,'مسير ديسمبر'!AG91,0))</f>
        <v/>
      </c>
      <c r="AG91" s="144" t="str">
        <f aca="false">IF($B91="","",IF(1&lt;=cfg_VAL_M,'مسير يناير'!Y91,0)+IF(2&lt;=cfg_VAL_M,'مسير فبراير'!Y91,0)+IF(3&lt;=cfg_VAL_M,'مسير مارس'!Y91,0)+IF(4&lt;=cfg_VAL_M,'مسير أبريل'!Y91,0)+IF(5&lt;=cfg_VAL_M,'مسير مايو'!Y91,0)+IF(6&lt;=cfg_VAL_M,'مسير يونيو'!Y91,0)+IF(7&lt;=cfg_VAL_M,'مسير يوليو'!Y91,0)+IF(8&lt;=cfg_VAL_M,'مسير أغسطس'!Y91,0)+IF(9&lt;=cfg_VAL_M,'مسير سبتمبر'!Y91,0)+IF(10&lt;=cfg_VAL_M,'مسير أكتوبر'!Y91,0)+IF(11&lt;=cfg_VAL_M,'مسير نوفمبر'!Y91,0)+IF(12&lt;=cfg_VAL_M,'مسير ديسمبر'!Y91,0))</f>
        <v/>
      </c>
      <c r="AH91" s="101" t="str">
        <f aca="false">IF($B91="","",AF91/cfg_VAL_M)</f>
        <v/>
      </c>
    </row>
    <row r="92" customFormat="false" ht="15" hidden="false" customHeight="false" outlineLevel="0" collapsed="false">
      <c r="B92" s="80" t="str">
        <f aca="false">IF(الموظفون!$B92="","",الموظفون!$B92)</f>
        <v/>
      </c>
      <c r="C92" s="80" t="str">
        <f aca="false">IF(الموظفون!$B92="","",الموظفون!$C92)</f>
        <v/>
      </c>
      <c r="D92" s="80" t="str">
        <f aca="false">IF(الموظفون!$B92="","",الموظفون!$F92)</f>
        <v/>
      </c>
      <c r="E92" s="80" t="str">
        <f aca="false">IF(الموظفون!$B92="","",الموظفون!$E92)</f>
        <v/>
      </c>
      <c r="F92" s="97" t="str">
        <f aca="false">IF($B92="","",'مسير يناير'!T92)</f>
        <v/>
      </c>
      <c r="G92" s="97" t="str">
        <f aca="false">IF($B92="","",'مسير فبراير'!T92)</f>
        <v/>
      </c>
      <c r="H92" s="97" t="str">
        <f aca="false">IF($B92="","",'مسير مارس'!T92)</f>
        <v/>
      </c>
      <c r="I92" s="97" t="str">
        <f aca="false">IF($B92="","",'مسير أبريل'!T92)</f>
        <v/>
      </c>
      <c r="J92" s="97" t="str">
        <f aca="false">IF($B92="","",'مسير مايو'!T92)</f>
        <v/>
      </c>
      <c r="K92" s="97" t="str">
        <f aca="false">IF($B92="","",'مسير يونيو'!T92)</f>
        <v/>
      </c>
      <c r="L92" s="97" t="str">
        <f aca="false">IF($B92="","",'مسير يوليو'!T92)</f>
        <v/>
      </c>
      <c r="M92" s="97" t="str">
        <f aca="false">IF($B92="","",'مسير أغسطس'!T92)</f>
        <v/>
      </c>
      <c r="N92" s="97" t="str">
        <f aca="false">IF($B92="","",'مسير سبتمبر'!T92)</f>
        <v/>
      </c>
      <c r="O92" s="97" t="str">
        <f aca="false">IF($B92="","",'مسير أكتوبر'!T92)</f>
        <v/>
      </c>
      <c r="P92" s="97" t="str">
        <f aca="false">IF($B92="","",'مسير نوفمبر'!T92)</f>
        <v/>
      </c>
      <c r="Q92" s="97" t="str">
        <f aca="false">IF($B92="","",'مسير ديسمبر'!T92)</f>
        <v/>
      </c>
      <c r="R92" s="143" t="str">
        <f aca="false">IF($B92="","",IF(1&lt;=cfg_VAL_M,'مسير يناير'!T92,0)+IF(2&lt;=cfg_VAL_M,'مسير فبراير'!T92,0)+IF(3&lt;=cfg_VAL_M,'مسير مارس'!T92,0)+IF(4&lt;=cfg_VAL_M,'مسير أبريل'!T92,0)+IF(5&lt;=cfg_VAL_M,'مسير مايو'!T92,0)+IF(6&lt;=cfg_VAL_M,'مسير يونيو'!T92,0)+IF(7&lt;=cfg_VAL_M,'مسير يوليو'!T92,0)+IF(8&lt;=cfg_VAL_M,'مسير أغسطس'!T92,0)+IF(9&lt;=cfg_VAL_M,'مسير سبتمبر'!T92,0)+IF(10&lt;=cfg_VAL_M,'مسير أكتوبر'!T92,0)+IF(11&lt;=cfg_VAL_M,'مسير نوفمبر'!T92,0)+IF(12&lt;=cfg_VAL_M,'مسير ديسمبر'!T92,0))</f>
        <v/>
      </c>
      <c r="T92" s="97" t="str">
        <f aca="false">IF($B92="","",'مسير يناير'!AG92)</f>
        <v/>
      </c>
      <c r="U92" s="97" t="str">
        <f aca="false">IF($B92="","",'مسير فبراير'!AG92)</f>
        <v/>
      </c>
      <c r="V92" s="97" t="str">
        <f aca="false">IF($B92="","",'مسير مارس'!AG92)</f>
        <v/>
      </c>
      <c r="W92" s="97" t="str">
        <f aca="false">IF($B92="","",'مسير أبريل'!AG92)</f>
        <v/>
      </c>
      <c r="X92" s="97" t="str">
        <f aca="false">IF($B92="","",'مسير مايو'!AG92)</f>
        <v/>
      </c>
      <c r="Y92" s="97" t="str">
        <f aca="false">IF($B92="","",'مسير يونيو'!AG92)</f>
        <v/>
      </c>
      <c r="Z92" s="97" t="str">
        <f aca="false">IF($B92="","",'مسير يوليو'!AG92)</f>
        <v/>
      </c>
      <c r="AA92" s="97" t="str">
        <f aca="false">IF($B92="","",'مسير أغسطس'!AG92)</f>
        <v/>
      </c>
      <c r="AB92" s="97" t="str">
        <f aca="false">IF($B92="","",'مسير سبتمبر'!AG92)</f>
        <v/>
      </c>
      <c r="AC92" s="97" t="str">
        <f aca="false">IF($B92="","",'مسير أكتوبر'!AG92)</f>
        <v/>
      </c>
      <c r="AD92" s="97" t="str">
        <f aca="false">IF($B92="","",'مسير نوفمبر'!AG92)</f>
        <v/>
      </c>
      <c r="AE92" s="97" t="str">
        <f aca="false">IF($B92="","",'مسير ديسمبر'!AG92)</f>
        <v/>
      </c>
      <c r="AF92" s="143" t="str">
        <f aca="false">IF($B92="","",IF(1&lt;=cfg_VAL_M,'مسير يناير'!AG92,0)+IF(2&lt;=cfg_VAL_M,'مسير فبراير'!AG92,0)+IF(3&lt;=cfg_VAL_M,'مسير مارس'!AG92,0)+IF(4&lt;=cfg_VAL_M,'مسير أبريل'!AG92,0)+IF(5&lt;=cfg_VAL_M,'مسير مايو'!AG92,0)+IF(6&lt;=cfg_VAL_M,'مسير يونيو'!AG92,0)+IF(7&lt;=cfg_VAL_M,'مسير يوليو'!AG92,0)+IF(8&lt;=cfg_VAL_M,'مسير أغسطس'!AG92,0)+IF(9&lt;=cfg_VAL_M,'مسير سبتمبر'!AG92,0)+IF(10&lt;=cfg_VAL_M,'مسير أكتوبر'!AG92,0)+IF(11&lt;=cfg_VAL_M,'مسير نوفمبر'!AG92,0)+IF(12&lt;=cfg_VAL_M,'مسير ديسمبر'!AG92,0))</f>
        <v/>
      </c>
      <c r="AG92" s="143" t="str">
        <f aca="false">IF($B92="","",IF(1&lt;=cfg_VAL_M,'مسير يناير'!Y92,0)+IF(2&lt;=cfg_VAL_M,'مسير فبراير'!Y92,0)+IF(3&lt;=cfg_VAL_M,'مسير مارس'!Y92,0)+IF(4&lt;=cfg_VAL_M,'مسير أبريل'!Y92,0)+IF(5&lt;=cfg_VAL_M,'مسير مايو'!Y92,0)+IF(6&lt;=cfg_VAL_M,'مسير يونيو'!Y92,0)+IF(7&lt;=cfg_VAL_M,'مسير يوليو'!Y92,0)+IF(8&lt;=cfg_VAL_M,'مسير أغسطس'!Y92,0)+IF(9&lt;=cfg_VAL_M,'مسير سبتمبر'!Y92,0)+IF(10&lt;=cfg_VAL_M,'مسير أكتوبر'!Y92,0)+IF(11&lt;=cfg_VAL_M,'مسير نوفمبر'!Y92,0)+IF(12&lt;=cfg_VAL_M,'مسير ديسمبر'!Y92,0))</f>
        <v/>
      </c>
      <c r="AH92" s="97" t="str">
        <f aca="false">IF($B92="","",AF92/cfg_VAL_M)</f>
        <v/>
      </c>
    </row>
    <row r="93" customFormat="false" ht="15" hidden="false" customHeight="false" outlineLevel="0" collapsed="false">
      <c r="B93" s="102" t="str">
        <f aca="false">IF(الموظفون!$B93="","",الموظفون!$B93)</f>
        <v/>
      </c>
      <c r="C93" s="102" t="str">
        <f aca="false">IF(الموظفون!$B93="","",الموظفون!$C93)</f>
        <v/>
      </c>
      <c r="D93" s="102" t="str">
        <f aca="false">IF(الموظفون!$B93="","",الموظفون!$F93)</f>
        <v/>
      </c>
      <c r="E93" s="102" t="str">
        <f aca="false">IF(الموظفون!$B93="","",الموظفون!$E93)</f>
        <v/>
      </c>
      <c r="F93" s="101" t="str">
        <f aca="false">IF($B93="","",'مسير يناير'!T93)</f>
        <v/>
      </c>
      <c r="G93" s="101" t="str">
        <f aca="false">IF($B93="","",'مسير فبراير'!T93)</f>
        <v/>
      </c>
      <c r="H93" s="101" t="str">
        <f aca="false">IF($B93="","",'مسير مارس'!T93)</f>
        <v/>
      </c>
      <c r="I93" s="101" t="str">
        <f aca="false">IF($B93="","",'مسير أبريل'!T93)</f>
        <v/>
      </c>
      <c r="J93" s="101" t="str">
        <f aca="false">IF($B93="","",'مسير مايو'!T93)</f>
        <v/>
      </c>
      <c r="K93" s="101" t="str">
        <f aca="false">IF($B93="","",'مسير يونيو'!T93)</f>
        <v/>
      </c>
      <c r="L93" s="101" t="str">
        <f aca="false">IF($B93="","",'مسير يوليو'!T93)</f>
        <v/>
      </c>
      <c r="M93" s="101" t="str">
        <f aca="false">IF($B93="","",'مسير أغسطس'!T93)</f>
        <v/>
      </c>
      <c r="N93" s="101" t="str">
        <f aca="false">IF($B93="","",'مسير سبتمبر'!T93)</f>
        <v/>
      </c>
      <c r="O93" s="101" t="str">
        <f aca="false">IF($B93="","",'مسير أكتوبر'!T93)</f>
        <v/>
      </c>
      <c r="P93" s="101" t="str">
        <f aca="false">IF($B93="","",'مسير نوفمبر'!T93)</f>
        <v/>
      </c>
      <c r="Q93" s="101" t="str">
        <f aca="false">IF($B93="","",'مسير ديسمبر'!T93)</f>
        <v/>
      </c>
      <c r="R93" s="144" t="str">
        <f aca="false">IF($B93="","",IF(1&lt;=cfg_VAL_M,'مسير يناير'!T93,0)+IF(2&lt;=cfg_VAL_M,'مسير فبراير'!T93,0)+IF(3&lt;=cfg_VAL_M,'مسير مارس'!T93,0)+IF(4&lt;=cfg_VAL_M,'مسير أبريل'!T93,0)+IF(5&lt;=cfg_VAL_M,'مسير مايو'!T93,0)+IF(6&lt;=cfg_VAL_M,'مسير يونيو'!T93,0)+IF(7&lt;=cfg_VAL_M,'مسير يوليو'!T93,0)+IF(8&lt;=cfg_VAL_M,'مسير أغسطس'!T93,0)+IF(9&lt;=cfg_VAL_M,'مسير سبتمبر'!T93,0)+IF(10&lt;=cfg_VAL_M,'مسير أكتوبر'!T93,0)+IF(11&lt;=cfg_VAL_M,'مسير نوفمبر'!T93,0)+IF(12&lt;=cfg_VAL_M,'مسير ديسمبر'!T93,0))</f>
        <v/>
      </c>
      <c r="T93" s="101" t="str">
        <f aca="false">IF($B93="","",'مسير يناير'!AG93)</f>
        <v/>
      </c>
      <c r="U93" s="101" t="str">
        <f aca="false">IF($B93="","",'مسير فبراير'!AG93)</f>
        <v/>
      </c>
      <c r="V93" s="101" t="str">
        <f aca="false">IF($B93="","",'مسير مارس'!AG93)</f>
        <v/>
      </c>
      <c r="W93" s="101" t="str">
        <f aca="false">IF($B93="","",'مسير أبريل'!AG93)</f>
        <v/>
      </c>
      <c r="X93" s="101" t="str">
        <f aca="false">IF($B93="","",'مسير مايو'!AG93)</f>
        <v/>
      </c>
      <c r="Y93" s="101" t="str">
        <f aca="false">IF($B93="","",'مسير يونيو'!AG93)</f>
        <v/>
      </c>
      <c r="Z93" s="101" t="str">
        <f aca="false">IF($B93="","",'مسير يوليو'!AG93)</f>
        <v/>
      </c>
      <c r="AA93" s="101" t="str">
        <f aca="false">IF($B93="","",'مسير أغسطس'!AG93)</f>
        <v/>
      </c>
      <c r="AB93" s="101" t="str">
        <f aca="false">IF($B93="","",'مسير سبتمبر'!AG93)</f>
        <v/>
      </c>
      <c r="AC93" s="101" t="str">
        <f aca="false">IF($B93="","",'مسير أكتوبر'!AG93)</f>
        <v/>
      </c>
      <c r="AD93" s="101" t="str">
        <f aca="false">IF($B93="","",'مسير نوفمبر'!AG93)</f>
        <v/>
      </c>
      <c r="AE93" s="101" t="str">
        <f aca="false">IF($B93="","",'مسير ديسمبر'!AG93)</f>
        <v/>
      </c>
      <c r="AF93" s="144" t="str">
        <f aca="false">IF($B93="","",IF(1&lt;=cfg_VAL_M,'مسير يناير'!AG93,0)+IF(2&lt;=cfg_VAL_M,'مسير فبراير'!AG93,0)+IF(3&lt;=cfg_VAL_M,'مسير مارس'!AG93,0)+IF(4&lt;=cfg_VAL_M,'مسير أبريل'!AG93,0)+IF(5&lt;=cfg_VAL_M,'مسير مايو'!AG93,0)+IF(6&lt;=cfg_VAL_M,'مسير يونيو'!AG93,0)+IF(7&lt;=cfg_VAL_M,'مسير يوليو'!AG93,0)+IF(8&lt;=cfg_VAL_M,'مسير أغسطس'!AG93,0)+IF(9&lt;=cfg_VAL_M,'مسير سبتمبر'!AG93,0)+IF(10&lt;=cfg_VAL_M,'مسير أكتوبر'!AG93,0)+IF(11&lt;=cfg_VAL_M,'مسير نوفمبر'!AG93,0)+IF(12&lt;=cfg_VAL_M,'مسير ديسمبر'!AG93,0))</f>
        <v/>
      </c>
      <c r="AG93" s="144" t="str">
        <f aca="false">IF($B93="","",IF(1&lt;=cfg_VAL_M,'مسير يناير'!Y93,0)+IF(2&lt;=cfg_VAL_M,'مسير فبراير'!Y93,0)+IF(3&lt;=cfg_VAL_M,'مسير مارس'!Y93,0)+IF(4&lt;=cfg_VAL_M,'مسير أبريل'!Y93,0)+IF(5&lt;=cfg_VAL_M,'مسير مايو'!Y93,0)+IF(6&lt;=cfg_VAL_M,'مسير يونيو'!Y93,0)+IF(7&lt;=cfg_VAL_M,'مسير يوليو'!Y93,0)+IF(8&lt;=cfg_VAL_M,'مسير أغسطس'!Y93,0)+IF(9&lt;=cfg_VAL_M,'مسير سبتمبر'!Y93,0)+IF(10&lt;=cfg_VAL_M,'مسير أكتوبر'!Y93,0)+IF(11&lt;=cfg_VAL_M,'مسير نوفمبر'!Y93,0)+IF(12&lt;=cfg_VAL_M,'مسير ديسمبر'!Y93,0))</f>
        <v/>
      </c>
      <c r="AH93" s="101" t="str">
        <f aca="false">IF($B93="","",AF93/cfg_VAL_M)</f>
        <v/>
      </c>
    </row>
    <row r="94" customFormat="false" ht="15" hidden="false" customHeight="false" outlineLevel="0" collapsed="false">
      <c r="B94" s="80" t="str">
        <f aca="false">IF(الموظفون!$B94="","",الموظفون!$B94)</f>
        <v/>
      </c>
      <c r="C94" s="80" t="str">
        <f aca="false">IF(الموظفون!$B94="","",الموظفون!$C94)</f>
        <v/>
      </c>
      <c r="D94" s="80" t="str">
        <f aca="false">IF(الموظفون!$B94="","",الموظفون!$F94)</f>
        <v/>
      </c>
      <c r="E94" s="80" t="str">
        <f aca="false">IF(الموظفون!$B94="","",الموظفون!$E94)</f>
        <v/>
      </c>
      <c r="F94" s="97" t="str">
        <f aca="false">IF($B94="","",'مسير يناير'!T94)</f>
        <v/>
      </c>
      <c r="G94" s="97" t="str">
        <f aca="false">IF($B94="","",'مسير فبراير'!T94)</f>
        <v/>
      </c>
      <c r="H94" s="97" t="str">
        <f aca="false">IF($B94="","",'مسير مارس'!T94)</f>
        <v/>
      </c>
      <c r="I94" s="97" t="str">
        <f aca="false">IF($B94="","",'مسير أبريل'!T94)</f>
        <v/>
      </c>
      <c r="J94" s="97" t="str">
        <f aca="false">IF($B94="","",'مسير مايو'!T94)</f>
        <v/>
      </c>
      <c r="K94" s="97" t="str">
        <f aca="false">IF($B94="","",'مسير يونيو'!T94)</f>
        <v/>
      </c>
      <c r="L94" s="97" t="str">
        <f aca="false">IF($B94="","",'مسير يوليو'!T94)</f>
        <v/>
      </c>
      <c r="M94" s="97" t="str">
        <f aca="false">IF($B94="","",'مسير أغسطس'!T94)</f>
        <v/>
      </c>
      <c r="N94" s="97" t="str">
        <f aca="false">IF($B94="","",'مسير سبتمبر'!T94)</f>
        <v/>
      </c>
      <c r="O94" s="97" t="str">
        <f aca="false">IF($B94="","",'مسير أكتوبر'!T94)</f>
        <v/>
      </c>
      <c r="P94" s="97" t="str">
        <f aca="false">IF($B94="","",'مسير نوفمبر'!T94)</f>
        <v/>
      </c>
      <c r="Q94" s="97" t="str">
        <f aca="false">IF($B94="","",'مسير ديسمبر'!T94)</f>
        <v/>
      </c>
      <c r="R94" s="143" t="str">
        <f aca="false">IF($B94="","",IF(1&lt;=cfg_VAL_M,'مسير يناير'!T94,0)+IF(2&lt;=cfg_VAL_M,'مسير فبراير'!T94,0)+IF(3&lt;=cfg_VAL_M,'مسير مارس'!T94,0)+IF(4&lt;=cfg_VAL_M,'مسير أبريل'!T94,0)+IF(5&lt;=cfg_VAL_M,'مسير مايو'!T94,0)+IF(6&lt;=cfg_VAL_M,'مسير يونيو'!T94,0)+IF(7&lt;=cfg_VAL_M,'مسير يوليو'!T94,0)+IF(8&lt;=cfg_VAL_M,'مسير أغسطس'!T94,0)+IF(9&lt;=cfg_VAL_M,'مسير سبتمبر'!T94,0)+IF(10&lt;=cfg_VAL_M,'مسير أكتوبر'!T94,0)+IF(11&lt;=cfg_VAL_M,'مسير نوفمبر'!T94,0)+IF(12&lt;=cfg_VAL_M,'مسير ديسمبر'!T94,0))</f>
        <v/>
      </c>
      <c r="T94" s="97" t="str">
        <f aca="false">IF($B94="","",'مسير يناير'!AG94)</f>
        <v/>
      </c>
      <c r="U94" s="97" t="str">
        <f aca="false">IF($B94="","",'مسير فبراير'!AG94)</f>
        <v/>
      </c>
      <c r="V94" s="97" t="str">
        <f aca="false">IF($B94="","",'مسير مارس'!AG94)</f>
        <v/>
      </c>
      <c r="W94" s="97" t="str">
        <f aca="false">IF($B94="","",'مسير أبريل'!AG94)</f>
        <v/>
      </c>
      <c r="X94" s="97" t="str">
        <f aca="false">IF($B94="","",'مسير مايو'!AG94)</f>
        <v/>
      </c>
      <c r="Y94" s="97" t="str">
        <f aca="false">IF($B94="","",'مسير يونيو'!AG94)</f>
        <v/>
      </c>
      <c r="Z94" s="97" t="str">
        <f aca="false">IF($B94="","",'مسير يوليو'!AG94)</f>
        <v/>
      </c>
      <c r="AA94" s="97" t="str">
        <f aca="false">IF($B94="","",'مسير أغسطس'!AG94)</f>
        <v/>
      </c>
      <c r="AB94" s="97" t="str">
        <f aca="false">IF($B94="","",'مسير سبتمبر'!AG94)</f>
        <v/>
      </c>
      <c r="AC94" s="97" t="str">
        <f aca="false">IF($B94="","",'مسير أكتوبر'!AG94)</f>
        <v/>
      </c>
      <c r="AD94" s="97" t="str">
        <f aca="false">IF($B94="","",'مسير نوفمبر'!AG94)</f>
        <v/>
      </c>
      <c r="AE94" s="97" t="str">
        <f aca="false">IF($B94="","",'مسير ديسمبر'!AG94)</f>
        <v/>
      </c>
      <c r="AF94" s="143" t="str">
        <f aca="false">IF($B94="","",IF(1&lt;=cfg_VAL_M,'مسير يناير'!AG94,0)+IF(2&lt;=cfg_VAL_M,'مسير فبراير'!AG94,0)+IF(3&lt;=cfg_VAL_M,'مسير مارس'!AG94,0)+IF(4&lt;=cfg_VAL_M,'مسير أبريل'!AG94,0)+IF(5&lt;=cfg_VAL_M,'مسير مايو'!AG94,0)+IF(6&lt;=cfg_VAL_M,'مسير يونيو'!AG94,0)+IF(7&lt;=cfg_VAL_M,'مسير يوليو'!AG94,0)+IF(8&lt;=cfg_VAL_M,'مسير أغسطس'!AG94,0)+IF(9&lt;=cfg_VAL_M,'مسير سبتمبر'!AG94,0)+IF(10&lt;=cfg_VAL_M,'مسير أكتوبر'!AG94,0)+IF(11&lt;=cfg_VAL_M,'مسير نوفمبر'!AG94,0)+IF(12&lt;=cfg_VAL_M,'مسير ديسمبر'!AG94,0))</f>
        <v/>
      </c>
      <c r="AG94" s="143" t="str">
        <f aca="false">IF($B94="","",IF(1&lt;=cfg_VAL_M,'مسير يناير'!Y94,0)+IF(2&lt;=cfg_VAL_M,'مسير فبراير'!Y94,0)+IF(3&lt;=cfg_VAL_M,'مسير مارس'!Y94,0)+IF(4&lt;=cfg_VAL_M,'مسير أبريل'!Y94,0)+IF(5&lt;=cfg_VAL_M,'مسير مايو'!Y94,0)+IF(6&lt;=cfg_VAL_M,'مسير يونيو'!Y94,0)+IF(7&lt;=cfg_VAL_M,'مسير يوليو'!Y94,0)+IF(8&lt;=cfg_VAL_M,'مسير أغسطس'!Y94,0)+IF(9&lt;=cfg_VAL_M,'مسير سبتمبر'!Y94,0)+IF(10&lt;=cfg_VAL_M,'مسير أكتوبر'!Y94,0)+IF(11&lt;=cfg_VAL_M,'مسير نوفمبر'!Y94,0)+IF(12&lt;=cfg_VAL_M,'مسير ديسمبر'!Y94,0))</f>
        <v/>
      </c>
      <c r="AH94" s="97" t="str">
        <f aca="false">IF($B94="","",AF94/cfg_VAL_M)</f>
        <v/>
      </c>
    </row>
    <row r="95" customFormat="false" ht="15" hidden="false" customHeight="false" outlineLevel="0" collapsed="false">
      <c r="B95" s="102" t="str">
        <f aca="false">IF(الموظفون!$B95="","",الموظفون!$B95)</f>
        <v/>
      </c>
      <c r="C95" s="102" t="str">
        <f aca="false">IF(الموظفون!$B95="","",الموظفون!$C95)</f>
        <v/>
      </c>
      <c r="D95" s="102" t="str">
        <f aca="false">IF(الموظفون!$B95="","",الموظفون!$F95)</f>
        <v/>
      </c>
      <c r="E95" s="102" t="str">
        <f aca="false">IF(الموظفون!$B95="","",الموظفون!$E95)</f>
        <v/>
      </c>
      <c r="F95" s="101" t="str">
        <f aca="false">IF($B95="","",'مسير يناير'!T95)</f>
        <v/>
      </c>
      <c r="G95" s="101" t="str">
        <f aca="false">IF($B95="","",'مسير فبراير'!T95)</f>
        <v/>
      </c>
      <c r="H95" s="101" t="str">
        <f aca="false">IF($B95="","",'مسير مارس'!T95)</f>
        <v/>
      </c>
      <c r="I95" s="101" t="str">
        <f aca="false">IF($B95="","",'مسير أبريل'!T95)</f>
        <v/>
      </c>
      <c r="J95" s="101" t="str">
        <f aca="false">IF($B95="","",'مسير مايو'!T95)</f>
        <v/>
      </c>
      <c r="K95" s="101" t="str">
        <f aca="false">IF($B95="","",'مسير يونيو'!T95)</f>
        <v/>
      </c>
      <c r="L95" s="101" t="str">
        <f aca="false">IF($B95="","",'مسير يوليو'!T95)</f>
        <v/>
      </c>
      <c r="M95" s="101" t="str">
        <f aca="false">IF($B95="","",'مسير أغسطس'!T95)</f>
        <v/>
      </c>
      <c r="N95" s="101" t="str">
        <f aca="false">IF($B95="","",'مسير سبتمبر'!T95)</f>
        <v/>
      </c>
      <c r="O95" s="101" t="str">
        <f aca="false">IF($B95="","",'مسير أكتوبر'!T95)</f>
        <v/>
      </c>
      <c r="P95" s="101" t="str">
        <f aca="false">IF($B95="","",'مسير نوفمبر'!T95)</f>
        <v/>
      </c>
      <c r="Q95" s="101" t="str">
        <f aca="false">IF($B95="","",'مسير ديسمبر'!T95)</f>
        <v/>
      </c>
      <c r="R95" s="144" t="str">
        <f aca="false">IF($B95="","",IF(1&lt;=cfg_VAL_M,'مسير يناير'!T95,0)+IF(2&lt;=cfg_VAL_M,'مسير فبراير'!T95,0)+IF(3&lt;=cfg_VAL_M,'مسير مارس'!T95,0)+IF(4&lt;=cfg_VAL_M,'مسير أبريل'!T95,0)+IF(5&lt;=cfg_VAL_M,'مسير مايو'!T95,0)+IF(6&lt;=cfg_VAL_M,'مسير يونيو'!T95,0)+IF(7&lt;=cfg_VAL_M,'مسير يوليو'!T95,0)+IF(8&lt;=cfg_VAL_M,'مسير أغسطس'!T95,0)+IF(9&lt;=cfg_VAL_M,'مسير سبتمبر'!T95,0)+IF(10&lt;=cfg_VAL_M,'مسير أكتوبر'!T95,0)+IF(11&lt;=cfg_VAL_M,'مسير نوفمبر'!T95,0)+IF(12&lt;=cfg_VAL_M,'مسير ديسمبر'!T95,0))</f>
        <v/>
      </c>
      <c r="T95" s="101" t="str">
        <f aca="false">IF($B95="","",'مسير يناير'!AG95)</f>
        <v/>
      </c>
      <c r="U95" s="101" t="str">
        <f aca="false">IF($B95="","",'مسير فبراير'!AG95)</f>
        <v/>
      </c>
      <c r="V95" s="101" t="str">
        <f aca="false">IF($B95="","",'مسير مارس'!AG95)</f>
        <v/>
      </c>
      <c r="W95" s="101" t="str">
        <f aca="false">IF($B95="","",'مسير أبريل'!AG95)</f>
        <v/>
      </c>
      <c r="X95" s="101" t="str">
        <f aca="false">IF($B95="","",'مسير مايو'!AG95)</f>
        <v/>
      </c>
      <c r="Y95" s="101" t="str">
        <f aca="false">IF($B95="","",'مسير يونيو'!AG95)</f>
        <v/>
      </c>
      <c r="Z95" s="101" t="str">
        <f aca="false">IF($B95="","",'مسير يوليو'!AG95)</f>
        <v/>
      </c>
      <c r="AA95" s="101" t="str">
        <f aca="false">IF($B95="","",'مسير أغسطس'!AG95)</f>
        <v/>
      </c>
      <c r="AB95" s="101" t="str">
        <f aca="false">IF($B95="","",'مسير سبتمبر'!AG95)</f>
        <v/>
      </c>
      <c r="AC95" s="101" t="str">
        <f aca="false">IF($B95="","",'مسير أكتوبر'!AG95)</f>
        <v/>
      </c>
      <c r="AD95" s="101" t="str">
        <f aca="false">IF($B95="","",'مسير نوفمبر'!AG95)</f>
        <v/>
      </c>
      <c r="AE95" s="101" t="str">
        <f aca="false">IF($B95="","",'مسير ديسمبر'!AG95)</f>
        <v/>
      </c>
      <c r="AF95" s="144" t="str">
        <f aca="false">IF($B95="","",IF(1&lt;=cfg_VAL_M,'مسير يناير'!AG95,0)+IF(2&lt;=cfg_VAL_M,'مسير فبراير'!AG95,0)+IF(3&lt;=cfg_VAL_M,'مسير مارس'!AG95,0)+IF(4&lt;=cfg_VAL_M,'مسير أبريل'!AG95,0)+IF(5&lt;=cfg_VAL_M,'مسير مايو'!AG95,0)+IF(6&lt;=cfg_VAL_M,'مسير يونيو'!AG95,0)+IF(7&lt;=cfg_VAL_M,'مسير يوليو'!AG95,0)+IF(8&lt;=cfg_VAL_M,'مسير أغسطس'!AG95,0)+IF(9&lt;=cfg_VAL_M,'مسير سبتمبر'!AG95,0)+IF(10&lt;=cfg_VAL_M,'مسير أكتوبر'!AG95,0)+IF(11&lt;=cfg_VAL_M,'مسير نوفمبر'!AG95,0)+IF(12&lt;=cfg_VAL_M,'مسير ديسمبر'!AG95,0))</f>
        <v/>
      </c>
      <c r="AG95" s="144" t="str">
        <f aca="false">IF($B95="","",IF(1&lt;=cfg_VAL_M,'مسير يناير'!Y95,0)+IF(2&lt;=cfg_VAL_M,'مسير فبراير'!Y95,0)+IF(3&lt;=cfg_VAL_M,'مسير مارس'!Y95,0)+IF(4&lt;=cfg_VAL_M,'مسير أبريل'!Y95,0)+IF(5&lt;=cfg_VAL_M,'مسير مايو'!Y95,0)+IF(6&lt;=cfg_VAL_M,'مسير يونيو'!Y95,0)+IF(7&lt;=cfg_VAL_M,'مسير يوليو'!Y95,0)+IF(8&lt;=cfg_VAL_M,'مسير أغسطس'!Y95,0)+IF(9&lt;=cfg_VAL_M,'مسير سبتمبر'!Y95,0)+IF(10&lt;=cfg_VAL_M,'مسير أكتوبر'!Y95,0)+IF(11&lt;=cfg_VAL_M,'مسير نوفمبر'!Y95,0)+IF(12&lt;=cfg_VAL_M,'مسير ديسمبر'!Y95,0))</f>
        <v/>
      </c>
      <c r="AH95" s="101" t="str">
        <f aca="false">IF($B95="","",AF95/cfg_VAL_M)</f>
        <v/>
      </c>
    </row>
    <row r="96" customFormat="false" ht="15" hidden="false" customHeight="false" outlineLevel="0" collapsed="false">
      <c r="B96" s="80" t="str">
        <f aca="false">IF(الموظفون!$B96="","",الموظفون!$B96)</f>
        <v/>
      </c>
      <c r="C96" s="80" t="str">
        <f aca="false">IF(الموظفون!$B96="","",الموظفون!$C96)</f>
        <v/>
      </c>
      <c r="D96" s="80" t="str">
        <f aca="false">IF(الموظفون!$B96="","",الموظفون!$F96)</f>
        <v/>
      </c>
      <c r="E96" s="80" t="str">
        <f aca="false">IF(الموظفون!$B96="","",الموظفون!$E96)</f>
        <v/>
      </c>
      <c r="F96" s="97" t="str">
        <f aca="false">IF($B96="","",'مسير يناير'!T96)</f>
        <v/>
      </c>
      <c r="G96" s="97" t="str">
        <f aca="false">IF($B96="","",'مسير فبراير'!T96)</f>
        <v/>
      </c>
      <c r="H96" s="97" t="str">
        <f aca="false">IF($B96="","",'مسير مارس'!T96)</f>
        <v/>
      </c>
      <c r="I96" s="97" t="str">
        <f aca="false">IF($B96="","",'مسير أبريل'!T96)</f>
        <v/>
      </c>
      <c r="J96" s="97" t="str">
        <f aca="false">IF($B96="","",'مسير مايو'!T96)</f>
        <v/>
      </c>
      <c r="K96" s="97" t="str">
        <f aca="false">IF($B96="","",'مسير يونيو'!T96)</f>
        <v/>
      </c>
      <c r="L96" s="97" t="str">
        <f aca="false">IF($B96="","",'مسير يوليو'!T96)</f>
        <v/>
      </c>
      <c r="M96" s="97" t="str">
        <f aca="false">IF($B96="","",'مسير أغسطس'!T96)</f>
        <v/>
      </c>
      <c r="N96" s="97" t="str">
        <f aca="false">IF($B96="","",'مسير سبتمبر'!T96)</f>
        <v/>
      </c>
      <c r="O96" s="97" t="str">
        <f aca="false">IF($B96="","",'مسير أكتوبر'!T96)</f>
        <v/>
      </c>
      <c r="P96" s="97" t="str">
        <f aca="false">IF($B96="","",'مسير نوفمبر'!T96)</f>
        <v/>
      </c>
      <c r="Q96" s="97" t="str">
        <f aca="false">IF($B96="","",'مسير ديسمبر'!T96)</f>
        <v/>
      </c>
      <c r="R96" s="143" t="str">
        <f aca="false">IF($B96="","",IF(1&lt;=cfg_VAL_M,'مسير يناير'!T96,0)+IF(2&lt;=cfg_VAL_M,'مسير فبراير'!T96,0)+IF(3&lt;=cfg_VAL_M,'مسير مارس'!T96,0)+IF(4&lt;=cfg_VAL_M,'مسير أبريل'!T96,0)+IF(5&lt;=cfg_VAL_M,'مسير مايو'!T96,0)+IF(6&lt;=cfg_VAL_M,'مسير يونيو'!T96,0)+IF(7&lt;=cfg_VAL_M,'مسير يوليو'!T96,0)+IF(8&lt;=cfg_VAL_M,'مسير أغسطس'!T96,0)+IF(9&lt;=cfg_VAL_M,'مسير سبتمبر'!T96,0)+IF(10&lt;=cfg_VAL_M,'مسير أكتوبر'!T96,0)+IF(11&lt;=cfg_VAL_M,'مسير نوفمبر'!T96,0)+IF(12&lt;=cfg_VAL_M,'مسير ديسمبر'!T96,0))</f>
        <v/>
      </c>
      <c r="T96" s="97" t="str">
        <f aca="false">IF($B96="","",'مسير يناير'!AG96)</f>
        <v/>
      </c>
      <c r="U96" s="97" t="str">
        <f aca="false">IF($B96="","",'مسير فبراير'!AG96)</f>
        <v/>
      </c>
      <c r="V96" s="97" t="str">
        <f aca="false">IF($B96="","",'مسير مارس'!AG96)</f>
        <v/>
      </c>
      <c r="W96" s="97" t="str">
        <f aca="false">IF($B96="","",'مسير أبريل'!AG96)</f>
        <v/>
      </c>
      <c r="X96" s="97" t="str">
        <f aca="false">IF($B96="","",'مسير مايو'!AG96)</f>
        <v/>
      </c>
      <c r="Y96" s="97" t="str">
        <f aca="false">IF($B96="","",'مسير يونيو'!AG96)</f>
        <v/>
      </c>
      <c r="Z96" s="97" t="str">
        <f aca="false">IF($B96="","",'مسير يوليو'!AG96)</f>
        <v/>
      </c>
      <c r="AA96" s="97" t="str">
        <f aca="false">IF($B96="","",'مسير أغسطس'!AG96)</f>
        <v/>
      </c>
      <c r="AB96" s="97" t="str">
        <f aca="false">IF($B96="","",'مسير سبتمبر'!AG96)</f>
        <v/>
      </c>
      <c r="AC96" s="97" t="str">
        <f aca="false">IF($B96="","",'مسير أكتوبر'!AG96)</f>
        <v/>
      </c>
      <c r="AD96" s="97" t="str">
        <f aca="false">IF($B96="","",'مسير نوفمبر'!AG96)</f>
        <v/>
      </c>
      <c r="AE96" s="97" t="str">
        <f aca="false">IF($B96="","",'مسير ديسمبر'!AG96)</f>
        <v/>
      </c>
      <c r="AF96" s="143" t="str">
        <f aca="false">IF($B96="","",IF(1&lt;=cfg_VAL_M,'مسير يناير'!AG96,0)+IF(2&lt;=cfg_VAL_M,'مسير فبراير'!AG96,0)+IF(3&lt;=cfg_VAL_M,'مسير مارس'!AG96,0)+IF(4&lt;=cfg_VAL_M,'مسير أبريل'!AG96,0)+IF(5&lt;=cfg_VAL_M,'مسير مايو'!AG96,0)+IF(6&lt;=cfg_VAL_M,'مسير يونيو'!AG96,0)+IF(7&lt;=cfg_VAL_M,'مسير يوليو'!AG96,0)+IF(8&lt;=cfg_VAL_M,'مسير أغسطس'!AG96,0)+IF(9&lt;=cfg_VAL_M,'مسير سبتمبر'!AG96,0)+IF(10&lt;=cfg_VAL_M,'مسير أكتوبر'!AG96,0)+IF(11&lt;=cfg_VAL_M,'مسير نوفمبر'!AG96,0)+IF(12&lt;=cfg_VAL_M,'مسير ديسمبر'!AG96,0))</f>
        <v/>
      </c>
      <c r="AG96" s="143" t="str">
        <f aca="false">IF($B96="","",IF(1&lt;=cfg_VAL_M,'مسير يناير'!Y96,0)+IF(2&lt;=cfg_VAL_M,'مسير فبراير'!Y96,0)+IF(3&lt;=cfg_VAL_M,'مسير مارس'!Y96,0)+IF(4&lt;=cfg_VAL_M,'مسير أبريل'!Y96,0)+IF(5&lt;=cfg_VAL_M,'مسير مايو'!Y96,0)+IF(6&lt;=cfg_VAL_M,'مسير يونيو'!Y96,0)+IF(7&lt;=cfg_VAL_M,'مسير يوليو'!Y96,0)+IF(8&lt;=cfg_VAL_M,'مسير أغسطس'!Y96,0)+IF(9&lt;=cfg_VAL_M,'مسير سبتمبر'!Y96,0)+IF(10&lt;=cfg_VAL_M,'مسير أكتوبر'!Y96,0)+IF(11&lt;=cfg_VAL_M,'مسير نوفمبر'!Y96,0)+IF(12&lt;=cfg_VAL_M,'مسير ديسمبر'!Y96,0))</f>
        <v/>
      </c>
      <c r="AH96" s="97" t="str">
        <f aca="false">IF($B96="","",AF96/cfg_VAL_M)</f>
        <v/>
      </c>
    </row>
    <row r="97" customFormat="false" ht="15" hidden="false" customHeight="false" outlineLevel="0" collapsed="false">
      <c r="B97" s="102" t="str">
        <f aca="false">IF(الموظفون!$B97="","",الموظفون!$B97)</f>
        <v/>
      </c>
      <c r="C97" s="102" t="str">
        <f aca="false">IF(الموظفون!$B97="","",الموظفون!$C97)</f>
        <v/>
      </c>
      <c r="D97" s="102" t="str">
        <f aca="false">IF(الموظفون!$B97="","",الموظفون!$F97)</f>
        <v/>
      </c>
      <c r="E97" s="102" t="str">
        <f aca="false">IF(الموظفون!$B97="","",الموظفون!$E97)</f>
        <v/>
      </c>
      <c r="F97" s="101" t="str">
        <f aca="false">IF($B97="","",'مسير يناير'!T97)</f>
        <v/>
      </c>
      <c r="G97" s="101" t="str">
        <f aca="false">IF($B97="","",'مسير فبراير'!T97)</f>
        <v/>
      </c>
      <c r="H97" s="101" t="str">
        <f aca="false">IF($B97="","",'مسير مارس'!T97)</f>
        <v/>
      </c>
      <c r="I97" s="101" t="str">
        <f aca="false">IF($B97="","",'مسير أبريل'!T97)</f>
        <v/>
      </c>
      <c r="J97" s="101" t="str">
        <f aca="false">IF($B97="","",'مسير مايو'!T97)</f>
        <v/>
      </c>
      <c r="K97" s="101" t="str">
        <f aca="false">IF($B97="","",'مسير يونيو'!T97)</f>
        <v/>
      </c>
      <c r="L97" s="101" t="str">
        <f aca="false">IF($B97="","",'مسير يوليو'!T97)</f>
        <v/>
      </c>
      <c r="M97" s="101" t="str">
        <f aca="false">IF($B97="","",'مسير أغسطس'!T97)</f>
        <v/>
      </c>
      <c r="N97" s="101" t="str">
        <f aca="false">IF($B97="","",'مسير سبتمبر'!T97)</f>
        <v/>
      </c>
      <c r="O97" s="101" t="str">
        <f aca="false">IF($B97="","",'مسير أكتوبر'!T97)</f>
        <v/>
      </c>
      <c r="P97" s="101" t="str">
        <f aca="false">IF($B97="","",'مسير نوفمبر'!T97)</f>
        <v/>
      </c>
      <c r="Q97" s="101" t="str">
        <f aca="false">IF($B97="","",'مسير ديسمبر'!T97)</f>
        <v/>
      </c>
      <c r="R97" s="144" t="str">
        <f aca="false">IF($B97="","",IF(1&lt;=cfg_VAL_M,'مسير يناير'!T97,0)+IF(2&lt;=cfg_VAL_M,'مسير فبراير'!T97,0)+IF(3&lt;=cfg_VAL_M,'مسير مارس'!T97,0)+IF(4&lt;=cfg_VAL_M,'مسير أبريل'!T97,0)+IF(5&lt;=cfg_VAL_M,'مسير مايو'!T97,0)+IF(6&lt;=cfg_VAL_M,'مسير يونيو'!T97,0)+IF(7&lt;=cfg_VAL_M,'مسير يوليو'!T97,0)+IF(8&lt;=cfg_VAL_M,'مسير أغسطس'!T97,0)+IF(9&lt;=cfg_VAL_M,'مسير سبتمبر'!T97,0)+IF(10&lt;=cfg_VAL_M,'مسير أكتوبر'!T97,0)+IF(11&lt;=cfg_VAL_M,'مسير نوفمبر'!T97,0)+IF(12&lt;=cfg_VAL_M,'مسير ديسمبر'!T97,0))</f>
        <v/>
      </c>
      <c r="T97" s="101" t="str">
        <f aca="false">IF($B97="","",'مسير يناير'!AG97)</f>
        <v/>
      </c>
      <c r="U97" s="101" t="str">
        <f aca="false">IF($B97="","",'مسير فبراير'!AG97)</f>
        <v/>
      </c>
      <c r="V97" s="101" t="str">
        <f aca="false">IF($B97="","",'مسير مارس'!AG97)</f>
        <v/>
      </c>
      <c r="W97" s="101" t="str">
        <f aca="false">IF($B97="","",'مسير أبريل'!AG97)</f>
        <v/>
      </c>
      <c r="X97" s="101" t="str">
        <f aca="false">IF($B97="","",'مسير مايو'!AG97)</f>
        <v/>
      </c>
      <c r="Y97" s="101" t="str">
        <f aca="false">IF($B97="","",'مسير يونيو'!AG97)</f>
        <v/>
      </c>
      <c r="Z97" s="101" t="str">
        <f aca="false">IF($B97="","",'مسير يوليو'!AG97)</f>
        <v/>
      </c>
      <c r="AA97" s="101" t="str">
        <f aca="false">IF($B97="","",'مسير أغسطس'!AG97)</f>
        <v/>
      </c>
      <c r="AB97" s="101" t="str">
        <f aca="false">IF($B97="","",'مسير سبتمبر'!AG97)</f>
        <v/>
      </c>
      <c r="AC97" s="101" t="str">
        <f aca="false">IF($B97="","",'مسير أكتوبر'!AG97)</f>
        <v/>
      </c>
      <c r="AD97" s="101" t="str">
        <f aca="false">IF($B97="","",'مسير نوفمبر'!AG97)</f>
        <v/>
      </c>
      <c r="AE97" s="101" t="str">
        <f aca="false">IF($B97="","",'مسير ديسمبر'!AG97)</f>
        <v/>
      </c>
      <c r="AF97" s="144" t="str">
        <f aca="false">IF($B97="","",IF(1&lt;=cfg_VAL_M,'مسير يناير'!AG97,0)+IF(2&lt;=cfg_VAL_M,'مسير فبراير'!AG97,0)+IF(3&lt;=cfg_VAL_M,'مسير مارس'!AG97,0)+IF(4&lt;=cfg_VAL_M,'مسير أبريل'!AG97,0)+IF(5&lt;=cfg_VAL_M,'مسير مايو'!AG97,0)+IF(6&lt;=cfg_VAL_M,'مسير يونيو'!AG97,0)+IF(7&lt;=cfg_VAL_M,'مسير يوليو'!AG97,0)+IF(8&lt;=cfg_VAL_M,'مسير أغسطس'!AG97,0)+IF(9&lt;=cfg_VAL_M,'مسير سبتمبر'!AG97,0)+IF(10&lt;=cfg_VAL_M,'مسير أكتوبر'!AG97,0)+IF(11&lt;=cfg_VAL_M,'مسير نوفمبر'!AG97,0)+IF(12&lt;=cfg_VAL_M,'مسير ديسمبر'!AG97,0))</f>
        <v/>
      </c>
      <c r="AG97" s="144" t="str">
        <f aca="false">IF($B97="","",IF(1&lt;=cfg_VAL_M,'مسير يناير'!Y97,0)+IF(2&lt;=cfg_VAL_M,'مسير فبراير'!Y97,0)+IF(3&lt;=cfg_VAL_M,'مسير مارس'!Y97,0)+IF(4&lt;=cfg_VAL_M,'مسير أبريل'!Y97,0)+IF(5&lt;=cfg_VAL_M,'مسير مايو'!Y97,0)+IF(6&lt;=cfg_VAL_M,'مسير يونيو'!Y97,0)+IF(7&lt;=cfg_VAL_M,'مسير يوليو'!Y97,0)+IF(8&lt;=cfg_VAL_M,'مسير أغسطس'!Y97,0)+IF(9&lt;=cfg_VAL_M,'مسير سبتمبر'!Y97,0)+IF(10&lt;=cfg_VAL_M,'مسير أكتوبر'!Y97,0)+IF(11&lt;=cfg_VAL_M,'مسير نوفمبر'!Y97,0)+IF(12&lt;=cfg_VAL_M,'مسير ديسمبر'!Y97,0))</f>
        <v/>
      </c>
      <c r="AH97" s="101" t="str">
        <f aca="false">IF($B97="","",AF97/cfg_VAL_M)</f>
        <v/>
      </c>
    </row>
    <row r="98" customFormat="false" ht="15" hidden="false" customHeight="false" outlineLevel="0" collapsed="false">
      <c r="B98" s="80" t="str">
        <f aca="false">IF(الموظفون!$B98="","",الموظفون!$B98)</f>
        <v/>
      </c>
      <c r="C98" s="80" t="str">
        <f aca="false">IF(الموظفون!$B98="","",الموظفون!$C98)</f>
        <v/>
      </c>
      <c r="D98" s="80" t="str">
        <f aca="false">IF(الموظفون!$B98="","",الموظفون!$F98)</f>
        <v/>
      </c>
      <c r="E98" s="80" t="str">
        <f aca="false">IF(الموظفون!$B98="","",الموظفون!$E98)</f>
        <v/>
      </c>
      <c r="F98" s="97" t="str">
        <f aca="false">IF($B98="","",'مسير يناير'!T98)</f>
        <v/>
      </c>
      <c r="G98" s="97" t="str">
        <f aca="false">IF($B98="","",'مسير فبراير'!T98)</f>
        <v/>
      </c>
      <c r="H98" s="97" t="str">
        <f aca="false">IF($B98="","",'مسير مارس'!T98)</f>
        <v/>
      </c>
      <c r="I98" s="97" t="str">
        <f aca="false">IF($B98="","",'مسير أبريل'!T98)</f>
        <v/>
      </c>
      <c r="J98" s="97" t="str">
        <f aca="false">IF($B98="","",'مسير مايو'!T98)</f>
        <v/>
      </c>
      <c r="K98" s="97" t="str">
        <f aca="false">IF($B98="","",'مسير يونيو'!T98)</f>
        <v/>
      </c>
      <c r="L98" s="97" t="str">
        <f aca="false">IF($B98="","",'مسير يوليو'!T98)</f>
        <v/>
      </c>
      <c r="M98" s="97" t="str">
        <f aca="false">IF($B98="","",'مسير أغسطس'!T98)</f>
        <v/>
      </c>
      <c r="N98" s="97" t="str">
        <f aca="false">IF($B98="","",'مسير سبتمبر'!T98)</f>
        <v/>
      </c>
      <c r="O98" s="97" t="str">
        <f aca="false">IF($B98="","",'مسير أكتوبر'!T98)</f>
        <v/>
      </c>
      <c r="P98" s="97" t="str">
        <f aca="false">IF($B98="","",'مسير نوفمبر'!T98)</f>
        <v/>
      </c>
      <c r="Q98" s="97" t="str">
        <f aca="false">IF($B98="","",'مسير ديسمبر'!T98)</f>
        <v/>
      </c>
      <c r="R98" s="143" t="str">
        <f aca="false">IF($B98="","",IF(1&lt;=cfg_VAL_M,'مسير يناير'!T98,0)+IF(2&lt;=cfg_VAL_M,'مسير فبراير'!T98,0)+IF(3&lt;=cfg_VAL_M,'مسير مارس'!T98,0)+IF(4&lt;=cfg_VAL_M,'مسير أبريل'!T98,0)+IF(5&lt;=cfg_VAL_M,'مسير مايو'!T98,0)+IF(6&lt;=cfg_VAL_M,'مسير يونيو'!T98,0)+IF(7&lt;=cfg_VAL_M,'مسير يوليو'!T98,0)+IF(8&lt;=cfg_VAL_M,'مسير أغسطس'!T98,0)+IF(9&lt;=cfg_VAL_M,'مسير سبتمبر'!T98,0)+IF(10&lt;=cfg_VAL_M,'مسير أكتوبر'!T98,0)+IF(11&lt;=cfg_VAL_M,'مسير نوفمبر'!T98,0)+IF(12&lt;=cfg_VAL_M,'مسير ديسمبر'!T98,0))</f>
        <v/>
      </c>
      <c r="T98" s="97" t="str">
        <f aca="false">IF($B98="","",'مسير يناير'!AG98)</f>
        <v/>
      </c>
      <c r="U98" s="97" t="str">
        <f aca="false">IF($B98="","",'مسير فبراير'!AG98)</f>
        <v/>
      </c>
      <c r="V98" s="97" t="str">
        <f aca="false">IF($B98="","",'مسير مارس'!AG98)</f>
        <v/>
      </c>
      <c r="W98" s="97" t="str">
        <f aca="false">IF($B98="","",'مسير أبريل'!AG98)</f>
        <v/>
      </c>
      <c r="X98" s="97" t="str">
        <f aca="false">IF($B98="","",'مسير مايو'!AG98)</f>
        <v/>
      </c>
      <c r="Y98" s="97" t="str">
        <f aca="false">IF($B98="","",'مسير يونيو'!AG98)</f>
        <v/>
      </c>
      <c r="Z98" s="97" t="str">
        <f aca="false">IF($B98="","",'مسير يوليو'!AG98)</f>
        <v/>
      </c>
      <c r="AA98" s="97" t="str">
        <f aca="false">IF($B98="","",'مسير أغسطس'!AG98)</f>
        <v/>
      </c>
      <c r="AB98" s="97" t="str">
        <f aca="false">IF($B98="","",'مسير سبتمبر'!AG98)</f>
        <v/>
      </c>
      <c r="AC98" s="97" t="str">
        <f aca="false">IF($B98="","",'مسير أكتوبر'!AG98)</f>
        <v/>
      </c>
      <c r="AD98" s="97" t="str">
        <f aca="false">IF($B98="","",'مسير نوفمبر'!AG98)</f>
        <v/>
      </c>
      <c r="AE98" s="97" t="str">
        <f aca="false">IF($B98="","",'مسير ديسمبر'!AG98)</f>
        <v/>
      </c>
      <c r="AF98" s="143" t="str">
        <f aca="false">IF($B98="","",IF(1&lt;=cfg_VAL_M,'مسير يناير'!AG98,0)+IF(2&lt;=cfg_VAL_M,'مسير فبراير'!AG98,0)+IF(3&lt;=cfg_VAL_M,'مسير مارس'!AG98,0)+IF(4&lt;=cfg_VAL_M,'مسير أبريل'!AG98,0)+IF(5&lt;=cfg_VAL_M,'مسير مايو'!AG98,0)+IF(6&lt;=cfg_VAL_M,'مسير يونيو'!AG98,0)+IF(7&lt;=cfg_VAL_M,'مسير يوليو'!AG98,0)+IF(8&lt;=cfg_VAL_M,'مسير أغسطس'!AG98,0)+IF(9&lt;=cfg_VAL_M,'مسير سبتمبر'!AG98,0)+IF(10&lt;=cfg_VAL_M,'مسير أكتوبر'!AG98,0)+IF(11&lt;=cfg_VAL_M,'مسير نوفمبر'!AG98,0)+IF(12&lt;=cfg_VAL_M,'مسير ديسمبر'!AG98,0))</f>
        <v/>
      </c>
      <c r="AG98" s="143" t="str">
        <f aca="false">IF($B98="","",IF(1&lt;=cfg_VAL_M,'مسير يناير'!Y98,0)+IF(2&lt;=cfg_VAL_M,'مسير فبراير'!Y98,0)+IF(3&lt;=cfg_VAL_M,'مسير مارس'!Y98,0)+IF(4&lt;=cfg_VAL_M,'مسير أبريل'!Y98,0)+IF(5&lt;=cfg_VAL_M,'مسير مايو'!Y98,0)+IF(6&lt;=cfg_VAL_M,'مسير يونيو'!Y98,0)+IF(7&lt;=cfg_VAL_M,'مسير يوليو'!Y98,0)+IF(8&lt;=cfg_VAL_M,'مسير أغسطس'!Y98,0)+IF(9&lt;=cfg_VAL_M,'مسير سبتمبر'!Y98,0)+IF(10&lt;=cfg_VAL_M,'مسير أكتوبر'!Y98,0)+IF(11&lt;=cfg_VAL_M,'مسير نوفمبر'!Y98,0)+IF(12&lt;=cfg_VAL_M,'مسير ديسمبر'!Y98,0))</f>
        <v/>
      </c>
      <c r="AH98" s="97" t="str">
        <f aca="false">IF($B98="","",AF98/cfg_VAL_M)</f>
        <v/>
      </c>
    </row>
    <row r="99" customFormat="false" ht="15" hidden="false" customHeight="false" outlineLevel="0" collapsed="false">
      <c r="B99" s="102" t="str">
        <f aca="false">IF(الموظفون!$B99="","",الموظفون!$B99)</f>
        <v/>
      </c>
      <c r="C99" s="102" t="str">
        <f aca="false">IF(الموظفون!$B99="","",الموظفون!$C99)</f>
        <v/>
      </c>
      <c r="D99" s="102" t="str">
        <f aca="false">IF(الموظفون!$B99="","",الموظفون!$F99)</f>
        <v/>
      </c>
      <c r="E99" s="102" t="str">
        <f aca="false">IF(الموظفون!$B99="","",الموظفون!$E99)</f>
        <v/>
      </c>
      <c r="F99" s="101" t="str">
        <f aca="false">IF($B99="","",'مسير يناير'!T99)</f>
        <v/>
      </c>
      <c r="G99" s="101" t="str">
        <f aca="false">IF($B99="","",'مسير فبراير'!T99)</f>
        <v/>
      </c>
      <c r="H99" s="101" t="str">
        <f aca="false">IF($B99="","",'مسير مارس'!T99)</f>
        <v/>
      </c>
      <c r="I99" s="101" t="str">
        <f aca="false">IF($B99="","",'مسير أبريل'!T99)</f>
        <v/>
      </c>
      <c r="J99" s="101" t="str">
        <f aca="false">IF($B99="","",'مسير مايو'!T99)</f>
        <v/>
      </c>
      <c r="K99" s="101" t="str">
        <f aca="false">IF($B99="","",'مسير يونيو'!T99)</f>
        <v/>
      </c>
      <c r="L99" s="101" t="str">
        <f aca="false">IF($B99="","",'مسير يوليو'!T99)</f>
        <v/>
      </c>
      <c r="M99" s="101" t="str">
        <f aca="false">IF($B99="","",'مسير أغسطس'!T99)</f>
        <v/>
      </c>
      <c r="N99" s="101" t="str">
        <f aca="false">IF($B99="","",'مسير سبتمبر'!T99)</f>
        <v/>
      </c>
      <c r="O99" s="101" t="str">
        <f aca="false">IF($B99="","",'مسير أكتوبر'!T99)</f>
        <v/>
      </c>
      <c r="P99" s="101" t="str">
        <f aca="false">IF($B99="","",'مسير نوفمبر'!T99)</f>
        <v/>
      </c>
      <c r="Q99" s="101" t="str">
        <f aca="false">IF($B99="","",'مسير ديسمبر'!T99)</f>
        <v/>
      </c>
      <c r="R99" s="144" t="str">
        <f aca="false">IF($B99="","",IF(1&lt;=cfg_VAL_M,'مسير يناير'!T99,0)+IF(2&lt;=cfg_VAL_M,'مسير فبراير'!T99,0)+IF(3&lt;=cfg_VAL_M,'مسير مارس'!T99,0)+IF(4&lt;=cfg_VAL_M,'مسير أبريل'!T99,0)+IF(5&lt;=cfg_VAL_M,'مسير مايو'!T99,0)+IF(6&lt;=cfg_VAL_M,'مسير يونيو'!T99,0)+IF(7&lt;=cfg_VAL_M,'مسير يوليو'!T99,0)+IF(8&lt;=cfg_VAL_M,'مسير أغسطس'!T99,0)+IF(9&lt;=cfg_VAL_M,'مسير سبتمبر'!T99,0)+IF(10&lt;=cfg_VAL_M,'مسير أكتوبر'!T99,0)+IF(11&lt;=cfg_VAL_M,'مسير نوفمبر'!T99,0)+IF(12&lt;=cfg_VAL_M,'مسير ديسمبر'!T99,0))</f>
        <v/>
      </c>
      <c r="T99" s="101" t="str">
        <f aca="false">IF($B99="","",'مسير يناير'!AG99)</f>
        <v/>
      </c>
      <c r="U99" s="101" t="str">
        <f aca="false">IF($B99="","",'مسير فبراير'!AG99)</f>
        <v/>
      </c>
      <c r="V99" s="101" t="str">
        <f aca="false">IF($B99="","",'مسير مارس'!AG99)</f>
        <v/>
      </c>
      <c r="W99" s="101" t="str">
        <f aca="false">IF($B99="","",'مسير أبريل'!AG99)</f>
        <v/>
      </c>
      <c r="X99" s="101" t="str">
        <f aca="false">IF($B99="","",'مسير مايو'!AG99)</f>
        <v/>
      </c>
      <c r="Y99" s="101" t="str">
        <f aca="false">IF($B99="","",'مسير يونيو'!AG99)</f>
        <v/>
      </c>
      <c r="Z99" s="101" t="str">
        <f aca="false">IF($B99="","",'مسير يوليو'!AG99)</f>
        <v/>
      </c>
      <c r="AA99" s="101" t="str">
        <f aca="false">IF($B99="","",'مسير أغسطس'!AG99)</f>
        <v/>
      </c>
      <c r="AB99" s="101" t="str">
        <f aca="false">IF($B99="","",'مسير سبتمبر'!AG99)</f>
        <v/>
      </c>
      <c r="AC99" s="101" t="str">
        <f aca="false">IF($B99="","",'مسير أكتوبر'!AG99)</f>
        <v/>
      </c>
      <c r="AD99" s="101" t="str">
        <f aca="false">IF($B99="","",'مسير نوفمبر'!AG99)</f>
        <v/>
      </c>
      <c r="AE99" s="101" t="str">
        <f aca="false">IF($B99="","",'مسير ديسمبر'!AG99)</f>
        <v/>
      </c>
      <c r="AF99" s="144" t="str">
        <f aca="false">IF($B99="","",IF(1&lt;=cfg_VAL_M,'مسير يناير'!AG99,0)+IF(2&lt;=cfg_VAL_M,'مسير فبراير'!AG99,0)+IF(3&lt;=cfg_VAL_M,'مسير مارس'!AG99,0)+IF(4&lt;=cfg_VAL_M,'مسير أبريل'!AG99,0)+IF(5&lt;=cfg_VAL_M,'مسير مايو'!AG99,0)+IF(6&lt;=cfg_VAL_M,'مسير يونيو'!AG99,0)+IF(7&lt;=cfg_VAL_M,'مسير يوليو'!AG99,0)+IF(8&lt;=cfg_VAL_M,'مسير أغسطس'!AG99,0)+IF(9&lt;=cfg_VAL_M,'مسير سبتمبر'!AG99,0)+IF(10&lt;=cfg_VAL_M,'مسير أكتوبر'!AG99,0)+IF(11&lt;=cfg_VAL_M,'مسير نوفمبر'!AG99,0)+IF(12&lt;=cfg_VAL_M,'مسير ديسمبر'!AG99,0))</f>
        <v/>
      </c>
      <c r="AG99" s="144" t="str">
        <f aca="false">IF($B99="","",IF(1&lt;=cfg_VAL_M,'مسير يناير'!Y99,0)+IF(2&lt;=cfg_VAL_M,'مسير فبراير'!Y99,0)+IF(3&lt;=cfg_VAL_M,'مسير مارس'!Y99,0)+IF(4&lt;=cfg_VAL_M,'مسير أبريل'!Y99,0)+IF(5&lt;=cfg_VAL_M,'مسير مايو'!Y99,0)+IF(6&lt;=cfg_VAL_M,'مسير يونيو'!Y99,0)+IF(7&lt;=cfg_VAL_M,'مسير يوليو'!Y99,0)+IF(8&lt;=cfg_VAL_M,'مسير أغسطس'!Y99,0)+IF(9&lt;=cfg_VAL_M,'مسير سبتمبر'!Y99,0)+IF(10&lt;=cfg_VAL_M,'مسير أكتوبر'!Y99,0)+IF(11&lt;=cfg_VAL_M,'مسير نوفمبر'!Y99,0)+IF(12&lt;=cfg_VAL_M,'مسير ديسمبر'!Y99,0))</f>
        <v/>
      </c>
      <c r="AH99" s="101" t="str">
        <f aca="false">IF($B99="","",AF99/cfg_VAL_M)</f>
        <v/>
      </c>
    </row>
    <row r="100" customFormat="false" ht="15" hidden="false" customHeight="false" outlineLevel="0" collapsed="false">
      <c r="B100" s="80" t="str">
        <f aca="false">IF(الموظفون!$B100="","",الموظفون!$B100)</f>
        <v/>
      </c>
      <c r="C100" s="80" t="str">
        <f aca="false">IF(الموظفون!$B100="","",الموظفون!$C100)</f>
        <v/>
      </c>
      <c r="D100" s="80" t="str">
        <f aca="false">IF(الموظفون!$B100="","",الموظفون!$F100)</f>
        <v/>
      </c>
      <c r="E100" s="80" t="str">
        <f aca="false">IF(الموظفون!$B100="","",الموظفون!$E100)</f>
        <v/>
      </c>
      <c r="F100" s="97" t="str">
        <f aca="false">IF($B100="","",'مسير يناير'!T100)</f>
        <v/>
      </c>
      <c r="G100" s="97" t="str">
        <f aca="false">IF($B100="","",'مسير فبراير'!T100)</f>
        <v/>
      </c>
      <c r="H100" s="97" t="str">
        <f aca="false">IF($B100="","",'مسير مارس'!T100)</f>
        <v/>
      </c>
      <c r="I100" s="97" t="str">
        <f aca="false">IF($B100="","",'مسير أبريل'!T100)</f>
        <v/>
      </c>
      <c r="J100" s="97" t="str">
        <f aca="false">IF($B100="","",'مسير مايو'!T100)</f>
        <v/>
      </c>
      <c r="K100" s="97" t="str">
        <f aca="false">IF($B100="","",'مسير يونيو'!T100)</f>
        <v/>
      </c>
      <c r="L100" s="97" t="str">
        <f aca="false">IF($B100="","",'مسير يوليو'!T100)</f>
        <v/>
      </c>
      <c r="M100" s="97" t="str">
        <f aca="false">IF($B100="","",'مسير أغسطس'!T100)</f>
        <v/>
      </c>
      <c r="N100" s="97" t="str">
        <f aca="false">IF($B100="","",'مسير سبتمبر'!T100)</f>
        <v/>
      </c>
      <c r="O100" s="97" t="str">
        <f aca="false">IF($B100="","",'مسير أكتوبر'!T100)</f>
        <v/>
      </c>
      <c r="P100" s="97" t="str">
        <f aca="false">IF($B100="","",'مسير نوفمبر'!T100)</f>
        <v/>
      </c>
      <c r="Q100" s="97" t="str">
        <f aca="false">IF($B100="","",'مسير ديسمبر'!T100)</f>
        <v/>
      </c>
      <c r="R100" s="143" t="str">
        <f aca="false">IF($B100="","",IF(1&lt;=cfg_VAL_M,'مسير يناير'!T100,0)+IF(2&lt;=cfg_VAL_M,'مسير فبراير'!T100,0)+IF(3&lt;=cfg_VAL_M,'مسير مارس'!T100,0)+IF(4&lt;=cfg_VAL_M,'مسير أبريل'!T100,0)+IF(5&lt;=cfg_VAL_M,'مسير مايو'!T100,0)+IF(6&lt;=cfg_VAL_M,'مسير يونيو'!T100,0)+IF(7&lt;=cfg_VAL_M,'مسير يوليو'!T100,0)+IF(8&lt;=cfg_VAL_M,'مسير أغسطس'!T100,0)+IF(9&lt;=cfg_VAL_M,'مسير سبتمبر'!T100,0)+IF(10&lt;=cfg_VAL_M,'مسير أكتوبر'!T100,0)+IF(11&lt;=cfg_VAL_M,'مسير نوفمبر'!T100,0)+IF(12&lt;=cfg_VAL_M,'مسير ديسمبر'!T100,0))</f>
        <v/>
      </c>
      <c r="T100" s="97" t="str">
        <f aca="false">IF($B100="","",'مسير يناير'!AG100)</f>
        <v/>
      </c>
      <c r="U100" s="97" t="str">
        <f aca="false">IF($B100="","",'مسير فبراير'!AG100)</f>
        <v/>
      </c>
      <c r="V100" s="97" t="str">
        <f aca="false">IF($B100="","",'مسير مارس'!AG100)</f>
        <v/>
      </c>
      <c r="W100" s="97" t="str">
        <f aca="false">IF($B100="","",'مسير أبريل'!AG100)</f>
        <v/>
      </c>
      <c r="X100" s="97" t="str">
        <f aca="false">IF($B100="","",'مسير مايو'!AG100)</f>
        <v/>
      </c>
      <c r="Y100" s="97" t="str">
        <f aca="false">IF($B100="","",'مسير يونيو'!AG100)</f>
        <v/>
      </c>
      <c r="Z100" s="97" t="str">
        <f aca="false">IF($B100="","",'مسير يوليو'!AG100)</f>
        <v/>
      </c>
      <c r="AA100" s="97" t="str">
        <f aca="false">IF($B100="","",'مسير أغسطس'!AG100)</f>
        <v/>
      </c>
      <c r="AB100" s="97" t="str">
        <f aca="false">IF($B100="","",'مسير سبتمبر'!AG100)</f>
        <v/>
      </c>
      <c r="AC100" s="97" t="str">
        <f aca="false">IF($B100="","",'مسير أكتوبر'!AG100)</f>
        <v/>
      </c>
      <c r="AD100" s="97" t="str">
        <f aca="false">IF($B100="","",'مسير نوفمبر'!AG100)</f>
        <v/>
      </c>
      <c r="AE100" s="97" t="str">
        <f aca="false">IF($B100="","",'مسير ديسمبر'!AG100)</f>
        <v/>
      </c>
      <c r="AF100" s="143" t="str">
        <f aca="false">IF($B100="","",IF(1&lt;=cfg_VAL_M,'مسير يناير'!AG100,0)+IF(2&lt;=cfg_VAL_M,'مسير فبراير'!AG100,0)+IF(3&lt;=cfg_VAL_M,'مسير مارس'!AG100,0)+IF(4&lt;=cfg_VAL_M,'مسير أبريل'!AG100,0)+IF(5&lt;=cfg_VAL_M,'مسير مايو'!AG100,0)+IF(6&lt;=cfg_VAL_M,'مسير يونيو'!AG100,0)+IF(7&lt;=cfg_VAL_M,'مسير يوليو'!AG100,0)+IF(8&lt;=cfg_VAL_M,'مسير أغسطس'!AG100,0)+IF(9&lt;=cfg_VAL_M,'مسير سبتمبر'!AG100,0)+IF(10&lt;=cfg_VAL_M,'مسير أكتوبر'!AG100,0)+IF(11&lt;=cfg_VAL_M,'مسير نوفمبر'!AG100,0)+IF(12&lt;=cfg_VAL_M,'مسير ديسمبر'!AG100,0))</f>
        <v/>
      </c>
      <c r="AG100" s="143" t="str">
        <f aca="false">IF($B100="","",IF(1&lt;=cfg_VAL_M,'مسير يناير'!Y100,0)+IF(2&lt;=cfg_VAL_M,'مسير فبراير'!Y100,0)+IF(3&lt;=cfg_VAL_M,'مسير مارس'!Y100,0)+IF(4&lt;=cfg_VAL_M,'مسير أبريل'!Y100,0)+IF(5&lt;=cfg_VAL_M,'مسير مايو'!Y100,0)+IF(6&lt;=cfg_VAL_M,'مسير يونيو'!Y100,0)+IF(7&lt;=cfg_VAL_M,'مسير يوليو'!Y100,0)+IF(8&lt;=cfg_VAL_M,'مسير أغسطس'!Y100,0)+IF(9&lt;=cfg_VAL_M,'مسير سبتمبر'!Y100,0)+IF(10&lt;=cfg_VAL_M,'مسير أكتوبر'!Y100,0)+IF(11&lt;=cfg_VAL_M,'مسير نوفمبر'!Y100,0)+IF(12&lt;=cfg_VAL_M,'مسير ديسمبر'!Y100,0))</f>
        <v/>
      </c>
      <c r="AH100" s="97" t="str">
        <f aca="false">IF($B100="","",AF100/cfg_VAL_M)</f>
        <v/>
      </c>
    </row>
    <row r="101" customFormat="false" ht="15" hidden="false" customHeight="false" outlineLevel="0" collapsed="false">
      <c r="B101" s="102" t="str">
        <f aca="false">IF(الموظفون!$B101="","",الموظفون!$B101)</f>
        <v/>
      </c>
      <c r="C101" s="102" t="str">
        <f aca="false">IF(الموظفون!$B101="","",الموظفون!$C101)</f>
        <v/>
      </c>
      <c r="D101" s="102" t="str">
        <f aca="false">IF(الموظفون!$B101="","",الموظفون!$F101)</f>
        <v/>
      </c>
      <c r="E101" s="102" t="str">
        <f aca="false">IF(الموظفون!$B101="","",الموظفون!$E101)</f>
        <v/>
      </c>
      <c r="F101" s="101" t="str">
        <f aca="false">IF($B101="","",'مسير يناير'!T101)</f>
        <v/>
      </c>
      <c r="G101" s="101" t="str">
        <f aca="false">IF($B101="","",'مسير فبراير'!T101)</f>
        <v/>
      </c>
      <c r="H101" s="101" t="str">
        <f aca="false">IF($B101="","",'مسير مارس'!T101)</f>
        <v/>
      </c>
      <c r="I101" s="101" t="str">
        <f aca="false">IF($B101="","",'مسير أبريل'!T101)</f>
        <v/>
      </c>
      <c r="J101" s="101" t="str">
        <f aca="false">IF($B101="","",'مسير مايو'!T101)</f>
        <v/>
      </c>
      <c r="K101" s="101" t="str">
        <f aca="false">IF($B101="","",'مسير يونيو'!T101)</f>
        <v/>
      </c>
      <c r="L101" s="101" t="str">
        <f aca="false">IF($B101="","",'مسير يوليو'!T101)</f>
        <v/>
      </c>
      <c r="M101" s="101" t="str">
        <f aca="false">IF($B101="","",'مسير أغسطس'!T101)</f>
        <v/>
      </c>
      <c r="N101" s="101" t="str">
        <f aca="false">IF($B101="","",'مسير سبتمبر'!T101)</f>
        <v/>
      </c>
      <c r="O101" s="101" t="str">
        <f aca="false">IF($B101="","",'مسير أكتوبر'!T101)</f>
        <v/>
      </c>
      <c r="P101" s="101" t="str">
        <f aca="false">IF($B101="","",'مسير نوفمبر'!T101)</f>
        <v/>
      </c>
      <c r="Q101" s="101" t="str">
        <f aca="false">IF($B101="","",'مسير ديسمبر'!T101)</f>
        <v/>
      </c>
      <c r="R101" s="144" t="str">
        <f aca="false">IF($B101="","",IF(1&lt;=cfg_VAL_M,'مسير يناير'!T101,0)+IF(2&lt;=cfg_VAL_M,'مسير فبراير'!T101,0)+IF(3&lt;=cfg_VAL_M,'مسير مارس'!T101,0)+IF(4&lt;=cfg_VAL_M,'مسير أبريل'!T101,0)+IF(5&lt;=cfg_VAL_M,'مسير مايو'!T101,0)+IF(6&lt;=cfg_VAL_M,'مسير يونيو'!T101,0)+IF(7&lt;=cfg_VAL_M,'مسير يوليو'!T101,0)+IF(8&lt;=cfg_VAL_M,'مسير أغسطس'!T101,0)+IF(9&lt;=cfg_VAL_M,'مسير سبتمبر'!T101,0)+IF(10&lt;=cfg_VAL_M,'مسير أكتوبر'!T101,0)+IF(11&lt;=cfg_VAL_M,'مسير نوفمبر'!T101,0)+IF(12&lt;=cfg_VAL_M,'مسير ديسمبر'!T101,0))</f>
        <v/>
      </c>
      <c r="T101" s="101" t="str">
        <f aca="false">IF($B101="","",'مسير يناير'!AG101)</f>
        <v/>
      </c>
      <c r="U101" s="101" t="str">
        <f aca="false">IF($B101="","",'مسير فبراير'!AG101)</f>
        <v/>
      </c>
      <c r="V101" s="101" t="str">
        <f aca="false">IF($B101="","",'مسير مارس'!AG101)</f>
        <v/>
      </c>
      <c r="W101" s="101" t="str">
        <f aca="false">IF($B101="","",'مسير أبريل'!AG101)</f>
        <v/>
      </c>
      <c r="X101" s="101" t="str">
        <f aca="false">IF($B101="","",'مسير مايو'!AG101)</f>
        <v/>
      </c>
      <c r="Y101" s="101" t="str">
        <f aca="false">IF($B101="","",'مسير يونيو'!AG101)</f>
        <v/>
      </c>
      <c r="Z101" s="101" t="str">
        <f aca="false">IF($B101="","",'مسير يوليو'!AG101)</f>
        <v/>
      </c>
      <c r="AA101" s="101" t="str">
        <f aca="false">IF($B101="","",'مسير أغسطس'!AG101)</f>
        <v/>
      </c>
      <c r="AB101" s="101" t="str">
        <f aca="false">IF($B101="","",'مسير سبتمبر'!AG101)</f>
        <v/>
      </c>
      <c r="AC101" s="101" t="str">
        <f aca="false">IF($B101="","",'مسير أكتوبر'!AG101)</f>
        <v/>
      </c>
      <c r="AD101" s="101" t="str">
        <f aca="false">IF($B101="","",'مسير نوفمبر'!AG101)</f>
        <v/>
      </c>
      <c r="AE101" s="101" t="str">
        <f aca="false">IF($B101="","",'مسير ديسمبر'!AG101)</f>
        <v/>
      </c>
      <c r="AF101" s="144" t="str">
        <f aca="false">IF($B101="","",IF(1&lt;=cfg_VAL_M,'مسير يناير'!AG101,0)+IF(2&lt;=cfg_VAL_M,'مسير فبراير'!AG101,0)+IF(3&lt;=cfg_VAL_M,'مسير مارس'!AG101,0)+IF(4&lt;=cfg_VAL_M,'مسير أبريل'!AG101,0)+IF(5&lt;=cfg_VAL_M,'مسير مايو'!AG101,0)+IF(6&lt;=cfg_VAL_M,'مسير يونيو'!AG101,0)+IF(7&lt;=cfg_VAL_M,'مسير يوليو'!AG101,0)+IF(8&lt;=cfg_VAL_M,'مسير أغسطس'!AG101,0)+IF(9&lt;=cfg_VAL_M,'مسير سبتمبر'!AG101,0)+IF(10&lt;=cfg_VAL_M,'مسير أكتوبر'!AG101,0)+IF(11&lt;=cfg_VAL_M,'مسير نوفمبر'!AG101,0)+IF(12&lt;=cfg_VAL_M,'مسير ديسمبر'!AG101,0))</f>
        <v/>
      </c>
      <c r="AG101" s="144" t="str">
        <f aca="false">IF($B101="","",IF(1&lt;=cfg_VAL_M,'مسير يناير'!Y101,0)+IF(2&lt;=cfg_VAL_M,'مسير فبراير'!Y101,0)+IF(3&lt;=cfg_VAL_M,'مسير مارس'!Y101,0)+IF(4&lt;=cfg_VAL_M,'مسير أبريل'!Y101,0)+IF(5&lt;=cfg_VAL_M,'مسير مايو'!Y101,0)+IF(6&lt;=cfg_VAL_M,'مسير يونيو'!Y101,0)+IF(7&lt;=cfg_VAL_M,'مسير يوليو'!Y101,0)+IF(8&lt;=cfg_VAL_M,'مسير أغسطس'!Y101,0)+IF(9&lt;=cfg_VAL_M,'مسير سبتمبر'!Y101,0)+IF(10&lt;=cfg_VAL_M,'مسير أكتوبر'!Y101,0)+IF(11&lt;=cfg_VAL_M,'مسير نوفمبر'!Y101,0)+IF(12&lt;=cfg_VAL_M,'مسير ديسمبر'!Y101,0))</f>
        <v/>
      </c>
      <c r="AH101" s="101" t="str">
        <f aca="false">IF($B101="","",AF101/cfg_VAL_M)</f>
        <v/>
      </c>
    </row>
    <row r="102" customFormat="false" ht="15" hidden="false" customHeight="false" outlineLevel="0" collapsed="false">
      <c r="B102" s="80" t="str">
        <f aca="false">IF(الموظفون!$B102="","",الموظفون!$B102)</f>
        <v/>
      </c>
      <c r="C102" s="80" t="str">
        <f aca="false">IF(الموظفون!$B102="","",الموظفون!$C102)</f>
        <v/>
      </c>
      <c r="D102" s="80" t="str">
        <f aca="false">IF(الموظفون!$B102="","",الموظفون!$F102)</f>
        <v/>
      </c>
      <c r="E102" s="80" t="str">
        <f aca="false">IF(الموظفون!$B102="","",الموظفون!$E102)</f>
        <v/>
      </c>
      <c r="F102" s="97" t="str">
        <f aca="false">IF($B102="","",'مسير يناير'!T102)</f>
        <v/>
      </c>
      <c r="G102" s="97" t="str">
        <f aca="false">IF($B102="","",'مسير فبراير'!T102)</f>
        <v/>
      </c>
      <c r="H102" s="97" t="str">
        <f aca="false">IF($B102="","",'مسير مارس'!T102)</f>
        <v/>
      </c>
      <c r="I102" s="97" t="str">
        <f aca="false">IF($B102="","",'مسير أبريل'!T102)</f>
        <v/>
      </c>
      <c r="J102" s="97" t="str">
        <f aca="false">IF($B102="","",'مسير مايو'!T102)</f>
        <v/>
      </c>
      <c r="K102" s="97" t="str">
        <f aca="false">IF($B102="","",'مسير يونيو'!T102)</f>
        <v/>
      </c>
      <c r="L102" s="97" t="str">
        <f aca="false">IF($B102="","",'مسير يوليو'!T102)</f>
        <v/>
      </c>
      <c r="M102" s="97" t="str">
        <f aca="false">IF($B102="","",'مسير أغسطس'!T102)</f>
        <v/>
      </c>
      <c r="N102" s="97" t="str">
        <f aca="false">IF($B102="","",'مسير سبتمبر'!T102)</f>
        <v/>
      </c>
      <c r="O102" s="97" t="str">
        <f aca="false">IF($B102="","",'مسير أكتوبر'!T102)</f>
        <v/>
      </c>
      <c r="P102" s="97" t="str">
        <f aca="false">IF($B102="","",'مسير نوفمبر'!T102)</f>
        <v/>
      </c>
      <c r="Q102" s="97" t="str">
        <f aca="false">IF($B102="","",'مسير ديسمبر'!T102)</f>
        <v/>
      </c>
      <c r="R102" s="143" t="str">
        <f aca="false">IF($B102="","",IF(1&lt;=cfg_VAL_M,'مسير يناير'!T102,0)+IF(2&lt;=cfg_VAL_M,'مسير فبراير'!T102,0)+IF(3&lt;=cfg_VAL_M,'مسير مارس'!T102,0)+IF(4&lt;=cfg_VAL_M,'مسير أبريل'!T102,0)+IF(5&lt;=cfg_VAL_M,'مسير مايو'!T102,0)+IF(6&lt;=cfg_VAL_M,'مسير يونيو'!T102,0)+IF(7&lt;=cfg_VAL_M,'مسير يوليو'!T102,0)+IF(8&lt;=cfg_VAL_M,'مسير أغسطس'!T102,0)+IF(9&lt;=cfg_VAL_M,'مسير سبتمبر'!T102,0)+IF(10&lt;=cfg_VAL_M,'مسير أكتوبر'!T102,0)+IF(11&lt;=cfg_VAL_M,'مسير نوفمبر'!T102,0)+IF(12&lt;=cfg_VAL_M,'مسير ديسمبر'!T102,0))</f>
        <v/>
      </c>
      <c r="T102" s="97" t="str">
        <f aca="false">IF($B102="","",'مسير يناير'!AG102)</f>
        <v/>
      </c>
      <c r="U102" s="97" t="str">
        <f aca="false">IF($B102="","",'مسير فبراير'!AG102)</f>
        <v/>
      </c>
      <c r="V102" s="97" t="str">
        <f aca="false">IF($B102="","",'مسير مارس'!AG102)</f>
        <v/>
      </c>
      <c r="W102" s="97" t="str">
        <f aca="false">IF($B102="","",'مسير أبريل'!AG102)</f>
        <v/>
      </c>
      <c r="X102" s="97" t="str">
        <f aca="false">IF($B102="","",'مسير مايو'!AG102)</f>
        <v/>
      </c>
      <c r="Y102" s="97" t="str">
        <f aca="false">IF($B102="","",'مسير يونيو'!AG102)</f>
        <v/>
      </c>
      <c r="Z102" s="97" t="str">
        <f aca="false">IF($B102="","",'مسير يوليو'!AG102)</f>
        <v/>
      </c>
      <c r="AA102" s="97" t="str">
        <f aca="false">IF($B102="","",'مسير أغسطس'!AG102)</f>
        <v/>
      </c>
      <c r="AB102" s="97" t="str">
        <f aca="false">IF($B102="","",'مسير سبتمبر'!AG102)</f>
        <v/>
      </c>
      <c r="AC102" s="97" t="str">
        <f aca="false">IF($B102="","",'مسير أكتوبر'!AG102)</f>
        <v/>
      </c>
      <c r="AD102" s="97" t="str">
        <f aca="false">IF($B102="","",'مسير نوفمبر'!AG102)</f>
        <v/>
      </c>
      <c r="AE102" s="97" t="str">
        <f aca="false">IF($B102="","",'مسير ديسمبر'!AG102)</f>
        <v/>
      </c>
      <c r="AF102" s="143" t="str">
        <f aca="false">IF($B102="","",IF(1&lt;=cfg_VAL_M,'مسير يناير'!AG102,0)+IF(2&lt;=cfg_VAL_M,'مسير فبراير'!AG102,0)+IF(3&lt;=cfg_VAL_M,'مسير مارس'!AG102,0)+IF(4&lt;=cfg_VAL_M,'مسير أبريل'!AG102,0)+IF(5&lt;=cfg_VAL_M,'مسير مايو'!AG102,0)+IF(6&lt;=cfg_VAL_M,'مسير يونيو'!AG102,0)+IF(7&lt;=cfg_VAL_M,'مسير يوليو'!AG102,0)+IF(8&lt;=cfg_VAL_M,'مسير أغسطس'!AG102,0)+IF(9&lt;=cfg_VAL_M,'مسير سبتمبر'!AG102,0)+IF(10&lt;=cfg_VAL_M,'مسير أكتوبر'!AG102,0)+IF(11&lt;=cfg_VAL_M,'مسير نوفمبر'!AG102,0)+IF(12&lt;=cfg_VAL_M,'مسير ديسمبر'!AG102,0))</f>
        <v/>
      </c>
      <c r="AG102" s="143" t="str">
        <f aca="false">IF($B102="","",IF(1&lt;=cfg_VAL_M,'مسير يناير'!Y102,0)+IF(2&lt;=cfg_VAL_M,'مسير فبراير'!Y102,0)+IF(3&lt;=cfg_VAL_M,'مسير مارس'!Y102,0)+IF(4&lt;=cfg_VAL_M,'مسير أبريل'!Y102,0)+IF(5&lt;=cfg_VAL_M,'مسير مايو'!Y102,0)+IF(6&lt;=cfg_VAL_M,'مسير يونيو'!Y102,0)+IF(7&lt;=cfg_VAL_M,'مسير يوليو'!Y102,0)+IF(8&lt;=cfg_VAL_M,'مسير أغسطس'!Y102,0)+IF(9&lt;=cfg_VAL_M,'مسير سبتمبر'!Y102,0)+IF(10&lt;=cfg_VAL_M,'مسير أكتوبر'!Y102,0)+IF(11&lt;=cfg_VAL_M,'مسير نوفمبر'!Y102,0)+IF(12&lt;=cfg_VAL_M,'مسير ديسمبر'!Y102,0))</f>
        <v/>
      </c>
      <c r="AH102" s="97" t="str">
        <f aca="false">IF($B102="","",AF102/cfg_VAL_M)</f>
        <v/>
      </c>
    </row>
    <row r="103" customFormat="false" ht="15" hidden="false" customHeight="false" outlineLevel="0" collapsed="false">
      <c r="B103" s="102" t="str">
        <f aca="false">IF(الموظفون!$B103="","",الموظفون!$B103)</f>
        <v/>
      </c>
      <c r="C103" s="102" t="str">
        <f aca="false">IF(الموظفون!$B103="","",الموظفون!$C103)</f>
        <v/>
      </c>
      <c r="D103" s="102" t="str">
        <f aca="false">IF(الموظفون!$B103="","",الموظفون!$F103)</f>
        <v/>
      </c>
      <c r="E103" s="102" t="str">
        <f aca="false">IF(الموظفون!$B103="","",الموظفون!$E103)</f>
        <v/>
      </c>
      <c r="F103" s="101" t="str">
        <f aca="false">IF($B103="","",'مسير يناير'!T103)</f>
        <v/>
      </c>
      <c r="G103" s="101" t="str">
        <f aca="false">IF($B103="","",'مسير فبراير'!T103)</f>
        <v/>
      </c>
      <c r="H103" s="101" t="str">
        <f aca="false">IF($B103="","",'مسير مارس'!T103)</f>
        <v/>
      </c>
      <c r="I103" s="101" t="str">
        <f aca="false">IF($B103="","",'مسير أبريل'!T103)</f>
        <v/>
      </c>
      <c r="J103" s="101" t="str">
        <f aca="false">IF($B103="","",'مسير مايو'!T103)</f>
        <v/>
      </c>
      <c r="K103" s="101" t="str">
        <f aca="false">IF($B103="","",'مسير يونيو'!T103)</f>
        <v/>
      </c>
      <c r="L103" s="101" t="str">
        <f aca="false">IF($B103="","",'مسير يوليو'!T103)</f>
        <v/>
      </c>
      <c r="M103" s="101" t="str">
        <f aca="false">IF($B103="","",'مسير أغسطس'!T103)</f>
        <v/>
      </c>
      <c r="N103" s="101" t="str">
        <f aca="false">IF($B103="","",'مسير سبتمبر'!T103)</f>
        <v/>
      </c>
      <c r="O103" s="101" t="str">
        <f aca="false">IF($B103="","",'مسير أكتوبر'!T103)</f>
        <v/>
      </c>
      <c r="P103" s="101" t="str">
        <f aca="false">IF($B103="","",'مسير نوفمبر'!T103)</f>
        <v/>
      </c>
      <c r="Q103" s="101" t="str">
        <f aca="false">IF($B103="","",'مسير ديسمبر'!T103)</f>
        <v/>
      </c>
      <c r="R103" s="144" t="str">
        <f aca="false">IF($B103="","",IF(1&lt;=cfg_VAL_M,'مسير يناير'!T103,0)+IF(2&lt;=cfg_VAL_M,'مسير فبراير'!T103,0)+IF(3&lt;=cfg_VAL_M,'مسير مارس'!T103,0)+IF(4&lt;=cfg_VAL_M,'مسير أبريل'!T103,0)+IF(5&lt;=cfg_VAL_M,'مسير مايو'!T103,0)+IF(6&lt;=cfg_VAL_M,'مسير يونيو'!T103,0)+IF(7&lt;=cfg_VAL_M,'مسير يوليو'!T103,0)+IF(8&lt;=cfg_VAL_M,'مسير أغسطس'!T103,0)+IF(9&lt;=cfg_VAL_M,'مسير سبتمبر'!T103,0)+IF(10&lt;=cfg_VAL_M,'مسير أكتوبر'!T103,0)+IF(11&lt;=cfg_VAL_M,'مسير نوفمبر'!T103,0)+IF(12&lt;=cfg_VAL_M,'مسير ديسمبر'!T103,0))</f>
        <v/>
      </c>
      <c r="T103" s="101" t="str">
        <f aca="false">IF($B103="","",'مسير يناير'!AG103)</f>
        <v/>
      </c>
      <c r="U103" s="101" t="str">
        <f aca="false">IF($B103="","",'مسير فبراير'!AG103)</f>
        <v/>
      </c>
      <c r="V103" s="101" t="str">
        <f aca="false">IF($B103="","",'مسير مارس'!AG103)</f>
        <v/>
      </c>
      <c r="W103" s="101" t="str">
        <f aca="false">IF($B103="","",'مسير أبريل'!AG103)</f>
        <v/>
      </c>
      <c r="X103" s="101" t="str">
        <f aca="false">IF($B103="","",'مسير مايو'!AG103)</f>
        <v/>
      </c>
      <c r="Y103" s="101" t="str">
        <f aca="false">IF($B103="","",'مسير يونيو'!AG103)</f>
        <v/>
      </c>
      <c r="Z103" s="101" t="str">
        <f aca="false">IF($B103="","",'مسير يوليو'!AG103)</f>
        <v/>
      </c>
      <c r="AA103" s="101" t="str">
        <f aca="false">IF($B103="","",'مسير أغسطس'!AG103)</f>
        <v/>
      </c>
      <c r="AB103" s="101" t="str">
        <f aca="false">IF($B103="","",'مسير سبتمبر'!AG103)</f>
        <v/>
      </c>
      <c r="AC103" s="101" t="str">
        <f aca="false">IF($B103="","",'مسير أكتوبر'!AG103)</f>
        <v/>
      </c>
      <c r="AD103" s="101" t="str">
        <f aca="false">IF($B103="","",'مسير نوفمبر'!AG103)</f>
        <v/>
      </c>
      <c r="AE103" s="101" t="str">
        <f aca="false">IF($B103="","",'مسير ديسمبر'!AG103)</f>
        <v/>
      </c>
      <c r="AF103" s="144" t="str">
        <f aca="false">IF($B103="","",IF(1&lt;=cfg_VAL_M,'مسير يناير'!AG103,0)+IF(2&lt;=cfg_VAL_M,'مسير فبراير'!AG103,0)+IF(3&lt;=cfg_VAL_M,'مسير مارس'!AG103,0)+IF(4&lt;=cfg_VAL_M,'مسير أبريل'!AG103,0)+IF(5&lt;=cfg_VAL_M,'مسير مايو'!AG103,0)+IF(6&lt;=cfg_VAL_M,'مسير يونيو'!AG103,0)+IF(7&lt;=cfg_VAL_M,'مسير يوليو'!AG103,0)+IF(8&lt;=cfg_VAL_M,'مسير أغسطس'!AG103,0)+IF(9&lt;=cfg_VAL_M,'مسير سبتمبر'!AG103,0)+IF(10&lt;=cfg_VAL_M,'مسير أكتوبر'!AG103,0)+IF(11&lt;=cfg_VAL_M,'مسير نوفمبر'!AG103,0)+IF(12&lt;=cfg_VAL_M,'مسير ديسمبر'!AG103,0))</f>
        <v/>
      </c>
      <c r="AG103" s="144" t="str">
        <f aca="false">IF($B103="","",IF(1&lt;=cfg_VAL_M,'مسير يناير'!Y103,0)+IF(2&lt;=cfg_VAL_M,'مسير فبراير'!Y103,0)+IF(3&lt;=cfg_VAL_M,'مسير مارس'!Y103,0)+IF(4&lt;=cfg_VAL_M,'مسير أبريل'!Y103,0)+IF(5&lt;=cfg_VAL_M,'مسير مايو'!Y103,0)+IF(6&lt;=cfg_VAL_M,'مسير يونيو'!Y103,0)+IF(7&lt;=cfg_VAL_M,'مسير يوليو'!Y103,0)+IF(8&lt;=cfg_VAL_M,'مسير أغسطس'!Y103,0)+IF(9&lt;=cfg_VAL_M,'مسير سبتمبر'!Y103,0)+IF(10&lt;=cfg_VAL_M,'مسير أكتوبر'!Y103,0)+IF(11&lt;=cfg_VAL_M,'مسير نوفمبر'!Y103,0)+IF(12&lt;=cfg_VAL_M,'مسير ديسمبر'!Y103,0))</f>
        <v/>
      </c>
      <c r="AH103" s="101" t="str">
        <f aca="false">IF($B103="","",AF103/cfg_VAL_M)</f>
        <v/>
      </c>
    </row>
    <row r="104" customFormat="false" ht="15" hidden="false" customHeight="false" outlineLevel="0" collapsed="false">
      <c r="B104" s="80" t="str">
        <f aca="false">IF(الموظفون!$B104="","",الموظفون!$B104)</f>
        <v/>
      </c>
      <c r="C104" s="80" t="str">
        <f aca="false">IF(الموظفون!$B104="","",الموظفون!$C104)</f>
        <v/>
      </c>
      <c r="D104" s="80" t="str">
        <f aca="false">IF(الموظفون!$B104="","",الموظفون!$F104)</f>
        <v/>
      </c>
      <c r="E104" s="80" t="str">
        <f aca="false">IF(الموظفون!$B104="","",الموظفون!$E104)</f>
        <v/>
      </c>
      <c r="F104" s="97" t="str">
        <f aca="false">IF($B104="","",'مسير يناير'!T104)</f>
        <v/>
      </c>
      <c r="G104" s="97" t="str">
        <f aca="false">IF($B104="","",'مسير فبراير'!T104)</f>
        <v/>
      </c>
      <c r="H104" s="97" t="str">
        <f aca="false">IF($B104="","",'مسير مارس'!T104)</f>
        <v/>
      </c>
      <c r="I104" s="97" t="str">
        <f aca="false">IF($B104="","",'مسير أبريل'!T104)</f>
        <v/>
      </c>
      <c r="J104" s="97" t="str">
        <f aca="false">IF($B104="","",'مسير مايو'!T104)</f>
        <v/>
      </c>
      <c r="K104" s="97" t="str">
        <f aca="false">IF($B104="","",'مسير يونيو'!T104)</f>
        <v/>
      </c>
      <c r="L104" s="97" t="str">
        <f aca="false">IF($B104="","",'مسير يوليو'!T104)</f>
        <v/>
      </c>
      <c r="M104" s="97" t="str">
        <f aca="false">IF($B104="","",'مسير أغسطس'!T104)</f>
        <v/>
      </c>
      <c r="N104" s="97" t="str">
        <f aca="false">IF($B104="","",'مسير سبتمبر'!T104)</f>
        <v/>
      </c>
      <c r="O104" s="97" t="str">
        <f aca="false">IF($B104="","",'مسير أكتوبر'!T104)</f>
        <v/>
      </c>
      <c r="P104" s="97" t="str">
        <f aca="false">IF($B104="","",'مسير نوفمبر'!T104)</f>
        <v/>
      </c>
      <c r="Q104" s="97" t="str">
        <f aca="false">IF($B104="","",'مسير ديسمبر'!T104)</f>
        <v/>
      </c>
      <c r="R104" s="143" t="str">
        <f aca="false">IF($B104="","",IF(1&lt;=cfg_VAL_M,'مسير يناير'!T104,0)+IF(2&lt;=cfg_VAL_M,'مسير فبراير'!T104,0)+IF(3&lt;=cfg_VAL_M,'مسير مارس'!T104,0)+IF(4&lt;=cfg_VAL_M,'مسير أبريل'!T104,0)+IF(5&lt;=cfg_VAL_M,'مسير مايو'!T104,0)+IF(6&lt;=cfg_VAL_M,'مسير يونيو'!T104,0)+IF(7&lt;=cfg_VAL_M,'مسير يوليو'!T104,0)+IF(8&lt;=cfg_VAL_M,'مسير أغسطس'!T104,0)+IF(9&lt;=cfg_VAL_M,'مسير سبتمبر'!T104,0)+IF(10&lt;=cfg_VAL_M,'مسير أكتوبر'!T104,0)+IF(11&lt;=cfg_VAL_M,'مسير نوفمبر'!T104,0)+IF(12&lt;=cfg_VAL_M,'مسير ديسمبر'!T104,0))</f>
        <v/>
      </c>
      <c r="T104" s="97" t="str">
        <f aca="false">IF($B104="","",'مسير يناير'!AG104)</f>
        <v/>
      </c>
      <c r="U104" s="97" t="str">
        <f aca="false">IF($B104="","",'مسير فبراير'!AG104)</f>
        <v/>
      </c>
      <c r="V104" s="97" t="str">
        <f aca="false">IF($B104="","",'مسير مارس'!AG104)</f>
        <v/>
      </c>
      <c r="W104" s="97" t="str">
        <f aca="false">IF($B104="","",'مسير أبريل'!AG104)</f>
        <v/>
      </c>
      <c r="X104" s="97" t="str">
        <f aca="false">IF($B104="","",'مسير مايو'!AG104)</f>
        <v/>
      </c>
      <c r="Y104" s="97" t="str">
        <f aca="false">IF($B104="","",'مسير يونيو'!AG104)</f>
        <v/>
      </c>
      <c r="Z104" s="97" t="str">
        <f aca="false">IF($B104="","",'مسير يوليو'!AG104)</f>
        <v/>
      </c>
      <c r="AA104" s="97" t="str">
        <f aca="false">IF($B104="","",'مسير أغسطس'!AG104)</f>
        <v/>
      </c>
      <c r="AB104" s="97" t="str">
        <f aca="false">IF($B104="","",'مسير سبتمبر'!AG104)</f>
        <v/>
      </c>
      <c r="AC104" s="97" t="str">
        <f aca="false">IF($B104="","",'مسير أكتوبر'!AG104)</f>
        <v/>
      </c>
      <c r="AD104" s="97" t="str">
        <f aca="false">IF($B104="","",'مسير نوفمبر'!AG104)</f>
        <v/>
      </c>
      <c r="AE104" s="97" t="str">
        <f aca="false">IF($B104="","",'مسير ديسمبر'!AG104)</f>
        <v/>
      </c>
      <c r="AF104" s="143" t="str">
        <f aca="false">IF($B104="","",IF(1&lt;=cfg_VAL_M,'مسير يناير'!AG104,0)+IF(2&lt;=cfg_VAL_M,'مسير فبراير'!AG104,0)+IF(3&lt;=cfg_VAL_M,'مسير مارس'!AG104,0)+IF(4&lt;=cfg_VAL_M,'مسير أبريل'!AG104,0)+IF(5&lt;=cfg_VAL_M,'مسير مايو'!AG104,0)+IF(6&lt;=cfg_VAL_M,'مسير يونيو'!AG104,0)+IF(7&lt;=cfg_VAL_M,'مسير يوليو'!AG104,0)+IF(8&lt;=cfg_VAL_M,'مسير أغسطس'!AG104,0)+IF(9&lt;=cfg_VAL_M,'مسير سبتمبر'!AG104,0)+IF(10&lt;=cfg_VAL_M,'مسير أكتوبر'!AG104,0)+IF(11&lt;=cfg_VAL_M,'مسير نوفمبر'!AG104,0)+IF(12&lt;=cfg_VAL_M,'مسير ديسمبر'!AG104,0))</f>
        <v/>
      </c>
      <c r="AG104" s="143" t="str">
        <f aca="false">IF($B104="","",IF(1&lt;=cfg_VAL_M,'مسير يناير'!Y104,0)+IF(2&lt;=cfg_VAL_M,'مسير فبراير'!Y104,0)+IF(3&lt;=cfg_VAL_M,'مسير مارس'!Y104,0)+IF(4&lt;=cfg_VAL_M,'مسير أبريل'!Y104,0)+IF(5&lt;=cfg_VAL_M,'مسير مايو'!Y104,0)+IF(6&lt;=cfg_VAL_M,'مسير يونيو'!Y104,0)+IF(7&lt;=cfg_VAL_M,'مسير يوليو'!Y104,0)+IF(8&lt;=cfg_VAL_M,'مسير أغسطس'!Y104,0)+IF(9&lt;=cfg_VAL_M,'مسير سبتمبر'!Y104,0)+IF(10&lt;=cfg_VAL_M,'مسير أكتوبر'!Y104,0)+IF(11&lt;=cfg_VAL_M,'مسير نوفمبر'!Y104,0)+IF(12&lt;=cfg_VAL_M,'مسير ديسمبر'!Y104,0))</f>
        <v/>
      </c>
      <c r="AH104" s="97" t="str">
        <f aca="false">IF($B104="","",AF104/cfg_VAL_M)</f>
        <v/>
      </c>
    </row>
    <row r="105" customFormat="false" ht="15" hidden="false" customHeight="false" outlineLevel="0" collapsed="false">
      <c r="B105" s="102" t="str">
        <f aca="false">IF(الموظفون!$B105="","",الموظفون!$B105)</f>
        <v/>
      </c>
      <c r="C105" s="102" t="str">
        <f aca="false">IF(الموظفون!$B105="","",الموظفون!$C105)</f>
        <v/>
      </c>
      <c r="D105" s="102" t="str">
        <f aca="false">IF(الموظفون!$B105="","",الموظفون!$F105)</f>
        <v/>
      </c>
      <c r="E105" s="102" t="str">
        <f aca="false">IF(الموظفون!$B105="","",الموظفون!$E105)</f>
        <v/>
      </c>
      <c r="F105" s="101" t="str">
        <f aca="false">IF($B105="","",'مسير يناير'!T105)</f>
        <v/>
      </c>
      <c r="G105" s="101" t="str">
        <f aca="false">IF($B105="","",'مسير فبراير'!T105)</f>
        <v/>
      </c>
      <c r="H105" s="101" t="str">
        <f aca="false">IF($B105="","",'مسير مارس'!T105)</f>
        <v/>
      </c>
      <c r="I105" s="101" t="str">
        <f aca="false">IF($B105="","",'مسير أبريل'!T105)</f>
        <v/>
      </c>
      <c r="J105" s="101" t="str">
        <f aca="false">IF($B105="","",'مسير مايو'!T105)</f>
        <v/>
      </c>
      <c r="K105" s="101" t="str">
        <f aca="false">IF($B105="","",'مسير يونيو'!T105)</f>
        <v/>
      </c>
      <c r="L105" s="101" t="str">
        <f aca="false">IF($B105="","",'مسير يوليو'!T105)</f>
        <v/>
      </c>
      <c r="M105" s="101" t="str">
        <f aca="false">IF($B105="","",'مسير أغسطس'!T105)</f>
        <v/>
      </c>
      <c r="N105" s="101" t="str">
        <f aca="false">IF($B105="","",'مسير سبتمبر'!T105)</f>
        <v/>
      </c>
      <c r="O105" s="101" t="str">
        <f aca="false">IF($B105="","",'مسير أكتوبر'!T105)</f>
        <v/>
      </c>
      <c r="P105" s="101" t="str">
        <f aca="false">IF($B105="","",'مسير نوفمبر'!T105)</f>
        <v/>
      </c>
      <c r="Q105" s="101" t="str">
        <f aca="false">IF($B105="","",'مسير ديسمبر'!T105)</f>
        <v/>
      </c>
      <c r="R105" s="144" t="str">
        <f aca="false">IF($B105="","",IF(1&lt;=cfg_VAL_M,'مسير يناير'!T105,0)+IF(2&lt;=cfg_VAL_M,'مسير فبراير'!T105,0)+IF(3&lt;=cfg_VAL_M,'مسير مارس'!T105,0)+IF(4&lt;=cfg_VAL_M,'مسير أبريل'!T105,0)+IF(5&lt;=cfg_VAL_M,'مسير مايو'!T105,0)+IF(6&lt;=cfg_VAL_M,'مسير يونيو'!T105,0)+IF(7&lt;=cfg_VAL_M,'مسير يوليو'!T105,0)+IF(8&lt;=cfg_VAL_M,'مسير أغسطس'!T105,0)+IF(9&lt;=cfg_VAL_M,'مسير سبتمبر'!T105,0)+IF(10&lt;=cfg_VAL_M,'مسير أكتوبر'!T105,0)+IF(11&lt;=cfg_VAL_M,'مسير نوفمبر'!T105,0)+IF(12&lt;=cfg_VAL_M,'مسير ديسمبر'!T105,0))</f>
        <v/>
      </c>
      <c r="T105" s="101" t="str">
        <f aca="false">IF($B105="","",'مسير يناير'!AG105)</f>
        <v/>
      </c>
      <c r="U105" s="101" t="str">
        <f aca="false">IF($B105="","",'مسير فبراير'!AG105)</f>
        <v/>
      </c>
      <c r="V105" s="101" t="str">
        <f aca="false">IF($B105="","",'مسير مارس'!AG105)</f>
        <v/>
      </c>
      <c r="W105" s="101" t="str">
        <f aca="false">IF($B105="","",'مسير أبريل'!AG105)</f>
        <v/>
      </c>
      <c r="X105" s="101" t="str">
        <f aca="false">IF($B105="","",'مسير مايو'!AG105)</f>
        <v/>
      </c>
      <c r="Y105" s="101" t="str">
        <f aca="false">IF($B105="","",'مسير يونيو'!AG105)</f>
        <v/>
      </c>
      <c r="Z105" s="101" t="str">
        <f aca="false">IF($B105="","",'مسير يوليو'!AG105)</f>
        <v/>
      </c>
      <c r="AA105" s="101" t="str">
        <f aca="false">IF($B105="","",'مسير أغسطس'!AG105)</f>
        <v/>
      </c>
      <c r="AB105" s="101" t="str">
        <f aca="false">IF($B105="","",'مسير سبتمبر'!AG105)</f>
        <v/>
      </c>
      <c r="AC105" s="101" t="str">
        <f aca="false">IF($B105="","",'مسير أكتوبر'!AG105)</f>
        <v/>
      </c>
      <c r="AD105" s="101" t="str">
        <f aca="false">IF($B105="","",'مسير نوفمبر'!AG105)</f>
        <v/>
      </c>
      <c r="AE105" s="101" t="str">
        <f aca="false">IF($B105="","",'مسير ديسمبر'!AG105)</f>
        <v/>
      </c>
      <c r="AF105" s="144" t="str">
        <f aca="false">IF($B105="","",IF(1&lt;=cfg_VAL_M,'مسير يناير'!AG105,0)+IF(2&lt;=cfg_VAL_M,'مسير فبراير'!AG105,0)+IF(3&lt;=cfg_VAL_M,'مسير مارس'!AG105,0)+IF(4&lt;=cfg_VAL_M,'مسير أبريل'!AG105,0)+IF(5&lt;=cfg_VAL_M,'مسير مايو'!AG105,0)+IF(6&lt;=cfg_VAL_M,'مسير يونيو'!AG105,0)+IF(7&lt;=cfg_VAL_M,'مسير يوليو'!AG105,0)+IF(8&lt;=cfg_VAL_M,'مسير أغسطس'!AG105,0)+IF(9&lt;=cfg_VAL_M,'مسير سبتمبر'!AG105,0)+IF(10&lt;=cfg_VAL_M,'مسير أكتوبر'!AG105,0)+IF(11&lt;=cfg_VAL_M,'مسير نوفمبر'!AG105,0)+IF(12&lt;=cfg_VAL_M,'مسير ديسمبر'!AG105,0))</f>
        <v/>
      </c>
      <c r="AG105" s="144" t="str">
        <f aca="false">IF($B105="","",IF(1&lt;=cfg_VAL_M,'مسير يناير'!Y105,0)+IF(2&lt;=cfg_VAL_M,'مسير فبراير'!Y105,0)+IF(3&lt;=cfg_VAL_M,'مسير مارس'!Y105,0)+IF(4&lt;=cfg_VAL_M,'مسير أبريل'!Y105,0)+IF(5&lt;=cfg_VAL_M,'مسير مايو'!Y105,0)+IF(6&lt;=cfg_VAL_M,'مسير يونيو'!Y105,0)+IF(7&lt;=cfg_VAL_M,'مسير يوليو'!Y105,0)+IF(8&lt;=cfg_VAL_M,'مسير أغسطس'!Y105,0)+IF(9&lt;=cfg_VAL_M,'مسير سبتمبر'!Y105,0)+IF(10&lt;=cfg_VAL_M,'مسير أكتوبر'!Y105,0)+IF(11&lt;=cfg_VAL_M,'مسير نوفمبر'!Y105,0)+IF(12&lt;=cfg_VAL_M,'مسير ديسمبر'!Y105,0))</f>
        <v/>
      </c>
      <c r="AH105" s="101" t="str">
        <f aca="false">IF($B105="","",AF105/cfg_VAL_M)</f>
        <v/>
      </c>
    </row>
    <row r="106" customFormat="false" ht="24" hidden="false" customHeight="true" outlineLevel="0" collapsed="false">
      <c r="B106" s="103"/>
      <c r="C106" s="103" t="s">
        <v>127</v>
      </c>
      <c r="D106" s="103"/>
      <c r="E106" s="103"/>
      <c r="F106" s="103" t="n">
        <f aca="false">SUM(F6:F105)</f>
        <v>190710.833333333</v>
      </c>
      <c r="G106" s="103" t="n">
        <f aca="false">SUM(G6:G105)</f>
        <v>194715.833333333</v>
      </c>
      <c r="H106" s="103" t="n">
        <f aca="false">SUM(H6:H105)</f>
        <v>190056.25</v>
      </c>
      <c r="I106" s="103" t="n">
        <f aca="false">SUM(I6:I105)</f>
        <v>194475</v>
      </c>
      <c r="J106" s="103" t="n">
        <f aca="false">SUM(J6:J105)</f>
        <v>202481.666666667</v>
      </c>
      <c r="K106" s="103" t="n">
        <f aca="false">SUM(K6:K105)</f>
        <v>207525</v>
      </c>
      <c r="L106" s="103" t="n">
        <f aca="false">SUM(L6:L105)</f>
        <v>202872.260273973</v>
      </c>
      <c r="M106" s="103" t="n">
        <f aca="false">SUM(M6:M105)</f>
        <v>193072.5</v>
      </c>
      <c r="N106" s="103" t="n">
        <f aca="false">SUM(N6:N105)</f>
        <v>187664.583333333</v>
      </c>
      <c r="O106" s="103" t="n">
        <f aca="false">SUM(O6:O105)</f>
        <v>181876.666666667</v>
      </c>
      <c r="P106" s="103" t="n">
        <f aca="false">SUM(P6:P105)</f>
        <v>194575</v>
      </c>
      <c r="Q106" s="103" t="n">
        <f aca="false">SUM(Q6:Q105)</f>
        <v>194075</v>
      </c>
      <c r="R106" s="103" t="n">
        <f aca="false">SUM(R6:R105)</f>
        <v>1763573.92694064</v>
      </c>
      <c r="S106" s="145"/>
      <c r="T106" s="103" t="n">
        <f aca="false">SUM(T6:T105)</f>
        <v>241756.754851598</v>
      </c>
      <c r="U106" s="103" t="n">
        <f aca="false">SUM(U6:U105)</f>
        <v>243267.727454338</v>
      </c>
      <c r="V106" s="103" t="n">
        <f aca="false">SUM(V6:V105)</f>
        <v>241468.335901827</v>
      </c>
      <c r="W106" s="103" t="n">
        <f aca="false">SUM(W6:W105)</f>
        <v>246384.47859589</v>
      </c>
      <c r="X106" s="103" t="n">
        <f aca="false">SUM(X6:X105)</f>
        <v>256653.928938356</v>
      </c>
      <c r="Y106" s="103" t="n">
        <f aca="false">SUM(Y6:Y105)</f>
        <v>260703.919805936</v>
      </c>
      <c r="Z106" s="103" t="n">
        <f aca="false">SUM(Z6:Z105)</f>
        <v>254658.369577626</v>
      </c>
      <c r="AA106" s="103" t="n">
        <f aca="false">SUM(AA6:AA105)</f>
        <v>244758.746289954</v>
      </c>
      <c r="AB106" s="103" t="n">
        <f aca="false">SUM(AB6:AB105)</f>
        <v>237440.08989726</v>
      </c>
      <c r="AC106" s="103" t="n">
        <f aca="false">SUM(AC6:AC105)</f>
        <v>231835.652682648</v>
      </c>
      <c r="AD106" s="103" t="n">
        <f aca="false">SUM(AD6:AD105)</f>
        <v>245408.314783105</v>
      </c>
      <c r="AE106" s="103" t="n">
        <f aca="false">SUM(AE6:AE105)</f>
        <v>245861.109303653</v>
      </c>
      <c r="AF106" s="103" t="n">
        <f aca="false">SUM(AF6:AF105)</f>
        <v>2227092.35131279</v>
      </c>
      <c r="AG106" s="103" t="n">
        <f aca="false">SUM(AG6:AG105)</f>
        <v>1650693.61444064</v>
      </c>
      <c r="AH106" s="103" t="n">
        <f aca="false">SUM(AH6:AH105)</f>
        <v>247454.705701421</v>
      </c>
    </row>
  </sheetData>
  <mergeCells count="4">
    <mergeCell ref="B1:AH1"/>
    <mergeCell ref="B2:AH2"/>
    <mergeCell ref="F4:R4"/>
    <mergeCell ref="T4:AF4"/>
  </mergeCells>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6E63"/>
    <pageSetUpPr fitToPage="true"/>
  </sheetPr>
  <dimension ref="B1:U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9"/>
    <col collapsed="false" customWidth="true" hidden="false" outlineLevel="0" max="3" min="3" style="0" width="24"/>
    <col collapsed="false" customWidth="true" hidden="false" outlineLevel="0" max="5" min="4" style="0" width="10"/>
    <col collapsed="false" customWidth="true" hidden="false" outlineLevel="0" max="6" min="6" style="0" width="15"/>
    <col collapsed="false" customWidth="true" hidden="false" outlineLevel="0" max="7" min="7" style="0" width="13"/>
    <col collapsed="false" customWidth="true" hidden="false" outlineLevel="0" max="8" min="8" style="0" width="12"/>
    <col collapsed="false" customWidth="true" hidden="false" outlineLevel="0" max="9" min="9" style="0" width="9"/>
    <col collapsed="false" customWidth="true" hidden="false" outlineLevel="0" max="10" min="10" style="0" width="19"/>
    <col collapsed="false" customWidth="true" hidden="false" outlineLevel="0" max="11" min="11" style="0" width="12"/>
    <col collapsed="false" customWidth="true" hidden="false" outlineLevel="0" max="12" min="12" style="0" width="9"/>
    <col collapsed="false" customWidth="true" hidden="false" outlineLevel="0" max="13" min="13" style="0" width="19"/>
    <col collapsed="false" customWidth="true" hidden="false" outlineLevel="0" max="16" min="14" style="0" width="12"/>
    <col collapsed="false" customWidth="true" hidden="false" outlineLevel="0" max="17" min="17" style="0" width="11"/>
    <col collapsed="false" customWidth="true" hidden="false" outlineLevel="0" max="18" min="18" style="0" width="13"/>
    <col collapsed="false" customWidth="true" hidden="false" outlineLevel="0" max="19" min="19" style="0" width="12"/>
    <col collapsed="false" customWidth="true" hidden="false" outlineLevel="0" max="20" min="20" style="0" width="13"/>
    <col collapsed="false" customWidth="true" hidden="false" outlineLevel="0" max="21" min="21" style="0" width="14"/>
  </cols>
  <sheetData>
    <row r="1" customFormat="false" ht="37.5" hidden="false" customHeight="true" outlineLevel="0" collapsed="false">
      <c r="B1" s="1" t="str">
        <f aca="false">"🪪 متابعة الإقامات ورخص العمل وتكلفتها — كما في "&amp;TEXT(cfg_TRACK,"yyyy/mm/dd")</f>
        <v>🪪 متابعة الإقامات ورخص العمل وتكلفتها — كما في 2026/09/29</v>
      </c>
      <c r="C1" s="1"/>
      <c r="D1" s="1"/>
      <c r="E1" s="1"/>
      <c r="F1" s="1"/>
      <c r="G1" s="1"/>
      <c r="H1" s="1"/>
      <c r="I1" s="1"/>
      <c r="J1" s="1"/>
      <c r="K1" s="1"/>
      <c r="L1" s="1"/>
      <c r="M1" s="1"/>
      <c r="N1" s="1"/>
      <c r="O1" s="1"/>
      <c r="P1" s="1"/>
      <c r="Q1" s="1"/>
      <c r="R1" s="1"/>
      <c r="S1" s="1"/>
      <c r="T1" s="1"/>
      <c r="U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c r="T2" s="2"/>
      <c r="U2" s="2"/>
    </row>
    <row r="3" customFormat="false" ht="25.5" hidden="false" customHeight="true" outlineLevel="0" collapsed="false">
      <c r="B3" s="25" t="s">
        <v>80</v>
      </c>
      <c r="C3" s="12" t="s">
        <v>138</v>
      </c>
      <c r="D3" s="26" t="s">
        <v>81</v>
      </c>
      <c r="E3" s="26" t="s">
        <v>82</v>
      </c>
      <c r="F3" s="27" t="s">
        <v>83</v>
      </c>
      <c r="G3" s="26" t="s">
        <v>84</v>
      </c>
      <c r="H3" s="26" t="s">
        <v>39</v>
      </c>
      <c r="I3" s="26" t="s">
        <v>139</v>
      </c>
      <c r="J3" s="26" t="s">
        <v>140</v>
      </c>
    </row>
    <row r="4" customFormat="false" ht="7.5" hidden="false" customHeight="true" outlineLevel="0" collapsed="false"/>
    <row r="5" customFormat="false" ht="51.75" hidden="false" customHeight="true" outlineLevel="0" collapsed="false">
      <c r="B5" s="146" t="s">
        <v>486</v>
      </c>
      <c r="C5" s="146" t="s">
        <v>274</v>
      </c>
      <c r="D5" s="146" t="s">
        <v>275</v>
      </c>
      <c r="E5" s="146" t="s">
        <v>108</v>
      </c>
      <c r="F5" s="146" t="s">
        <v>302</v>
      </c>
      <c r="G5" s="146" t="s">
        <v>278</v>
      </c>
      <c r="H5" s="146" t="s">
        <v>491</v>
      </c>
      <c r="I5" s="146" t="s">
        <v>492</v>
      </c>
      <c r="J5" s="146" t="s">
        <v>493</v>
      </c>
      <c r="K5" s="146" t="s">
        <v>494</v>
      </c>
      <c r="L5" s="146" t="s">
        <v>492</v>
      </c>
      <c r="M5" s="146" t="s">
        <v>495</v>
      </c>
      <c r="N5" s="146" t="s">
        <v>496</v>
      </c>
      <c r="O5" s="146" t="s">
        <v>497</v>
      </c>
      <c r="P5" s="146" t="s">
        <v>498</v>
      </c>
      <c r="Q5" s="146" t="s">
        <v>499</v>
      </c>
      <c r="R5" s="146" t="s">
        <v>500</v>
      </c>
      <c r="S5" s="146" t="s">
        <v>501</v>
      </c>
      <c r="T5" s="146" t="s">
        <v>502</v>
      </c>
      <c r="U5" s="146" t="s">
        <v>503</v>
      </c>
    </row>
    <row r="6" customFormat="false" ht="15" hidden="false" customHeight="false" outlineLevel="0" collapsed="false">
      <c r="B6" s="80" t="str">
        <f aca="false">IF(الموظفون!$B6="","",الموظفون!$B6)</f>
        <v>E001</v>
      </c>
      <c r="C6" s="80" t="str">
        <f aca="false">IF($B6="","",الموظفون!$C6)</f>
        <v>عبدالله محمد العتيبي</v>
      </c>
      <c r="D6" s="80" t="str">
        <f aca="false">IF($B6="","",الموظفون!$D6)</f>
        <v>سعودي</v>
      </c>
      <c r="E6" s="80" t="str">
        <f aca="false">IF($B6="","",الموظفون!$E6)</f>
        <v>سعودي</v>
      </c>
      <c r="F6" s="80" t="str">
        <f aca="false">IF($B6="","",الموظفون!$AG6)</f>
        <v>✔ على رأس العمل</v>
      </c>
      <c r="G6" s="80" t="str">
        <f aca="false">IF($B6="","",IF(الموظفون!$I6="","",الموظفون!$I6))</f>
        <v>1012345678</v>
      </c>
      <c r="H6" s="147" t="n">
        <f aca="false">IF($B6="","",IF(الموظفون!$J6="","",الموظفون!$J6))</f>
        <v>47248</v>
      </c>
      <c r="I6" s="57" t="n">
        <f aca="false">IF(OR($B6="",H6=""),"",H6-cfg_TRACK)</f>
        <v>954</v>
      </c>
      <c r="J6" s="80" t="str">
        <f aca="false">IF(OR($B6="",$F6="✖ منتهي الخدمة"),"",IF(H6="",IF($E6="غير سعودي","⚠ أدخل التاريخ","-"),IF(I6&lt;0,"✖ منتهية منذ "&amp;TEXT(-I6,"0")&amp;" يوم",IF(I6&lt;=cfg_ALERT,"⚠ تنتهي خلال "&amp;TEXT(I6,"0")&amp;" يوم","✔ سارية"))))</f>
        <v>✔ سارية</v>
      </c>
      <c r="K6" s="147" t="str">
        <f aca="false">IF($B6="","",IF(الموظفون!$K6="","",الموظفون!$K6))</f>
        <v/>
      </c>
      <c r="L6" s="57" t="str">
        <f aca="false">IF(OR($B6="",K6=""),"",K6-cfg_TRACK)</f>
        <v/>
      </c>
      <c r="M6" s="80" t="str">
        <f aca="false">IF(OR($B6="",$F6="✖ منتهي الخدمة"),"",IF(K6="",IF($E6="غير سعودي","⚠ أدخل التاريخ","-"),IF(L6&lt;0,"✖ منتهية منذ "&amp;TEXT(-L6,"0")&amp;" يوم",IF(L6&lt;=cfg_ALERT,"⚠ تنتهي خلال "&amp;TEXT(L6,"0")&amp;" يوم","✔ سارية"))))</f>
        <v>-</v>
      </c>
      <c r="N6" s="97" t="n">
        <f aca="false">IF($B6="","",IF(F6="✖ منتهي الخدمة",0,IF(الموظفون!$X6&lt;&gt;"",الموظفون!$X6,IF(الموظفون!$E6="غير سعودي",cfg_IQ,0))))</f>
        <v>0</v>
      </c>
      <c r="O6" s="97" t="n">
        <f aca="false">IF($B6="","",IF(F6="✖ منتهي الخدمة",0,IF(الموظفون!$Y6&lt;&gt;"",الموظفون!$Y6,IF(الموظفون!$E6="غير سعودي",cfg_WP,0))))</f>
        <v>0</v>
      </c>
      <c r="P6" s="97" t="n">
        <f aca="false">IF($B6="","",IF(F6="✖ منتهي الخدمة",0,IF(الموظفون!$Z6&lt;&gt;"",الموظفون!$Z6,cfg_MED)))</f>
        <v>4800</v>
      </c>
      <c r="Q6" s="97" t="n">
        <f aca="false">IF($B6="","",IF(F6="✖ منتهي الخدمة",0,N(الموظفون!$AA6)))</f>
        <v>0</v>
      </c>
      <c r="R6" s="97" t="n">
        <f aca="false">IF($B6="","",SUM(N6:Q6))</f>
        <v>4800</v>
      </c>
      <c r="S6" s="97" t="n">
        <f aca="false">IF($B6="","",R6/12)</f>
        <v>400</v>
      </c>
      <c r="T6" s="97" t="n">
        <f aca="false">IF($B6="","",IF(1&lt;=cfg_VAL_M,'مسير يناير'!AD6+'مسير يناير'!AE6+'مسير يناير'!AF6,0)+IF(2&lt;=cfg_VAL_M,'مسير فبراير'!AD6+'مسير فبراير'!AE6+'مسير فبراير'!AF6,0)+IF(3&lt;=cfg_VAL_M,'مسير مارس'!AD6+'مسير مارس'!AE6+'مسير مارس'!AF6,0)+IF(4&lt;=cfg_VAL_M,'مسير أبريل'!AD6+'مسير أبريل'!AE6+'مسير أبريل'!AF6,0)+IF(5&lt;=cfg_VAL_M,'مسير مايو'!AD6+'مسير مايو'!AE6+'مسير مايو'!AF6,0)+IF(6&lt;=cfg_VAL_M,'مسير يونيو'!AD6+'مسير يونيو'!AE6+'مسير يونيو'!AF6,0)+IF(7&lt;=cfg_VAL_M,'مسير يوليو'!AD6+'مسير يوليو'!AE6+'مسير يوليو'!AF6,0)+IF(8&lt;=cfg_VAL_M,'مسير أغسطس'!AD6+'مسير أغسطس'!AE6+'مسير أغسطس'!AF6,0)+IF(9&lt;=cfg_VAL_M,'مسير سبتمبر'!AD6+'مسير سبتمبر'!AE6+'مسير سبتمبر'!AF6,0)+IF(10&lt;=cfg_VAL_M,'مسير أكتوبر'!AD6+'مسير أكتوبر'!AE6+'مسير أكتوبر'!AF6,0)+IF(11&lt;=cfg_VAL_M,'مسير نوفمبر'!AD6+'مسير نوفمبر'!AE6+'مسير نوفمبر'!AF6,0)+IF(12&lt;=cfg_VAL_M,'مسير ديسمبر'!AD6+'مسير ديسمبر'!AE6+'مسير ديسمبر'!AF6,0))</f>
        <v>3600</v>
      </c>
      <c r="U6" s="97" t="n">
        <f aca="false">IF(OR($B6="",F6="✖ منتهي الخدمة"),"",IF(AND(ISNUMBER(I6),I6&lt;=cfg_ALERT),N6,0)+IF(AND(ISNUMBER(L6),L6&lt;=cfg_ALERT),O6,0))</f>
        <v>0</v>
      </c>
    </row>
    <row r="7" customFormat="false" ht="15" hidden="false" customHeight="false" outlineLevel="0" collapsed="false">
      <c r="B7" s="102" t="str">
        <f aca="false">IF(الموظفون!$B7="","",الموظفون!$B7)</f>
        <v>E002</v>
      </c>
      <c r="C7" s="102" t="str">
        <f aca="false">IF($B7="","",الموظفون!$C7)</f>
        <v>أحمد سعيد القحطاني</v>
      </c>
      <c r="D7" s="102" t="str">
        <f aca="false">IF($B7="","",الموظفون!$D7)</f>
        <v>سعودي</v>
      </c>
      <c r="E7" s="102" t="str">
        <f aca="false">IF($B7="","",الموظفون!$E7)</f>
        <v>سعودي</v>
      </c>
      <c r="F7" s="102" t="str">
        <f aca="false">IF($B7="","",الموظفون!$AG7)</f>
        <v>✔ على رأس العمل</v>
      </c>
      <c r="G7" s="102" t="str">
        <f aca="false">IF($B7="","",IF(الموظفون!$I7="","",الموظفون!$I7))</f>
        <v>1023456789</v>
      </c>
      <c r="H7" s="148" t="n">
        <f aca="false">IF($B7="","",IF(الموظفون!$J7="","",الموظفون!$J7))</f>
        <v>46786</v>
      </c>
      <c r="I7" s="110" t="n">
        <f aca="false">IF(OR($B7="",H7=""),"",H7-cfg_TRACK)</f>
        <v>492</v>
      </c>
      <c r="J7" s="102" t="str">
        <f aca="false">IF(OR($B7="",$F7="✖ منتهي الخدمة"),"",IF(H7="",IF($E7="غير سعودي","⚠ أدخل التاريخ","-"),IF(I7&lt;0,"✖ منتهية منذ "&amp;TEXT(-I7,"0")&amp;" يوم",IF(I7&lt;=cfg_ALERT,"⚠ تنتهي خلال "&amp;TEXT(I7,"0")&amp;" يوم","✔ سارية"))))</f>
        <v>✔ سارية</v>
      </c>
      <c r="K7" s="148" t="str">
        <f aca="false">IF($B7="","",IF(الموظفون!$K7="","",الموظفون!$K7))</f>
        <v/>
      </c>
      <c r="L7" s="110" t="str">
        <f aca="false">IF(OR($B7="",K7=""),"",K7-cfg_TRACK)</f>
        <v/>
      </c>
      <c r="M7" s="102" t="str">
        <f aca="false">IF(OR($B7="",$F7="✖ منتهي الخدمة"),"",IF(K7="",IF($E7="غير سعودي","⚠ أدخل التاريخ","-"),IF(L7&lt;0,"✖ منتهية منذ "&amp;TEXT(-L7,"0")&amp;" يوم",IF(L7&lt;=cfg_ALERT,"⚠ تنتهي خلال "&amp;TEXT(L7,"0")&amp;" يوم","✔ سارية"))))</f>
        <v>-</v>
      </c>
      <c r="N7" s="101" t="n">
        <f aca="false">IF($B7="","",IF(F7="✖ منتهي الخدمة",0,IF(الموظفون!$X7&lt;&gt;"",الموظفون!$X7,IF(الموظفون!$E7="غير سعودي",cfg_IQ,0))))</f>
        <v>0</v>
      </c>
      <c r="O7" s="101" t="n">
        <f aca="false">IF($B7="","",IF(F7="✖ منتهي الخدمة",0,IF(الموظفون!$Y7&lt;&gt;"",الموظفون!$Y7,IF(الموظفون!$E7="غير سعودي",cfg_WP,0))))</f>
        <v>0</v>
      </c>
      <c r="P7" s="101" t="n">
        <f aca="false">IF($B7="","",IF(F7="✖ منتهي الخدمة",0,IF(الموظفون!$Z7&lt;&gt;"",الموظفون!$Z7,cfg_MED)))</f>
        <v>3600</v>
      </c>
      <c r="Q7" s="101" t="n">
        <f aca="false">IF($B7="","",IF(F7="✖ منتهي الخدمة",0,N(الموظفون!$AA7)))</f>
        <v>0</v>
      </c>
      <c r="R7" s="101" t="n">
        <f aca="false">IF($B7="","",SUM(N7:Q7))</f>
        <v>3600</v>
      </c>
      <c r="S7" s="101" t="n">
        <f aca="false">IF($B7="","",R7/12)</f>
        <v>300</v>
      </c>
      <c r="T7" s="101" t="n">
        <f aca="false">IF($B7="","",IF(1&lt;=cfg_VAL_M,'مسير يناير'!AD7+'مسير يناير'!AE7+'مسير يناير'!AF7,0)+IF(2&lt;=cfg_VAL_M,'مسير فبراير'!AD7+'مسير فبراير'!AE7+'مسير فبراير'!AF7,0)+IF(3&lt;=cfg_VAL_M,'مسير مارس'!AD7+'مسير مارس'!AE7+'مسير مارس'!AF7,0)+IF(4&lt;=cfg_VAL_M,'مسير أبريل'!AD7+'مسير أبريل'!AE7+'مسير أبريل'!AF7,0)+IF(5&lt;=cfg_VAL_M,'مسير مايو'!AD7+'مسير مايو'!AE7+'مسير مايو'!AF7,0)+IF(6&lt;=cfg_VAL_M,'مسير يونيو'!AD7+'مسير يونيو'!AE7+'مسير يونيو'!AF7,0)+IF(7&lt;=cfg_VAL_M,'مسير يوليو'!AD7+'مسير يوليو'!AE7+'مسير يوليو'!AF7,0)+IF(8&lt;=cfg_VAL_M,'مسير أغسطس'!AD7+'مسير أغسطس'!AE7+'مسير أغسطس'!AF7,0)+IF(9&lt;=cfg_VAL_M,'مسير سبتمبر'!AD7+'مسير سبتمبر'!AE7+'مسير سبتمبر'!AF7,0)+IF(10&lt;=cfg_VAL_M,'مسير أكتوبر'!AD7+'مسير أكتوبر'!AE7+'مسير أكتوبر'!AF7,0)+IF(11&lt;=cfg_VAL_M,'مسير نوفمبر'!AD7+'مسير نوفمبر'!AE7+'مسير نوفمبر'!AF7,0)+IF(12&lt;=cfg_VAL_M,'مسير ديسمبر'!AD7+'مسير ديسمبر'!AE7+'مسير ديسمبر'!AF7,0))</f>
        <v>2700</v>
      </c>
      <c r="U7" s="101" t="n">
        <f aca="false">IF(OR($B7="",F7="✖ منتهي الخدمة"),"",IF(AND(ISNUMBER(I7),I7&lt;=cfg_ALERT),N7,0)+IF(AND(ISNUMBER(L7),L7&lt;=cfg_ALERT),O7,0))</f>
        <v>0</v>
      </c>
    </row>
    <row r="8" customFormat="false" ht="15" hidden="false" customHeight="false" outlineLevel="0" collapsed="false">
      <c r="B8" s="80" t="str">
        <f aca="false">IF(الموظفون!$B8="","",الموظفون!$B8)</f>
        <v>E003</v>
      </c>
      <c r="C8" s="80" t="str">
        <f aca="false">IF($B8="","",الموظفون!$C8)</f>
        <v>محمد علي حسن</v>
      </c>
      <c r="D8" s="80" t="str">
        <f aca="false">IF($B8="","",الموظفون!$D8)</f>
        <v>مصري</v>
      </c>
      <c r="E8" s="80" t="str">
        <f aca="false">IF($B8="","",الموظفون!$E8)</f>
        <v>غير سعودي</v>
      </c>
      <c r="F8" s="80" t="str">
        <f aca="false">IF($B8="","",الموظفون!$AG8)</f>
        <v>✔ على رأس العمل</v>
      </c>
      <c r="G8" s="80" t="str">
        <f aca="false">IF($B8="","",IF(الموظفون!$I8="","",الموظفون!$I8))</f>
        <v>2312345678</v>
      </c>
      <c r="H8" s="147" t="n">
        <f aca="false">IF($B8="","",IF(الموظفون!$J8="","",الموظفون!$J8))</f>
        <v>46346</v>
      </c>
      <c r="I8" s="57" t="n">
        <f aca="false">IF(OR($B8="",H8=""),"",H8-cfg_TRACK)</f>
        <v>52</v>
      </c>
      <c r="J8" s="80" t="str">
        <f aca="false">IF(OR($B8="",$F8="✖ منتهي الخدمة"),"",IF(H8="",IF($E8="غير سعودي","⚠ أدخل التاريخ","-"),IF(I8&lt;0,"✖ منتهية منذ "&amp;TEXT(-I8,"0")&amp;" يوم",IF(I8&lt;=cfg_ALERT,"⚠ تنتهي خلال "&amp;TEXT(I8,"0")&amp;" يوم","✔ سارية"))))</f>
        <v>⚠ تنتهي خلال 52 يوم</v>
      </c>
      <c r="K8" s="147" t="n">
        <f aca="false">IF($B8="","",IF(الموظفون!$K8="","",الموظفون!$K8))</f>
        <v>46346</v>
      </c>
      <c r="L8" s="57" t="n">
        <f aca="false">IF(OR($B8="",K8=""),"",K8-cfg_TRACK)</f>
        <v>52</v>
      </c>
      <c r="M8" s="80" t="str">
        <f aca="false">IF(OR($B8="",$F8="✖ منتهي الخدمة"),"",IF(K8="",IF($E8="غير سعودي","⚠ أدخل التاريخ","-"),IF(L8&lt;0,"✖ منتهية منذ "&amp;TEXT(-L8,"0")&amp;" يوم",IF(L8&lt;=cfg_ALERT,"⚠ تنتهي خلال "&amp;TEXT(L8,"0")&amp;" يوم","✔ سارية"))))</f>
        <v>⚠ تنتهي خلال 52 يوم</v>
      </c>
      <c r="N8" s="97" t="n">
        <f aca="false">IF($B8="","",IF(F8="✖ منتهي الخدمة",0,IF(الموظفون!$X8&lt;&gt;"",الموظفون!$X8,IF(الموظفون!$E8="غير سعودي",cfg_IQ,0))))</f>
        <v>650</v>
      </c>
      <c r="O8" s="97" t="n">
        <f aca="false">IF($B8="","",IF(F8="✖ منتهي الخدمة",0,IF(الموظفون!$Y8&lt;&gt;"",الموظفون!$Y8,IF(الموظفون!$E8="غير سعودي",cfg_WP,0))))</f>
        <v>9600</v>
      </c>
      <c r="P8" s="97" t="n">
        <f aca="false">IF($B8="","",IF(F8="✖ منتهي الخدمة",0,IF(الموظفون!$Z8&lt;&gt;"",الموظفون!$Z8,cfg_MED)))</f>
        <v>2400</v>
      </c>
      <c r="Q8" s="97" t="n">
        <f aca="false">IF($B8="","",IF(F8="✖ منتهي الخدمة",0,N(الموظفون!$AA8)))</f>
        <v>0</v>
      </c>
      <c r="R8" s="97" t="n">
        <f aca="false">IF($B8="","",SUM(N8:Q8))</f>
        <v>12650</v>
      </c>
      <c r="S8" s="97" t="n">
        <f aca="false">IF($B8="","",R8/12)</f>
        <v>1054.16666666667</v>
      </c>
      <c r="T8" s="97" t="n">
        <f aca="false">IF($B8="","",IF(1&lt;=cfg_VAL_M,'مسير يناير'!AD8+'مسير يناير'!AE8+'مسير يناير'!AF8,0)+IF(2&lt;=cfg_VAL_M,'مسير فبراير'!AD8+'مسير فبراير'!AE8+'مسير فبراير'!AF8,0)+IF(3&lt;=cfg_VAL_M,'مسير مارس'!AD8+'مسير مارس'!AE8+'مسير مارس'!AF8,0)+IF(4&lt;=cfg_VAL_M,'مسير أبريل'!AD8+'مسير أبريل'!AE8+'مسير أبريل'!AF8,0)+IF(5&lt;=cfg_VAL_M,'مسير مايو'!AD8+'مسير مايو'!AE8+'مسير مايو'!AF8,0)+IF(6&lt;=cfg_VAL_M,'مسير يونيو'!AD8+'مسير يونيو'!AE8+'مسير يونيو'!AF8,0)+IF(7&lt;=cfg_VAL_M,'مسير يوليو'!AD8+'مسير يوليو'!AE8+'مسير يوليو'!AF8,0)+IF(8&lt;=cfg_VAL_M,'مسير أغسطس'!AD8+'مسير أغسطس'!AE8+'مسير أغسطس'!AF8,0)+IF(9&lt;=cfg_VAL_M,'مسير سبتمبر'!AD8+'مسير سبتمبر'!AE8+'مسير سبتمبر'!AF8,0)+IF(10&lt;=cfg_VAL_M,'مسير أكتوبر'!AD8+'مسير أكتوبر'!AE8+'مسير أكتوبر'!AF8,0)+IF(11&lt;=cfg_VAL_M,'مسير نوفمبر'!AD8+'مسير نوفمبر'!AE8+'مسير نوفمبر'!AF8,0)+IF(12&lt;=cfg_VAL_M,'مسير ديسمبر'!AD8+'مسير ديسمبر'!AE8+'مسير ديسمبر'!AF8,0))</f>
        <v>9487.5</v>
      </c>
      <c r="U8" s="97" t="n">
        <f aca="false">IF(OR($B8="",F8="✖ منتهي الخدمة"),"",IF(AND(ISNUMBER(I8),I8&lt;=cfg_ALERT),N8,0)+IF(AND(ISNUMBER(L8),L8&lt;=cfg_ALERT),O8,0))</f>
        <v>10250</v>
      </c>
    </row>
    <row r="9" customFormat="false" ht="15" hidden="false" customHeight="false" outlineLevel="0" collapsed="false">
      <c r="B9" s="102" t="str">
        <f aca="false">IF(الموظفون!$B9="","",الموظفون!$B9)</f>
        <v>E004</v>
      </c>
      <c r="C9" s="102" t="str">
        <f aca="false">IF($B9="","",الموظفون!$C9)</f>
        <v>نورة خالد الدوسري</v>
      </c>
      <c r="D9" s="102" t="str">
        <f aca="false">IF($B9="","",الموظفون!$D9)</f>
        <v>سعودية</v>
      </c>
      <c r="E9" s="102" t="str">
        <f aca="false">IF($B9="","",الموظفون!$E9)</f>
        <v>سعودي</v>
      </c>
      <c r="F9" s="102" t="str">
        <f aca="false">IF($B9="","",الموظفون!$AG9)</f>
        <v>✔ على رأس العمل</v>
      </c>
      <c r="G9" s="102" t="str">
        <f aca="false">IF($B9="","",IF(الموظفون!$I9="","",الموظفون!$I9))</f>
        <v>1034567890</v>
      </c>
      <c r="H9" s="148" t="n">
        <f aca="false">IF($B9="","",IF(الموظفون!$J9="","",الموظفون!$J9))</f>
        <v>47678</v>
      </c>
      <c r="I9" s="110" t="n">
        <f aca="false">IF(OR($B9="",H9=""),"",H9-cfg_TRACK)</f>
        <v>1384</v>
      </c>
      <c r="J9" s="102" t="str">
        <f aca="false">IF(OR($B9="",$F9="✖ منتهي الخدمة"),"",IF(H9="",IF($E9="غير سعودي","⚠ أدخل التاريخ","-"),IF(I9&lt;0,"✖ منتهية منذ "&amp;TEXT(-I9,"0")&amp;" يوم",IF(I9&lt;=cfg_ALERT,"⚠ تنتهي خلال "&amp;TEXT(I9,"0")&amp;" يوم","✔ سارية"))))</f>
        <v>✔ سارية</v>
      </c>
      <c r="K9" s="148" t="str">
        <f aca="false">IF($B9="","",IF(الموظفون!$K9="","",الموظفون!$K9))</f>
        <v/>
      </c>
      <c r="L9" s="110" t="str">
        <f aca="false">IF(OR($B9="",K9=""),"",K9-cfg_TRACK)</f>
        <v/>
      </c>
      <c r="M9" s="102" t="str">
        <f aca="false">IF(OR($B9="",$F9="✖ منتهي الخدمة"),"",IF(K9="",IF($E9="غير سعودي","⚠ أدخل التاريخ","-"),IF(L9&lt;0,"✖ منتهية منذ "&amp;TEXT(-L9,"0")&amp;" يوم",IF(L9&lt;=cfg_ALERT,"⚠ تنتهي خلال "&amp;TEXT(L9,"0")&amp;" يوم","✔ سارية"))))</f>
        <v>-</v>
      </c>
      <c r="N9" s="101" t="n">
        <f aca="false">IF($B9="","",IF(F9="✖ منتهي الخدمة",0,IF(الموظفون!$X9&lt;&gt;"",الموظفون!$X9,IF(الموظفون!$E9="غير سعودي",cfg_IQ,0))))</f>
        <v>0</v>
      </c>
      <c r="O9" s="101" t="n">
        <f aca="false">IF($B9="","",IF(F9="✖ منتهي الخدمة",0,IF(الموظفون!$Y9&lt;&gt;"",الموظفون!$Y9,IF(الموظفون!$E9="غير سعودي",cfg_WP,0))))</f>
        <v>0</v>
      </c>
      <c r="P9" s="101" t="n">
        <f aca="false">IF($B9="","",IF(F9="✖ منتهي الخدمة",0,IF(الموظفون!$Z9&lt;&gt;"",الموظفون!$Z9,cfg_MED)))</f>
        <v>3600</v>
      </c>
      <c r="Q9" s="101" t="n">
        <f aca="false">IF($B9="","",IF(F9="✖ منتهي الخدمة",0,N(الموظفون!$AA9)))</f>
        <v>0</v>
      </c>
      <c r="R9" s="101" t="n">
        <f aca="false">IF($B9="","",SUM(N9:Q9))</f>
        <v>3600</v>
      </c>
      <c r="S9" s="101" t="n">
        <f aca="false">IF($B9="","",R9/12)</f>
        <v>300</v>
      </c>
      <c r="T9" s="101" t="n">
        <f aca="false">IF($B9="","",IF(1&lt;=cfg_VAL_M,'مسير يناير'!AD9+'مسير يناير'!AE9+'مسير يناير'!AF9,0)+IF(2&lt;=cfg_VAL_M,'مسير فبراير'!AD9+'مسير فبراير'!AE9+'مسير فبراير'!AF9,0)+IF(3&lt;=cfg_VAL_M,'مسير مارس'!AD9+'مسير مارس'!AE9+'مسير مارس'!AF9,0)+IF(4&lt;=cfg_VAL_M,'مسير أبريل'!AD9+'مسير أبريل'!AE9+'مسير أبريل'!AF9,0)+IF(5&lt;=cfg_VAL_M,'مسير مايو'!AD9+'مسير مايو'!AE9+'مسير مايو'!AF9,0)+IF(6&lt;=cfg_VAL_M,'مسير يونيو'!AD9+'مسير يونيو'!AE9+'مسير يونيو'!AF9,0)+IF(7&lt;=cfg_VAL_M,'مسير يوليو'!AD9+'مسير يوليو'!AE9+'مسير يوليو'!AF9,0)+IF(8&lt;=cfg_VAL_M,'مسير أغسطس'!AD9+'مسير أغسطس'!AE9+'مسير أغسطس'!AF9,0)+IF(9&lt;=cfg_VAL_M,'مسير سبتمبر'!AD9+'مسير سبتمبر'!AE9+'مسير سبتمبر'!AF9,0)+IF(10&lt;=cfg_VAL_M,'مسير أكتوبر'!AD9+'مسير أكتوبر'!AE9+'مسير أكتوبر'!AF9,0)+IF(11&lt;=cfg_VAL_M,'مسير نوفمبر'!AD9+'مسير نوفمبر'!AE9+'مسير نوفمبر'!AF9,0)+IF(12&lt;=cfg_VAL_M,'مسير ديسمبر'!AD9+'مسير ديسمبر'!AE9+'مسير ديسمبر'!AF9,0))</f>
        <v>2700</v>
      </c>
      <c r="U9" s="101" t="n">
        <f aca="false">IF(OR($B9="",F9="✖ منتهي الخدمة"),"",IF(AND(ISNUMBER(I9),I9&lt;=cfg_ALERT),N9,0)+IF(AND(ISNUMBER(L9),L9&lt;=cfg_ALERT),O9,0))</f>
        <v>0</v>
      </c>
    </row>
    <row r="10" customFormat="false" ht="15" hidden="false" customHeight="false" outlineLevel="0" collapsed="false">
      <c r="B10" s="80" t="str">
        <f aca="false">IF(الموظفون!$B10="","",الموظفون!$B10)</f>
        <v>E005</v>
      </c>
      <c r="C10" s="80" t="str">
        <f aca="false">IF($B10="","",الموظفون!$C10)</f>
        <v>راجيش كومار</v>
      </c>
      <c r="D10" s="80" t="str">
        <f aca="false">IF($B10="","",الموظفون!$D10)</f>
        <v>هندي</v>
      </c>
      <c r="E10" s="80" t="str">
        <f aca="false">IF($B10="","",الموظفون!$E10)</f>
        <v>غير سعودي</v>
      </c>
      <c r="F10" s="80" t="str">
        <f aca="false">IF($B10="","",الموظفون!$AG10)</f>
        <v>✔ على رأس العمل</v>
      </c>
      <c r="G10" s="80" t="str">
        <f aca="false">IF($B10="","",IF(الموظفون!$I10="","",الموظفون!$I10))</f>
        <v>2323456789</v>
      </c>
      <c r="H10" s="147" t="n">
        <f aca="false">IF($B10="","",IF(الموظفون!$J10="","",الموظفون!$J10))</f>
        <v>46417</v>
      </c>
      <c r="I10" s="57" t="n">
        <f aca="false">IF(OR($B10="",H10=""),"",H10-cfg_TRACK)</f>
        <v>123</v>
      </c>
      <c r="J10" s="80" t="str">
        <f aca="false">IF(OR($B10="",$F10="✖ منتهي الخدمة"),"",IF(H10="",IF($E10="غير سعودي","⚠ أدخل التاريخ","-"),IF(I10&lt;0,"✖ منتهية منذ "&amp;TEXT(-I10,"0")&amp;" يوم",IF(I10&lt;=cfg_ALERT,"⚠ تنتهي خلال "&amp;TEXT(I10,"0")&amp;" يوم","✔ سارية"))))</f>
        <v>✔ سارية</v>
      </c>
      <c r="K10" s="147" t="n">
        <f aca="false">IF($B10="","",IF(الموظفون!$K10="","",الموظفون!$K10))</f>
        <v>46417</v>
      </c>
      <c r="L10" s="57" t="n">
        <f aca="false">IF(OR($B10="",K10=""),"",K10-cfg_TRACK)</f>
        <v>123</v>
      </c>
      <c r="M10" s="80" t="str">
        <f aca="false">IF(OR($B10="",$F10="✖ منتهي الخدمة"),"",IF(K10="",IF($E10="غير سعودي","⚠ أدخل التاريخ","-"),IF(L10&lt;0,"✖ منتهية منذ "&amp;TEXT(-L10,"0")&amp;" يوم",IF(L10&lt;=cfg_ALERT,"⚠ تنتهي خلال "&amp;TEXT(L10,"0")&amp;" يوم","✔ سارية"))))</f>
        <v>✔ سارية</v>
      </c>
      <c r="N10" s="97" t="n">
        <f aca="false">IF($B10="","",IF(F10="✖ منتهي الخدمة",0,IF(الموظفون!$X10&lt;&gt;"",الموظفون!$X10,IF(الموظفون!$E10="غير سعودي",cfg_IQ,0))))</f>
        <v>650</v>
      </c>
      <c r="O10" s="97" t="n">
        <f aca="false">IF($B10="","",IF(F10="✖ منتهي الخدمة",0,IF(الموظفون!$Y10&lt;&gt;"",الموظفون!$Y10,IF(الموظفون!$E10="غير سعودي",cfg_WP,0))))</f>
        <v>9600</v>
      </c>
      <c r="P10" s="97" t="n">
        <f aca="false">IF($B10="","",IF(F10="✖ منتهي الخدمة",0,IF(الموظفون!$Z10&lt;&gt;"",الموظفون!$Z10,cfg_MED)))</f>
        <v>2400</v>
      </c>
      <c r="Q10" s="97" t="n">
        <f aca="false">IF($B10="","",IF(F10="✖ منتهي الخدمة",0,N(الموظفون!$AA10)))</f>
        <v>0</v>
      </c>
      <c r="R10" s="97" t="n">
        <f aca="false">IF($B10="","",SUM(N10:Q10))</f>
        <v>12650</v>
      </c>
      <c r="S10" s="97" t="n">
        <f aca="false">IF($B10="","",R10/12)</f>
        <v>1054.16666666667</v>
      </c>
      <c r="T10" s="97" t="n">
        <f aca="false">IF($B10="","",IF(1&lt;=cfg_VAL_M,'مسير يناير'!AD10+'مسير يناير'!AE10+'مسير يناير'!AF10,0)+IF(2&lt;=cfg_VAL_M,'مسير فبراير'!AD10+'مسير فبراير'!AE10+'مسير فبراير'!AF10,0)+IF(3&lt;=cfg_VAL_M,'مسير مارس'!AD10+'مسير مارس'!AE10+'مسير مارس'!AF10,0)+IF(4&lt;=cfg_VAL_M,'مسير أبريل'!AD10+'مسير أبريل'!AE10+'مسير أبريل'!AF10,0)+IF(5&lt;=cfg_VAL_M,'مسير مايو'!AD10+'مسير مايو'!AE10+'مسير مايو'!AF10,0)+IF(6&lt;=cfg_VAL_M,'مسير يونيو'!AD10+'مسير يونيو'!AE10+'مسير يونيو'!AF10,0)+IF(7&lt;=cfg_VAL_M,'مسير يوليو'!AD10+'مسير يوليو'!AE10+'مسير يوليو'!AF10,0)+IF(8&lt;=cfg_VAL_M,'مسير أغسطس'!AD10+'مسير أغسطس'!AE10+'مسير أغسطس'!AF10,0)+IF(9&lt;=cfg_VAL_M,'مسير سبتمبر'!AD10+'مسير سبتمبر'!AE10+'مسير سبتمبر'!AF10,0)+IF(10&lt;=cfg_VAL_M,'مسير أكتوبر'!AD10+'مسير أكتوبر'!AE10+'مسير أكتوبر'!AF10,0)+IF(11&lt;=cfg_VAL_M,'مسير نوفمبر'!AD10+'مسير نوفمبر'!AE10+'مسير نوفمبر'!AF10,0)+IF(12&lt;=cfg_VAL_M,'مسير ديسمبر'!AD10+'مسير ديسمبر'!AE10+'مسير ديسمبر'!AF10,0))</f>
        <v>9487.5</v>
      </c>
      <c r="U10" s="97" t="n">
        <f aca="false">IF(OR($B10="",F10="✖ منتهي الخدمة"),"",IF(AND(ISNUMBER(I10),I10&lt;=cfg_ALERT),N10,0)+IF(AND(ISNUMBER(L10),L10&lt;=cfg_ALERT),O10,0))</f>
        <v>0</v>
      </c>
    </row>
    <row r="11" customFormat="false" ht="15" hidden="false" customHeight="false" outlineLevel="0" collapsed="false">
      <c r="B11" s="102" t="str">
        <f aca="false">IF(الموظفون!$B11="","",الموظفون!$B11)</f>
        <v>E006</v>
      </c>
      <c r="C11" s="102" t="str">
        <f aca="false">IF($B11="","",الموظفون!$C11)</f>
        <v>فهد ناصر الشمري</v>
      </c>
      <c r="D11" s="102" t="str">
        <f aca="false">IF($B11="","",الموظفون!$D11)</f>
        <v>سعودي</v>
      </c>
      <c r="E11" s="102" t="str">
        <f aca="false">IF($B11="","",الموظفون!$E11)</f>
        <v>سعودي</v>
      </c>
      <c r="F11" s="102" t="str">
        <f aca="false">IF($B11="","",الموظفون!$AG11)</f>
        <v>✔ على رأس العمل</v>
      </c>
      <c r="G11" s="102" t="str">
        <f aca="false">IF($B11="","",IF(الموظفون!$I11="","",الموظفون!$I11))</f>
        <v>1045678901</v>
      </c>
      <c r="H11" s="148" t="n">
        <f aca="false">IF($B11="","",IF(الموظفون!$J11="","",الموظفون!$J11))</f>
        <v>47929</v>
      </c>
      <c r="I11" s="110" t="n">
        <f aca="false">IF(OR($B11="",H11=""),"",H11-cfg_TRACK)</f>
        <v>1635</v>
      </c>
      <c r="J11" s="102" t="str">
        <f aca="false">IF(OR($B11="",$F11="✖ منتهي الخدمة"),"",IF(H11="",IF($E11="غير سعودي","⚠ أدخل التاريخ","-"),IF(I11&lt;0,"✖ منتهية منذ "&amp;TEXT(-I11,"0")&amp;" يوم",IF(I11&lt;=cfg_ALERT,"⚠ تنتهي خلال "&amp;TEXT(I11,"0")&amp;" يوم","✔ سارية"))))</f>
        <v>✔ سارية</v>
      </c>
      <c r="K11" s="148" t="str">
        <f aca="false">IF($B11="","",IF(الموظفون!$K11="","",الموظفون!$K11))</f>
        <v/>
      </c>
      <c r="L11" s="110" t="str">
        <f aca="false">IF(OR($B11="",K11=""),"",K11-cfg_TRACK)</f>
        <v/>
      </c>
      <c r="M11" s="102" t="str">
        <f aca="false">IF(OR($B11="",$F11="✖ منتهي الخدمة"),"",IF(K11="",IF($E11="غير سعودي","⚠ أدخل التاريخ","-"),IF(L11&lt;0,"✖ منتهية منذ "&amp;TEXT(-L11,"0")&amp;" يوم",IF(L11&lt;=cfg_ALERT,"⚠ تنتهي خلال "&amp;TEXT(L11,"0")&amp;" يوم","✔ سارية"))))</f>
        <v>-</v>
      </c>
      <c r="N11" s="101" t="n">
        <f aca="false">IF($B11="","",IF(F11="✖ منتهي الخدمة",0,IF(الموظفون!$X11&lt;&gt;"",الموظفون!$X11,IF(الموظفون!$E11="غير سعودي",cfg_IQ,0))))</f>
        <v>0</v>
      </c>
      <c r="O11" s="101" t="n">
        <f aca="false">IF($B11="","",IF(F11="✖ منتهي الخدمة",0,IF(الموظفون!$Y11&lt;&gt;"",الموظفون!$Y11,IF(الموظفون!$E11="غير سعودي",cfg_WP,0))))</f>
        <v>0</v>
      </c>
      <c r="P11" s="101" t="n">
        <f aca="false">IF($B11="","",IF(F11="✖ منتهي الخدمة",0,IF(الموظفون!$Z11&lt;&gt;"",الموظفون!$Z11,cfg_MED)))</f>
        <v>3600</v>
      </c>
      <c r="Q11" s="101" t="n">
        <f aca="false">IF($B11="","",IF(F11="✖ منتهي الخدمة",0,N(الموظفون!$AA11)))</f>
        <v>0</v>
      </c>
      <c r="R11" s="101" t="n">
        <f aca="false">IF($B11="","",SUM(N11:Q11))</f>
        <v>3600</v>
      </c>
      <c r="S11" s="101" t="n">
        <f aca="false">IF($B11="","",R11/12)</f>
        <v>300</v>
      </c>
      <c r="T11" s="101" t="n">
        <f aca="false">IF($B11="","",IF(1&lt;=cfg_VAL_M,'مسير يناير'!AD11+'مسير يناير'!AE11+'مسير يناير'!AF11,0)+IF(2&lt;=cfg_VAL_M,'مسير فبراير'!AD11+'مسير فبراير'!AE11+'مسير فبراير'!AF11,0)+IF(3&lt;=cfg_VAL_M,'مسير مارس'!AD11+'مسير مارس'!AE11+'مسير مارس'!AF11,0)+IF(4&lt;=cfg_VAL_M,'مسير أبريل'!AD11+'مسير أبريل'!AE11+'مسير أبريل'!AF11,0)+IF(5&lt;=cfg_VAL_M,'مسير مايو'!AD11+'مسير مايو'!AE11+'مسير مايو'!AF11,0)+IF(6&lt;=cfg_VAL_M,'مسير يونيو'!AD11+'مسير يونيو'!AE11+'مسير يونيو'!AF11,0)+IF(7&lt;=cfg_VAL_M,'مسير يوليو'!AD11+'مسير يوليو'!AE11+'مسير يوليو'!AF11,0)+IF(8&lt;=cfg_VAL_M,'مسير أغسطس'!AD11+'مسير أغسطس'!AE11+'مسير أغسطس'!AF11,0)+IF(9&lt;=cfg_VAL_M,'مسير سبتمبر'!AD11+'مسير سبتمبر'!AE11+'مسير سبتمبر'!AF11,0)+IF(10&lt;=cfg_VAL_M,'مسير أكتوبر'!AD11+'مسير أكتوبر'!AE11+'مسير أكتوبر'!AF11,0)+IF(11&lt;=cfg_VAL_M,'مسير نوفمبر'!AD11+'مسير نوفمبر'!AE11+'مسير نوفمبر'!AF11,0)+IF(12&lt;=cfg_VAL_M,'مسير ديسمبر'!AD11+'مسير ديسمبر'!AE11+'مسير ديسمبر'!AF11,0))</f>
        <v>2700</v>
      </c>
      <c r="U11" s="101" t="n">
        <f aca="false">IF(OR($B11="",F11="✖ منتهي الخدمة"),"",IF(AND(ISNUMBER(I11),I11&lt;=cfg_ALERT),N11,0)+IF(AND(ISNUMBER(L11),L11&lt;=cfg_ALERT),O11,0))</f>
        <v>0</v>
      </c>
    </row>
    <row r="12" customFormat="false" ht="15" hidden="false" customHeight="false" outlineLevel="0" collapsed="false">
      <c r="B12" s="80" t="str">
        <f aca="false">IF(الموظفون!$B12="","",الموظفون!$B12)</f>
        <v>E007</v>
      </c>
      <c r="C12" s="80" t="str">
        <f aca="false">IF($B12="","",الموظفون!$C12)</f>
        <v>خالد يوسف الأحمد</v>
      </c>
      <c r="D12" s="80" t="str">
        <f aca="false">IF($B12="","",الموظفون!$D12)</f>
        <v>أردني</v>
      </c>
      <c r="E12" s="80" t="str">
        <f aca="false">IF($B12="","",الموظفون!$E12)</f>
        <v>غير سعودي</v>
      </c>
      <c r="F12" s="80" t="str">
        <f aca="false">IF($B12="","",الموظفون!$AG12)</f>
        <v>✔ على رأس العمل</v>
      </c>
      <c r="G12" s="80" t="str">
        <f aca="false">IF($B12="","",IF(الموظفون!$I12="","",الموظفون!$I12))</f>
        <v>2334567890</v>
      </c>
      <c r="H12" s="147" t="n">
        <f aca="false">IF($B12="","",IF(الموظفون!$J12="","",الموظفون!$J12))</f>
        <v>46320</v>
      </c>
      <c r="I12" s="57" t="n">
        <f aca="false">IF(OR($B12="",H12=""),"",H12-cfg_TRACK)</f>
        <v>26</v>
      </c>
      <c r="J12" s="80" t="str">
        <f aca="false">IF(OR($B12="",$F12="✖ منتهي الخدمة"),"",IF(H12="",IF($E12="غير سعودي","⚠ أدخل التاريخ","-"),IF(I12&lt;0,"✖ منتهية منذ "&amp;TEXT(-I12,"0")&amp;" يوم",IF(I12&lt;=cfg_ALERT,"⚠ تنتهي خلال "&amp;TEXT(I12,"0")&amp;" يوم","✔ سارية"))))</f>
        <v>⚠ تنتهي خلال 26 يوم</v>
      </c>
      <c r="K12" s="147" t="n">
        <f aca="false">IF($B12="","",IF(الموظفون!$K12="","",الموظفون!$K12))</f>
        <v>46280</v>
      </c>
      <c r="L12" s="57" t="n">
        <f aca="false">IF(OR($B12="",K12=""),"",K12-cfg_TRACK)</f>
        <v>-14</v>
      </c>
      <c r="M12" s="80" t="str">
        <f aca="false">IF(OR($B12="",$F12="✖ منتهي الخدمة"),"",IF(K12="",IF($E12="غير سعودي","⚠ أدخل التاريخ","-"),IF(L12&lt;0,"✖ منتهية منذ "&amp;TEXT(-L12,"0")&amp;" يوم",IF(L12&lt;=cfg_ALERT,"⚠ تنتهي خلال "&amp;TEXT(L12,"0")&amp;" يوم","✔ سارية"))))</f>
        <v>✖ منتهية منذ 14 يوم</v>
      </c>
      <c r="N12" s="97" t="n">
        <f aca="false">IF($B12="","",IF(F12="✖ منتهي الخدمة",0,IF(الموظفون!$X12&lt;&gt;"",الموظفون!$X12,IF(الموظفون!$E12="غير سعودي",cfg_IQ,0))))</f>
        <v>650</v>
      </c>
      <c r="O12" s="97" t="n">
        <f aca="false">IF($B12="","",IF(F12="✖ منتهي الخدمة",0,IF(الموظفون!$Y12&lt;&gt;"",الموظفون!$Y12,IF(الموظفون!$E12="غير سعودي",cfg_WP,0))))</f>
        <v>9600</v>
      </c>
      <c r="P12" s="97" t="n">
        <f aca="false">IF($B12="","",IF(F12="✖ منتهي الخدمة",0,IF(الموظفون!$Z12&lt;&gt;"",الموظفون!$Z12,cfg_MED)))</f>
        <v>2400</v>
      </c>
      <c r="Q12" s="97" t="n">
        <f aca="false">IF($B12="","",IF(F12="✖ منتهي الخدمة",0,N(الموظفون!$AA12)))</f>
        <v>4800</v>
      </c>
      <c r="R12" s="97" t="n">
        <f aca="false">IF($B12="","",SUM(N12:Q12))</f>
        <v>17450</v>
      </c>
      <c r="S12" s="97" t="n">
        <f aca="false">IF($B12="","",R12/12)</f>
        <v>1454.16666666667</v>
      </c>
      <c r="T12" s="97" t="n">
        <f aca="false">IF($B12="","",IF(1&lt;=cfg_VAL_M,'مسير يناير'!AD12+'مسير يناير'!AE12+'مسير يناير'!AF12,0)+IF(2&lt;=cfg_VAL_M,'مسير فبراير'!AD12+'مسير فبراير'!AE12+'مسير فبراير'!AF12,0)+IF(3&lt;=cfg_VAL_M,'مسير مارس'!AD12+'مسير مارس'!AE12+'مسير مارس'!AF12,0)+IF(4&lt;=cfg_VAL_M,'مسير أبريل'!AD12+'مسير أبريل'!AE12+'مسير أبريل'!AF12,0)+IF(5&lt;=cfg_VAL_M,'مسير مايو'!AD12+'مسير مايو'!AE12+'مسير مايو'!AF12,0)+IF(6&lt;=cfg_VAL_M,'مسير يونيو'!AD12+'مسير يونيو'!AE12+'مسير يونيو'!AF12,0)+IF(7&lt;=cfg_VAL_M,'مسير يوليو'!AD12+'مسير يوليو'!AE12+'مسير يوليو'!AF12,0)+IF(8&lt;=cfg_VAL_M,'مسير أغسطس'!AD12+'مسير أغسطس'!AE12+'مسير أغسطس'!AF12,0)+IF(9&lt;=cfg_VAL_M,'مسير سبتمبر'!AD12+'مسير سبتمبر'!AE12+'مسير سبتمبر'!AF12,0)+IF(10&lt;=cfg_VAL_M,'مسير أكتوبر'!AD12+'مسير أكتوبر'!AE12+'مسير أكتوبر'!AF12,0)+IF(11&lt;=cfg_VAL_M,'مسير نوفمبر'!AD12+'مسير نوفمبر'!AE12+'مسير نوفمبر'!AF12,0)+IF(12&lt;=cfg_VAL_M,'مسير ديسمبر'!AD12+'مسير ديسمبر'!AE12+'مسير ديسمبر'!AF12,0))</f>
        <v>13087.5</v>
      </c>
      <c r="U12" s="97" t="n">
        <f aca="false">IF(OR($B12="",F12="✖ منتهي الخدمة"),"",IF(AND(ISNUMBER(I12),I12&lt;=cfg_ALERT),N12,0)+IF(AND(ISNUMBER(L12),L12&lt;=cfg_ALERT),O12,0))</f>
        <v>10250</v>
      </c>
    </row>
    <row r="13" customFormat="false" ht="15" hidden="false" customHeight="false" outlineLevel="0" collapsed="false">
      <c r="B13" s="102" t="str">
        <f aca="false">IF(الموظفون!$B13="","",الموظفون!$B13)</f>
        <v>E008</v>
      </c>
      <c r="C13" s="102" t="str">
        <f aca="false">IF($B13="","",الموظفون!$C13)</f>
        <v>سارة عبدالرحمن الزهراني</v>
      </c>
      <c r="D13" s="102" t="str">
        <f aca="false">IF($B13="","",الموظفون!$D13)</f>
        <v>سعودية</v>
      </c>
      <c r="E13" s="102" t="str">
        <f aca="false">IF($B13="","",الموظفون!$E13)</f>
        <v>سعودي</v>
      </c>
      <c r="F13" s="102" t="str">
        <f aca="false">IF($B13="","",الموظفون!$AG13)</f>
        <v>✔ على رأس العمل</v>
      </c>
      <c r="G13" s="102" t="str">
        <f aca="false">IF($B13="","",IF(الموظفون!$I13="","",الموظفون!$I13))</f>
        <v>1056789012</v>
      </c>
      <c r="H13" s="148" t="n">
        <f aca="false">IF($B13="","",IF(الموظفون!$J13="","",الموظفون!$J13))</f>
        <v>48466</v>
      </c>
      <c r="I13" s="110" t="n">
        <f aca="false">IF(OR($B13="",H13=""),"",H13-cfg_TRACK)</f>
        <v>2172</v>
      </c>
      <c r="J13" s="102" t="str">
        <f aca="false">IF(OR($B13="",$F13="✖ منتهي الخدمة"),"",IF(H13="",IF($E13="غير سعودي","⚠ أدخل التاريخ","-"),IF(I13&lt;0,"✖ منتهية منذ "&amp;TEXT(-I13,"0")&amp;" يوم",IF(I13&lt;=cfg_ALERT,"⚠ تنتهي خلال "&amp;TEXT(I13,"0")&amp;" يوم","✔ سارية"))))</f>
        <v>✔ سارية</v>
      </c>
      <c r="K13" s="148" t="str">
        <f aca="false">IF($B13="","",IF(الموظفون!$K13="","",الموظفون!$K13))</f>
        <v/>
      </c>
      <c r="L13" s="110" t="str">
        <f aca="false">IF(OR($B13="",K13=""),"",K13-cfg_TRACK)</f>
        <v/>
      </c>
      <c r="M13" s="102" t="str">
        <f aca="false">IF(OR($B13="",$F13="✖ منتهي الخدمة"),"",IF(K13="",IF($E13="غير سعودي","⚠ أدخل التاريخ","-"),IF(L13&lt;0,"✖ منتهية منذ "&amp;TEXT(-L13,"0")&amp;" يوم",IF(L13&lt;=cfg_ALERT,"⚠ تنتهي خلال "&amp;TEXT(L13,"0")&amp;" يوم","✔ سارية"))))</f>
        <v>-</v>
      </c>
      <c r="N13" s="101" t="n">
        <f aca="false">IF($B13="","",IF(F13="✖ منتهي الخدمة",0,IF(الموظفون!$X13&lt;&gt;"",الموظفون!$X13,IF(الموظفون!$E13="غير سعودي",cfg_IQ,0))))</f>
        <v>0</v>
      </c>
      <c r="O13" s="101" t="n">
        <f aca="false">IF($B13="","",IF(F13="✖ منتهي الخدمة",0,IF(الموظفون!$Y13&lt;&gt;"",الموظفون!$Y13,IF(الموظفون!$E13="غير سعودي",cfg_WP,0))))</f>
        <v>0</v>
      </c>
      <c r="P13" s="101" t="n">
        <f aca="false">IF($B13="","",IF(F13="✖ منتهي الخدمة",0,IF(الموظفون!$Z13&lt;&gt;"",الموظفون!$Z13,cfg_MED)))</f>
        <v>2400</v>
      </c>
      <c r="Q13" s="101" t="n">
        <f aca="false">IF($B13="","",IF(F13="✖ منتهي الخدمة",0,N(الموظفون!$AA13)))</f>
        <v>0</v>
      </c>
      <c r="R13" s="101" t="n">
        <f aca="false">IF($B13="","",SUM(N13:Q13))</f>
        <v>2400</v>
      </c>
      <c r="S13" s="101" t="n">
        <f aca="false">IF($B13="","",R13/12)</f>
        <v>200</v>
      </c>
      <c r="T13" s="101" t="n">
        <f aca="false">IF($B13="","",IF(1&lt;=cfg_VAL_M,'مسير يناير'!AD13+'مسير يناير'!AE13+'مسير يناير'!AF13,0)+IF(2&lt;=cfg_VAL_M,'مسير فبراير'!AD13+'مسير فبراير'!AE13+'مسير فبراير'!AF13,0)+IF(3&lt;=cfg_VAL_M,'مسير مارس'!AD13+'مسير مارس'!AE13+'مسير مارس'!AF13,0)+IF(4&lt;=cfg_VAL_M,'مسير أبريل'!AD13+'مسير أبريل'!AE13+'مسير أبريل'!AF13,0)+IF(5&lt;=cfg_VAL_M,'مسير مايو'!AD13+'مسير مايو'!AE13+'مسير مايو'!AF13,0)+IF(6&lt;=cfg_VAL_M,'مسير يونيو'!AD13+'مسير يونيو'!AE13+'مسير يونيو'!AF13,0)+IF(7&lt;=cfg_VAL_M,'مسير يوليو'!AD13+'مسير يوليو'!AE13+'مسير يوليو'!AF13,0)+IF(8&lt;=cfg_VAL_M,'مسير أغسطس'!AD13+'مسير أغسطس'!AE13+'مسير أغسطس'!AF13,0)+IF(9&lt;=cfg_VAL_M,'مسير سبتمبر'!AD13+'مسير سبتمبر'!AE13+'مسير سبتمبر'!AF13,0)+IF(10&lt;=cfg_VAL_M,'مسير أكتوبر'!AD13+'مسير أكتوبر'!AE13+'مسير أكتوبر'!AF13,0)+IF(11&lt;=cfg_VAL_M,'مسير نوفمبر'!AD13+'مسير نوفمبر'!AE13+'مسير نوفمبر'!AF13,0)+IF(12&lt;=cfg_VAL_M,'مسير ديسمبر'!AD13+'مسير ديسمبر'!AE13+'مسير ديسمبر'!AF13,0))</f>
        <v>1800</v>
      </c>
      <c r="U13" s="101" t="n">
        <f aca="false">IF(OR($B13="",F13="✖ منتهي الخدمة"),"",IF(AND(ISNUMBER(I13),I13&lt;=cfg_ALERT),N13,0)+IF(AND(ISNUMBER(L13),L13&lt;=cfg_ALERT),O13,0))</f>
        <v>0</v>
      </c>
    </row>
    <row r="14" customFormat="false" ht="15" hidden="false" customHeight="false" outlineLevel="0" collapsed="false">
      <c r="B14" s="80" t="str">
        <f aca="false">IF(الموظفون!$B14="","",الموظفون!$B14)</f>
        <v>E009</v>
      </c>
      <c r="C14" s="80" t="str">
        <f aca="false">IF($B14="","",الموظفون!$C14)</f>
        <v>محمد رفيق</v>
      </c>
      <c r="D14" s="80" t="str">
        <f aca="false">IF($B14="","",الموظفون!$D14)</f>
        <v>باكستاني</v>
      </c>
      <c r="E14" s="80" t="str">
        <f aca="false">IF($B14="","",الموظفون!$E14)</f>
        <v>غير سعودي</v>
      </c>
      <c r="F14" s="80" t="str">
        <f aca="false">IF($B14="","",الموظفون!$AG14)</f>
        <v>✔ على رأس العمل</v>
      </c>
      <c r="G14" s="80" t="str">
        <f aca="false">IF($B14="","",IF(الموظفون!$I14="","",الموظفون!$I14))</f>
        <v>2345678901</v>
      </c>
      <c r="H14" s="147" t="n">
        <f aca="false">IF($B14="","",IF(الموظفون!$J14="","",الموظفون!$J14))</f>
        <v>46539</v>
      </c>
      <c r="I14" s="57" t="n">
        <f aca="false">IF(OR($B14="",H14=""),"",H14-cfg_TRACK)</f>
        <v>245</v>
      </c>
      <c r="J14" s="80" t="str">
        <f aca="false">IF(OR($B14="",$F14="✖ منتهي الخدمة"),"",IF(H14="",IF($E14="غير سعودي","⚠ أدخل التاريخ","-"),IF(I14&lt;0,"✖ منتهية منذ "&amp;TEXT(-I14,"0")&amp;" يوم",IF(I14&lt;=cfg_ALERT,"⚠ تنتهي خلال "&amp;TEXT(I14,"0")&amp;" يوم","✔ سارية"))))</f>
        <v>✔ سارية</v>
      </c>
      <c r="K14" s="147" t="n">
        <f aca="false">IF($B14="","",IF(الموظفون!$K14="","",الموظفون!$K14))</f>
        <v>46539</v>
      </c>
      <c r="L14" s="57" t="n">
        <f aca="false">IF(OR($B14="",K14=""),"",K14-cfg_TRACK)</f>
        <v>245</v>
      </c>
      <c r="M14" s="80" t="str">
        <f aca="false">IF(OR($B14="",$F14="✖ منتهي الخدمة"),"",IF(K14="",IF($E14="غير سعودي","⚠ أدخل التاريخ","-"),IF(L14&lt;0,"✖ منتهية منذ "&amp;TEXT(-L14,"0")&amp;" يوم",IF(L14&lt;=cfg_ALERT,"⚠ تنتهي خلال "&amp;TEXT(L14,"0")&amp;" يوم","✔ سارية"))))</f>
        <v>✔ سارية</v>
      </c>
      <c r="N14" s="97" t="n">
        <f aca="false">IF($B14="","",IF(F14="✖ منتهي الخدمة",0,IF(الموظفون!$X14&lt;&gt;"",الموظفون!$X14,IF(الموظفون!$E14="غير سعودي",cfg_IQ,0))))</f>
        <v>650</v>
      </c>
      <c r="O14" s="97" t="n">
        <f aca="false">IF($B14="","",IF(F14="✖ منتهي الخدمة",0,IF(الموظفون!$Y14&lt;&gt;"",الموظفون!$Y14,IF(الموظفون!$E14="غير سعودي",cfg_WP,0))))</f>
        <v>9600</v>
      </c>
      <c r="P14" s="97" t="n">
        <f aca="false">IF($B14="","",IF(F14="✖ منتهي الخدمة",0,IF(الموظفون!$Z14&lt;&gt;"",الموظفون!$Z14,cfg_MED)))</f>
        <v>1800</v>
      </c>
      <c r="Q14" s="97" t="n">
        <f aca="false">IF($B14="","",IF(F14="✖ منتهي الخدمة",0,N(الموظفون!$AA14)))</f>
        <v>0</v>
      </c>
      <c r="R14" s="97" t="n">
        <f aca="false">IF($B14="","",SUM(N14:Q14))</f>
        <v>12050</v>
      </c>
      <c r="S14" s="97" t="n">
        <f aca="false">IF($B14="","",R14/12)</f>
        <v>1004.16666666667</v>
      </c>
      <c r="T14" s="97" t="n">
        <f aca="false">IF($B14="","",IF(1&lt;=cfg_VAL_M,'مسير يناير'!AD14+'مسير يناير'!AE14+'مسير يناير'!AF14,0)+IF(2&lt;=cfg_VAL_M,'مسير فبراير'!AD14+'مسير فبراير'!AE14+'مسير فبراير'!AF14,0)+IF(3&lt;=cfg_VAL_M,'مسير مارس'!AD14+'مسير مارس'!AE14+'مسير مارس'!AF14,0)+IF(4&lt;=cfg_VAL_M,'مسير أبريل'!AD14+'مسير أبريل'!AE14+'مسير أبريل'!AF14,0)+IF(5&lt;=cfg_VAL_M,'مسير مايو'!AD14+'مسير مايو'!AE14+'مسير مايو'!AF14,0)+IF(6&lt;=cfg_VAL_M,'مسير يونيو'!AD14+'مسير يونيو'!AE14+'مسير يونيو'!AF14,0)+IF(7&lt;=cfg_VAL_M,'مسير يوليو'!AD14+'مسير يوليو'!AE14+'مسير يوليو'!AF14,0)+IF(8&lt;=cfg_VAL_M,'مسير أغسطس'!AD14+'مسير أغسطس'!AE14+'مسير أغسطس'!AF14,0)+IF(9&lt;=cfg_VAL_M,'مسير سبتمبر'!AD14+'مسير سبتمبر'!AE14+'مسير سبتمبر'!AF14,0)+IF(10&lt;=cfg_VAL_M,'مسير أكتوبر'!AD14+'مسير أكتوبر'!AE14+'مسير أكتوبر'!AF14,0)+IF(11&lt;=cfg_VAL_M,'مسير نوفمبر'!AD14+'مسير نوفمبر'!AE14+'مسير نوفمبر'!AF14,0)+IF(12&lt;=cfg_VAL_M,'مسير ديسمبر'!AD14+'مسير ديسمبر'!AE14+'مسير ديسمبر'!AF14,0))</f>
        <v>9037.5</v>
      </c>
      <c r="U14" s="97" t="n">
        <f aca="false">IF(OR($B14="",F14="✖ منتهي الخدمة"),"",IF(AND(ISNUMBER(I14),I14&lt;=cfg_ALERT),N14,0)+IF(AND(ISNUMBER(L14),L14&lt;=cfg_ALERT),O14,0))</f>
        <v>0</v>
      </c>
    </row>
    <row r="15" customFormat="false" ht="15" hidden="false" customHeight="false" outlineLevel="0" collapsed="false">
      <c r="B15" s="102" t="str">
        <f aca="false">IF(الموظفون!$B15="","",الموظفون!$B15)</f>
        <v>E010</v>
      </c>
      <c r="C15" s="102" t="str">
        <f aca="false">IF($B15="","",الموظفون!$C15)</f>
        <v>ريم سلطان المطيري</v>
      </c>
      <c r="D15" s="102" t="str">
        <f aca="false">IF($B15="","",الموظفون!$D15)</f>
        <v>سعودية</v>
      </c>
      <c r="E15" s="102" t="str">
        <f aca="false">IF($B15="","",الموظفون!$E15)</f>
        <v>سعودي</v>
      </c>
      <c r="F15" s="102" t="str">
        <f aca="false">IF($B15="","",الموظفون!$AG15)</f>
        <v>✔ على رأس العمل</v>
      </c>
      <c r="G15" s="102" t="str">
        <f aca="false">IF($B15="","",IF(الموظفون!$I15="","",الموظفون!$I15))</f>
        <v>1067890123</v>
      </c>
      <c r="H15" s="148" t="n">
        <f aca="false">IF($B15="","",IF(الموظفون!$J15="","",الموظفون!$J15))</f>
        <v>48580</v>
      </c>
      <c r="I15" s="110" t="n">
        <f aca="false">IF(OR($B15="",H15=""),"",H15-cfg_TRACK)</f>
        <v>2286</v>
      </c>
      <c r="J15" s="102" t="str">
        <f aca="false">IF(OR($B15="",$F15="✖ منتهي الخدمة"),"",IF(H15="",IF($E15="غير سعودي","⚠ أدخل التاريخ","-"),IF(I15&lt;0,"✖ منتهية منذ "&amp;TEXT(-I15,"0")&amp;" يوم",IF(I15&lt;=cfg_ALERT,"⚠ تنتهي خلال "&amp;TEXT(I15,"0")&amp;" يوم","✔ سارية"))))</f>
        <v>✔ سارية</v>
      </c>
      <c r="K15" s="148" t="str">
        <f aca="false">IF($B15="","",IF(الموظفون!$K15="","",الموظفون!$K15))</f>
        <v/>
      </c>
      <c r="L15" s="110" t="str">
        <f aca="false">IF(OR($B15="",K15=""),"",K15-cfg_TRACK)</f>
        <v/>
      </c>
      <c r="M15" s="102" t="str">
        <f aca="false">IF(OR($B15="",$F15="✖ منتهي الخدمة"),"",IF(K15="",IF($E15="غير سعودي","⚠ أدخل التاريخ","-"),IF(L15&lt;0,"✖ منتهية منذ "&amp;TEXT(-L15,"0")&amp;" يوم",IF(L15&lt;=cfg_ALERT,"⚠ تنتهي خلال "&amp;TEXT(L15,"0")&amp;" يوم","✔ سارية"))))</f>
        <v>-</v>
      </c>
      <c r="N15" s="101" t="n">
        <f aca="false">IF($B15="","",IF(F15="✖ منتهي الخدمة",0,IF(الموظفون!$X15&lt;&gt;"",الموظفون!$X15,IF(الموظفون!$E15="غير سعودي",cfg_IQ,0))))</f>
        <v>0</v>
      </c>
      <c r="O15" s="101" t="n">
        <f aca="false">IF($B15="","",IF(F15="✖ منتهي الخدمة",0,IF(الموظفون!$Y15&lt;&gt;"",الموظفون!$Y15,IF(الموظفون!$E15="غير سعودي",cfg_WP,0))))</f>
        <v>0</v>
      </c>
      <c r="P15" s="101" t="n">
        <f aca="false">IF($B15="","",IF(F15="✖ منتهي الخدمة",0,IF(الموظفون!$Z15&lt;&gt;"",الموظفون!$Z15,cfg_MED)))</f>
        <v>2400</v>
      </c>
      <c r="Q15" s="101" t="n">
        <f aca="false">IF($B15="","",IF(F15="✖ منتهي الخدمة",0,N(الموظفون!$AA15)))</f>
        <v>0</v>
      </c>
      <c r="R15" s="101" t="n">
        <f aca="false">IF($B15="","",SUM(N15:Q15))</f>
        <v>2400</v>
      </c>
      <c r="S15" s="101" t="n">
        <f aca="false">IF($B15="","",R15/12)</f>
        <v>200</v>
      </c>
      <c r="T15" s="101" t="n">
        <f aca="false">IF($B15="","",IF(1&lt;=cfg_VAL_M,'مسير يناير'!AD15+'مسير يناير'!AE15+'مسير يناير'!AF15,0)+IF(2&lt;=cfg_VAL_M,'مسير فبراير'!AD15+'مسير فبراير'!AE15+'مسير فبراير'!AF15,0)+IF(3&lt;=cfg_VAL_M,'مسير مارس'!AD15+'مسير مارس'!AE15+'مسير مارس'!AF15,0)+IF(4&lt;=cfg_VAL_M,'مسير أبريل'!AD15+'مسير أبريل'!AE15+'مسير أبريل'!AF15,0)+IF(5&lt;=cfg_VAL_M,'مسير مايو'!AD15+'مسير مايو'!AE15+'مسير مايو'!AF15,0)+IF(6&lt;=cfg_VAL_M,'مسير يونيو'!AD15+'مسير يونيو'!AE15+'مسير يونيو'!AF15,0)+IF(7&lt;=cfg_VAL_M,'مسير يوليو'!AD15+'مسير يوليو'!AE15+'مسير يوليو'!AF15,0)+IF(8&lt;=cfg_VAL_M,'مسير أغسطس'!AD15+'مسير أغسطس'!AE15+'مسير أغسطس'!AF15,0)+IF(9&lt;=cfg_VAL_M,'مسير سبتمبر'!AD15+'مسير سبتمبر'!AE15+'مسير سبتمبر'!AF15,0)+IF(10&lt;=cfg_VAL_M,'مسير أكتوبر'!AD15+'مسير أكتوبر'!AE15+'مسير أكتوبر'!AF15,0)+IF(11&lt;=cfg_VAL_M,'مسير نوفمبر'!AD15+'مسير نوفمبر'!AE15+'مسير نوفمبر'!AF15,0)+IF(12&lt;=cfg_VAL_M,'مسير ديسمبر'!AD15+'مسير ديسمبر'!AE15+'مسير ديسمبر'!AF15,0))</f>
        <v>1106.66666666667</v>
      </c>
      <c r="U15" s="101" t="n">
        <f aca="false">IF(OR($B15="",F15="✖ منتهي الخدمة"),"",IF(AND(ISNUMBER(I15),I15&lt;=cfg_ALERT),N15,0)+IF(AND(ISNUMBER(L15),L15&lt;=cfg_ALERT),O15,0))</f>
        <v>0</v>
      </c>
    </row>
    <row r="16" customFormat="false" ht="15" hidden="false" customHeight="false" outlineLevel="0" collapsed="false">
      <c r="B16" s="80" t="str">
        <f aca="false">IF(الموظفون!$B16="","",الموظفون!$B16)</f>
        <v>E011</v>
      </c>
      <c r="C16" s="80" t="str">
        <f aca="false">IF($B16="","",الموظفون!$C16)</f>
        <v>جون ماتيو</v>
      </c>
      <c r="D16" s="80" t="str">
        <f aca="false">IF($B16="","",الموظفون!$D16)</f>
        <v>فلبيني</v>
      </c>
      <c r="E16" s="80" t="str">
        <f aca="false">IF($B16="","",الموظفون!$E16)</f>
        <v>غير سعودي</v>
      </c>
      <c r="F16" s="80" t="str">
        <f aca="false">IF($B16="","",الموظفون!$AG16)</f>
        <v>✖ منتهي الخدمة</v>
      </c>
      <c r="G16" s="80" t="str">
        <f aca="false">IF($B16="","",IF(الموظفون!$I16="","",الموظفون!$I16))</f>
        <v>2356789012</v>
      </c>
      <c r="H16" s="147" t="n">
        <f aca="false">IF($B16="","",IF(الموظفون!$J16="","",الموظفون!$J16))</f>
        <v>46481</v>
      </c>
      <c r="I16" s="57" t="n">
        <f aca="false">IF(OR($B16="",H16=""),"",H16-cfg_TRACK)</f>
        <v>187</v>
      </c>
      <c r="J16" s="80" t="str">
        <f aca="false">IF(OR($B16="",$F16="✖ منتهي الخدمة"),"",IF(H16="",IF($E16="غير سعودي","⚠ أدخل التاريخ","-"),IF(I16&lt;0,"✖ منتهية منذ "&amp;TEXT(-I16,"0")&amp;" يوم",IF(I16&lt;=cfg_ALERT,"⚠ تنتهي خلال "&amp;TEXT(I16,"0")&amp;" يوم","✔ سارية"))))</f>
        <v/>
      </c>
      <c r="K16" s="147" t="n">
        <f aca="false">IF($B16="","",IF(الموظفون!$K16="","",الموظفون!$K16))</f>
        <v>46481</v>
      </c>
      <c r="L16" s="57" t="n">
        <f aca="false">IF(OR($B16="",K16=""),"",K16-cfg_TRACK)</f>
        <v>187</v>
      </c>
      <c r="M16" s="80" t="str">
        <f aca="false">IF(OR($B16="",$F16="✖ منتهي الخدمة"),"",IF(K16="",IF($E16="غير سعودي","⚠ أدخل التاريخ","-"),IF(L16&lt;0,"✖ منتهية منذ "&amp;TEXT(-L16,"0")&amp;" يوم",IF(L16&lt;=cfg_ALERT,"⚠ تنتهي خلال "&amp;TEXT(L16,"0")&amp;" يوم","✔ سارية"))))</f>
        <v/>
      </c>
      <c r="N16" s="97" t="n">
        <f aca="false">IF($B16="","",IF(F16="✖ منتهي الخدمة",0,IF(الموظفون!$X16&lt;&gt;"",الموظفون!$X16,IF(الموظفون!$E16="غير سعودي",cfg_IQ,0))))</f>
        <v>0</v>
      </c>
      <c r="O16" s="97" t="n">
        <f aca="false">IF($B16="","",IF(F16="✖ منتهي الخدمة",0,IF(الموظفون!$Y16&lt;&gt;"",الموظفون!$Y16,IF(الموظفون!$E16="غير سعودي",cfg_WP,0))))</f>
        <v>0</v>
      </c>
      <c r="P16" s="97" t="n">
        <f aca="false">IF($B16="","",IF(F16="✖ منتهي الخدمة",0,IF(الموظفون!$Z16&lt;&gt;"",الموظفون!$Z16,cfg_MED)))</f>
        <v>0</v>
      </c>
      <c r="Q16" s="97" t="n">
        <f aca="false">IF($B16="","",IF(F16="✖ منتهي الخدمة",0,N(الموظفون!$AA16)))</f>
        <v>0</v>
      </c>
      <c r="R16" s="97" t="n">
        <f aca="false">IF($B16="","",SUM(N16:Q16))</f>
        <v>0</v>
      </c>
      <c r="S16" s="97" t="n">
        <f aca="false">IF($B16="","",R16/12)</f>
        <v>0</v>
      </c>
      <c r="T16" s="97" t="n">
        <f aca="false">IF($B16="","",IF(1&lt;=cfg_VAL_M,'مسير يناير'!AD16+'مسير يناير'!AE16+'مسير يناير'!AF16,0)+IF(2&lt;=cfg_VAL_M,'مسير فبراير'!AD16+'مسير فبراير'!AE16+'مسير فبراير'!AF16,0)+IF(3&lt;=cfg_VAL_M,'مسير مارس'!AD16+'مسير مارس'!AE16+'مسير مارس'!AF16,0)+IF(4&lt;=cfg_VAL_M,'مسير أبريل'!AD16+'مسير أبريل'!AE16+'مسير أبريل'!AF16,0)+IF(5&lt;=cfg_VAL_M,'مسير مايو'!AD16+'مسير مايو'!AE16+'مسير مايو'!AF16,0)+IF(6&lt;=cfg_VAL_M,'مسير يونيو'!AD16+'مسير يونيو'!AE16+'مسير يونيو'!AF16,0)+IF(7&lt;=cfg_VAL_M,'مسير يوليو'!AD16+'مسير يوليو'!AE16+'مسير يوليو'!AF16,0)+IF(8&lt;=cfg_VAL_M,'مسير أغسطس'!AD16+'مسير أغسطس'!AE16+'مسير أغسطس'!AF16,0)+IF(9&lt;=cfg_VAL_M,'مسير سبتمبر'!AD16+'مسير سبتمبر'!AE16+'مسير سبتمبر'!AF16,0)+IF(10&lt;=cfg_VAL_M,'مسير أكتوبر'!AD16+'مسير أكتوبر'!AE16+'مسير أكتوبر'!AF16,0)+IF(11&lt;=cfg_VAL_M,'مسير نوفمبر'!AD16+'مسير نوفمبر'!AE16+'مسير نوفمبر'!AF16,0)+IF(12&lt;=cfg_VAL_M,'مسير ديسمبر'!AD16+'مسير ديسمبر'!AE16+'مسير ديسمبر'!AF16,0))</f>
        <v>6025</v>
      </c>
      <c r="U16" s="97" t="str">
        <f aca="false">IF(OR($B16="",F16="✖ منتهي الخدمة"),"",IF(AND(ISNUMBER(I16),I16&lt;=cfg_ALERT),N16,0)+IF(AND(ISNUMBER(L16),L16&lt;=cfg_ALERT),O16,0))</f>
        <v/>
      </c>
    </row>
    <row r="17" customFormat="false" ht="15" hidden="false" customHeight="false" outlineLevel="0" collapsed="false">
      <c r="B17" s="102" t="str">
        <f aca="false">IF(الموظفون!$B17="","",الموظفون!$B17)</f>
        <v>E012</v>
      </c>
      <c r="C17" s="102" t="str">
        <f aca="false">IF($B17="","",الموظفون!$C17)</f>
        <v>عمر حسين البيشي</v>
      </c>
      <c r="D17" s="102" t="str">
        <f aca="false">IF($B17="","",الموظفون!$D17)</f>
        <v>سعودي</v>
      </c>
      <c r="E17" s="102" t="str">
        <f aca="false">IF($B17="","",الموظفون!$E17)</f>
        <v>سعودي</v>
      </c>
      <c r="F17" s="102" t="str">
        <f aca="false">IF($B17="","",الموظفون!$AG17)</f>
        <v>✔ على رأس العمل</v>
      </c>
      <c r="G17" s="102" t="str">
        <f aca="false">IF($B17="","",IF(الموظفون!$I17="","",الموظفون!$I17))</f>
        <v>1078901234</v>
      </c>
      <c r="H17" s="148" t="n">
        <f aca="false">IF($B17="","",IF(الموظفون!$J17="","",الموظفون!$J17))</f>
        <v>47464</v>
      </c>
      <c r="I17" s="110" t="n">
        <f aca="false">IF(OR($B17="",H17=""),"",H17-cfg_TRACK)</f>
        <v>1170</v>
      </c>
      <c r="J17" s="102" t="str">
        <f aca="false">IF(OR($B17="",$F17="✖ منتهي الخدمة"),"",IF(H17="",IF($E17="غير سعودي","⚠ أدخل التاريخ","-"),IF(I17&lt;0,"✖ منتهية منذ "&amp;TEXT(-I17,"0")&amp;" يوم",IF(I17&lt;=cfg_ALERT,"⚠ تنتهي خلال "&amp;TEXT(I17,"0")&amp;" يوم","✔ سارية"))))</f>
        <v>✔ سارية</v>
      </c>
      <c r="K17" s="148" t="str">
        <f aca="false">IF($B17="","",IF(الموظفون!$K17="","",الموظفون!$K17))</f>
        <v/>
      </c>
      <c r="L17" s="110" t="str">
        <f aca="false">IF(OR($B17="",K17=""),"",K17-cfg_TRACK)</f>
        <v/>
      </c>
      <c r="M17" s="102" t="str">
        <f aca="false">IF(OR($B17="",$F17="✖ منتهي الخدمة"),"",IF(K17="",IF($E17="غير سعودي","⚠ أدخل التاريخ","-"),IF(L17&lt;0,"✖ منتهية منذ "&amp;TEXT(-L17,"0")&amp;" يوم",IF(L17&lt;=cfg_ALERT,"⚠ تنتهي خلال "&amp;TEXT(L17,"0")&amp;" يوم","✔ سارية"))))</f>
        <v>-</v>
      </c>
      <c r="N17" s="101" t="n">
        <f aca="false">IF($B17="","",IF(F17="✖ منتهي الخدمة",0,IF(الموظفون!$X17&lt;&gt;"",الموظفون!$X17,IF(الموظفون!$E17="غير سعودي",cfg_IQ,0))))</f>
        <v>0</v>
      </c>
      <c r="O17" s="101" t="n">
        <f aca="false">IF($B17="","",IF(F17="✖ منتهي الخدمة",0,IF(الموظفون!$Y17&lt;&gt;"",الموظفون!$Y17,IF(الموظفون!$E17="غير سعودي",cfg_WP,0))))</f>
        <v>0</v>
      </c>
      <c r="P17" s="101" t="n">
        <f aca="false">IF($B17="","",IF(F17="✖ منتهي الخدمة",0,IF(الموظفون!$Z17&lt;&gt;"",الموظفون!$Z17,cfg_MED)))</f>
        <v>2400</v>
      </c>
      <c r="Q17" s="101" t="n">
        <f aca="false">IF($B17="","",IF(F17="✖ منتهي الخدمة",0,N(الموظفون!$AA17)))</f>
        <v>0</v>
      </c>
      <c r="R17" s="101" t="n">
        <f aca="false">IF($B17="","",SUM(N17:Q17))</f>
        <v>2400</v>
      </c>
      <c r="S17" s="101" t="n">
        <f aca="false">IF($B17="","",R17/12)</f>
        <v>200</v>
      </c>
      <c r="T17" s="101" t="n">
        <f aca="false">IF($B17="","",IF(1&lt;=cfg_VAL_M,'مسير يناير'!AD17+'مسير يناير'!AE17+'مسير يناير'!AF17,0)+IF(2&lt;=cfg_VAL_M,'مسير فبراير'!AD17+'مسير فبراير'!AE17+'مسير فبراير'!AF17,0)+IF(3&lt;=cfg_VAL_M,'مسير مارس'!AD17+'مسير مارس'!AE17+'مسير مارس'!AF17,0)+IF(4&lt;=cfg_VAL_M,'مسير أبريل'!AD17+'مسير أبريل'!AE17+'مسير أبريل'!AF17,0)+IF(5&lt;=cfg_VAL_M,'مسير مايو'!AD17+'مسير مايو'!AE17+'مسير مايو'!AF17,0)+IF(6&lt;=cfg_VAL_M,'مسير يونيو'!AD17+'مسير يونيو'!AE17+'مسير يونيو'!AF17,0)+IF(7&lt;=cfg_VAL_M,'مسير يوليو'!AD17+'مسير يوليو'!AE17+'مسير يوليو'!AF17,0)+IF(8&lt;=cfg_VAL_M,'مسير أغسطس'!AD17+'مسير أغسطس'!AE17+'مسير أغسطس'!AF17,0)+IF(9&lt;=cfg_VAL_M,'مسير سبتمبر'!AD17+'مسير سبتمبر'!AE17+'مسير سبتمبر'!AF17,0)+IF(10&lt;=cfg_VAL_M,'مسير أكتوبر'!AD17+'مسير أكتوبر'!AE17+'مسير أكتوبر'!AF17,0)+IF(11&lt;=cfg_VAL_M,'مسير نوفمبر'!AD17+'مسير نوفمبر'!AE17+'مسير نوفمبر'!AF17,0)+IF(12&lt;=cfg_VAL_M,'مسير ديسمبر'!AD17+'مسير ديسمبر'!AE17+'مسير ديسمبر'!AF17,0))</f>
        <v>1800</v>
      </c>
      <c r="U17" s="101" t="n">
        <f aca="false">IF(OR($B17="",F17="✖ منتهي الخدمة"),"",IF(AND(ISNUMBER(I17),I17&lt;=cfg_ALERT),N17,0)+IF(AND(ISNUMBER(L17),L17&lt;=cfg_ALERT),O17,0))</f>
        <v>0</v>
      </c>
    </row>
    <row r="18" customFormat="false" ht="15" hidden="false" customHeight="false" outlineLevel="0" collapsed="false">
      <c r="B18" s="80" t="str">
        <f aca="false">IF(الموظفون!$B18="","",الموظفون!$B18)</f>
        <v/>
      </c>
      <c r="C18" s="80" t="str">
        <f aca="false">IF($B18="","",الموظفون!$C18)</f>
        <v/>
      </c>
      <c r="D18" s="80" t="str">
        <f aca="false">IF($B18="","",الموظفون!$D18)</f>
        <v/>
      </c>
      <c r="E18" s="80" t="str">
        <f aca="false">IF($B18="","",الموظفون!$E18)</f>
        <v/>
      </c>
      <c r="F18" s="80" t="str">
        <f aca="false">IF($B18="","",الموظفون!$AG18)</f>
        <v/>
      </c>
      <c r="G18" s="80" t="str">
        <f aca="false">IF($B18="","",IF(الموظفون!$I18="","",الموظفون!$I18))</f>
        <v/>
      </c>
      <c r="H18" s="147" t="str">
        <f aca="false">IF($B18="","",IF(الموظفون!$J18="","",الموظفون!$J18))</f>
        <v/>
      </c>
      <c r="I18" s="57" t="str">
        <f aca="false">IF(OR($B18="",H18=""),"",H18-cfg_TRACK)</f>
        <v/>
      </c>
      <c r="J18" s="80" t="str">
        <f aca="false">IF(OR($B18="",$F18="✖ منتهي الخدمة"),"",IF(H18="",IF($E18="غير سعودي","⚠ أدخل التاريخ","-"),IF(I18&lt;0,"✖ منتهية منذ "&amp;TEXT(-I18,"0")&amp;" يوم",IF(I18&lt;=cfg_ALERT,"⚠ تنتهي خلال "&amp;TEXT(I18,"0")&amp;" يوم","✔ سارية"))))</f>
        <v/>
      </c>
      <c r="K18" s="147" t="str">
        <f aca="false">IF($B18="","",IF(الموظفون!$K18="","",الموظفون!$K18))</f>
        <v/>
      </c>
      <c r="L18" s="57" t="str">
        <f aca="false">IF(OR($B18="",K18=""),"",K18-cfg_TRACK)</f>
        <v/>
      </c>
      <c r="M18" s="80" t="str">
        <f aca="false">IF(OR($B18="",$F18="✖ منتهي الخدمة"),"",IF(K18="",IF($E18="غير سعودي","⚠ أدخل التاريخ","-"),IF(L18&lt;0,"✖ منتهية منذ "&amp;TEXT(-L18,"0")&amp;" يوم",IF(L18&lt;=cfg_ALERT,"⚠ تنتهي خلال "&amp;TEXT(L18,"0")&amp;" يوم","✔ سارية"))))</f>
        <v/>
      </c>
      <c r="N18" s="97" t="str">
        <f aca="false">IF($B18="","",IF(F18="✖ منتهي الخدمة",0,IF(الموظفون!$X18&lt;&gt;"",الموظفون!$X18,IF(الموظفون!$E18="غير سعودي",cfg_IQ,0))))</f>
        <v/>
      </c>
      <c r="O18" s="97" t="str">
        <f aca="false">IF($B18="","",IF(F18="✖ منتهي الخدمة",0,IF(الموظفون!$Y18&lt;&gt;"",الموظفون!$Y18,IF(الموظفون!$E18="غير سعودي",cfg_WP,0))))</f>
        <v/>
      </c>
      <c r="P18" s="97" t="str">
        <f aca="false">IF($B18="","",IF(F18="✖ منتهي الخدمة",0,IF(الموظفون!$Z18&lt;&gt;"",الموظفون!$Z18,cfg_MED)))</f>
        <v/>
      </c>
      <c r="Q18" s="97" t="str">
        <f aca="false">IF($B18="","",IF(F18="✖ منتهي الخدمة",0,N(الموظفون!$AA18)))</f>
        <v/>
      </c>
      <c r="R18" s="97" t="str">
        <f aca="false">IF($B18="","",SUM(N18:Q18))</f>
        <v/>
      </c>
      <c r="S18" s="97" t="str">
        <f aca="false">IF($B18="","",R18/12)</f>
        <v/>
      </c>
      <c r="T18" s="97" t="str">
        <f aca="false">IF($B18="","",IF(1&lt;=cfg_VAL_M,'مسير يناير'!AD18+'مسير يناير'!AE18+'مسير يناير'!AF18,0)+IF(2&lt;=cfg_VAL_M,'مسير فبراير'!AD18+'مسير فبراير'!AE18+'مسير فبراير'!AF18,0)+IF(3&lt;=cfg_VAL_M,'مسير مارس'!AD18+'مسير مارس'!AE18+'مسير مارس'!AF18,0)+IF(4&lt;=cfg_VAL_M,'مسير أبريل'!AD18+'مسير أبريل'!AE18+'مسير أبريل'!AF18,0)+IF(5&lt;=cfg_VAL_M,'مسير مايو'!AD18+'مسير مايو'!AE18+'مسير مايو'!AF18,0)+IF(6&lt;=cfg_VAL_M,'مسير يونيو'!AD18+'مسير يونيو'!AE18+'مسير يونيو'!AF18,0)+IF(7&lt;=cfg_VAL_M,'مسير يوليو'!AD18+'مسير يوليو'!AE18+'مسير يوليو'!AF18,0)+IF(8&lt;=cfg_VAL_M,'مسير أغسطس'!AD18+'مسير أغسطس'!AE18+'مسير أغسطس'!AF18,0)+IF(9&lt;=cfg_VAL_M,'مسير سبتمبر'!AD18+'مسير سبتمبر'!AE18+'مسير سبتمبر'!AF18,0)+IF(10&lt;=cfg_VAL_M,'مسير أكتوبر'!AD18+'مسير أكتوبر'!AE18+'مسير أكتوبر'!AF18,0)+IF(11&lt;=cfg_VAL_M,'مسير نوفمبر'!AD18+'مسير نوفمبر'!AE18+'مسير نوفمبر'!AF18,0)+IF(12&lt;=cfg_VAL_M,'مسير ديسمبر'!AD18+'مسير ديسمبر'!AE18+'مسير ديسمبر'!AF18,0))</f>
        <v/>
      </c>
      <c r="U18" s="97" t="str">
        <f aca="false">IF(OR($B18="",F18="✖ منتهي الخدمة"),"",IF(AND(ISNUMBER(I18),I18&lt;=cfg_ALERT),N18,0)+IF(AND(ISNUMBER(L18),L18&lt;=cfg_ALERT),O18,0))</f>
        <v/>
      </c>
    </row>
    <row r="19" customFormat="false" ht="15" hidden="false" customHeight="false" outlineLevel="0" collapsed="false">
      <c r="B19" s="102" t="str">
        <f aca="false">IF(الموظفون!$B19="","",الموظفون!$B19)</f>
        <v/>
      </c>
      <c r="C19" s="102" t="str">
        <f aca="false">IF($B19="","",الموظفون!$C19)</f>
        <v/>
      </c>
      <c r="D19" s="102" t="str">
        <f aca="false">IF($B19="","",الموظفون!$D19)</f>
        <v/>
      </c>
      <c r="E19" s="102" t="str">
        <f aca="false">IF($B19="","",الموظفون!$E19)</f>
        <v/>
      </c>
      <c r="F19" s="102" t="str">
        <f aca="false">IF($B19="","",الموظفون!$AG19)</f>
        <v/>
      </c>
      <c r="G19" s="102" t="str">
        <f aca="false">IF($B19="","",IF(الموظفون!$I19="","",الموظفون!$I19))</f>
        <v/>
      </c>
      <c r="H19" s="148" t="str">
        <f aca="false">IF($B19="","",IF(الموظفون!$J19="","",الموظفون!$J19))</f>
        <v/>
      </c>
      <c r="I19" s="110" t="str">
        <f aca="false">IF(OR($B19="",H19=""),"",H19-cfg_TRACK)</f>
        <v/>
      </c>
      <c r="J19" s="102" t="str">
        <f aca="false">IF(OR($B19="",$F19="✖ منتهي الخدمة"),"",IF(H19="",IF($E19="غير سعودي","⚠ أدخل التاريخ","-"),IF(I19&lt;0,"✖ منتهية منذ "&amp;TEXT(-I19,"0")&amp;" يوم",IF(I19&lt;=cfg_ALERT,"⚠ تنتهي خلال "&amp;TEXT(I19,"0")&amp;" يوم","✔ سارية"))))</f>
        <v/>
      </c>
      <c r="K19" s="148" t="str">
        <f aca="false">IF($B19="","",IF(الموظفون!$K19="","",الموظفون!$K19))</f>
        <v/>
      </c>
      <c r="L19" s="110" t="str">
        <f aca="false">IF(OR($B19="",K19=""),"",K19-cfg_TRACK)</f>
        <v/>
      </c>
      <c r="M19" s="102" t="str">
        <f aca="false">IF(OR($B19="",$F19="✖ منتهي الخدمة"),"",IF(K19="",IF($E19="غير سعودي","⚠ أدخل التاريخ","-"),IF(L19&lt;0,"✖ منتهية منذ "&amp;TEXT(-L19,"0")&amp;" يوم",IF(L19&lt;=cfg_ALERT,"⚠ تنتهي خلال "&amp;TEXT(L19,"0")&amp;" يوم","✔ سارية"))))</f>
        <v/>
      </c>
      <c r="N19" s="101" t="str">
        <f aca="false">IF($B19="","",IF(F19="✖ منتهي الخدمة",0,IF(الموظفون!$X19&lt;&gt;"",الموظفون!$X19,IF(الموظفون!$E19="غير سعودي",cfg_IQ,0))))</f>
        <v/>
      </c>
      <c r="O19" s="101" t="str">
        <f aca="false">IF($B19="","",IF(F19="✖ منتهي الخدمة",0,IF(الموظفون!$Y19&lt;&gt;"",الموظفون!$Y19,IF(الموظفون!$E19="غير سعودي",cfg_WP,0))))</f>
        <v/>
      </c>
      <c r="P19" s="101" t="str">
        <f aca="false">IF($B19="","",IF(F19="✖ منتهي الخدمة",0,IF(الموظفون!$Z19&lt;&gt;"",الموظفون!$Z19,cfg_MED)))</f>
        <v/>
      </c>
      <c r="Q19" s="101" t="str">
        <f aca="false">IF($B19="","",IF(F19="✖ منتهي الخدمة",0,N(الموظفون!$AA19)))</f>
        <v/>
      </c>
      <c r="R19" s="101" t="str">
        <f aca="false">IF($B19="","",SUM(N19:Q19))</f>
        <v/>
      </c>
      <c r="S19" s="101" t="str">
        <f aca="false">IF($B19="","",R19/12)</f>
        <v/>
      </c>
      <c r="T19" s="101" t="str">
        <f aca="false">IF($B19="","",IF(1&lt;=cfg_VAL_M,'مسير يناير'!AD19+'مسير يناير'!AE19+'مسير يناير'!AF19,0)+IF(2&lt;=cfg_VAL_M,'مسير فبراير'!AD19+'مسير فبراير'!AE19+'مسير فبراير'!AF19,0)+IF(3&lt;=cfg_VAL_M,'مسير مارس'!AD19+'مسير مارس'!AE19+'مسير مارس'!AF19,0)+IF(4&lt;=cfg_VAL_M,'مسير أبريل'!AD19+'مسير أبريل'!AE19+'مسير أبريل'!AF19,0)+IF(5&lt;=cfg_VAL_M,'مسير مايو'!AD19+'مسير مايو'!AE19+'مسير مايو'!AF19,0)+IF(6&lt;=cfg_VAL_M,'مسير يونيو'!AD19+'مسير يونيو'!AE19+'مسير يونيو'!AF19,0)+IF(7&lt;=cfg_VAL_M,'مسير يوليو'!AD19+'مسير يوليو'!AE19+'مسير يوليو'!AF19,0)+IF(8&lt;=cfg_VAL_M,'مسير أغسطس'!AD19+'مسير أغسطس'!AE19+'مسير أغسطس'!AF19,0)+IF(9&lt;=cfg_VAL_M,'مسير سبتمبر'!AD19+'مسير سبتمبر'!AE19+'مسير سبتمبر'!AF19,0)+IF(10&lt;=cfg_VAL_M,'مسير أكتوبر'!AD19+'مسير أكتوبر'!AE19+'مسير أكتوبر'!AF19,0)+IF(11&lt;=cfg_VAL_M,'مسير نوفمبر'!AD19+'مسير نوفمبر'!AE19+'مسير نوفمبر'!AF19,0)+IF(12&lt;=cfg_VAL_M,'مسير ديسمبر'!AD19+'مسير ديسمبر'!AE19+'مسير ديسمبر'!AF19,0))</f>
        <v/>
      </c>
      <c r="U19" s="101" t="str">
        <f aca="false">IF(OR($B19="",F19="✖ منتهي الخدمة"),"",IF(AND(ISNUMBER(I19),I19&lt;=cfg_ALERT),N19,0)+IF(AND(ISNUMBER(L19),L19&lt;=cfg_ALERT),O19,0))</f>
        <v/>
      </c>
    </row>
    <row r="20" customFormat="false" ht="15" hidden="false" customHeight="false" outlineLevel="0" collapsed="false">
      <c r="B20" s="80" t="str">
        <f aca="false">IF(الموظفون!$B20="","",الموظفون!$B20)</f>
        <v/>
      </c>
      <c r="C20" s="80" t="str">
        <f aca="false">IF($B20="","",الموظفون!$C20)</f>
        <v/>
      </c>
      <c r="D20" s="80" t="str">
        <f aca="false">IF($B20="","",الموظفون!$D20)</f>
        <v/>
      </c>
      <c r="E20" s="80" t="str">
        <f aca="false">IF($B20="","",الموظفون!$E20)</f>
        <v/>
      </c>
      <c r="F20" s="80" t="str">
        <f aca="false">IF($B20="","",الموظفون!$AG20)</f>
        <v/>
      </c>
      <c r="G20" s="80" t="str">
        <f aca="false">IF($B20="","",IF(الموظفون!$I20="","",الموظفون!$I20))</f>
        <v/>
      </c>
      <c r="H20" s="147" t="str">
        <f aca="false">IF($B20="","",IF(الموظفون!$J20="","",الموظفون!$J20))</f>
        <v/>
      </c>
      <c r="I20" s="57" t="str">
        <f aca="false">IF(OR($B20="",H20=""),"",H20-cfg_TRACK)</f>
        <v/>
      </c>
      <c r="J20" s="80" t="str">
        <f aca="false">IF(OR($B20="",$F20="✖ منتهي الخدمة"),"",IF(H20="",IF($E20="غير سعودي","⚠ أدخل التاريخ","-"),IF(I20&lt;0,"✖ منتهية منذ "&amp;TEXT(-I20,"0")&amp;" يوم",IF(I20&lt;=cfg_ALERT,"⚠ تنتهي خلال "&amp;TEXT(I20,"0")&amp;" يوم","✔ سارية"))))</f>
        <v/>
      </c>
      <c r="K20" s="147" t="str">
        <f aca="false">IF($B20="","",IF(الموظفون!$K20="","",الموظفون!$K20))</f>
        <v/>
      </c>
      <c r="L20" s="57" t="str">
        <f aca="false">IF(OR($B20="",K20=""),"",K20-cfg_TRACK)</f>
        <v/>
      </c>
      <c r="M20" s="80" t="str">
        <f aca="false">IF(OR($B20="",$F20="✖ منتهي الخدمة"),"",IF(K20="",IF($E20="غير سعودي","⚠ أدخل التاريخ","-"),IF(L20&lt;0,"✖ منتهية منذ "&amp;TEXT(-L20,"0")&amp;" يوم",IF(L20&lt;=cfg_ALERT,"⚠ تنتهي خلال "&amp;TEXT(L20,"0")&amp;" يوم","✔ سارية"))))</f>
        <v/>
      </c>
      <c r="N20" s="97" t="str">
        <f aca="false">IF($B20="","",IF(F20="✖ منتهي الخدمة",0,IF(الموظفون!$X20&lt;&gt;"",الموظفون!$X20,IF(الموظفون!$E20="غير سعودي",cfg_IQ,0))))</f>
        <v/>
      </c>
      <c r="O20" s="97" t="str">
        <f aca="false">IF($B20="","",IF(F20="✖ منتهي الخدمة",0,IF(الموظفون!$Y20&lt;&gt;"",الموظفون!$Y20,IF(الموظفون!$E20="غير سعودي",cfg_WP,0))))</f>
        <v/>
      </c>
      <c r="P20" s="97" t="str">
        <f aca="false">IF($B20="","",IF(F20="✖ منتهي الخدمة",0,IF(الموظفون!$Z20&lt;&gt;"",الموظفون!$Z20,cfg_MED)))</f>
        <v/>
      </c>
      <c r="Q20" s="97" t="str">
        <f aca="false">IF($B20="","",IF(F20="✖ منتهي الخدمة",0,N(الموظفون!$AA20)))</f>
        <v/>
      </c>
      <c r="R20" s="97" t="str">
        <f aca="false">IF($B20="","",SUM(N20:Q20))</f>
        <v/>
      </c>
      <c r="S20" s="97" t="str">
        <f aca="false">IF($B20="","",R20/12)</f>
        <v/>
      </c>
      <c r="T20" s="97" t="str">
        <f aca="false">IF($B20="","",IF(1&lt;=cfg_VAL_M,'مسير يناير'!AD20+'مسير يناير'!AE20+'مسير يناير'!AF20,0)+IF(2&lt;=cfg_VAL_M,'مسير فبراير'!AD20+'مسير فبراير'!AE20+'مسير فبراير'!AF20,0)+IF(3&lt;=cfg_VAL_M,'مسير مارس'!AD20+'مسير مارس'!AE20+'مسير مارس'!AF20,0)+IF(4&lt;=cfg_VAL_M,'مسير أبريل'!AD20+'مسير أبريل'!AE20+'مسير أبريل'!AF20,0)+IF(5&lt;=cfg_VAL_M,'مسير مايو'!AD20+'مسير مايو'!AE20+'مسير مايو'!AF20,0)+IF(6&lt;=cfg_VAL_M,'مسير يونيو'!AD20+'مسير يونيو'!AE20+'مسير يونيو'!AF20,0)+IF(7&lt;=cfg_VAL_M,'مسير يوليو'!AD20+'مسير يوليو'!AE20+'مسير يوليو'!AF20,0)+IF(8&lt;=cfg_VAL_M,'مسير أغسطس'!AD20+'مسير أغسطس'!AE20+'مسير أغسطس'!AF20,0)+IF(9&lt;=cfg_VAL_M,'مسير سبتمبر'!AD20+'مسير سبتمبر'!AE20+'مسير سبتمبر'!AF20,0)+IF(10&lt;=cfg_VAL_M,'مسير أكتوبر'!AD20+'مسير أكتوبر'!AE20+'مسير أكتوبر'!AF20,0)+IF(11&lt;=cfg_VAL_M,'مسير نوفمبر'!AD20+'مسير نوفمبر'!AE20+'مسير نوفمبر'!AF20,0)+IF(12&lt;=cfg_VAL_M,'مسير ديسمبر'!AD20+'مسير ديسمبر'!AE20+'مسير ديسمبر'!AF20,0))</f>
        <v/>
      </c>
      <c r="U20" s="97" t="str">
        <f aca="false">IF(OR($B20="",F20="✖ منتهي الخدمة"),"",IF(AND(ISNUMBER(I20),I20&lt;=cfg_ALERT),N20,0)+IF(AND(ISNUMBER(L20),L20&lt;=cfg_ALERT),O20,0))</f>
        <v/>
      </c>
    </row>
    <row r="21" customFormat="false" ht="15" hidden="false" customHeight="false" outlineLevel="0" collapsed="false">
      <c r="B21" s="102" t="str">
        <f aca="false">IF(الموظفون!$B21="","",الموظفون!$B21)</f>
        <v/>
      </c>
      <c r="C21" s="102" t="str">
        <f aca="false">IF($B21="","",الموظفون!$C21)</f>
        <v/>
      </c>
      <c r="D21" s="102" t="str">
        <f aca="false">IF($B21="","",الموظفون!$D21)</f>
        <v/>
      </c>
      <c r="E21" s="102" t="str">
        <f aca="false">IF($B21="","",الموظفون!$E21)</f>
        <v/>
      </c>
      <c r="F21" s="102" t="str">
        <f aca="false">IF($B21="","",الموظفون!$AG21)</f>
        <v/>
      </c>
      <c r="G21" s="102" t="str">
        <f aca="false">IF($B21="","",IF(الموظفون!$I21="","",الموظفون!$I21))</f>
        <v/>
      </c>
      <c r="H21" s="148" t="str">
        <f aca="false">IF($B21="","",IF(الموظفون!$J21="","",الموظفون!$J21))</f>
        <v/>
      </c>
      <c r="I21" s="110" t="str">
        <f aca="false">IF(OR($B21="",H21=""),"",H21-cfg_TRACK)</f>
        <v/>
      </c>
      <c r="J21" s="102" t="str">
        <f aca="false">IF(OR($B21="",$F21="✖ منتهي الخدمة"),"",IF(H21="",IF($E21="غير سعودي","⚠ أدخل التاريخ","-"),IF(I21&lt;0,"✖ منتهية منذ "&amp;TEXT(-I21,"0")&amp;" يوم",IF(I21&lt;=cfg_ALERT,"⚠ تنتهي خلال "&amp;TEXT(I21,"0")&amp;" يوم","✔ سارية"))))</f>
        <v/>
      </c>
      <c r="K21" s="148" t="str">
        <f aca="false">IF($B21="","",IF(الموظفون!$K21="","",الموظفون!$K21))</f>
        <v/>
      </c>
      <c r="L21" s="110" t="str">
        <f aca="false">IF(OR($B21="",K21=""),"",K21-cfg_TRACK)</f>
        <v/>
      </c>
      <c r="M21" s="102" t="str">
        <f aca="false">IF(OR($B21="",$F21="✖ منتهي الخدمة"),"",IF(K21="",IF($E21="غير سعودي","⚠ أدخل التاريخ","-"),IF(L21&lt;0,"✖ منتهية منذ "&amp;TEXT(-L21,"0")&amp;" يوم",IF(L21&lt;=cfg_ALERT,"⚠ تنتهي خلال "&amp;TEXT(L21,"0")&amp;" يوم","✔ سارية"))))</f>
        <v/>
      </c>
      <c r="N21" s="101" t="str">
        <f aca="false">IF($B21="","",IF(F21="✖ منتهي الخدمة",0,IF(الموظفون!$X21&lt;&gt;"",الموظفون!$X21,IF(الموظفون!$E21="غير سعودي",cfg_IQ,0))))</f>
        <v/>
      </c>
      <c r="O21" s="101" t="str">
        <f aca="false">IF($B21="","",IF(F21="✖ منتهي الخدمة",0,IF(الموظفون!$Y21&lt;&gt;"",الموظفون!$Y21,IF(الموظفون!$E21="غير سعودي",cfg_WP,0))))</f>
        <v/>
      </c>
      <c r="P21" s="101" t="str">
        <f aca="false">IF($B21="","",IF(F21="✖ منتهي الخدمة",0,IF(الموظفون!$Z21&lt;&gt;"",الموظفون!$Z21,cfg_MED)))</f>
        <v/>
      </c>
      <c r="Q21" s="101" t="str">
        <f aca="false">IF($B21="","",IF(F21="✖ منتهي الخدمة",0,N(الموظفون!$AA21)))</f>
        <v/>
      </c>
      <c r="R21" s="101" t="str">
        <f aca="false">IF($B21="","",SUM(N21:Q21))</f>
        <v/>
      </c>
      <c r="S21" s="101" t="str">
        <f aca="false">IF($B21="","",R21/12)</f>
        <v/>
      </c>
      <c r="T21" s="101" t="str">
        <f aca="false">IF($B21="","",IF(1&lt;=cfg_VAL_M,'مسير يناير'!AD21+'مسير يناير'!AE21+'مسير يناير'!AF21,0)+IF(2&lt;=cfg_VAL_M,'مسير فبراير'!AD21+'مسير فبراير'!AE21+'مسير فبراير'!AF21,0)+IF(3&lt;=cfg_VAL_M,'مسير مارس'!AD21+'مسير مارس'!AE21+'مسير مارس'!AF21,0)+IF(4&lt;=cfg_VAL_M,'مسير أبريل'!AD21+'مسير أبريل'!AE21+'مسير أبريل'!AF21,0)+IF(5&lt;=cfg_VAL_M,'مسير مايو'!AD21+'مسير مايو'!AE21+'مسير مايو'!AF21,0)+IF(6&lt;=cfg_VAL_M,'مسير يونيو'!AD21+'مسير يونيو'!AE21+'مسير يونيو'!AF21,0)+IF(7&lt;=cfg_VAL_M,'مسير يوليو'!AD21+'مسير يوليو'!AE21+'مسير يوليو'!AF21,0)+IF(8&lt;=cfg_VAL_M,'مسير أغسطس'!AD21+'مسير أغسطس'!AE21+'مسير أغسطس'!AF21,0)+IF(9&lt;=cfg_VAL_M,'مسير سبتمبر'!AD21+'مسير سبتمبر'!AE21+'مسير سبتمبر'!AF21,0)+IF(10&lt;=cfg_VAL_M,'مسير أكتوبر'!AD21+'مسير أكتوبر'!AE21+'مسير أكتوبر'!AF21,0)+IF(11&lt;=cfg_VAL_M,'مسير نوفمبر'!AD21+'مسير نوفمبر'!AE21+'مسير نوفمبر'!AF21,0)+IF(12&lt;=cfg_VAL_M,'مسير ديسمبر'!AD21+'مسير ديسمبر'!AE21+'مسير ديسمبر'!AF21,0))</f>
        <v/>
      </c>
      <c r="U21" s="101" t="str">
        <f aca="false">IF(OR($B21="",F21="✖ منتهي الخدمة"),"",IF(AND(ISNUMBER(I21),I21&lt;=cfg_ALERT),N21,0)+IF(AND(ISNUMBER(L21),L21&lt;=cfg_ALERT),O21,0))</f>
        <v/>
      </c>
    </row>
    <row r="22" customFormat="false" ht="15" hidden="false" customHeight="false" outlineLevel="0" collapsed="false">
      <c r="B22" s="80" t="str">
        <f aca="false">IF(الموظفون!$B22="","",الموظفون!$B22)</f>
        <v/>
      </c>
      <c r="C22" s="80" t="str">
        <f aca="false">IF($B22="","",الموظفون!$C22)</f>
        <v/>
      </c>
      <c r="D22" s="80" t="str">
        <f aca="false">IF($B22="","",الموظفون!$D22)</f>
        <v/>
      </c>
      <c r="E22" s="80" t="str">
        <f aca="false">IF($B22="","",الموظفون!$E22)</f>
        <v/>
      </c>
      <c r="F22" s="80" t="str">
        <f aca="false">IF($B22="","",الموظفون!$AG22)</f>
        <v/>
      </c>
      <c r="G22" s="80" t="str">
        <f aca="false">IF($B22="","",IF(الموظفون!$I22="","",الموظفون!$I22))</f>
        <v/>
      </c>
      <c r="H22" s="147" t="str">
        <f aca="false">IF($B22="","",IF(الموظفون!$J22="","",الموظفون!$J22))</f>
        <v/>
      </c>
      <c r="I22" s="57" t="str">
        <f aca="false">IF(OR($B22="",H22=""),"",H22-cfg_TRACK)</f>
        <v/>
      </c>
      <c r="J22" s="80" t="str">
        <f aca="false">IF(OR($B22="",$F22="✖ منتهي الخدمة"),"",IF(H22="",IF($E22="غير سعودي","⚠ أدخل التاريخ","-"),IF(I22&lt;0,"✖ منتهية منذ "&amp;TEXT(-I22,"0")&amp;" يوم",IF(I22&lt;=cfg_ALERT,"⚠ تنتهي خلال "&amp;TEXT(I22,"0")&amp;" يوم","✔ سارية"))))</f>
        <v/>
      </c>
      <c r="K22" s="147" t="str">
        <f aca="false">IF($B22="","",IF(الموظفون!$K22="","",الموظفون!$K22))</f>
        <v/>
      </c>
      <c r="L22" s="57" t="str">
        <f aca="false">IF(OR($B22="",K22=""),"",K22-cfg_TRACK)</f>
        <v/>
      </c>
      <c r="M22" s="80" t="str">
        <f aca="false">IF(OR($B22="",$F22="✖ منتهي الخدمة"),"",IF(K22="",IF($E22="غير سعودي","⚠ أدخل التاريخ","-"),IF(L22&lt;0,"✖ منتهية منذ "&amp;TEXT(-L22,"0")&amp;" يوم",IF(L22&lt;=cfg_ALERT,"⚠ تنتهي خلال "&amp;TEXT(L22,"0")&amp;" يوم","✔ سارية"))))</f>
        <v/>
      </c>
      <c r="N22" s="97" t="str">
        <f aca="false">IF($B22="","",IF(F22="✖ منتهي الخدمة",0,IF(الموظفون!$X22&lt;&gt;"",الموظفون!$X22,IF(الموظفون!$E22="غير سعودي",cfg_IQ,0))))</f>
        <v/>
      </c>
      <c r="O22" s="97" t="str">
        <f aca="false">IF($B22="","",IF(F22="✖ منتهي الخدمة",0,IF(الموظفون!$Y22&lt;&gt;"",الموظفون!$Y22,IF(الموظفون!$E22="غير سعودي",cfg_WP,0))))</f>
        <v/>
      </c>
      <c r="P22" s="97" t="str">
        <f aca="false">IF($B22="","",IF(F22="✖ منتهي الخدمة",0,IF(الموظفون!$Z22&lt;&gt;"",الموظفون!$Z22,cfg_MED)))</f>
        <v/>
      </c>
      <c r="Q22" s="97" t="str">
        <f aca="false">IF($B22="","",IF(F22="✖ منتهي الخدمة",0,N(الموظفون!$AA22)))</f>
        <v/>
      </c>
      <c r="R22" s="97" t="str">
        <f aca="false">IF($B22="","",SUM(N22:Q22))</f>
        <v/>
      </c>
      <c r="S22" s="97" t="str">
        <f aca="false">IF($B22="","",R22/12)</f>
        <v/>
      </c>
      <c r="T22" s="97" t="str">
        <f aca="false">IF($B22="","",IF(1&lt;=cfg_VAL_M,'مسير يناير'!AD22+'مسير يناير'!AE22+'مسير يناير'!AF22,0)+IF(2&lt;=cfg_VAL_M,'مسير فبراير'!AD22+'مسير فبراير'!AE22+'مسير فبراير'!AF22,0)+IF(3&lt;=cfg_VAL_M,'مسير مارس'!AD22+'مسير مارس'!AE22+'مسير مارس'!AF22,0)+IF(4&lt;=cfg_VAL_M,'مسير أبريل'!AD22+'مسير أبريل'!AE22+'مسير أبريل'!AF22,0)+IF(5&lt;=cfg_VAL_M,'مسير مايو'!AD22+'مسير مايو'!AE22+'مسير مايو'!AF22,0)+IF(6&lt;=cfg_VAL_M,'مسير يونيو'!AD22+'مسير يونيو'!AE22+'مسير يونيو'!AF22,0)+IF(7&lt;=cfg_VAL_M,'مسير يوليو'!AD22+'مسير يوليو'!AE22+'مسير يوليو'!AF22,0)+IF(8&lt;=cfg_VAL_M,'مسير أغسطس'!AD22+'مسير أغسطس'!AE22+'مسير أغسطس'!AF22,0)+IF(9&lt;=cfg_VAL_M,'مسير سبتمبر'!AD22+'مسير سبتمبر'!AE22+'مسير سبتمبر'!AF22,0)+IF(10&lt;=cfg_VAL_M,'مسير أكتوبر'!AD22+'مسير أكتوبر'!AE22+'مسير أكتوبر'!AF22,0)+IF(11&lt;=cfg_VAL_M,'مسير نوفمبر'!AD22+'مسير نوفمبر'!AE22+'مسير نوفمبر'!AF22,0)+IF(12&lt;=cfg_VAL_M,'مسير ديسمبر'!AD22+'مسير ديسمبر'!AE22+'مسير ديسمبر'!AF22,0))</f>
        <v/>
      </c>
      <c r="U22" s="97" t="str">
        <f aca="false">IF(OR($B22="",F22="✖ منتهي الخدمة"),"",IF(AND(ISNUMBER(I22),I22&lt;=cfg_ALERT),N22,0)+IF(AND(ISNUMBER(L22),L22&lt;=cfg_ALERT),O22,0))</f>
        <v/>
      </c>
    </row>
    <row r="23" customFormat="false" ht="15" hidden="false" customHeight="false" outlineLevel="0" collapsed="false">
      <c r="B23" s="102" t="str">
        <f aca="false">IF(الموظفون!$B23="","",الموظفون!$B23)</f>
        <v/>
      </c>
      <c r="C23" s="102" t="str">
        <f aca="false">IF($B23="","",الموظفون!$C23)</f>
        <v/>
      </c>
      <c r="D23" s="102" t="str">
        <f aca="false">IF($B23="","",الموظفون!$D23)</f>
        <v/>
      </c>
      <c r="E23" s="102" t="str">
        <f aca="false">IF($B23="","",الموظفون!$E23)</f>
        <v/>
      </c>
      <c r="F23" s="102" t="str">
        <f aca="false">IF($B23="","",الموظفون!$AG23)</f>
        <v/>
      </c>
      <c r="G23" s="102" t="str">
        <f aca="false">IF($B23="","",IF(الموظفون!$I23="","",الموظفون!$I23))</f>
        <v/>
      </c>
      <c r="H23" s="148" t="str">
        <f aca="false">IF($B23="","",IF(الموظفون!$J23="","",الموظفون!$J23))</f>
        <v/>
      </c>
      <c r="I23" s="110" t="str">
        <f aca="false">IF(OR($B23="",H23=""),"",H23-cfg_TRACK)</f>
        <v/>
      </c>
      <c r="J23" s="102" t="str">
        <f aca="false">IF(OR($B23="",$F23="✖ منتهي الخدمة"),"",IF(H23="",IF($E23="غير سعودي","⚠ أدخل التاريخ","-"),IF(I23&lt;0,"✖ منتهية منذ "&amp;TEXT(-I23,"0")&amp;" يوم",IF(I23&lt;=cfg_ALERT,"⚠ تنتهي خلال "&amp;TEXT(I23,"0")&amp;" يوم","✔ سارية"))))</f>
        <v/>
      </c>
      <c r="K23" s="148" t="str">
        <f aca="false">IF($B23="","",IF(الموظفون!$K23="","",الموظفون!$K23))</f>
        <v/>
      </c>
      <c r="L23" s="110" t="str">
        <f aca="false">IF(OR($B23="",K23=""),"",K23-cfg_TRACK)</f>
        <v/>
      </c>
      <c r="M23" s="102" t="str">
        <f aca="false">IF(OR($B23="",$F23="✖ منتهي الخدمة"),"",IF(K23="",IF($E23="غير سعودي","⚠ أدخل التاريخ","-"),IF(L23&lt;0,"✖ منتهية منذ "&amp;TEXT(-L23,"0")&amp;" يوم",IF(L23&lt;=cfg_ALERT,"⚠ تنتهي خلال "&amp;TEXT(L23,"0")&amp;" يوم","✔ سارية"))))</f>
        <v/>
      </c>
      <c r="N23" s="101" t="str">
        <f aca="false">IF($B23="","",IF(F23="✖ منتهي الخدمة",0,IF(الموظفون!$X23&lt;&gt;"",الموظفون!$X23,IF(الموظفون!$E23="غير سعودي",cfg_IQ,0))))</f>
        <v/>
      </c>
      <c r="O23" s="101" t="str">
        <f aca="false">IF($B23="","",IF(F23="✖ منتهي الخدمة",0,IF(الموظفون!$Y23&lt;&gt;"",الموظفون!$Y23,IF(الموظفون!$E23="غير سعودي",cfg_WP,0))))</f>
        <v/>
      </c>
      <c r="P23" s="101" t="str">
        <f aca="false">IF($B23="","",IF(F23="✖ منتهي الخدمة",0,IF(الموظفون!$Z23&lt;&gt;"",الموظفون!$Z23,cfg_MED)))</f>
        <v/>
      </c>
      <c r="Q23" s="101" t="str">
        <f aca="false">IF($B23="","",IF(F23="✖ منتهي الخدمة",0,N(الموظفون!$AA23)))</f>
        <v/>
      </c>
      <c r="R23" s="101" t="str">
        <f aca="false">IF($B23="","",SUM(N23:Q23))</f>
        <v/>
      </c>
      <c r="S23" s="101" t="str">
        <f aca="false">IF($B23="","",R23/12)</f>
        <v/>
      </c>
      <c r="T23" s="101" t="str">
        <f aca="false">IF($B23="","",IF(1&lt;=cfg_VAL_M,'مسير يناير'!AD23+'مسير يناير'!AE23+'مسير يناير'!AF23,0)+IF(2&lt;=cfg_VAL_M,'مسير فبراير'!AD23+'مسير فبراير'!AE23+'مسير فبراير'!AF23,0)+IF(3&lt;=cfg_VAL_M,'مسير مارس'!AD23+'مسير مارس'!AE23+'مسير مارس'!AF23,0)+IF(4&lt;=cfg_VAL_M,'مسير أبريل'!AD23+'مسير أبريل'!AE23+'مسير أبريل'!AF23,0)+IF(5&lt;=cfg_VAL_M,'مسير مايو'!AD23+'مسير مايو'!AE23+'مسير مايو'!AF23,0)+IF(6&lt;=cfg_VAL_M,'مسير يونيو'!AD23+'مسير يونيو'!AE23+'مسير يونيو'!AF23,0)+IF(7&lt;=cfg_VAL_M,'مسير يوليو'!AD23+'مسير يوليو'!AE23+'مسير يوليو'!AF23,0)+IF(8&lt;=cfg_VAL_M,'مسير أغسطس'!AD23+'مسير أغسطس'!AE23+'مسير أغسطس'!AF23,0)+IF(9&lt;=cfg_VAL_M,'مسير سبتمبر'!AD23+'مسير سبتمبر'!AE23+'مسير سبتمبر'!AF23,0)+IF(10&lt;=cfg_VAL_M,'مسير أكتوبر'!AD23+'مسير أكتوبر'!AE23+'مسير أكتوبر'!AF23,0)+IF(11&lt;=cfg_VAL_M,'مسير نوفمبر'!AD23+'مسير نوفمبر'!AE23+'مسير نوفمبر'!AF23,0)+IF(12&lt;=cfg_VAL_M,'مسير ديسمبر'!AD23+'مسير ديسمبر'!AE23+'مسير ديسمبر'!AF23,0))</f>
        <v/>
      </c>
      <c r="U23" s="101" t="str">
        <f aca="false">IF(OR($B23="",F23="✖ منتهي الخدمة"),"",IF(AND(ISNUMBER(I23),I23&lt;=cfg_ALERT),N23,0)+IF(AND(ISNUMBER(L23),L23&lt;=cfg_ALERT),O23,0))</f>
        <v/>
      </c>
    </row>
    <row r="24" customFormat="false" ht="15" hidden="false" customHeight="false" outlineLevel="0" collapsed="false">
      <c r="B24" s="80" t="str">
        <f aca="false">IF(الموظفون!$B24="","",الموظفون!$B24)</f>
        <v/>
      </c>
      <c r="C24" s="80" t="str">
        <f aca="false">IF($B24="","",الموظفون!$C24)</f>
        <v/>
      </c>
      <c r="D24" s="80" t="str">
        <f aca="false">IF($B24="","",الموظفون!$D24)</f>
        <v/>
      </c>
      <c r="E24" s="80" t="str">
        <f aca="false">IF($B24="","",الموظفون!$E24)</f>
        <v/>
      </c>
      <c r="F24" s="80" t="str">
        <f aca="false">IF($B24="","",الموظفون!$AG24)</f>
        <v/>
      </c>
      <c r="G24" s="80" t="str">
        <f aca="false">IF($B24="","",IF(الموظفون!$I24="","",الموظفون!$I24))</f>
        <v/>
      </c>
      <c r="H24" s="147" t="str">
        <f aca="false">IF($B24="","",IF(الموظفون!$J24="","",الموظفون!$J24))</f>
        <v/>
      </c>
      <c r="I24" s="57" t="str">
        <f aca="false">IF(OR($B24="",H24=""),"",H24-cfg_TRACK)</f>
        <v/>
      </c>
      <c r="J24" s="80" t="str">
        <f aca="false">IF(OR($B24="",$F24="✖ منتهي الخدمة"),"",IF(H24="",IF($E24="غير سعودي","⚠ أدخل التاريخ","-"),IF(I24&lt;0,"✖ منتهية منذ "&amp;TEXT(-I24,"0")&amp;" يوم",IF(I24&lt;=cfg_ALERT,"⚠ تنتهي خلال "&amp;TEXT(I24,"0")&amp;" يوم","✔ سارية"))))</f>
        <v/>
      </c>
      <c r="K24" s="147" t="str">
        <f aca="false">IF($B24="","",IF(الموظفون!$K24="","",الموظفون!$K24))</f>
        <v/>
      </c>
      <c r="L24" s="57" t="str">
        <f aca="false">IF(OR($B24="",K24=""),"",K24-cfg_TRACK)</f>
        <v/>
      </c>
      <c r="M24" s="80" t="str">
        <f aca="false">IF(OR($B24="",$F24="✖ منتهي الخدمة"),"",IF(K24="",IF($E24="غير سعودي","⚠ أدخل التاريخ","-"),IF(L24&lt;0,"✖ منتهية منذ "&amp;TEXT(-L24,"0")&amp;" يوم",IF(L24&lt;=cfg_ALERT,"⚠ تنتهي خلال "&amp;TEXT(L24,"0")&amp;" يوم","✔ سارية"))))</f>
        <v/>
      </c>
      <c r="N24" s="97" t="str">
        <f aca="false">IF($B24="","",IF(F24="✖ منتهي الخدمة",0,IF(الموظفون!$X24&lt;&gt;"",الموظفون!$X24,IF(الموظفون!$E24="غير سعودي",cfg_IQ,0))))</f>
        <v/>
      </c>
      <c r="O24" s="97" t="str">
        <f aca="false">IF($B24="","",IF(F24="✖ منتهي الخدمة",0,IF(الموظفون!$Y24&lt;&gt;"",الموظفون!$Y24,IF(الموظفون!$E24="غير سعودي",cfg_WP,0))))</f>
        <v/>
      </c>
      <c r="P24" s="97" t="str">
        <f aca="false">IF($B24="","",IF(F24="✖ منتهي الخدمة",0,IF(الموظفون!$Z24&lt;&gt;"",الموظفون!$Z24,cfg_MED)))</f>
        <v/>
      </c>
      <c r="Q24" s="97" t="str">
        <f aca="false">IF($B24="","",IF(F24="✖ منتهي الخدمة",0,N(الموظفون!$AA24)))</f>
        <v/>
      </c>
      <c r="R24" s="97" t="str">
        <f aca="false">IF($B24="","",SUM(N24:Q24))</f>
        <v/>
      </c>
      <c r="S24" s="97" t="str">
        <f aca="false">IF($B24="","",R24/12)</f>
        <v/>
      </c>
      <c r="T24" s="97" t="str">
        <f aca="false">IF($B24="","",IF(1&lt;=cfg_VAL_M,'مسير يناير'!AD24+'مسير يناير'!AE24+'مسير يناير'!AF24,0)+IF(2&lt;=cfg_VAL_M,'مسير فبراير'!AD24+'مسير فبراير'!AE24+'مسير فبراير'!AF24,0)+IF(3&lt;=cfg_VAL_M,'مسير مارس'!AD24+'مسير مارس'!AE24+'مسير مارس'!AF24,0)+IF(4&lt;=cfg_VAL_M,'مسير أبريل'!AD24+'مسير أبريل'!AE24+'مسير أبريل'!AF24,0)+IF(5&lt;=cfg_VAL_M,'مسير مايو'!AD24+'مسير مايو'!AE24+'مسير مايو'!AF24,0)+IF(6&lt;=cfg_VAL_M,'مسير يونيو'!AD24+'مسير يونيو'!AE24+'مسير يونيو'!AF24,0)+IF(7&lt;=cfg_VAL_M,'مسير يوليو'!AD24+'مسير يوليو'!AE24+'مسير يوليو'!AF24,0)+IF(8&lt;=cfg_VAL_M,'مسير أغسطس'!AD24+'مسير أغسطس'!AE24+'مسير أغسطس'!AF24,0)+IF(9&lt;=cfg_VAL_M,'مسير سبتمبر'!AD24+'مسير سبتمبر'!AE24+'مسير سبتمبر'!AF24,0)+IF(10&lt;=cfg_VAL_M,'مسير أكتوبر'!AD24+'مسير أكتوبر'!AE24+'مسير أكتوبر'!AF24,0)+IF(11&lt;=cfg_VAL_M,'مسير نوفمبر'!AD24+'مسير نوفمبر'!AE24+'مسير نوفمبر'!AF24,0)+IF(12&lt;=cfg_VAL_M,'مسير ديسمبر'!AD24+'مسير ديسمبر'!AE24+'مسير ديسمبر'!AF24,0))</f>
        <v/>
      </c>
      <c r="U24" s="97" t="str">
        <f aca="false">IF(OR($B24="",F24="✖ منتهي الخدمة"),"",IF(AND(ISNUMBER(I24),I24&lt;=cfg_ALERT),N24,0)+IF(AND(ISNUMBER(L24),L24&lt;=cfg_ALERT),O24,0))</f>
        <v/>
      </c>
    </row>
    <row r="25" customFormat="false" ht="15" hidden="false" customHeight="false" outlineLevel="0" collapsed="false">
      <c r="B25" s="102" t="str">
        <f aca="false">IF(الموظفون!$B25="","",الموظفون!$B25)</f>
        <v/>
      </c>
      <c r="C25" s="102" t="str">
        <f aca="false">IF($B25="","",الموظفون!$C25)</f>
        <v/>
      </c>
      <c r="D25" s="102" t="str">
        <f aca="false">IF($B25="","",الموظفون!$D25)</f>
        <v/>
      </c>
      <c r="E25" s="102" t="str">
        <f aca="false">IF($B25="","",الموظفون!$E25)</f>
        <v/>
      </c>
      <c r="F25" s="102" t="str">
        <f aca="false">IF($B25="","",الموظفون!$AG25)</f>
        <v/>
      </c>
      <c r="G25" s="102" t="str">
        <f aca="false">IF($B25="","",IF(الموظفون!$I25="","",الموظفون!$I25))</f>
        <v/>
      </c>
      <c r="H25" s="148" t="str">
        <f aca="false">IF($B25="","",IF(الموظفون!$J25="","",الموظفون!$J25))</f>
        <v/>
      </c>
      <c r="I25" s="110" t="str">
        <f aca="false">IF(OR($B25="",H25=""),"",H25-cfg_TRACK)</f>
        <v/>
      </c>
      <c r="J25" s="102" t="str">
        <f aca="false">IF(OR($B25="",$F25="✖ منتهي الخدمة"),"",IF(H25="",IF($E25="غير سعودي","⚠ أدخل التاريخ","-"),IF(I25&lt;0,"✖ منتهية منذ "&amp;TEXT(-I25,"0")&amp;" يوم",IF(I25&lt;=cfg_ALERT,"⚠ تنتهي خلال "&amp;TEXT(I25,"0")&amp;" يوم","✔ سارية"))))</f>
        <v/>
      </c>
      <c r="K25" s="148" t="str">
        <f aca="false">IF($B25="","",IF(الموظفون!$K25="","",الموظفون!$K25))</f>
        <v/>
      </c>
      <c r="L25" s="110" t="str">
        <f aca="false">IF(OR($B25="",K25=""),"",K25-cfg_TRACK)</f>
        <v/>
      </c>
      <c r="M25" s="102" t="str">
        <f aca="false">IF(OR($B25="",$F25="✖ منتهي الخدمة"),"",IF(K25="",IF($E25="غير سعودي","⚠ أدخل التاريخ","-"),IF(L25&lt;0,"✖ منتهية منذ "&amp;TEXT(-L25,"0")&amp;" يوم",IF(L25&lt;=cfg_ALERT,"⚠ تنتهي خلال "&amp;TEXT(L25,"0")&amp;" يوم","✔ سارية"))))</f>
        <v/>
      </c>
      <c r="N25" s="101" t="str">
        <f aca="false">IF($B25="","",IF(F25="✖ منتهي الخدمة",0,IF(الموظفون!$X25&lt;&gt;"",الموظفون!$X25,IF(الموظفون!$E25="غير سعودي",cfg_IQ,0))))</f>
        <v/>
      </c>
      <c r="O25" s="101" t="str">
        <f aca="false">IF($B25="","",IF(F25="✖ منتهي الخدمة",0,IF(الموظفون!$Y25&lt;&gt;"",الموظفون!$Y25,IF(الموظفون!$E25="غير سعودي",cfg_WP,0))))</f>
        <v/>
      </c>
      <c r="P25" s="101" t="str">
        <f aca="false">IF($B25="","",IF(F25="✖ منتهي الخدمة",0,IF(الموظفون!$Z25&lt;&gt;"",الموظفون!$Z25,cfg_MED)))</f>
        <v/>
      </c>
      <c r="Q25" s="101" t="str">
        <f aca="false">IF($B25="","",IF(F25="✖ منتهي الخدمة",0,N(الموظفون!$AA25)))</f>
        <v/>
      </c>
      <c r="R25" s="101" t="str">
        <f aca="false">IF($B25="","",SUM(N25:Q25))</f>
        <v/>
      </c>
      <c r="S25" s="101" t="str">
        <f aca="false">IF($B25="","",R25/12)</f>
        <v/>
      </c>
      <c r="T25" s="101" t="str">
        <f aca="false">IF($B25="","",IF(1&lt;=cfg_VAL_M,'مسير يناير'!AD25+'مسير يناير'!AE25+'مسير يناير'!AF25,0)+IF(2&lt;=cfg_VAL_M,'مسير فبراير'!AD25+'مسير فبراير'!AE25+'مسير فبراير'!AF25,0)+IF(3&lt;=cfg_VAL_M,'مسير مارس'!AD25+'مسير مارس'!AE25+'مسير مارس'!AF25,0)+IF(4&lt;=cfg_VAL_M,'مسير أبريل'!AD25+'مسير أبريل'!AE25+'مسير أبريل'!AF25,0)+IF(5&lt;=cfg_VAL_M,'مسير مايو'!AD25+'مسير مايو'!AE25+'مسير مايو'!AF25,0)+IF(6&lt;=cfg_VAL_M,'مسير يونيو'!AD25+'مسير يونيو'!AE25+'مسير يونيو'!AF25,0)+IF(7&lt;=cfg_VAL_M,'مسير يوليو'!AD25+'مسير يوليو'!AE25+'مسير يوليو'!AF25,0)+IF(8&lt;=cfg_VAL_M,'مسير أغسطس'!AD25+'مسير أغسطس'!AE25+'مسير أغسطس'!AF25,0)+IF(9&lt;=cfg_VAL_M,'مسير سبتمبر'!AD25+'مسير سبتمبر'!AE25+'مسير سبتمبر'!AF25,0)+IF(10&lt;=cfg_VAL_M,'مسير أكتوبر'!AD25+'مسير أكتوبر'!AE25+'مسير أكتوبر'!AF25,0)+IF(11&lt;=cfg_VAL_M,'مسير نوفمبر'!AD25+'مسير نوفمبر'!AE25+'مسير نوفمبر'!AF25,0)+IF(12&lt;=cfg_VAL_M,'مسير ديسمبر'!AD25+'مسير ديسمبر'!AE25+'مسير ديسمبر'!AF25,0))</f>
        <v/>
      </c>
      <c r="U25" s="101" t="str">
        <f aca="false">IF(OR($B25="",F25="✖ منتهي الخدمة"),"",IF(AND(ISNUMBER(I25),I25&lt;=cfg_ALERT),N25,0)+IF(AND(ISNUMBER(L25),L25&lt;=cfg_ALERT),O25,0))</f>
        <v/>
      </c>
    </row>
    <row r="26" customFormat="false" ht="15" hidden="false" customHeight="false" outlineLevel="0" collapsed="false">
      <c r="B26" s="80" t="str">
        <f aca="false">IF(الموظفون!$B26="","",الموظفون!$B26)</f>
        <v/>
      </c>
      <c r="C26" s="80" t="str">
        <f aca="false">IF($B26="","",الموظفون!$C26)</f>
        <v/>
      </c>
      <c r="D26" s="80" t="str">
        <f aca="false">IF($B26="","",الموظفون!$D26)</f>
        <v/>
      </c>
      <c r="E26" s="80" t="str">
        <f aca="false">IF($B26="","",الموظفون!$E26)</f>
        <v/>
      </c>
      <c r="F26" s="80" t="str">
        <f aca="false">IF($B26="","",الموظفون!$AG26)</f>
        <v/>
      </c>
      <c r="G26" s="80" t="str">
        <f aca="false">IF($B26="","",IF(الموظفون!$I26="","",الموظفون!$I26))</f>
        <v/>
      </c>
      <c r="H26" s="147" t="str">
        <f aca="false">IF($B26="","",IF(الموظفون!$J26="","",الموظفون!$J26))</f>
        <v/>
      </c>
      <c r="I26" s="57" t="str">
        <f aca="false">IF(OR($B26="",H26=""),"",H26-cfg_TRACK)</f>
        <v/>
      </c>
      <c r="J26" s="80" t="str">
        <f aca="false">IF(OR($B26="",$F26="✖ منتهي الخدمة"),"",IF(H26="",IF($E26="غير سعودي","⚠ أدخل التاريخ","-"),IF(I26&lt;0,"✖ منتهية منذ "&amp;TEXT(-I26,"0")&amp;" يوم",IF(I26&lt;=cfg_ALERT,"⚠ تنتهي خلال "&amp;TEXT(I26,"0")&amp;" يوم","✔ سارية"))))</f>
        <v/>
      </c>
      <c r="K26" s="147" t="str">
        <f aca="false">IF($B26="","",IF(الموظفون!$K26="","",الموظفون!$K26))</f>
        <v/>
      </c>
      <c r="L26" s="57" t="str">
        <f aca="false">IF(OR($B26="",K26=""),"",K26-cfg_TRACK)</f>
        <v/>
      </c>
      <c r="M26" s="80" t="str">
        <f aca="false">IF(OR($B26="",$F26="✖ منتهي الخدمة"),"",IF(K26="",IF($E26="غير سعودي","⚠ أدخل التاريخ","-"),IF(L26&lt;0,"✖ منتهية منذ "&amp;TEXT(-L26,"0")&amp;" يوم",IF(L26&lt;=cfg_ALERT,"⚠ تنتهي خلال "&amp;TEXT(L26,"0")&amp;" يوم","✔ سارية"))))</f>
        <v/>
      </c>
      <c r="N26" s="97" t="str">
        <f aca="false">IF($B26="","",IF(F26="✖ منتهي الخدمة",0,IF(الموظفون!$X26&lt;&gt;"",الموظفون!$X26,IF(الموظفون!$E26="غير سعودي",cfg_IQ,0))))</f>
        <v/>
      </c>
      <c r="O26" s="97" t="str">
        <f aca="false">IF($B26="","",IF(F26="✖ منتهي الخدمة",0,IF(الموظفون!$Y26&lt;&gt;"",الموظفون!$Y26,IF(الموظفون!$E26="غير سعودي",cfg_WP,0))))</f>
        <v/>
      </c>
      <c r="P26" s="97" t="str">
        <f aca="false">IF($B26="","",IF(F26="✖ منتهي الخدمة",0,IF(الموظفون!$Z26&lt;&gt;"",الموظفون!$Z26,cfg_MED)))</f>
        <v/>
      </c>
      <c r="Q26" s="97" t="str">
        <f aca="false">IF($B26="","",IF(F26="✖ منتهي الخدمة",0,N(الموظفون!$AA26)))</f>
        <v/>
      </c>
      <c r="R26" s="97" t="str">
        <f aca="false">IF($B26="","",SUM(N26:Q26))</f>
        <v/>
      </c>
      <c r="S26" s="97" t="str">
        <f aca="false">IF($B26="","",R26/12)</f>
        <v/>
      </c>
      <c r="T26" s="97" t="str">
        <f aca="false">IF($B26="","",IF(1&lt;=cfg_VAL_M,'مسير يناير'!AD26+'مسير يناير'!AE26+'مسير يناير'!AF26,0)+IF(2&lt;=cfg_VAL_M,'مسير فبراير'!AD26+'مسير فبراير'!AE26+'مسير فبراير'!AF26,0)+IF(3&lt;=cfg_VAL_M,'مسير مارس'!AD26+'مسير مارس'!AE26+'مسير مارس'!AF26,0)+IF(4&lt;=cfg_VAL_M,'مسير أبريل'!AD26+'مسير أبريل'!AE26+'مسير أبريل'!AF26,0)+IF(5&lt;=cfg_VAL_M,'مسير مايو'!AD26+'مسير مايو'!AE26+'مسير مايو'!AF26,0)+IF(6&lt;=cfg_VAL_M,'مسير يونيو'!AD26+'مسير يونيو'!AE26+'مسير يونيو'!AF26,0)+IF(7&lt;=cfg_VAL_M,'مسير يوليو'!AD26+'مسير يوليو'!AE26+'مسير يوليو'!AF26,0)+IF(8&lt;=cfg_VAL_M,'مسير أغسطس'!AD26+'مسير أغسطس'!AE26+'مسير أغسطس'!AF26,0)+IF(9&lt;=cfg_VAL_M,'مسير سبتمبر'!AD26+'مسير سبتمبر'!AE26+'مسير سبتمبر'!AF26,0)+IF(10&lt;=cfg_VAL_M,'مسير أكتوبر'!AD26+'مسير أكتوبر'!AE26+'مسير أكتوبر'!AF26,0)+IF(11&lt;=cfg_VAL_M,'مسير نوفمبر'!AD26+'مسير نوفمبر'!AE26+'مسير نوفمبر'!AF26,0)+IF(12&lt;=cfg_VAL_M,'مسير ديسمبر'!AD26+'مسير ديسمبر'!AE26+'مسير ديسمبر'!AF26,0))</f>
        <v/>
      </c>
      <c r="U26" s="97" t="str">
        <f aca="false">IF(OR($B26="",F26="✖ منتهي الخدمة"),"",IF(AND(ISNUMBER(I26),I26&lt;=cfg_ALERT),N26,0)+IF(AND(ISNUMBER(L26),L26&lt;=cfg_ALERT),O26,0))</f>
        <v/>
      </c>
    </row>
    <row r="27" customFormat="false" ht="15" hidden="false" customHeight="false" outlineLevel="0" collapsed="false">
      <c r="B27" s="102" t="str">
        <f aca="false">IF(الموظفون!$B27="","",الموظفون!$B27)</f>
        <v/>
      </c>
      <c r="C27" s="102" t="str">
        <f aca="false">IF($B27="","",الموظفون!$C27)</f>
        <v/>
      </c>
      <c r="D27" s="102" t="str">
        <f aca="false">IF($B27="","",الموظفون!$D27)</f>
        <v/>
      </c>
      <c r="E27" s="102" t="str">
        <f aca="false">IF($B27="","",الموظفون!$E27)</f>
        <v/>
      </c>
      <c r="F27" s="102" t="str">
        <f aca="false">IF($B27="","",الموظفون!$AG27)</f>
        <v/>
      </c>
      <c r="G27" s="102" t="str">
        <f aca="false">IF($B27="","",IF(الموظفون!$I27="","",الموظفون!$I27))</f>
        <v/>
      </c>
      <c r="H27" s="148" t="str">
        <f aca="false">IF($B27="","",IF(الموظفون!$J27="","",الموظفون!$J27))</f>
        <v/>
      </c>
      <c r="I27" s="110" t="str">
        <f aca="false">IF(OR($B27="",H27=""),"",H27-cfg_TRACK)</f>
        <v/>
      </c>
      <c r="J27" s="102" t="str">
        <f aca="false">IF(OR($B27="",$F27="✖ منتهي الخدمة"),"",IF(H27="",IF($E27="غير سعودي","⚠ أدخل التاريخ","-"),IF(I27&lt;0,"✖ منتهية منذ "&amp;TEXT(-I27,"0")&amp;" يوم",IF(I27&lt;=cfg_ALERT,"⚠ تنتهي خلال "&amp;TEXT(I27,"0")&amp;" يوم","✔ سارية"))))</f>
        <v/>
      </c>
      <c r="K27" s="148" t="str">
        <f aca="false">IF($B27="","",IF(الموظفون!$K27="","",الموظفون!$K27))</f>
        <v/>
      </c>
      <c r="L27" s="110" t="str">
        <f aca="false">IF(OR($B27="",K27=""),"",K27-cfg_TRACK)</f>
        <v/>
      </c>
      <c r="M27" s="102" t="str">
        <f aca="false">IF(OR($B27="",$F27="✖ منتهي الخدمة"),"",IF(K27="",IF($E27="غير سعودي","⚠ أدخل التاريخ","-"),IF(L27&lt;0,"✖ منتهية منذ "&amp;TEXT(-L27,"0")&amp;" يوم",IF(L27&lt;=cfg_ALERT,"⚠ تنتهي خلال "&amp;TEXT(L27,"0")&amp;" يوم","✔ سارية"))))</f>
        <v/>
      </c>
      <c r="N27" s="101" t="str">
        <f aca="false">IF($B27="","",IF(F27="✖ منتهي الخدمة",0,IF(الموظفون!$X27&lt;&gt;"",الموظفون!$X27,IF(الموظفون!$E27="غير سعودي",cfg_IQ,0))))</f>
        <v/>
      </c>
      <c r="O27" s="101" t="str">
        <f aca="false">IF($B27="","",IF(F27="✖ منتهي الخدمة",0,IF(الموظفون!$Y27&lt;&gt;"",الموظفون!$Y27,IF(الموظفون!$E27="غير سعودي",cfg_WP,0))))</f>
        <v/>
      </c>
      <c r="P27" s="101" t="str">
        <f aca="false">IF($B27="","",IF(F27="✖ منتهي الخدمة",0,IF(الموظفون!$Z27&lt;&gt;"",الموظفون!$Z27,cfg_MED)))</f>
        <v/>
      </c>
      <c r="Q27" s="101" t="str">
        <f aca="false">IF($B27="","",IF(F27="✖ منتهي الخدمة",0,N(الموظفون!$AA27)))</f>
        <v/>
      </c>
      <c r="R27" s="101" t="str">
        <f aca="false">IF($B27="","",SUM(N27:Q27))</f>
        <v/>
      </c>
      <c r="S27" s="101" t="str">
        <f aca="false">IF($B27="","",R27/12)</f>
        <v/>
      </c>
      <c r="T27" s="101" t="str">
        <f aca="false">IF($B27="","",IF(1&lt;=cfg_VAL_M,'مسير يناير'!AD27+'مسير يناير'!AE27+'مسير يناير'!AF27,0)+IF(2&lt;=cfg_VAL_M,'مسير فبراير'!AD27+'مسير فبراير'!AE27+'مسير فبراير'!AF27,0)+IF(3&lt;=cfg_VAL_M,'مسير مارس'!AD27+'مسير مارس'!AE27+'مسير مارس'!AF27,0)+IF(4&lt;=cfg_VAL_M,'مسير أبريل'!AD27+'مسير أبريل'!AE27+'مسير أبريل'!AF27,0)+IF(5&lt;=cfg_VAL_M,'مسير مايو'!AD27+'مسير مايو'!AE27+'مسير مايو'!AF27,0)+IF(6&lt;=cfg_VAL_M,'مسير يونيو'!AD27+'مسير يونيو'!AE27+'مسير يونيو'!AF27,0)+IF(7&lt;=cfg_VAL_M,'مسير يوليو'!AD27+'مسير يوليو'!AE27+'مسير يوليو'!AF27,0)+IF(8&lt;=cfg_VAL_M,'مسير أغسطس'!AD27+'مسير أغسطس'!AE27+'مسير أغسطس'!AF27,0)+IF(9&lt;=cfg_VAL_M,'مسير سبتمبر'!AD27+'مسير سبتمبر'!AE27+'مسير سبتمبر'!AF27,0)+IF(10&lt;=cfg_VAL_M,'مسير أكتوبر'!AD27+'مسير أكتوبر'!AE27+'مسير أكتوبر'!AF27,0)+IF(11&lt;=cfg_VAL_M,'مسير نوفمبر'!AD27+'مسير نوفمبر'!AE27+'مسير نوفمبر'!AF27,0)+IF(12&lt;=cfg_VAL_M,'مسير ديسمبر'!AD27+'مسير ديسمبر'!AE27+'مسير ديسمبر'!AF27,0))</f>
        <v/>
      </c>
      <c r="U27" s="101" t="str">
        <f aca="false">IF(OR($B27="",F27="✖ منتهي الخدمة"),"",IF(AND(ISNUMBER(I27),I27&lt;=cfg_ALERT),N27,0)+IF(AND(ISNUMBER(L27),L27&lt;=cfg_ALERT),O27,0))</f>
        <v/>
      </c>
    </row>
    <row r="28" customFormat="false" ht="15" hidden="false" customHeight="false" outlineLevel="0" collapsed="false">
      <c r="B28" s="80" t="str">
        <f aca="false">IF(الموظفون!$B28="","",الموظفون!$B28)</f>
        <v/>
      </c>
      <c r="C28" s="80" t="str">
        <f aca="false">IF($B28="","",الموظفون!$C28)</f>
        <v/>
      </c>
      <c r="D28" s="80" t="str">
        <f aca="false">IF($B28="","",الموظفون!$D28)</f>
        <v/>
      </c>
      <c r="E28" s="80" t="str">
        <f aca="false">IF($B28="","",الموظفون!$E28)</f>
        <v/>
      </c>
      <c r="F28" s="80" t="str">
        <f aca="false">IF($B28="","",الموظفون!$AG28)</f>
        <v/>
      </c>
      <c r="G28" s="80" t="str">
        <f aca="false">IF($B28="","",IF(الموظفون!$I28="","",الموظفون!$I28))</f>
        <v/>
      </c>
      <c r="H28" s="147" t="str">
        <f aca="false">IF($B28="","",IF(الموظفون!$J28="","",الموظفون!$J28))</f>
        <v/>
      </c>
      <c r="I28" s="57" t="str">
        <f aca="false">IF(OR($B28="",H28=""),"",H28-cfg_TRACK)</f>
        <v/>
      </c>
      <c r="J28" s="80" t="str">
        <f aca="false">IF(OR($B28="",$F28="✖ منتهي الخدمة"),"",IF(H28="",IF($E28="غير سعودي","⚠ أدخل التاريخ","-"),IF(I28&lt;0,"✖ منتهية منذ "&amp;TEXT(-I28,"0")&amp;" يوم",IF(I28&lt;=cfg_ALERT,"⚠ تنتهي خلال "&amp;TEXT(I28,"0")&amp;" يوم","✔ سارية"))))</f>
        <v/>
      </c>
      <c r="K28" s="147" t="str">
        <f aca="false">IF($B28="","",IF(الموظفون!$K28="","",الموظفون!$K28))</f>
        <v/>
      </c>
      <c r="L28" s="57" t="str">
        <f aca="false">IF(OR($B28="",K28=""),"",K28-cfg_TRACK)</f>
        <v/>
      </c>
      <c r="M28" s="80" t="str">
        <f aca="false">IF(OR($B28="",$F28="✖ منتهي الخدمة"),"",IF(K28="",IF($E28="غير سعودي","⚠ أدخل التاريخ","-"),IF(L28&lt;0,"✖ منتهية منذ "&amp;TEXT(-L28,"0")&amp;" يوم",IF(L28&lt;=cfg_ALERT,"⚠ تنتهي خلال "&amp;TEXT(L28,"0")&amp;" يوم","✔ سارية"))))</f>
        <v/>
      </c>
      <c r="N28" s="97" t="str">
        <f aca="false">IF($B28="","",IF(F28="✖ منتهي الخدمة",0,IF(الموظفون!$X28&lt;&gt;"",الموظفون!$X28,IF(الموظفون!$E28="غير سعودي",cfg_IQ,0))))</f>
        <v/>
      </c>
      <c r="O28" s="97" t="str">
        <f aca="false">IF($B28="","",IF(F28="✖ منتهي الخدمة",0,IF(الموظفون!$Y28&lt;&gt;"",الموظفون!$Y28,IF(الموظفون!$E28="غير سعودي",cfg_WP,0))))</f>
        <v/>
      </c>
      <c r="P28" s="97" t="str">
        <f aca="false">IF($B28="","",IF(F28="✖ منتهي الخدمة",0,IF(الموظفون!$Z28&lt;&gt;"",الموظفون!$Z28,cfg_MED)))</f>
        <v/>
      </c>
      <c r="Q28" s="97" t="str">
        <f aca="false">IF($B28="","",IF(F28="✖ منتهي الخدمة",0,N(الموظفون!$AA28)))</f>
        <v/>
      </c>
      <c r="R28" s="97" t="str">
        <f aca="false">IF($B28="","",SUM(N28:Q28))</f>
        <v/>
      </c>
      <c r="S28" s="97" t="str">
        <f aca="false">IF($B28="","",R28/12)</f>
        <v/>
      </c>
      <c r="T28" s="97" t="str">
        <f aca="false">IF($B28="","",IF(1&lt;=cfg_VAL_M,'مسير يناير'!AD28+'مسير يناير'!AE28+'مسير يناير'!AF28,0)+IF(2&lt;=cfg_VAL_M,'مسير فبراير'!AD28+'مسير فبراير'!AE28+'مسير فبراير'!AF28,0)+IF(3&lt;=cfg_VAL_M,'مسير مارس'!AD28+'مسير مارس'!AE28+'مسير مارس'!AF28,0)+IF(4&lt;=cfg_VAL_M,'مسير أبريل'!AD28+'مسير أبريل'!AE28+'مسير أبريل'!AF28,0)+IF(5&lt;=cfg_VAL_M,'مسير مايو'!AD28+'مسير مايو'!AE28+'مسير مايو'!AF28,0)+IF(6&lt;=cfg_VAL_M,'مسير يونيو'!AD28+'مسير يونيو'!AE28+'مسير يونيو'!AF28,0)+IF(7&lt;=cfg_VAL_M,'مسير يوليو'!AD28+'مسير يوليو'!AE28+'مسير يوليو'!AF28,0)+IF(8&lt;=cfg_VAL_M,'مسير أغسطس'!AD28+'مسير أغسطس'!AE28+'مسير أغسطس'!AF28,0)+IF(9&lt;=cfg_VAL_M,'مسير سبتمبر'!AD28+'مسير سبتمبر'!AE28+'مسير سبتمبر'!AF28,0)+IF(10&lt;=cfg_VAL_M,'مسير أكتوبر'!AD28+'مسير أكتوبر'!AE28+'مسير أكتوبر'!AF28,0)+IF(11&lt;=cfg_VAL_M,'مسير نوفمبر'!AD28+'مسير نوفمبر'!AE28+'مسير نوفمبر'!AF28,0)+IF(12&lt;=cfg_VAL_M,'مسير ديسمبر'!AD28+'مسير ديسمبر'!AE28+'مسير ديسمبر'!AF28,0))</f>
        <v/>
      </c>
      <c r="U28" s="97" t="str">
        <f aca="false">IF(OR($B28="",F28="✖ منتهي الخدمة"),"",IF(AND(ISNUMBER(I28),I28&lt;=cfg_ALERT),N28,0)+IF(AND(ISNUMBER(L28),L28&lt;=cfg_ALERT),O28,0))</f>
        <v/>
      </c>
    </row>
    <row r="29" customFormat="false" ht="15" hidden="false" customHeight="false" outlineLevel="0" collapsed="false">
      <c r="B29" s="102" t="str">
        <f aca="false">IF(الموظفون!$B29="","",الموظفون!$B29)</f>
        <v/>
      </c>
      <c r="C29" s="102" t="str">
        <f aca="false">IF($B29="","",الموظفون!$C29)</f>
        <v/>
      </c>
      <c r="D29" s="102" t="str">
        <f aca="false">IF($B29="","",الموظفون!$D29)</f>
        <v/>
      </c>
      <c r="E29" s="102" t="str">
        <f aca="false">IF($B29="","",الموظفون!$E29)</f>
        <v/>
      </c>
      <c r="F29" s="102" t="str">
        <f aca="false">IF($B29="","",الموظفون!$AG29)</f>
        <v/>
      </c>
      <c r="G29" s="102" t="str">
        <f aca="false">IF($B29="","",IF(الموظفون!$I29="","",الموظفون!$I29))</f>
        <v/>
      </c>
      <c r="H29" s="148" t="str">
        <f aca="false">IF($B29="","",IF(الموظفون!$J29="","",الموظفون!$J29))</f>
        <v/>
      </c>
      <c r="I29" s="110" t="str">
        <f aca="false">IF(OR($B29="",H29=""),"",H29-cfg_TRACK)</f>
        <v/>
      </c>
      <c r="J29" s="102" t="str">
        <f aca="false">IF(OR($B29="",$F29="✖ منتهي الخدمة"),"",IF(H29="",IF($E29="غير سعودي","⚠ أدخل التاريخ","-"),IF(I29&lt;0,"✖ منتهية منذ "&amp;TEXT(-I29,"0")&amp;" يوم",IF(I29&lt;=cfg_ALERT,"⚠ تنتهي خلال "&amp;TEXT(I29,"0")&amp;" يوم","✔ سارية"))))</f>
        <v/>
      </c>
      <c r="K29" s="148" t="str">
        <f aca="false">IF($B29="","",IF(الموظفون!$K29="","",الموظفون!$K29))</f>
        <v/>
      </c>
      <c r="L29" s="110" t="str">
        <f aca="false">IF(OR($B29="",K29=""),"",K29-cfg_TRACK)</f>
        <v/>
      </c>
      <c r="M29" s="102" t="str">
        <f aca="false">IF(OR($B29="",$F29="✖ منتهي الخدمة"),"",IF(K29="",IF($E29="غير سعودي","⚠ أدخل التاريخ","-"),IF(L29&lt;0,"✖ منتهية منذ "&amp;TEXT(-L29,"0")&amp;" يوم",IF(L29&lt;=cfg_ALERT,"⚠ تنتهي خلال "&amp;TEXT(L29,"0")&amp;" يوم","✔ سارية"))))</f>
        <v/>
      </c>
      <c r="N29" s="101" t="str">
        <f aca="false">IF($B29="","",IF(F29="✖ منتهي الخدمة",0,IF(الموظفون!$X29&lt;&gt;"",الموظفون!$X29,IF(الموظفون!$E29="غير سعودي",cfg_IQ,0))))</f>
        <v/>
      </c>
      <c r="O29" s="101" t="str">
        <f aca="false">IF($B29="","",IF(F29="✖ منتهي الخدمة",0,IF(الموظفون!$Y29&lt;&gt;"",الموظفون!$Y29,IF(الموظفون!$E29="غير سعودي",cfg_WP,0))))</f>
        <v/>
      </c>
      <c r="P29" s="101" t="str">
        <f aca="false">IF($B29="","",IF(F29="✖ منتهي الخدمة",0,IF(الموظفون!$Z29&lt;&gt;"",الموظفون!$Z29,cfg_MED)))</f>
        <v/>
      </c>
      <c r="Q29" s="101" t="str">
        <f aca="false">IF($B29="","",IF(F29="✖ منتهي الخدمة",0,N(الموظفون!$AA29)))</f>
        <v/>
      </c>
      <c r="R29" s="101" t="str">
        <f aca="false">IF($B29="","",SUM(N29:Q29))</f>
        <v/>
      </c>
      <c r="S29" s="101" t="str">
        <f aca="false">IF($B29="","",R29/12)</f>
        <v/>
      </c>
      <c r="T29" s="101" t="str">
        <f aca="false">IF($B29="","",IF(1&lt;=cfg_VAL_M,'مسير يناير'!AD29+'مسير يناير'!AE29+'مسير يناير'!AF29,0)+IF(2&lt;=cfg_VAL_M,'مسير فبراير'!AD29+'مسير فبراير'!AE29+'مسير فبراير'!AF29,0)+IF(3&lt;=cfg_VAL_M,'مسير مارس'!AD29+'مسير مارس'!AE29+'مسير مارس'!AF29,0)+IF(4&lt;=cfg_VAL_M,'مسير أبريل'!AD29+'مسير أبريل'!AE29+'مسير أبريل'!AF29,0)+IF(5&lt;=cfg_VAL_M,'مسير مايو'!AD29+'مسير مايو'!AE29+'مسير مايو'!AF29,0)+IF(6&lt;=cfg_VAL_M,'مسير يونيو'!AD29+'مسير يونيو'!AE29+'مسير يونيو'!AF29,0)+IF(7&lt;=cfg_VAL_M,'مسير يوليو'!AD29+'مسير يوليو'!AE29+'مسير يوليو'!AF29,0)+IF(8&lt;=cfg_VAL_M,'مسير أغسطس'!AD29+'مسير أغسطس'!AE29+'مسير أغسطس'!AF29,0)+IF(9&lt;=cfg_VAL_M,'مسير سبتمبر'!AD29+'مسير سبتمبر'!AE29+'مسير سبتمبر'!AF29,0)+IF(10&lt;=cfg_VAL_M,'مسير أكتوبر'!AD29+'مسير أكتوبر'!AE29+'مسير أكتوبر'!AF29,0)+IF(11&lt;=cfg_VAL_M,'مسير نوفمبر'!AD29+'مسير نوفمبر'!AE29+'مسير نوفمبر'!AF29,0)+IF(12&lt;=cfg_VAL_M,'مسير ديسمبر'!AD29+'مسير ديسمبر'!AE29+'مسير ديسمبر'!AF29,0))</f>
        <v/>
      </c>
      <c r="U29" s="101" t="str">
        <f aca="false">IF(OR($B29="",F29="✖ منتهي الخدمة"),"",IF(AND(ISNUMBER(I29),I29&lt;=cfg_ALERT),N29,0)+IF(AND(ISNUMBER(L29),L29&lt;=cfg_ALERT),O29,0))</f>
        <v/>
      </c>
    </row>
    <row r="30" customFormat="false" ht="15" hidden="false" customHeight="false" outlineLevel="0" collapsed="false">
      <c r="B30" s="80" t="str">
        <f aca="false">IF(الموظفون!$B30="","",الموظفون!$B30)</f>
        <v/>
      </c>
      <c r="C30" s="80" t="str">
        <f aca="false">IF($B30="","",الموظفون!$C30)</f>
        <v/>
      </c>
      <c r="D30" s="80" t="str">
        <f aca="false">IF($B30="","",الموظفون!$D30)</f>
        <v/>
      </c>
      <c r="E30" s="80" t="str">
        <f aca="false">IF($B30="","",الموظفون!$E30)</f>
        <v/>
      </c>
      <c r="F30" s="80" t="str">
        <f aca="false">IF($B30="","",الموظفون!$AG30)</f>
        <v/>
      </c>
      <c r="G30" s="80" t="str">
        <f aca="false">IF($B30="","",IF(الموظفون!$I30="","",الموظفون!$I30))</f>
        <v/>
      </c>
      <c r="H30" s="147" t="str">
        <f aca="false">IF($B30="","",IF(الموظفون!$J30="","",الموظفون!$J30))</f>
        <v/>
      </c>
      <c r="I30" s="57" t="str">
        <f aca="false">IF(OR($B30="",H30=""),"",H30-cfg_TRACK)</f>
        <v/>
      </c>
      <c r="J30" s="80" t="str">
        <f aca="false">IF(OR($B30="",$F30="✖ منتهي الخدمة"),"",IF(H30="",IF($E30="غير سعودي","⚠ أدخل التاريخ","-"),IF(I30&lt;0,"✖ منتهية منذ "&amp;TEXT(-I30,"0")&amp;" يوم",IF(I30&lt;=cfg_ALERT,"⚠ تنتهي خلال "&amp;TEXT(I30,"0")&amp;" يوم","✔ سارية"))))</f>
        <v/>
      </c>
      <c r="K30" s="147" t="str">
        <f aca="false">IF($B30="","",IF(الموظفون!$K30="","",الموظفون!$K30))</f>
        <v/>
      </c>
      <c r="L30" s="57" t="str">
        <f aca="false">IF(OR($B30="",K30=""),"",K30-cfg_TRACK)</f>
        <v/>
      </c>
      <c r="M30" s="80" t="str">
        <f aca="false">IF(OR($B30="",$F30="✖ منتهي الخدمة"),"",IF(K30="",IF($E30="غير سعودي","⚠ أدخل التاريخ","-"),IF(L30&lt;0,"✖ منتهية منذ "&amp;TEXT(-L30,"0")&amp;" يوم",IF(L30&lt;=cfg_ALERT,"⚠ تنتهي خلال "&amp;TEXT(L30,"0")&amp;" يوم","✔ سارية"))))</f>
        <v/>
      </c>
      <c r="N30" s="97" t="str">
        <f aca="false">IF($B30="","",IF(F30="✖ منتهي الخدمة",0,IF(الموظفون!$X30&lt;&gt;"",الموظفون!$X30,IF(الموظفون!$E30="غير سعودي",cfg_IQ,0))))</f>
        <v/>
      </c>
      <c r="O30" s="97" t="str">
        <f aca="false">IF($B30="","",IF(F30="✖ منتهي الخدمة",0,IF(الموظفون!$Y30&lt;&gt;"",الموظفون!$Y30,IF(الموظفون!$E30="غير سعودي",cfg_WP,0))))</f>
        <v/>
      </c>
      <c r="P30" s="97" t="str">
        <f aca="false">IF($B30="","",IF(F30="✖ منتهي الخدمة",0,IF(الموظفون!$Z30&lt;&gt;"",الموظفون!$Z30,cfg_MED)))</f>
        <v/>
      </c>
      <c r="Q30" s="97" t="str">
        <f aca="false">IF($B30="","",IF(F30="✖ منتهي الخدمة",0,N(الموظفون!$AA30)))</f>
        <v/>
      </c>
      <c r="R30" s="97" t="str">
        <f aca="false">IF($B30="","",SUM(N30:Q30))</f>
        <v/>
      </c>
      <c r="S30" s="97" t="str">
        <f aca="false">IF($B30="","",R30/12)</f>
        <v/>
      </c>
      <c r="T30" s="97" t="str">
        <f aca="false">IF($B30="","",IF(1&lt;=cfg_VAL_M,'مسير يناير'!AD30+'مسير يناير'!AE30+'مسير يناير'!AF30,0)+IF(2&lt;=cfg_VAL_M,'مسير فبراير'!AD30+'مسير فبراير'!AE30+'مسير فبراير'!AF30,0)+IF(3&lt;=cfg_VAL_M,'مسير مارس'!AD30+'مسير مارس'!AE30+'مسير مارس'!AF30,0)+IF(4&lt;=cfg_VAL_M,'مسير أبريل'!AD30+'مسير أبريل'!AE30+'مسير أبريل'!AF30,0)+IF(5&lt;=cfg_VAL_M,'مسير مايو'!AD30+'مسير مايو'!AE30+'مسير مايو'!AF30,0)+IF(6&lt;=cfg_VAL_M,'مسير يونيو'!AD30+'مسير يونيو'!AE30+'مسير يونيو'!AF30,0)+IF(7&lt;=cfg_VAL_M,'مسير يوليو'!AD30+'مسير يوليو'!AE30+'مسير يوليو'!AF30,0)+IF(8&lt;=cfg_VAL_M,'مسير أغسطس'!AD30+'مسير أغسطس'!AE30+'مسير أغسطس'!AF30,0)+IF(9&lt;=cfg_VAL_M,'مسير سبتمبر'!AD30+'مسير سبتمبر'!AE30+'مسير سبتمبر'!AF30,0)+IF(10&lt;=cfg_VAL_M,'مسير أكتوبر'!AD30+'مسير أكتوبر'!AE30+'مسير أكتوبر'!AF30,0)+IF(11&lt;=cfg_VAL_M,'مسير نوفمبر'!AD30+'مسير نوفمبر'!AE30+'مسير نوفمبر'!AF30,0)+IF(12&lt;=cfg_VAL_M,'مسير ديسمبر'!AD30+'مسير ديسمبر'!AE30+'مسير ديسمبر'!AF30,0))</f>
        <v/>
      </c>
      <c r="U30" s="97" t="str">
        <f aca="false">IF(OR($B30="",F30="✖ منتهي الخدمة"),"",IF(AND(ISNUMBER(I30),I30&lt;=cfg_ALERT),N30,0)+IF(AND(ISNUMBER(L30),L30&lt;=cfg_ALERT),O30,0))</f>
        <v/>
      </c>
    </row>
    <row r="31" customFormat="false" ht="15" hidden="false" customHeight="false" outlineLevel="0" collapsed="false">
      <c r="B31" s="102" t="str">
        <f aca="false">IF(الموظفون!$B31="","",الموظفون!$B31)</f>
        <v/>
      </c>
      <c r="C31" s="102" t="str">
        <f aca="false">IF($B31="","",الموظفون!$C31)</f>
        <v/>
      </c>
      <c r="D31" s="102" t="str">
        <f aca="false">IF($B31="","",الموظفون!$D31)</f>
        <v/>
      </c>
      <c r="E31" s="102" t="str">
        <f aca="false">IF($B31="","",الموظفون!$E31)</f>
        <v/>
      </c>
      <c r="F31" s="102" t="str">
        <f aca="false">IF($B31="","",الموظفون!$AG31)</f>
        <v/>
      </c>
      <c r="G31" s="102" t="str">
        <f aca="false">IF($B31="","",IF(الموظفون!$I31="","",الموظفون!$I31))</f>
        <v/>
      </c>
      <c r="H31" s="148" t="str">
        <f aca="false">IF($B31="","",IF(الموظفون!$J31="","",الموظفون!$J31))</f>
        <v/>
      </c>
      <c r="I31" s="110" t="str">
        <f aca="false">IF(OR($B31="",H31=""),"",H31-cfg_TRACK)</f>
        <v/>
      </c>
      <c r="J31" s="102" t="str">
        <f aca="false">IF(OR($B31="",$F31="✖ منتهي الخدمة"),"",IF(H31="",IF($E31="غير سعودي","⚠ أدخل التاريخ","-"),IF(I31&lt;0,"✖ منتهية منذ "&amp;TEXT(-I31,"0")&amp;" يوم",IF(I31&lt;=cfg_ALERT,"⚠ تنتهي خلال "&amp;TEXT(I31,"0")&amp;" يوم","✔ سارية"))))</f>
        <v/>
      </c>
      <c r="K31" s="148" t="str">
        <f aca="false">IF($B31="","",IF(الموظفون!$K31="","",الموظفون!$K31))</f>
        <v/>
      </c>
      <c r="L31" s="110" t="str">
        <f aca="false">IF(OR($B31="",K31=""),"",K31-cfg_TRACK)</f>
        <v/>
      </c>
      <c r="M31" s="102" t="str">
        <f aca="false">IF(OR($B31="",$F31="✖ منتهي الخدمة"),"",IF(K31="",IF($E31="غير سعودي","⚠ أدخل التاريخ","-"),IF(L31&lt;0,"✖ منتهية منذ "&amp;TEXT(-L31,"0")&amp;" يوم",IF(L31&lt;=cfg_ALERT,"⚠ تنتهي خلال "&amp;TEXT(L31,"0")&amp;" يوم","✔ سارية"))))</f>
        <v/>
      </c>
      <c r="N31" s="101" t="str">
        <f aca="false">IF($B31="","",IF(F31="✖ منتهي الخدمة",0,IF(الموظفون!$X31&lt;&gt;"",الموظفون!$X31,IF(الموظفون!$E31="غير سعودي",cfg_IQ,0))))</f>
        <v/>
      </c>
      <c r="O31" s="101" t="str">
        <f aca="false">IF($B31="","",IF(F31="✖ منتهي الخدمة",0,IF(الموظفون!$Y31&lt;&gt;"",الموظفون!$Y31,IF(الموظفون!$E31="غير سعودي",cfg_WP,0))))</f>
        <v/>
      </c>
      <c r="P31" s="101" t="str">
        <f aca="false">IF($B31="","",IF(F31="✖ منتهي الخدمة",0,IF(الموظفون!$Z31&lt;&gt;"",الموظفون!$Z31,cfg_MED)))</f>
        <v/>
      </c>
      <c r="Q31" s="101" t="str">
        <f aca="false">IF($B31="","",IF(F31="✖ منتهي الخدمة",0,N(الموظفون!$AA31)))</f>
        <v/>
      </c>
      <c r="R31" s="101" t="str">
        <f aca="false">IF($B31="","",SUM(N31:Q31))</f>
        <v/>
      </c>
      <c r="S31" s="101" t="str">
        <f aca="false">IF($B31="","",R31/12)</f>
        <v/>
      </c>
      <c r="T31" s="101" t="str">
        <f aca="false">IF($B31="","",IF(1&lt;=cfg_VAL_M,'مسير يناير'!AD31+'مسير يناير'!AE31+'مسير يناير'!AF31,0)+IF(2&lt;=cfg_VAL_M,'مسير فبراير'!AD31+'مسير فبراير'!AE31+'مسير فبراير'!AF31,0)+IF(3&lt;=cfg_VAL_M,'مسير مارس'!AD31+'مسير مارس'!AE31+'مسير مارس'!AF31,0)+IF(4&lt;=cfg_VAL_M,'مسير أبريل'!AD31+'مسير أبريل'!AE31+'مسير أبريل'!AF31,0)+IF(5&lt;=cfg_VAL_M,'مسير مايو'!AD31+'مسير مايو'!AE31+'مسير مايو'!AF31,0)+IF(6&lt;=cfg_VAL_M,'مسير يونيو'!AD31+'مسير يونيو'!AE31+'مسير يونيو'!AF31,0)+IF(7&lt;=cfg_VAL_M,'مسير يوليو'!AD31+'مسير يوليو'!AE31+'مسير يوليو'!AF31,0)+IF(8&lt;=cfg_VAL_M,'مسير أغسطس'!AD31+'مسير أغسطس'!AE31+'مسير أغسطس'!AF31,0)+IF(9&lt;=cfg_VAL_M,'مسير سبتمبر'!AD31+'مسير سبتمبر'!AE31+'مسير سبتمبر'!AF31,0)+IF(10&lt;=cfg_VAL_M,'مسير أكتوبر'!AD31+'مسير أكتوبر'!AE31+'مسير أكتوبر'!AF31,0)+IF(11&lt;=cfg_VAL_M,'مسير نوفمبر'!AD31+'مسير نوفمبر'!AE31+'مسير نوفمبر'!AF31,0)+IF(12&lt;=cfg_VAL_M,'مسير ديسمبر'!AD31+'مسير ديسمبر'!AE31+'مسير ديسمبر'!AF31,0))</f>
        <v/>
      </c>
      <c r="U31" s="101" t="str">
        <f aca="false">IF(OR($B31="",F31="✖ منتهي الخدمة"),"",IF(AND(ISNUMBER(I31),I31&lt;=cfg_ALERT),N31,0)+IF(AND(ISNUMBER(L31),L31&lt;=cfg_ALERT),O31,0))</f>
        <v/>
      </c>
    </row>
    <row r="32" customFormat="false" ht="15" hidden="false" customHeight="false" outlineLevel="0" collapsed="false">
      <c r="B32" s="80" t="str">
        <f aca="false">IF(الموظفون!$B32="","",الموظفون!$B32)</f>
        <v/>
      </c>
      <c r="C32" s="80" t="str">
        <f aca="false">IF($B32="","",الموظفون!$C32)</f>
        <v/>
      </c>
      <c r="D32" s="80" t="str">
        <f aca="false">IF($B32="","",الموظفون!$D32)</f>
        <v/>
      </c>
      <c r="E32" s="80" t="str">
        <f aca="false">IF($B32="","",الموظفون!$E32)</f>
        <v/>
      </c>
      <c r="F32" s="80" t="str">
        <f aca="false">IF($B32="","",الموظفون!$AG32)</f>
        <v/>
      </c>
      <c r="G32" s="80" t="str">
        <f aca="false">IF($B32="","",IF(الموظفون!$I32="","",الموظفون!$I32))</f>
        <v/>
      </c>
      <c r="H32" s="147" t="str">
        <f aca="false">IF($B32="","",IF(الموظفون!$J32="","",الموظفون!$J32))</f>
        <v/>
      </c>
      <c r="I32" s="57" t="str">
        <f aca="false">IF(OR($B32="",H32=""),"",H32-cfg_TRACK)</f>
        <v/>
      </c>
      <c r="J32" s="80" t="str">
        <f aca="false">IF(OR($B32="",$F32="✖ منتهي الخدمة"),"",IF(H32="",IF($E32="غير سعودي","⚠ أدخل التاريخ","-"),IF(I32&lt;0,"✖ منتهية منذ "&amp;TEXT(-I32,"0")&amp;" يوم",IF(I32&lt;=cfg_ALERT,"⚠ تنتهي خلال "&amp;TEXT(I32,"0")&amp;" يوم","✔ سارية"))))</f>
        <v/>
      </c>
      <c r="K32" s="147" t="str">
        <f aca="false">IF($B32="","",IF(الموظفون!$K32="","",الموظفون!$K32))</f>
        <v/>
      </c>
      <c r="L32" s="57" t="str">
        <f aca="false">IF(OR($B32="",K32=""),"",K32-cfg_TRACK)</f>
        <v/>
      </c>
      <c r="M32" s="80" t="str">
        <f aca="false">IF(OR($B32="",$F32="✖ منتهي الخدمة"),"",IF(K32="",IF($E32="غير سعودي","⚠ أدخل التاريخ","-"),IF(L32&lt;0,"✖ منتهية منذ "&amp;TEXT(-L32,"0")&amp;" يوم",IF(L32&lt;=cfg_ALERT,"⚠ تنتهي خلال "&amp;TEXT(L32,"0")&amp;" يوم","✔ سارية"))))</f>
        <v/>
      </c>
      <c r="N32" s="97" t="str">
        <f aca="false">IF($B32="","",IF(F32="✖ منتهي الخدمة",0,IF(الموظفون!$X32&lt;&gt;"",الموظفون!$X32,IF(الموظفون!$E32="غير سعودي",cfg_IQ,0))))</f>
        <v/>
      </c>
      <c r="O32" s="97" t="str">
        <f aca="false">IF($B32="","",IF(F32="✖ منتهي الخدمة",0,IF(الموظفون!$Y32&lt;&gt;"",الموظفون!$Y32,IF(الموظفون!$E32="غير سعودي",cfg_WP,0))))</f>
        <v/>
      </c>
      <c r="P32" s="97" t="str">
        <f aca="false">IF($B32="","",IF(F32="✖ منتهي الخدمة",0,IF(الموظفون!$Z32&lt;&gt;"",الموظفون!$Z32,cfg_MED)))</f>
        <v/>
      </c>
      <c r="Q32" s="97" t="str">
        <f aca="false">IF($B32="","",IF(F32="✖ منتهي الخدمة",0,N(الموظفون!$AA32)))</f>
        <v/>
      </c>
      <c r="R32" s="97" t="str">
        <f aca="false">IF($B32="","",SUM(N32:Q32))</f>
        <v/>
      </c>
      <c r="S32" s="97" t="str">
        <f aca="false">IF($B32="","",R32/12)</f>
        <v/>
      </c>
      <c r="T32" s="97" t="str">
        <f aca="false">IF($B32="","",IF(1&lt;=cfg_VAL_M,'مسير يناير'!AD32+'مسير يناير'!AE32+'مسير يناير'!AF32,0)+IF(2&lt;=cfg_VAL_M,'مسير فبراير'!AD32+'مسير فبراير'!AE32+'مسير فبراير'!AF32,0)+IF(3&lt;=cfg_VAL_M,'مسير مارس'!AD32+'مسير مارس'!AE32+'مسير مارس'!AF32,0)+IF(4&lt;=cfg_VAL_M,'مسير أبريل'!AD32+'مسير أبريل'!AE32+'مسير أبريل'!AF32,0)+IF(5&lt;=cfg_VAL_M,'مسير مايو'!AD32+'مسير مايو'!AE32+'مسير مايو'!AF32,0)+IF(6&lt;=cfg_VAL_M,'مسير يونيو'!AD32+'مسير يونيو'!AE32+'مسير يونيو'!AF32,0)+IF(7&lt;=cfg_VAL_M,'مسير يوليو'!AD32+'مسير يوليو'!AE32+'مسير يوليو'!AF32,0)+IF(8&lt;=cfg_VAL_M,'مسير أغسطس'!AD32+'مسير أغسطس'!AE32+'مسير أغسطس'!AF32,0)+IF(9&lt;=cfg_VAL_M,'مسير سبتمبر'!AD32+'مسير سبتمبر'!AE32+'مسير سبتمبر'!AF32,0)+IF(10&lt;=cfg_VAL_M,'مسير أكتوبر'!AD32+'مسير أكتوبر'!AE32+'مسير أكتوبر'!AF32,0)+IF(11&lt;=cfg_VAL_M,'مسير نوفمبر'!AD32+'مسير نوفمبر'!AE32+'مسير نوفمبر'!AF32,0)+IF(12&lt;=cfg_VAL_M,'مسير ديسمبر'!AD32+'مسير ديسمبر'!AE32+'مسير ديسمبر'!AF32,0))</f>
        <v/>
      </c>
      <c r="U32" s="97" t="str">
        <f aca="false">IF(OR($B32="",F32="✖ منتهي الخدمة"),"",IF(AND(ISNUMBER(I32),I32&lt;=cfg_ALERT),N32,0)+IF(AND(ISNUMBER(L32),L32&lt;=cfg_ALERT),O32,0))</f>
        <v/>
      </c>
    </row>
    <row r="33" customFormat="false" ht="15" hidden="false" customHeight="false" outlineLevel="0" collapsed="false">
      <c r="B33" s="102" t="str">
        <f aca="false">IF(الموظفون!$B33="","",الموظفون!$B33)</f>
        <v/>
      </c>
      <c r="C33" s="102" t="str">
        <f aca="false">IF($B33="","",الموظفون!$C33)</f>
        <v/>
      </c>
      <c r="D33" s="102" t="str">
        <f aca="false">IF($B33="","",الموظفون!$D33)</f>
        <v/>
      </c>
      <c r="E33" s="102" t="str">
        <f aca="false">IF($B33="","",الموظفون!$E33)</f>
        <v/>
      </c>
      <c r="F33" s="102" t="str">
        <f aca="false">IF($B33="","",الموظفون!$AG33)</f>
        <v/>
      </c>
      <c r="G33" s="102" t="str">
        <f aca="false">IF($B33="","",IF(الموظفون!$I33="","",الموظفون!$I33))</f>
        <v/>
      </c>
      <c r="H33" s="148" t="str">
        <f aca="false">IF($B33="","",IF(الموظفون!$J33="","",الموظفون!$J33))</f>
        <v/>
      </c>
      <c r="I33" s="110" t="str">
        <f aca="false">IF(OR($B33="",H33=""),"",H33-cfg_TRACK)</f>
        <v/>
      </c>
      <c r="J33" s="102" t="str">
        <f aca="false">IF(OR($B33="",$F33="✖ منتهي الخدمة"),"",IF(H33="",IF($E33="غير سعودي","⚠ أدخل التاريخ","-"),IF(I33&lt;0,"✖ منتهية منذ "&amp;TEXT(-I33,"0")&amp;" يوم",IF(I33&lt;=cfg_ALERT,"⚠ تنتهي خلال "&amp;TEXT(I33,"0")&amp;" يوم","✔ سارية"))))</f>
        <v/>
      </c>
      <c r="K33" s="148" t="str">
        <f aca="false">IF($B33="","",IF(الموظفون!$K33="","",الموظفون!$K33))</f>
        <v/>
      </c>
      <c r="L33" s="110" t="str">
        <f aca="false">IF(OR($B33="",K33=""),"",K33-cfg_TRACK)</f>
        <v/>
      </c>
      <c r="M33" s="102" t="str">
        <f aca="false">IF(OR($B33="",$F33="✖ منتهي الخدمة"),"",IF(K33="",IF($E33="غير سعودي","⚠ أدخل التاريخ","-"),IF(L33&lt;0,"✖ منتهية منذ "&amp;TEXT(-L33,"0")&amp;" يوم",IF(L33&lt;=cfg_ALERT,"⚠ تنتهي خلال "&amp;TEXT(L33,"0")&amp;" يوم","✔ سارية"))))</f>
        <v/>
      </c>
      <c r="N33" s="101" t="str">
        <f aca="false">IF($B33="","",IF(F33="✖ منتهي الخدمة",0,IF(الموظفون!$X33&lt;&gt;"",الموظفون!$X33,IF(الموظفون!$E33="غير سعودي",cfg_IQ,0))))</f>
        <v/>
      </c>
      <c r="O33" s="101" t="str">
        <f aca="false">IF($B33="","",IF(F33="✖ منتهي الخدمة",0,IF(الموظفون!$Y33&lt;&gt;"",الموظفون!$Y33,IF(الموظفون!$E33="غير سعودي",cfg_WP,0))))</f>
        <v/>
      </c>
      <c r="P33" s="101" t="str">
        <f aca="false">IF($B33="","",IF(F33="✖ منتهي الخدمة",0,IF(الموظفون!$Z33&lt;&gt;"",الموظفون!$Z33,cfg_MED)))</f>
        <v/>
      </c>
      <c r="Q33" s="101" t="str">
        <f aca="false">IF($B33="","",IF(F33="✖ منتهي الخدمة",0,N(الموظفون!$AA33)))</f>
        <v/>
      </c>
      <c r="R33" s="101" t="str">
        <f aca="false">IF($B33="","",SUM(N33:Q33))</f>
        <v/>
      </c>
      <c r="S33" s="101" t="str">
        <f aca="false">IF($B33="","",R33/12)</f>
        <v/>
      </c>
      <c r="T33" s="101" t="str">
        <f aca="false">IF($B33="","",IF(1&lt;=cfg_VAL_M,'مسير يناير'!AD33+'مسير يناير'!AE33+'مسير يناير'!AF33,0)+IF(2&lt;=cfg_VAL_M,'مسير فبراير'!AD33+'مسير فبراير'!AE33+'مسير فبراير'!AF33,0)+IF(3&lt;=cfg_VAL_M,'مسير مارس'!AD33+'مسير مارس'!AE33+'مسير مارس'!AF33,0)+IF(4&lt;=cfg_VAL_M,'مسير أبريل'!AD33+'مسير أبريل'!AE33+'مسير أبريل'!AF33,0)+IF(5&lt;=cfg_VAL_M,'مسير مايو'!AD33+'مسير مايو'!AE33+'مسير مايو'!AF33,0)+IF(6&lt;=cfg_VAL_M,'مسير يونيو'!AD33+'مسير يونيو'!AE33+'مسير يونيو'!AF33,0)+IF(7&lt;=cfg_VAL_M,'مسير يوليو'!AD33+'مسير يوليو'!AE33+'مسير يوليو'!AF33,0)+IF(8&lt;=cfg_VAL_M,'مسير أغسطس'!AD33+'مسير أغسطس'!AE33+'مسير أغسطس'!AF33,0)+IF(9&lt;=cfg_VAL_M,'مسير سبتمبر'!AD33+'مسير سبتمبر'!AE33+'مسير سبتمبر'!AF33,0)+IF(10&lt;=cfg_VAL_M,'مسير أكتوبر'!AD33+'مسير أكتوبر'!AE33+'مسير أكتوبر'!AF33,0)+IF(11&lt;=cfg_VAL_M,'مسير نوفمبر'!AD33+'مسير نوفمبر'!AE33+'مسير نوفمبر'!AF33,0)+IF(12&lt;=cfg_VAL_M,'مسير ديسمبر'!AD33+'مسير ديسمبر'!AE33+'مسير ديسمبر'!AF33,0))</f>
        <v/>
      </c>
      <c r="U33" s="101" t="str">
        <f aca="false">IF(OR($B33="",F33="✖ منتهي الخدمة"),"",IF(AND(ISNUMBER(I33),I33&lt;=cfg_ALERT),N33,0)+IF(AND(ISNUMBER(L33),L33&lt;=cfg_ALERT),O33,0))</f>
        <v/>
      </c>
    </row>
    <row r="34" customFormat="false" ht="15" hidden="false" customHeight="false" outlineLevel="0" collapsed="false">
      <c r="B34" s="80" t="str">
        <f aca="false">IF(الموظفون!$B34="","",الموظفون!$B34)</f>
        <v/>
      </c>
      <c r="C34" s="80" t="str">
        <f aca="false">IF($B34="","",الموظفون!$C34)</f>
        <v/>
      </c>
      <c r="D34" s="80" t="str">
        <f aca="false">IF($B34="","",الموظفون!$D34)</f>
        <v/>
      </c>
      <c r="E34" s="80" t="str">
        <f aca="false">IF($B34="","",الموظفون!$E34)</f>
        <v/>
      </c>
      <c r="F34" s="80" t="str">
        <f aca="false">IF($B34="","",الموظفون!$AG34)</f>
        <v/>
      </c>
      <c r="G34" s="80" t="str">
        <f aca="false">IF($B34="","",IF(الموظفون!$I34="","",الموظفون!$I34))</f>
        <v/>
      </c>
      <c r="H34" s="147" t="str">
        <f aca="false">IF($B34="","",IF(الموظفون!$J34="","",الموظفون!$J34))</f>
        <v/>
      </c>
      <c r="I34" s="57" t="str">
        <f aca="false">IF(OR($B34="",H34=""),"",H34-cfg_TRACK)</f>
        <v/>
      </c>
      <c r="J34" s="80" t="str">
        <f aca="false">IF(OR($B34="",$F34="✖ منتهي الخدمة"),"",IF(H34="",IF($E34="غير سعودي","⚠ أدخل التاريخ","-"),IF(I34&lt;0,"✖ منتهية منذ "&amp;TEXT(-I34,"0")&amp;" يوم",IF(I34&lt;=cfg_ALERT,"⚠ تنتهي خلال "&amp;TEXT(I34,"0")&amp;" يوم","✔ سارية"))))</f>
        <v/>
      </c>
      <c r="K34" s="147" t="str">
        <f aca="false">IF($B34="","",IF(الموظفون!$K34="","",الموظفون!$K34))</f>
        <v/>
      </c>
      <c r="L34" s="57" t="str">
        <f aca="false">IF(OR($B34="",K34=""),"",K34-cfg_TRACK)</f>
        <v/>
      </c>
      <c r="M34" s="80" t="str">
        <f aca="false">IF(OR($B34="",$F34="✖ منتهي الخدمة"),"",IF(K34="",IF($E34="غير سعودي","⚠ أدخل التاريخ","-"),IF(L34&lt;0,"✖ منتهية منذ "&amp;TEXT(-L34,"0")&amp;" يوم",IF(L34&lt;=cfg_ALERT,"⚠ تنتهي خلال "&amp;TEXT(L34,"0")&amp;" يوم","✔ سارية"))))</f>
        <v/>
      </c>
      <c r="N34" s="97" t="str">
        <f aca="false">IF($B34="","",IF(F34="✖ منتهي الخدمة",0,IF(الموظفون!$X34&lt;&gt;"",الموظفون!$X34,IF(الموظفون!$E34="غير سعودي",cfg_IQ,0))))</f>
        <v/>
      </c>
      <c r="O34" s="97" t="str">
        <f aca="false">IF($B34="","",IF(F34="✖ منتهي الخدمة",0,IF(الموظفون!$Y34&lt;&gt;"",الموظفون!$Y34,IF(الموظفون!$E34="غير سعودي",cfg_WP,0))))</f>
        <v/>
      </c>
      <c r="P34" s="97" t="str">
        <f aca="false">IF($B34="","",IF(F34="✖ منتهي الخدمة",0,IF(الموظفون!$Z34&lt;&gt;"",الموظفون!$Z34,cfg_MED)))</f>
        <v/>
      </c>
      <c r="Q34" s="97" t="str">
        <f aca="false">IF($B34="","",IF(F34="✖ منتهي الخدمة",0,N(الموظفون!$AA34)))</f>
        <v/>
      </c>
      <c r="R34" s="97" t="str">
        <f aca="false">IF($B34="","",SUM(N34:Q34))</f>
        <v/>
      </c>
      <c r="S34" s="97" t="str">
        <f aca="false">IF($B34="","",R34/12)</f>
        <v/>
      </c>
      <c r="T34" s="97" t="str">
        <f aca="false">IF($B34="","",IF(1&lt;=cfg_VAL_M,'مسير يناير'!AD34+'مسير يناير'!AE34+'مسير يناير'!AF34,0)+IF(2&lt;=cfg_VAL_M,'مسير فبراير'!AD34+'مسير فبراير'!AE34+'مسير فبراير'!AF34,0)+IF(3&lt;=cfg_VAL_M,'مسير مارس'!AD34+'مسير مارس'!AE34+'مسير مارس'!AF34,0)+IF(4&lt;=cfg_VAL_M,'مسير أبريل'!AD34+'مسير أبريل'!AE34+'مسير أبريل'!AF34,0)+IF(5&lt;=cfg_VAL_M,'مسير مايو'!AD34+'مسير مايو'!AE34+'مسير مايو'!AF34,0)+IF(6&lt;=cfg_VAL_M,'مسير يونيو'!AD34+'مسير يونيو'!AE34+'مسير يونيو'!AF34,0)+IF(7&lt;=cfg_VAL_M,'مسير يوليو'!AD34+'مسير يوليو'!AE34+'مسير يوليو'!AF34,0)+IF(8&lt;=cfg_VAL_M,'مسير أغسطس'!AD34+'مسير أغسطس'!AE34+'مسير أغسطس'!AF34,0)+IF(9&lt;=cfg_VAL_M,'مسير سبتمبر'!AD34+'مسير سبتمبر'!AE34+'مسير سبتمبر'!AF34,0)+IF(10&lt;=cfg_VAL_M,'مسير أكتوبر'!AD34+'مسير أكتوبر'!AE34+'مسير أكتوبر'!AF34,0)+IF(11&lt;=cfg_VAL_M,'مسير نوفمبر'!AD34+'مسير نوفمبر'!AE34+'مسير نوفمبر'!AF34,0)+IF(12&lt;=cfg_VAL_M,'مسير ديسمبر'!AD34+'مسير ديسمبر'!AE34+'مسير ديسمبر'!AF34,0))</f>
        <v/>
      </c>
      <c r="U34" s="97" t="str">
        <f aca="false">IF(OR($B34="",F34="✖ منتهي الخدمة"),"",IF(AND(ISNUMBER(I34),I34&lt;=cfg_ALERT),N34,0)+IF(AND(ISNUMBER(L34),L34&lt;=cfg_ALERT),O34,0))</f>
        <v/>
      </c>
    </row>
    <row r="35" customFormat="false" ht="15" hidden="false" customHeight="false" outlineLevel="0" collapsed="false">
      <c r="B35" s="102" t="str">
        <f aca="false">IF(الموظفون!$B35="","",الموظفون!$B35)</f>
        <v/>
      </c>
      <c r="C35" s="102" t="str">
        <f aca="false">IF($B35="","",الموظفون!$C35)</f>
        <v/>
      </c>
      <c r="D35" s="102" t="str">
        <f aca="false">IF($B35="","",الموظفون!$D35)</f>
        <v/>
      </c>
      <c r="E35" s="102" t="str">
        <f aca="false">IF($B35="","",الموظفون!$E35)</f>
        <v/>
      </c>
      <c r="F35" s="102" t="str">
        <f aca="false">IF($B35="","",الموظفون!$AG35)</f>
        <v/>
      </c>
      <c r="G35" s="102" t="str">
        <f aca="false">IF($B35="","",IF(الموظفون!$I35="","",الموظفون!$I35))</f>
        <v/>
      </c>
      <c r="H35" s="148" t="str">
        <f aca="false">IF($B35="","",IF(الموظفون!$J35="","",الموظفون!$J35))</f>
        <v/>
      </c>
      <c r="I35" s="110" t="str">
        <f aca="false">IF(OR($B35="",H35=""),"",H35-cfg_TRACK)</f>
        <v/>
      </c>
      <c r="J35" s="102" t="str">
        <f aca="false">IF(OR($B35="",$F35="✖ منتهي الخدمة"),"",IF(H35="",IF($E35="غير سعودي","⚠ أدخل التاريخ","-"),IF(I35&lt;0,"✖ منتهية منذ "&amp;TEXT(-I35,"0")&amp;" يوم",IF(I35&lt;=cfg_ALERT,"⚠ تنتهي خلال "&amp;TEXT(I35,"0")&amp;" يوم","✔ سارية"))))</f>
        <v/>
      </c>
      <c r="K35" s="148" t="str">
        <f aca="false">IF($B35="","",IF(الموظفون!$K35="","",الموظفون!$K35))</f>
        <v/>
      </c>
      <c r="L35" s="110" t="str">
        <f aca="false">IF(OR($B35="",K35=""),"",K35-cfg_TRACK)</f>
        <v/>
      </c>
      <c r="M35" s="102" t="str">
        <f aca="false">IF(OR($B35="",$F35="✖ منتهي الخدمة"),"",IF(K35="",IF($E35="غير سعودي","⚠ أدخل التاريخ","-"),IF(L35&lt;0,"✖ منتهية منذ "&amp;TEXT(-L35,"0")&amp;" يوم",IF(L35&lt;=cfg_ALERT,"⚠ تنتهي خلال "&amp;TEXT(L35,"0")&amp;" يوم","✔ سارية"))))</f>
        <v/>
      </c>
      <c r="N35" s="101" t="str">
        <f aca="false">IF($B35="","",IF(F35="✖ منتهي الخدمة",0,IF(الموظفون!$X35&lt;&gt;"",الموظفون!$X35,IF(الموظفون!$E35="غير سعودي",cfg_IQ,0))))</f>
        <v/>
      </c>
      <c r="O35" s="101" t="str">
        <f aca="false">IF($B35="","",IF(F35="✖ منتهي الخدمة",0,IF(الموظفون!$Y35&lt;&gt;"",الموظفون!$Y35,IF(الموظفون!$E35="غير سعودي",cfg_WP,0))))</f>
        <v/>
      </c>
      <c r="P35" s="101" t="str">
        <f aca="false">IF($B35="","",IF(F35="✖ منتهي الخدمة",0,IF(الموظفون!$Z35&lt;&gt;"",الموظفون!$Z35,cfg_MED)))</f>
        <v/>
      </c>
      <c r="Q35" s="101" t="str">
        <f aca="false">IF($B35="","",IF(F35="✖ منتهي الخدمة",0,N(الموظفون!$AA35)))</f>
        <v/>
      </c>
      <c r="R35" s="101" t="str">
        <f aca="false">IF($B35="","",SUM(N35:Q35))</f>
        <v/>
      </c>
      <c r="S35" s="101" t="str">
        <f aca="false">IF($B35="","",R35/12)</f>
        <v/>
      </c>
      <c r="T35" s="101" t="str">
        <f aca="false">IF($B35="","",IF(1&lt;=cfg_VAL_M,'مسير يناير'!AD35+'مسير يناير'!AE35+'مسير يناير'!AF35,0)+IF(2&lt;=cfg_VAL_M,'مسير فبراير'!AD35+'مسير فبراير'!AE35+'مسير فبراير'!AF35,0)+IF(3&lt;=cfg_VAL_M,'مسير مارس'!AD35+'مسير مارس'!AE35+'مسير مارس'!AF35,0)+IF(4&lt;=cfg_VAL_M,'مسير أبريل'!AD35+'مسير أبريل'!AE35+'مسير أبريل'!AF35,0)+IF(5&lt;=cfg_VAL_M,'مسير مايو'!AD35+'مسير مايو'!AE35+'مسير مايو'!AF35,0)+IF(6&lt;=cfg_VAL_M,'مسير يونيو'!AD35+'مسير يونيو'!AE35+'مسير يونيو'!AF35,0)+IF(7&lt;=cfg_VAL_M,'مسير يوليو'!AD35+'مسير يوليو'!AE35+'مسير يوليو'!AF35,0)+IF(8&lt;=cfg_VAL_M,'مسير أغسطس'!AD35+'مسير أغسطس'!AE35+'مسير أغسطس'!AF35,0)+IF(9&lt;=cfg_VAL_M,'مسير سبتمبر'!AD35+'مسير سبتمبر'!AE35+'مسير سبتمبر'!AF35,0)+IF(10&lt;=cfg_VAL_M,'مسير أكتوبر'!AD35+'مسير أكتوبر'!AE35+'مسير أكتوبر'!AF35,0)+IF(11&lt;=cfg_VAL_M,'مسير نوفمبر'!AD35+'مسير نوفمبر'!AE35+'مسير نوفمبر'!AF35,0)+IF(12&lt;=cfg_VAL_M,'مسير ديسمبر'!AD35+'مسير ديسمبر'!AE35+'مسير ديسمبر'!AF35,0))</f>
        <v/>
      </c>
      <c r="U35" s="101" t="str">
        <f aca="false">IF(OR($B35="",F35="✖ منتهي الخدمة"),"",IF(AND(ISNUMBER(I35),I35&lt;=cfg_ALERT),N35,0)+IF(AND(ISNUMBER(L35),L35&lt;=cfg_ALERT),O35,0))</f>
        <v/>
      </c>
    </row>
    <row r="36" customFormat="false" ht="15" hidden="false" customHeight="false" outlineLevel="0" collapsed="false">
      <c r="B36" s="80" t="str">
        <f aca="false">IF(الموظفون!$B36="","",الموظفون!$B36)</f>
        <v/>
      </c>
      <c r="C36" s="80" t="str">
        <f aca="false">IF($B36="","",الموظفون!$C36)</f>
        <v/>
      </c>
      <c r="D36" s="80" t="str">
        <f aca="false">IF($B36="","",الموظفون!$D36)</f>
        <v/>
      </c>
      <c r="E36" s="80" t="str">
        <f aca="false">IF($B36="","",الموظفون!$E36)</f>
        <v/>
      </c>
      <c r="F36" s="80" t="str">
        <f aca="false">IF($B36="","",الموظفون!$AG36)</f>
        <v/>
      </c>
      <c r="G36" s="80" t="str">
        <f aca="false">IF($B36="","",IF(الموظفون!$I36="","",الموظفون!$I36))</f>
        <v/>
      </c>
      <c r="H36" s="147" t="str">
        <f aca="false">IF($B36="","",IF(الموظفون!$J36="","",الموظفون!$J36))</f>
        <v/>
      </c>
      <c r="I36" s="57" t="str">
        <f aca="false">IF(OR($B36="",H36=""),"",H36-cfg_TRACK)</f>
        <v/>
      </c>
      <c r="J36" s="80" t="str">
        <f aca="false">IF(OR($B36="",$F36="✖ منتهي الخدمة"),"",IF(H36="",IF($E36="غير سعودي","⚠ أدخل التاريخ","-"),IF(I36&lt;0,"✖ منتهية منذ "&amp;TEXT(-I36,"0")&amp;" يوم",IF(I36&lt;=cfg_ALERT,"⚠ تنتهي خلال "&amp;TEXT(I36,"0")&amp;" يوم","✔ سارية"))))</f>
        <v/>
      </c>
      <c r="K36" s="147" t="str">
        <f aca="false">IF($B36="","",IF(الموظفون!$K36="","",الموظفون!$K36))</f>
        <v/>
      </c>
      <c r="L36" s="57" t="str">
        <f aca="false">IF(OR($B36="",K36=""),"",K36-cfg_TRACK)</f>
        <v/>
      </c>
      <c r="M36" s="80" t="str">
        <f aca="false">IF(OR($B36="",$F36="✖ منتهي الخدمة"),"",IF(K36="",IF($E36="غير سعودي","⚠ أدخل التاريخ","-"),IF(L36&lt;0,"✖ منتهية منذ "&amp;TEXT(-L36,"0")&amp;" يوم",IF(L36&lt;=cfg_ALERT,"⚠ تنتهي خلال "&amp;TEXT(L36,"0")&amp;" يوم","✔ سارية"))))</f>
        <v/>
      </c>
      <c r="N36" s="97" t="str">
        <f aca="false">IF($B36="","",IF(F36="✖ منتهي الخدمة",0,IF(الموظفون!$X36&lt;&gt;"",الموظفون!$X36,IF(الموظفون!$E36="غير سعودي",cfg_IQ,0))))</f>
        <v/>
      </c>
      <c r="O36" s="97" t="str">
        <f aca="false">IF($B36="","",IF(F36="✖ منتهي الخدمة",0,IF(الموظفون!$Y36&lt;&gt;"",الموظفون!$Y36,IF(الموظفون!$E36="غير سعودي",cfg_WP,0))))</f>
        <v/>
      </c>
      <c r="P36" s="97" t="str">
        <f aca="false">IF($B36="","",IF(F36="✖ منتهي الخدمة",0,IF(الموظفون!$Z36&lt;&gt;"",الموظفون!$Z36,cfg_MED)))</f>
        <v/>
      </c>
      <c r="Q36" s="97" t="str">
        <f aca="false">IF($B36="","",IF(F36="✖ منتهي الخدمة",0,N(الموظفون!$AA36)))</f>
        <v/>
      </c>
      <c r="R36" s="97" t="str">
        <f aca="false">IF($B36="","",SUM(N36:Q36))</f>
        <v/>
      </c>
      <c r="S36" s="97" t="str">
        <f aca="false">IF($B36="","",R36/12)</f>
        <v/>
      </c>
      <c r="T36" s="97" t="str">
        <f aca="false">IF($B36="","",IF(1&lt;=cfg_VAL_M,'مسير يناير'!AD36+'مسير يناير'!AE36+'مسير يناير'!AF36,0)+IF(2&lt;=cfg_VAL_M,'مسير فبراير'!AD36+'مسير فبراير'!AE36+'مسير فبراير'!AF36,0)+IF(3&lt;=cfg_VAL_M,'مسير مارس'!AD36+'مسير مارس'!AE36+'مسير مارس'!AF36,0)+IF(4&lt;=cfg_VAL_M,'مسير أبريل'!AD36+'مسير أبريل'!AE36+'مسير أبريل'!AF36,0)+IF(5&lt;=cfg_VAL_M,'مسير مايو'!AD36+'مسير مايو'!AE36+'مسير مايو'!AF36,0)+IF(6&lt;=cfg_VAL_M,'مسير يونيو'!AD36+'مسير يونيو'!AE36+'مسير يونيو'!AF36,0)+IF(7&lt;=cfg_VAL_M,'مسير يوليو'!AD36+'مسير يوليو'!AE36+'مسير يوليو'!AF36,0)+IF(8&lt;=cfg_VAL_M,'مسير أغسطس'!AD36+'مسير أغسطس'!AE36+'مسير أغسطس'!AF36,0)+IF(9&lt;=cfg_VAL_M,'مسير سبتمبر'!AD36+'مسير سبتمبر'!AE36+'مسير سبتمبر'!AF36,0)+IF(10&lt;=cfg_VAL_M,'مسير أكتوبر'!AD36+'مسير أكتوبر'!AE36+'مسير أكتوبر'!AF36,0)+IF(11&lt;=cfg_VAL_M,'مسير نوفمبر'!AD36+'مسير نوفمبر'!AE36+'مسير نوفمبر'!AF36,0)+IF(12&lt;=cfg_VAL_M,'مسير ديسمبر'!AD36+'مسير ديسمبر'!AE36+'مسير ديسمبر'!AF36,0))</f>
        <v/>
      </c>
      <c r="U36" s="97" t="str">
        <f aca="false">IF(OR($B36="",F36="✖ منتهي الخدمة"),"",IF(AND(ISNUMBER(I36),I36&lt;=cfg_ALERT),N36,0)+IF(AND(ISNUMBER(L36),L36&lt;=cfg_ALERT),O36,0))</f>
        <v/>
      </c>
    </row>
    <row r="37" customFormat="false" ht="15" hidden="false" customHeight="false" outlineLevel="0" collapsed="false">
      <c r="B37" s="102" t="str">
        <f aca="false">IF(الموظفون!$B37="","",الموظفون!$B37)</f>
        <v/>
      </c>
      <c r="C37" s="102" t="str">
        <f aca="false">IF($B37="","",الموظفون!$C37)</f>
        <v/>
      </c>
      <c r="D37" s="102" t="str">
        <f aca="false">IF($B37="","",الموظفون!$D37)</f>
        <v/>
      </c>
      <c r="E37" s="102" t="str">
        <f aca="false">IF($B37="","",الموظفون!$E37)</f>
        <v/>
      </c>
      <c r="F37" s="102" t="str">
        <f aca="false">IF($B37="","",الموظفون!$AG37)</f>
        <v/>
      </c>
      <c r="G37" s="102" t="str">
        <f aca="false">IF($B37="","",IF(الموظفون!$I37="","",الموظفون!$I37))</f>
        <v/>
      </c>
      <c r="H37" s="148" t="str">
        <f aca="false">IF($B37="","",IF(الموظفون!$J37="","",الموظفون!$J37))</f>
        <v/>
      </c>
      <c r="I37" s="110" t="str">
        <f aca="false">IF(OR($B37="",H37=""),"",H37-cfg_TRACK)</f>
        <v/>
      </c>
      <c r="J37" s="102" t="str">
        <f aca="false">IF(OR($B37="",$F37="✖ منتهي الخدمة"),"",IF(H37="",IF($E37="غير سعودي","⚠ أدخل التاريخ","-"),IF(I37&lt;0,"✖ منتهية منذ "&amp;TEXT(-I37,"0")&amp;" يوم",IF(I37&lt;=cfg_ALERT,"⚠ تنتهي خلال "&amp;TEXT(I37,"0")&amp;" يوم","✔ سارية"))))</f>
        <v/>
      </c>
      <c r="K37" s="148" t="str">
        <f aca="false">IF($B37="","",IF(الموظفون!$K37="","",الموظفون!$K37))</f>
        <v/>
      </c>
      <c r="L37" s="110" t="str">
        <f aca="false">IF(OR($B37="",K37=""),"",K37-cfg_TRACK)</f>
        <v/>
      </c>
      <c r="M37" s="102" t="str">
        <f aca="false">IF(OR($B37="",$F37="✖ منتهي الخدمة"),"",IF(K37="",IF($E37="غير سعودي","⚠ أدخل التاريخ","-"),IF(L37&lt;0,"✖ منتهية منذ "&amp;TEXT(-L37,"0")&amp;" يوم",IF(L37&lt;=cfg_ALERT,"⚠ تنتهي خلال "&amp;TEXT(L37,"0")&amp;" يوم","✔ سارية"))))</f>
        <v/>
      </c>
      <c r="N37" s="101" t="str">
        <f aca="false">IF($B37="","",IF(F37="✖ منتهي الخدمة",0,IF(الموظفون!$X37&lt;&gt;"",الموظفون!$X37,IF(الموظفون!$E37="غير سعودي",cfg_IQ,0))))</f>
        <v/>
      </c>
      <c r="O37" s="101" t="str">
        <f aca="false">IF($B37="","",IF(F37="✖ منتهي الخدمة",0,IF(الموظفون!$Y37&lt;&gt;"",الموظفون!$Y37,IF(الموظفون!$E37="غير سعودي",cfg_WP,0))))</f>
        <v/>
      </c>
      <c r="P37" s="101" t="str">
        <f aca="false">IF($B37="","",IF(F37="✖ منتهي الخدمة",0,IF(الموظفون!$Z37&lt;&gt;"",الموظفون!$Z37,cfg_MED)))</f>
        <v/>
      </c>
      <c r="Q37" s="101" t="str">
        <f aca="false">IF($B37="","",IF(F37="✖ منتهي الخدمة",0,N(الموظفون!$AA37)))</f>
        <v/>
      </c>
      <c r="R37" s="101" t="str">
        <f aca="false">IF($B37="","",SUM(N37:Q37))</f>
        <v/>
      </c>
      <c r="S37" s="101" t="str">
        <f aca="false">IF($B37="","",R37/12)</f>
        <v/>
      </c>
      <c r="T37" s="101" t="str">
        <f aca="false">IF($B37="","",IF(1&lt;=cfg_VAL_M,'مسير يناير'!AD37+'مسير يناير'!AE37+'مسير يناير'!AF37,0)+IF(2&lt;=cfg_VAL_M,'مسير فبراير'!AD37+'مسير فبراير'!AE37+'مسير فبراير'!AF37,0)+IF(3&lt;=cfg_VAL_M,'مسير مارس'!AD37+'مسير مارس'!AE37+'مسير مارس'!AF37,0)+IF(4&lt;=cfg_VAL_M,'مسير أبريل'!AD37+'مسير أبريل'!AE37+'مسير أبريل'!AF37,0)+IF(5&lt;=cfg_VAL_M,'مسير مايو'!AD37+'مسير مايو'!AE37+'مسير مايو'!AF37,0)+IF(6&lt;=cfg_VAL_M,'مسير يونيو'!AD37+'مسير يونيو'!AE37+'مسير يونيو'!AF37,0)+IF(7&lt;=cfg_VAL_M,'مسير يوليو'!AD37+'مسير يوليو'!AE37+'مسير يوليو'!AF37,0)+IF(8&lt;=cfg_VAL_M,'مسير أغسطس'!AD37+'مسير أغسطس'!AE37+'مسير أغسطس'!AF37,0)+IF(9&lt;=cfg_VAL_M,'مسير سبتمبر'!AD37+'مسير سبتمبر'!AE37+'مسير سبتمبر'!AF37,0)+IF(10&lt;=cfg_VAL_M,'مسير أكتوبر'!AD37+'مسير أكتوبر'!AE37+'مسير أكتوبر'!AF37,0)+IF(11&lt;=cfg_VAL_M,'مسير نوفمبر'!AD37+'مسير نوفمبر'!AE37+'مسير نوفمبر'!AF37,0)+IF(12&lt;=cfg_VAL_M,'مسير ديسمبر'!AD37+'مسير ديسمبر'!AE37+'مسير ديسمبر'!AF37,0))</f>
        <v/>
      </c>
      <c r="U37" s="101" t="str">
        <f aca="false">IF(OR($B37="",F37="✖ منتهي الخدمة"),"",IF(AND(ISNUMBER(I37),I37&lt;=cfg_ALERT),N37,0)+IF(AND(ISNUMBER(L37),L37&lt;=cfg_ALERT),O37,0))</f>
        <v/>
      </c>
    </row>
    <row r="38" customFormat="false" ht="15" hidden="false" customHeight="false" outlineLevel="0" collapsed="false">
      <c r="B38" s="80" t="str">
        <f aca="false">IF(الموظفون!$B38="","",الموظفون!$B38)</f>
        <v/>
      </c>
      <c r="C38" s="80" t="str">
        <f aca="false">IF($B38="","",الموظفون!$C38)</f>
        <v/>
      </c>
      <c r="D38" s="80" t="str">
        <f aca="false">IF($B38="","",الموظفون!$D38)</f>
        <v/>
      </c>
      <c r="E38" s="80" t="str">
        <f aca="false">IF($B38="","",الموظفون!$E38)</f>
        <v/>
      </c>
      <c r="F38" s="80" t="str">
        <f aca="false">IF($B38="","",الموظفون!$AG38)</f>
        <v/>
      </c>
      <c r="G38" s="80" t="str">
        <f aca="false">IF($B38="","",IF(الموظفون!$I38="","",الموظفون!$I38))</f>
        <v/>
      </c>
      <c r="H38" s="147" t="str">
        <f aca="false">IF($B38="","",IF(الموظفون!$J38="","",الموظفون!$J38))</f>
        <v/>
      </c>
      <c r="I38" s="57" t="str">
        <f aca="false">IF(OR($B38="",H38=""),"",H38-cfg_TRACK)</f>
        <v/>
      </c>
      <c r="J38" s="80" t="str">
        <f aca="false">IF(OR($B38="",$F38="✖ منتهي الخدمة"),"",IF(H38="",IF($E38="غير سعودي","⚠ أدخل التاريخ","-"),IF(I38&lt;0,"✖ منتهية منذ "&amp;TEXT(-I38,"0")&amp;" يوم",IF(I38&lt;=cfg_ALERT,"⚠ تنتهي خلال "&amp;TEXT(I38,"0")&amp;" يوم","✔ سارية"))))</f>
        <v/>
      </c>
      <c r="K38" s="147" t="str">
        <f aca="false">IF($B38="","",IF(الموظفون!$K38="","",الموظفون!$K38))</f>
        <v/>
      </c>
      <c r="L38" s="57" t="str">
        <f aca="false">IF(OR($B38="",K38=""),"",K38-cfg_TRACK)</f>
        <v/>
      </c>
      <c r="M38" s="80" t="str">
        <f aca="false">IF(OR($B38="",$F38="✖ منتهي الخدمة"),"",IF(K38="",IF($E38="غير سعودي","⚠ أدخل التاريخ","-"),IF(L38&lt;0,"✖ منتهية منذ "&amp;TEXT(-L38,"0")&amp;" يوم",IF(L38&lt;=cfg_ALERT,"⚠ تنتهي خلال "&amp;TEXT(L38,"0")&amp;" يوم","✔ سارية"))))</f>
        <v/>
      </c>
      <c r="N38" s="97" t="str">
        <f aca="false">IF($B38="","",IF(F38="✖ منتهي الخدمة",0,IF(الموظفون!$X38&lt;&gt;"",الموظفون!$X38,IF(الموظفون!$E38="غير سعودي",cfg_IQ,0))))</f>
        <v/>
      </c>
      <c r="O38" s="97" t="str">
        <f aca="false">IF($B38="","",IF(F38="✖ منتهي الخدمة",0,IF(الموظفون!$Y38&lt;&gt;"",الموظفون!$Y38,IF(الموظفون!$E38="غير سعودي",cfg_WP,0))))</f>
        <v/>
      </c>
      <c r="P38" s="97" t="str">
        <f aca="false">IF($B38="","",IF(F38="✖ منتهي الخدمة",0,IF(الموظفون!$Z38&lt;&gt;"",الموظفون!$Z38,cfg_MED)))</f>
        <v/>
      </c>
      <c r="Q38" s="97" t="str">
        <f aca="false">IF($B38="","",IF(F38="✖ منتهي الخدمة",0,N(الموظفون!$AA38)))</f>
        <v/>
      </c>
      <c r="R38" s="97" t="str">
        <f aca="false">IF($B38="","",SUM(N38:Q38))</f>
        <v/>
      </c>
      <c r="S38" s="97" t="str">
        <f aca="false">IF($B38="","",R38/12)</f>
        <v/>
      </c>
      <c r="T38" s="97" t="str">
        <f aca="false">IF($B38="","",IF(1&lt;=cfg_VAL_M,'مسير يناير'!AD38+'مسير يناير'!AE38+'مسير يناير'!AF38,0)+IF(2&lt;=cfg_VAL_M,'مسير فبراير'!AD38+'مسير فبراير'!AE38+'مسير فبراير'!AF38,0)+IF(3&lt;=cfg_VAL_M,'مسير مارس'!AD38+'مسير مارس'!AE38+'مسير مارس'!AF38,0)+IF(4&lt;=cfg_VAL_M,'مسير أبريل'!AD38+'مسير أبريل'!AE38+'مسير أبريل'!AF38,0)+IF(5&lt;=cfg_VAL_M,'مسير مايو'!AD38+'مسير مايو'!AE38+'مسير مايو'!AF38,0)+IF(6&lt;=cfg_VAL_M,'مسير يونيو'!AD38+'مسير يونيو'!AE38+'مسير يونيو'!AF38,0)+IF(7&lt;=cfg_VAL_M,'مسير يوليو'!AD38+'مسير يوليو'!AE38+'مسير يوليو'!AF38,0)+IF(8&lt;=cfg_VAL_M,'مسير أغسطس'!AD38+'مسير أغسطس'!AE38+'مسير أغسطس'!AF38,0)+IF(9&lt;=cfg_VAL_M,'مسير سبتمبر'!AD38+'مسير سبتمبر'!AE38+'مسير سبتمبر'!AF38,0)+IF(10&lt;=cfg_VAL_M,'مسير أكتوبر'!AD38+'مسير أكتوبر'!AE38+'مسير أكتوبر'!AF38,0)+IF(11&lt;=cfg_VAL_M,'مسير نوفمبر'!AD38+'مسير نوفمبر'!AE38+'مسير نوفمبر'!AF38,0)+IF(12&lt;=cfg_VAL_M,'مسير ديسمبر'!AD38+'مسير ديسمبر'!AE38+'مسير ديسمبر'!AF38,0))</f>
        <v/>
      </c>
      <c r="U38" s="97" t="str">
        <f aca="false">IF(OR($B38="",F38="✖ منتهي الخدمة"),"",IF(AND(ISNUMBER(I38),I38&lt;=cfg_ALERT),N38,0)+IF(AND(ISNUMBER(L38),L38&lt;=cfg_ALERT),O38,0))</f>
        <v/>
      </c>
    </row>
    <row r="39" customFormat="false" ht="15" hidden="false" customHeight="false" outlineLevel="0" collapsed="false">
      <c r="B39" s="102" t="str">
        <f aca="false">IF(الموظفون!$B39="","",الموظفون!$B39)</f>
        <v/>
      </c>
      <c r="C39" s="102" t="str">
        <f aca="false">IF($B39="","",الموظفون!$C39)</f>
        <v/>
      </c>
      <c r="D39" s="102" t="str">
        <f aca="false">IF($B39="","",الموظفون!$D39)</f>
        <v/>
      </c>
      <c r="E39" s="102" t="str">
        <f aca="false">IF($B39="","",الموظفون!$E39)</f>
        <v/>
      </c>
      <c r="F39" s="102" t="str">
        <f aca="false">IF($B39="","",الموظفون!$AG39)</f>
        <v/>
      </c>
      <c r="G39" s="102" t="str">
        <f aca="false">IF($B39="","",IF(الموظفون!$I39="","",الموظفون!$I39))</f>
        <v/>
      </c>
      <c r="H39" s="148" t="str">
        <f aca="false">IF($B39="","",IF(الموظفون!$J39="","",الموظفون!$J39))</f>
        <v/>
      </c>
      <c r="I39" s="110" t="str">
        <f aca="false">IF(OR($B39="",H39=""),"",H39-cfg_TRACK)</f>
        <v/>
      </c>
      <c r="J39" s="102" t="str">
        <f aca="false">IF(OR($B39="",$F39="✖ منتهي الخدمة"),"",IF(H39="",IF($E39="غير سعودي","⚠ أدخل التاريخ","-"),IF(I39&lt;0,"✖ منتهية منذ "&amp;TEXT(-I39,"0")&amp;" يوم",IF(I39&lt;=cfg_ALERT,"⚠ تنتهي خلال "&amp;TEXT(I39,"0")&amp;" يوم","✔ سارية"))))</f>
        <v/>
      </c>
      <c r="K39" s="148" t="str">
        <f aca="false">IF($B39="","",IF(الموظفون!$K39="","",الموظفون!$K39))</f>
        <v/>
      </c>
      <c r="L39" s="110" t="str">
        <f aca="false">IF(OR($B39="",K39=""),"",K39-cfg_TRACK)</f>
        <v/>
      </c>
      <c r="M39" s="102" t="str">
        <f aca="false">IF(OR($B39="",$F39="✖ منتهي الخدمة"),"",IF(K39="",IF($E39="غير سعودي","⚠ أدخل التاريخ","-"),IF(L39&lt;0,"✖ منتهية منذ "&amp;TEXT(-L39,"0")&amp;" يوم",IF(L39&lt;=cfg_ALERT,"⚠ تنتهي خلال "&amp;TEXT(L39,"0")&amp;" يوم","✔ سارية"))))</f>
        <v/>
      </c>
      <c r="N39" s="101" t="str">
        <f aca="false">IF($B39="","",IF(F39="✖ منتهي الخدمة",0,IF(الموظفون!$X39&lt;&gt;"",الموظفون!$X39,IF(الموظفون!$E39="غير سعودي",cfg_IQ,0))))</f>
        <v/>
      </c>
      <c r="O39" s="101" t="str">
        <f aca="false">IF($B39="","",IF(F39="✖ منتهي الخدمة",0,IF(الموظفون!$Y39&lt;&gt;"",الموظفون!$Y39,IF(الموظفون!$E39="غير سعودي",cfg_WP,0))))</f>
        <v/>
      </c>
      <c r="P39" s="101" t="str">
        <f aca="false">IF($B39="","",IF(F39="✖ منتهي الخدمة",0,IF(الموظفون!$Z39&lt;&gt;"",الموظفون!$Z39,cfg_MED)))</f>
        <v/>
      </c>
      <c r="Q39" s="101" t="str">
        <f aca="false">IF($B39="","",IF(F39="✖ منتهي الخدمة",0,N(الموظفون!$AA39)))</f>
        <v/>
      </c>
      <c r="R39" s="101" t="str">
        <f aca="false">IF($B39="","",SUM(N39:Q39))</f>
        <v/>
      </c>
      <c r="S39" s="101" t="str">
        <f aca="false">IF($B39="","",R39/12)</f>
        <v/>
      </c>
      <c r="T39" s="101" t="str">
        <f aca="false">IF($B39="","",IF(1&lt;=cfg_VAL_M,'مسير يناير'!AD39+'مسير يناير'!AE39+'مسير يناير'!AF39,0)+IF(2&lt;=cfg_VAL_M,'مسير فبراير'!AD39+'مسير فبراير'!AE39+'مسير فبراير'!AF39,0)+IF(3&lt;=cfg_VAL_M,'مسير مارس'!AD39+'مسير مارس'!AE39+'مسير مارس'!AF39,0)+IF(4&lt;=cfg_VAL_M,'مسير أبريل'!AD39+'مسير أبريل'!AE39+'مسير أبريل'!AF39,0)+IF(5&lt;=cfg_VAL_M,'مسير مايو'!AD39+'مسير مايو'!AE39+'مسير مايو'!AF39,0)+IF(6&lt;=cfg_VAL_M,'مسير يونيو'!AD39+'مسير يونيو'!AE39+'مسير يونيو'!AF39,0)+IF(7&lt;=cfg_VAL_M,'مسير يوليو'!AD39+'مسير يوليو'!AE39+'مسير يوليو'!AF39,0)+IF(8&lt;=cfg_VAL_M,'مسير أغسطس'!AD39+'مسير أغسطس'!AE39+'مسير أغسطس'!AF39,0)+IF(9&lt;=cfg_VAL_M,'مسير سبتمبر'!AD39+'مسير سبتمبر'!AE39+'مسير سبتمبر'!AF39,0)+IF(10&lt;=cfg_VAL_M,'مسير أكتوبر'!AD39+'مسير أكتوبر'!AE39+'مسير أكتوبر'!AF39,0)+IF(11&lt;=cfg_VAL_M,'مسير نوفمبر'!AD39+'مسير نوفمبر'!AE39+'مسير نوفمبر'!AF39,0)+IF(12&lt;=cfg_VAL_M,'مسير ديسمبر'!AD39+'مسير ديسمبر'!AE39+'مسير ديسمبر'!AF39,0))</f>
        <v/>
      </c>
      <c r="U39" s="101" t="str">
        <f aca="false">IF(OR($B39="",F39="✖ منتهي الخدمة"),"",IF(AND(ISNUMBER(I39),I39&lt;=cfg_ALERT),N39,0)+IF(AND(ISNUMBER(L39),L39&lt;=cfg_ALERT),O39,0))</f>
        <v/>
      </c>
    </row>
    <row r="40" customFormat="false" ht="15" hidden="false" customHeight="false" outlineLevel="0" collapsed="false">
      <c r="B40" s="80" t="str">
        <f aca="false">IF(الموظفون!$B40="","",الموظفون!$B40)</f>
        <v/>
      </c>
      <c r="C40" s="80" t="str">
        <f aca="false">IF($B40="","",الموظفون!$C40)</f>
        <v/>
      </c>
      <c r="D40" s="80" t="str">
        <f aca="false">IF($B40="","",الموظفون!$D40)</f>
        <v/>
      </c>
      <c r="E40" s="80" t="str">
        <f aca="false">IF($B40="","",الموظفون!$E40)</f>
        <v/>
      </c>
      <c r="F40" s="80" t="str">
        <f aca="false">IF($B40="","",الموظفون!$AG40)</f>
        <v/>
      </c>
      <c r="G40" s="80" t="str">
        <f aca="false">IF($B40="","",IF(الموظفون!$I40="","",الموظفون!$I40))</f>
        <v/>
      </c>
      <c r="H40" s="147" t="str">
        <f aca="false">IF($B40="","",IF(الموظفون!$J40="","",الموظفون!$J40))</f>
        <v/>
      </c>
      <c r="I40" s="57" t="str">
        <f aca="false">IF(OR($B40="",H40=""),"",H40-cfg_TRACK)</f>
        <v/>
      </c>
      <c r="J40" s="80" t="str">
        <f aca="false">IF(OR($B40="",$F40="✖ منتهي الخدمة"),"",IF(H40="",IF($E40="غير سعودي","⚠ أدخل التاريخ","-"),IF(I40&lt;0,"✖ منتهية منذ "&amp;TEXT(-I40,"0")&amp;" يوم",IF(I40&lt;=cfg_ALERT,"⚠ تنتهي خلال "&amp;TEXT(I40,"0")&amp;" يوم","✔ سارية"))))</f>
        <v/>
      </c>
      <c r="K40" s="147" t="str">
        <f aca="false">IF($B40="","",IF(الموظفون!$K40="","",الموظفون!$K40))</f>
        <v/>
      </c>
      <c r="L40" s="57" t="str">
        <f aca="false">IF(OR($B40="",K40=""),"",K40-cfg_TRACK)</f>
        <v/>
      </c>
      <c r="M40" s="80" t="str">
        <f aca="false">IF(OR($B40="",$F40="✖ منتهي الخدمة"),"",IF(K40="",IF($E40="غير سعودي","⚠ أدخل التاريخ","-"),IF(L40&lt;0,"✖ منتهية منذ "&amp;TEXT(-L40,"0")&amp;" يوم",IF(L40&lt;=cfg_ALERT,"⚠ تنتهي خلال "&amp;TEXT(L40,"0")&amp;" يوم","✔ سارية"))))</f>
        <v/>
      </c>
      <c r="N40" s="97" t="str">
        <f aca="false">IF($B40="","",IF(F40="✖ منتهي الخدمة",0,IF(الموظفون!$X40&lt;&gt;"",الموظفون!$X40,IF(الموظفون!$E40="غير سعودي",cfg_IQ,0))))</f>
        <v/>
      </c>
      <c r="O40" s="97" t="str">
        <f aca="false">IF($B40="","",IF(F40="✖ منتهي الخدمة",0,IF(الموظفون!$Y40&lt;&gt;"",الموظفون!$Y40,IF(الموظفون!$E40="غير سعودي",cfg_WP,0))))</f>
        <v/>
      </c>
      <c r="P40" s="97" t="str">
        <f aca="false">IF($B40="","",IF(F40="✖ منتهي الخدمة",0,IF(الموظفون!$Z40&lt;&gt;"",الموظفون!$Z40,cfg_MED)))</f>
        <v/>
      </c>
      <c r="Q40" s="97" t="str">
        <f aca="false">IF($B40="","",IF(F40="✖ منتهي الخدمة",0,N(الموظفون!$AA40)))</f>
        <v/>
      </c>
      <c r="R40" s="97" t="str">
        <f aca="false">IF($B40="","",SUM(N40:Q40))</f>
        <v/>
      </c>
      <c r="S40" s="97" t="str">
        <f aca="false">IF($B40="","",R40/12)</f>
        <v/>
      </c>
      <c r="T40" s="97" t="str">
        <f aca="false">IF($B40="","",IF(1&lt;=cfg_VAL_M,'مسير يناير'!AD40+'مسير يناير'!AE40+'مسير يناير'!AF40,0)+IF(2&lt;=cfg_VAL_M,'مسير فبراير'!AD40+'مسير فبراير'!AE40+'مسير فبراير'!AF40,0)+IF(3&lt;=cfg_VAL_M,'مسير مارس'!AD40+'مسير مارس'!AE40+'مسير مارس'!AF40,0)+IF(4&lt;=cfg_VAL_M,'مسير أبريل'!AD40+'مسير أبريل'!AE40+'مسير أبريل'!AF40,0)+IF(5&lt;=cfg_VAL_M,'مسير مايو'!AD40+'مسير مايو'!AE40+'مسير مايو'!AF40,0)+IF(6&lt;=cfg_VAL_M,'مسير يونيو'!AD40+'مسير يونيو'!AE40+'مسير يونيو'!AF40,0)+IF(7&lt;=cfg_VAL_M,'مسير يوليو'!AD40+'مسير يوليو'!AE40+'مسير يوليو'!AF40,0)+IF(8&lt;=cfg_VAL_M,'مسير أغسطس'!AD40+'مسير أغسطس'!AE40+'مسير أغسطس'!AF40,0)+IF(9&lt;=cfg_VAL_M,'مسير سبتمبر'!AD40+'مسير سبتمبر'!AE40+'مسير سبتمبر'!AF40,0)+IF(10&lt;=cfg_VAL_M,'مسير أكتوبر'!AD40+'مسير أكتوبر'!AE40+'مسير أكتوبر'!AF40,0)+IF(11&lt;=cfg_VAL_M,'مسير نوفمبر'!AD40+'مسير نوفمبر'!AE40+'مسير نوفمبر'!AF40,0)+IF(12&lt;=cfg_VAL_M,'مسير ديسمبر'!AD40+'مسير ديسمبر'!AE40+'مسير ديسمبر'!AF40,0))</f>
        <v/>
      </c>
      <c r="U40" s="97" t="str">
        <f aca="false">IF(OR($B40="",F40="✖ منتهي الخدمة"),"",IF(AND(ISNUMBER(I40),I40&lt;=cfg_ALERT),N40,0)+IF(AND(ISNUMBER(L40),L40&lt;=cfg_ALERT),O40,0))</f>
        <v/>
      </c>
    </row>
    <row r="41" customFormat="false" ht="15" hidden="false" customHeight="false" outlineLevel="0" collapsed="false">
      <c r="B41" s="102" t="str">
        <f aca="false">IF(الموظفون!$B41="","",الموظفون!$B41)</f>
        <v/>
      </c>
      <c r="C41" s="102" t="str">
        <f aca="false">IF($B41="","",الموظفون!$C41)</f>
        <v/>
      </c>
      <c r="D41" s="102" t="str">
        <f aca="false">IF($B41="","",الموظفون!$D41)</f>
        <v/>
      </c>
      <c r="E41" s="102" t="str">
        <f aca="false">IF($B41="","",الموظفون!$E41)</f>
        <v/>
      </c>
      <c r="F41" s="102" t="str">
        <f aca="false">IF($B41="","",الموظفون!$AG41)</f>
        <v/>
      </c>
      <c r="G41" s="102" t="str">
        <f aca="false">IF($B41="","",IF(الموظفون!$I41="","",الموظفون!$I41))</f>
        <v/>
      </c>
      <c r="H41" s="148" t="str">
        <f aca="false">IF($B41="","",IF(الموظفون!$J41="","",الموظفون!$J41))</f>
        <v/>
      </c>
      <c r="I41" s="110" t="str">
        <f aca="false">IF(OR($B41="",H41=""),"",H41-cfg_TRACK)</f>
        <v/>
      </c>
      <c r="J41" s="102" t="str">
        <f aca="false">IF(OR($B41="",$F41="✖ منتهي الخدمة"),"",IF(H41="",IF($E41="غير سعودي","⚠ أدخل التاريخ","-"),IF(I41&lt;0,"✖ منتهية منذ "&amp;TEXT(-I41,"0")&amp;" يوم",IF(I41&lt;=cfg_ALERT,"⚠ تنتهي خلال "&amp;TEXT(I41,"0")&amp;" يوم","✔ سارية"))))</f>
        <v/>
      </c>
      <c r="K41" s="148" t="str">
        <f aca="false">IF($B41="","",IF(الموظفون!$K41="","",الموظفون!$K41))</f>
        <v/>
      </c>
      <c r="L41" s="110" t="str">
        <f aca="false">IF(OR($B41="",K41=""),"",K41-cfg_TRACK)</f>
        <v/>
      </c>
      <c r="M41" s="102" t="str">
        <f aca="false">IF(OR($B41="",$F41="✖ منتهي الخدمة"),"",IF(K41="",IF($E41="غير سعودي","⚠ أدخل التاريخ","-"),IF(L41&lt;0,"✖ منتهية منذ "&amp;TEXT(-L41,"0")&amp;" يوم",IF(L41&lt;=cfg_ALERT,"⚠ تنتهي خلال "&amp;TEXT(L41,"0")&amp;" يوم","✔ سارية"))))</f>
        <v/>
      </c>
      <c r="N41" s="101" t="str">
        <f aca="false">IF($B41="","",IF(F41="✖ منتهي الخدمة",0,IF(الموظفون!$X41&lt;&gt;"",الموظفون!$X41,IF(الموظفون!$E41="غير سعودي",cfg_IQ,0))))</f>
        <v/>
      </c>
      <c r="O41" s="101" t="str">
        <f aca="false">IF($B41="","",IF(F41="✖ منتهي الخدمة",0,IF(الموظفون!$Y41&lt;&gt;"",الموظفون!$Y41,IF(الموظفون!$E41="غير سعودي",cfg_WP,0))))</f>
        <v/>
      </c>
      <c r="P41" s="101" t="str">
        <f aca="false">IF($B41="","",IF(F41="✖ منتهي الخدمة",0,IF(الموظفون!$Z41&lt;&gt;"",الموظفون!$Z41,cfg_MED)))</f>
        <v/>
      </c>
      <c r="Q41" s="101" t="str">
        <f aca="false">IF($B41="","",IF(F41="✖ منتهي الخدمة",0,N(الموظفون!$AA41)))</f>
        <v/>
      </c>
      <c r="R41" s="101" t="str">
        <f aca="false">IF($B41="","",SUM(N41:Q41))</f>
        <v/>
      </c>
      <c r="S41" s="101" t="str">
        <f aca="false">IF($B41="","",R41/12)</f>
        <v/>
      </c>
      <c r="T41" s="101" t="str">
        <f aca="false">IF($B41="","",IF(1&lt;=cfg_VAL_M,'مسير يناير'!AD41+'مسير يناير'!AE41+'مسير يناير'!AF41,0)+IF(2&lt;=cfg_VAL_M,'مسير فبراير'!AD41+'مسير فبراير'!AE41+'مسير فبراير'!AF41,0)+IF(3&lt;=cfg_VAL_M,'مسير مارس'!AD41+'مسير مارس'!AE41+'مسير مارس'!AF41,0)+IF(4&lt;=cfg_VAL_M,'مسير أبريل'!AD41+'مسير أبريل'!AE41+'مسير أبريل'!AF41,0)+IF(5&lt;=cfg_VAL_M,'مسير مايو'!AD41+'مسير مايو'!AE41+'مسير مايو'!AF41,0)+IF(6&lt;=cfg_VAL_M,'مسير يونيو'!AD41+'مسير يونيو'!AE41+'مسير يونيو'!AF41,0)+IF(7&lt;=cfg_VAL_M,'مسير يوليو'!AD41+'مسير يوليو'!AE41+'مسير يوليو'!AF41,0)+IF(8&lt;=cfg_VAL_M,'مسير أغسطس'!AD41+'مسير أغسطس'!AE41+'مسير أغسطس'!AF41,0)+IF(9&lt;=cfg_VAL_M,'مسير سبتمبر'!AD41+'مسير سبتمبر'!AE41+'مسير سبتمبر'!AF41,0)+IF(10&lt;=cfg_VAL_M,'مسير أكتوبر'!AD41+'مسير أكتوبر'!AE41+'مسير أكتوبر'!AF41,0)+IF(11&lt;=cfg_VAL_M,'مسير نوفمبر'!AD41+'مسير نوفمبر'!AE41+'مسير نوفمبر'!AF41,0)+IF(12&lt;=cfg_VAL_M,'مسير ديسمبر'!AD41+'مسير ديسمبر'!AE41+'مسير ديسمبر'!AF41,0))</f>
        <v/>
      </c>
      <c r="U41" s="101" t="str">
        <f aca="false">IF(OR($B41="",F41="✖ منتهي الخدمة"),"",IF(AND(ISNUMBER(I41),I41&lt;=cfg_ALERT),N41,0)+IF(AND(ISNUMBER(L41),L41&lt;=cfg_ALERT),O41,0))</f>
        <v/>
      </c>
    </row>
    <row r="42" customFormat="false" ht="15" hidden="false" customHeight="false" outlineLevel="0" collapsed="false">
      <c r="B42" s="80" t="str">
        <f aca="false">IF(الموظفون!$B42="","",الموظفون!$B42)</f>
        <v/>
      </c>
      <c r="C42" s="80" t="str">
        <f aca="false">IF($B42="","",الموظفون!$C42)</f>
        <v/>
      </c>
      <c r="D42" s="80" t="str">
        <f aca="false">IF($B42="","",الموظفون!$D42)</f>
        <v/>
      </c>
      <c r="E42" s="80" t="str">
        <f aca="false">IF($B42="","",الموظفون!$E42)</f>
        <v/>
      </c>
      <c r="F42" s="80" t="str">
        <f aca="false">IF($B42="","",الموظفون!$AG42)</f>
        <v/>
      </c>
      <c r="G42" s="80" t="str">
        <f aca="false">IF($B42="","",IF(الموظفون!$I42="","",الموظفون!$I42))</f>
        <v/>
      </c>
      <c r="H42" s="147" t="str">
        <f aca="false">IF($B42="","",IF(الموظفون!$J42="","",الموظفون!$J42))</f>
        <v/>
      </c>
      <c r="I42" s="57" t="str">
        <f aca="false">IF(OR($B42="",H42=""),"",H42-cfg_TRACK)</f>
        <v/>
      </c>
      <c r="J42" s="80" t="str">
        <f aca="false">IF(OR($B42="",$F42="✖ منتهي الخدمة"),"",IF(H42="",IF($E42="غير سعودي","⚠ أدخل التاريخ","-"),IF(I42&lt;0,"✖ منتهية منذ "&amp;TEXT(-I42,"0")&amp;" يوم",IF(I42&lt;=cfg_ALERT,"⚠ تنتهي خلال "&amp;TEXT(I42,"0")&amp;" يوم","✔ سارية"))))</f>
        <v/>
      </c>
      <c r="K42" s="147" t="str">
        <f aca="false">IF($B42="","",IF(الموظفون!$K42="","",الموظفون!$K42))</f>
        <v/>
      </c>
      <c r="L42" s="57" t="str">
        <f aca="false">IF(OR($B42="",K42=""),"",K42-cfg_TRACK)</f>
        <v/>
      </c>
      <c r="M42" s="80" t="str">
        <f aca="false">IF(OR($B42="",$F42="✖ منتهي الخدمة"),"",IF(K42="",IF($E42="غير سعودي","⚠ أدخل التاريخ","-"),IF(L42&lt;0,"✖ منتهية منذ "&amp;TEXT(-L42,"0")&amp;" يوم",IF(L42&lt;=cfg_ALERT,"⚠ تنتهي خلال "&amp;TEXT(L42,"0")&amp;" يوم","✔ سارية"))))</f>
        <v/>
      </c>
      <c r="N42" s="97" t="str">
        <f aca="false">IF($B42="","",IF(F42="✖ منتهي الخدمة",0,IF(الموظفون!$X42&lt;&gt;"",الموظفون!$X42,IF(الموظفون!$E42="غير سعودي",cfg_IQ,0))))</f>
        <v/>
      </c>
      <c r="O42" s="97" t="str">
        <f aca="false">IF($B42="","",IF(F42="✖ منتهي الخدمة",0,IF(الموظفون!$Y42&lt;&gt;"",الموظفون!$Y42,IF(الموظفون!$E42="غير سعودي",cfg_WP,0))))</f>
        <v/>
      </c>
      <c r="P42" s="97" t="str">
        <f aca="false">IF($B42="","",IF(F42="✖ منتهي الخدمة",0,IF(الموظفون!$Z42&lt;&gt;"",الموظفون!$Z42,cfg_MED)))</f>
        <v/>
      </c>
      <c r="Q42" s="97" t="str">
        <f aca="false">IF($B42="","",IF(F42="✖ منتهي الخدمة",0,N(الموظفون!$AA42)))</f>
        <v/>
      </c>
      <c r="R42" s="97" t="str">
        <f aca="false">IF($B42="","",SUM(N42:Q42))</f>
        <v/>
      </c>
      <c r="S42" s="97" t="str">
        <f aca="false">IF($B42="","",R42/12)</f>
        <v/>
      </c>
      <c r="T42" s="97" t="str">
        <f aca="false">IF($B42="","",IF(1&lt;=cfg_VAL_M,'مسير يناير'!AD42+'مسير يناير'!AE42+'مسير يناير'!AF42,0)+IF(2&lt;=cfg_VAL_M,'مسير فبراير'!AD42+'مسير فبراير'!AE42+'مسير فبراير'!AF42,0)+IF(3&lt;=cfg_VAL_M,'مسير مارس'!AD42+'مسير مارس'!AE42+'مسير مارس'!AF42,0)+IF(4&lt;=cfg_VAL_M,'مسير أبريل'!AD42+'مسير أبريل'!AE42+'مسير أبريل'!AF42,0)+IF(5&lt;=cfg_VAL_M,'مسير مايو'!AD42+'مسير مايو'!AE42+'مسير مايو'!AF42,0)+IF(6&lt;=cfg_VAL_M,'مسير يونيو'!AD42+'مسير يونيو'!AE42+'مسير يونيو'!AF42,0)+IF(7&lt;=cfg_VAL_M,'مسير يوليو'!AD42+'مسير يوليو'!AE42+'مسير يوليو'!AF42,0)+IF(8&lt;=cfg_VAL_M,'مسير أغسطس'!AD42+'مسير أغسطس'!AE42+'مسير أغسطس'!AF42,0)+IF(9&lt;=cfg_VAL_M,'مسير سبتمبر'!AD42+'مسير سبتمبر'!AE42+'مسير سبتمبر'!AF42,0)+IF(10&lt;=cfg_VAL_M,'مسير أكتوبر'!AD42+'مسير أكتوبر'!AE42+'مسير أكتوبر'!AF42,0)+IF(11&lt;=cfg_VAL_M,'مسير نوفمبر'!AD42+'مسير نوفمبر'!AE42+'مسير نوفمبر'!AF42,0)+IF(12&lt;=cfg_VAL_M,'مسير ديسمبر'!AD42+'مسير ديسمبر'!AE42+'مسير ديسمبر'!AF42,0))</f>
        <v/>
      </c>
      <c r="U42" s="97" t="str">
        <f aca="false">IF(OR($B42="",F42="✖ منتهي الخدمة"),"",IF(AND(ISNUMBER(I42),I42&lt;=cfg_ALERT),N42,0)+IF(AND(ISNUMBER(L42),L42&lt;=cfg_ALERT),O42,0))</f>
        <v/>
      </c>
    </row>
    <row r="43" customFormat="false" ht="15" hidden="false" customHeight="false" outlineLevel="0" collapsed="false">
      <c r="B43" s="102" t="str">
        <f aca="false">IF(الموظفون!$B43="","",الموظفون!$B43)</f>
        <v/>
      </c>
      <c r="C43" s="102" t="str">
        <f aca="false">IF($B43="","",الموظفون!$C43)</f>
        <v/>
      </c>
      <c r="D43" s="102" t="str">
        <f aca="false">IF($B43="","",الموظفون!$D43)</f>
        <v/>
      </c>
      <c r="E43" s="102" t="str">
        <f aca="false">IF($B43="","",الموظفون!$E43)</f>
        <v/>
      </c>
      <c r="F43" s="102" t="str">
        <f aca="false">IF($B43="","",الموظفون!$AG43)</f>
        <v/>
      </c>
      <c r="G43" s="102" t="str">
        <f aca="false">IF($B43="","",IF(الموظفون!$I43="","",الموظفون!$I43))</f>
        <v/>
      </c>
      <c r="H43" s="148" t="str">
        <f aca="false">IF($B43="","",IF(الموظفون!$J43="","",الموظفون!$J43))</f>
        <v/>
      </c>
      <c r="I43" s="110" t="str">
        <f aca="false">IF(OR($B43="",H43=""),"",H43-cfg_TRACK)</f>
        <v/>
      </c>
      <c r="J43" s="102" t="str">
        <f aca="false">IF(OR($B43="",$F43="✖ منتهي الخدمة"),"",IF(H43="",IF($E43="غير سعودي","⚠ أدخل التاريخ","-"),IF(I43&lt;0,"✖ منتهية منذ "&amp;TEXT(-I43,"0")&amp;" يوم",IF(I43&lt;=cfg_ALERT,"⚠ تنتهي خلال "&amp;TEXT(I43,"0")&amp;" يوم","✔ سارية"))))</f>
        <v/>
      </c>
      <c r="K43" s="148" t="str">
        <f aca="false">IF($B43="","",IF(الموظفون!$K43="","",الموظفون!$K43))</f>
        <v/>
      </c>
      <c r="L43" s="110" t="str">
        <f aca="false">IF(OR($B43="",K43=""),"",K43-cfg_TRACK)</f>
        <v/>
      </c>
      <c r="M43" s="102" t="str">
        <f aca="false">IF(OR($B43="",$F43="✖ منتهي الخدمة"),"",IF(K43="",IF($E43="غير سعودي","⚠ أدخل التاريخ","-"),IF(L43&lt;0,"✖ منتهية منذ "&amp;TEXT(-L43,"0")&amp;" يوم",IF(L43&lt;=cfg_ALERT,"⚠ تنتهي خلال "&amp;TEXT(L43,"0")&amp;" يوم","✔ سارية"))))</f>
        <v/>
      </c>
      <c r="N43" s="101" t="str">
        <f aca="false">IF($B43="","",IF(F43="✖ منتهي الخدمة",0,IF(الموظفون!$X43&lt;&gt;"",الموظفون!$X43,IF(الموظفون!$E43="غير سعودي",cfg_IQ,0))))</f>
        <v/>
      </c>
      <c r="O43" s="101" t="str">
        <f aca="false">IF($B43="","",IF(F43="✖ منتهي الخدمة",0,IF(الموظفون!$Y43&lt;&gt;"",الموظفون!$Y43,IF(الموظفون!$E43="غير سعودي",cfg_WP,0))))</f>
        <v/>
      </c>
      <c r="P43" s="101" t="str">
        <f aca="false">IF($B43="","",IF(F43="✖ منتهي الخدمة",0,IF(الموظفون!$Z43&lt;&gt;"",الموظفون!$Z43,cfg_MED)))</f>
        <v/>
      </c>
      <c r="Q43" s="101" t="str">
        <f aca="false">IF($B43="","",IF(F43="✖ منتهي الخدمة",0,N(الموظفون!$AA43)))</f>
        <v/>
      </c>
      <c r="R43" s="101" t="str">
        <f aca="false">IF($B43="","",SUM(N43:Q43))</f>
        <v/>
      </c>
      <c r="S43" s="101" t="str">
        <f aca="false">IF($B43="","",R43/12)</f>
        <v/>
      </c>
      <c r="T43" s="101" t="str">
        <f aca="false">IF($B43="","",IF(1&lt;=cfg_VAL_M,'مسير يناير'!AD43+'مسير يناير'!AE43+'مسير يناير'!AF43,0)+IF(2&lt;=cfg_VAL_M,'مسير فبراير'!AD43+'مسير فبراير'!AE43+'مسير فبراير'!AF43,0)+IF(3&lt;=cfg_VAL_M,'مسير مارس'!AD43+'مسير مارس'!AE43+'مسير مارس'!AF43,0)+IF(4&lt;=cfg_VAL_M,'مسير أبريل'!AD43+'مسير أبريل'!AE43+'مسير أبريل'!AF43,0)+IF(5&lt;=cfg_VAL_M,'مسير مايو'!AD43+'مسير مايو'!AE43+'مسير مايو'!AF43,0)+IF(6&lt;=cfg_VAL_M,'مسير يونيو'!AD43+'مسير يونيو'!AE43+'مسير يونيو'!AF43,0)+IF(7&lt;=cfg_VAL_M,'مسير يوليو'!AD43+'مسير يوليو'!AE43+'مسير يوليو'!AF43,0)+IF(8&lt;=cfg_VAL_M,'مسير أغسطس'!AD43+'مسير أغسطس'!AE43+'مسير أغسطس'!AF43,0)+IF(9&lt;=cfg_VAL_M,'مسير سبتمبر'!AD43+'مسير سبتمبر'!AE43+'مسير سبتمبر'!AF43,0)+IF(10&lt;=cfg_VAL_M,'مسير أكتوبر'!AD43+'مسير أكتوبر'!AE43+'مسير أكتوبر'!AF43,0)+IF(11&lt;=cfg_VAL_M,'مسير نوفمبر'!AD43+'مسير نوفمبر'!AE43+'مسير نوفمبر'!AF43,0)+IF(12&lt;=cfg_VAL_M,'مسير ديسمبر'!AD43+'مسير ديسمبر'!AE43+'مسير ديسمبر'!AF43,0))</f>
        <v/>
      </c>
      <c r="U43" s="101" t="str">
        <f aca="false">IF(OR($B43="",F43="✖ منتهي الخدمة"),"",IF(AND(ISNUMBER(I43),I43&lt;=cfg_ALERT),N43,0)+IF(AND(ISNUMBER(L43),L43&lt;=cfg_ALERT),O43,0))</f>
        <v/>
      </c>
    </row>
    <row r="44" customFormat="false" ht="15" hidden="false" customHeight="false" outlineLevel="0" collapsed="false">
      <c r="B44" s="80" t="str">
        <f aca="false">IF(الموظفون!$B44="","",الموظفون!$B44)</f>
        <v/>
      </c>
      <c r="C44" s="80" t="str">
        <f aca="false">IF($B44="","",الموظفون!$C44)</f>
        <v/>
      </c>
      <c r="D44" s="80" t="str">
        <f aca="false">IF($B44="","",الموظفون!$D44)</f>
        <v/>
      </c>
      <c r="E44" s="80" t="str">
        <f aca="false">IF($B44="","",الموظفون!$E44)</f>
        <v/>
      </c>
      <c r="F44" s="80" t="str">
        <f aca="false">IF($B44="","",الموظفون!$AG44)</f>
        <v/>
      </c>
      <c r="G44" s="80" t="str">
        <f aca="false">IF($B44="","",IF(الموظفون!$I44="","",الموظفون!$I44))</f>
        <v/>
      </c>
      <c r="H44" s="147" t="str">
        <f aca="false">IF($B44="","",IF(الموظفون!$J44="","",الموظفون!$J44))</f>
        <v/>
      </c>
      <c r="I44" s="57" t="str">
        <f aca="false">IF(OR($B44="",H44=""),"",H44-cfg_TRACK)</f>
        <v/>
      </c>
      <c r="J44" s="80" t="str">
        <f aca="false">IF(OR($B44="",$F44="✖ منتهي الخدمة"),"",IF(H44="",IF($E44="غير سعودي","⚠ أدخل التاريخ","-"),IF(I44&lt;0,"✖ منتهية منذ "&amp;TEXT(-I44,"0")&amp;" يوم",IF(I44&lt;=cfg_ALERT,"⚠ تنتهي خلال "&amp;TEXT(I44,"0")&amp;" يوم","✔ سارية"))))</f>
        <v/>
      </c>
      <c r="K44" s="147" t="str">
        <f aca="false">IF($B44="","",IF(الموظفون!$K44="","",الموظفون!$K44))</f>
        <v/>
      </c>
      <c r="L44" s="57" t="str">
        <f aca="false">IF(OR($B44="",K44=""),"",K44-cfg_TRACK)</f>
        <v/>
      </c>
      <c r="M44" s="80" t="str">
        <f aca="false">IF(OR($B44="",$F44="✖ منتهي الخدمة"),"",IF(K44="",IF($E44="غير سعودي","⚠ أدخل التاريخ","-"),IF(L44&lt;0,"✖ منتهية منذ "&amp;TEXT(-L44,"0")&amp;" يوم",IF(L44&lt;=cfg_ALERT,"⚠ تنتهي خلال "&amp;TEXT(L44,"0")&amp;" يوم","✔ سارية"))))</f>
        <v/>
      </c>
      <c r="N44" s="97" t="str">
        <f aca="false">IF($B44="","",IF(F44="✖ منتهي الخدمة",0,IF(الموظفون!$X44&lt;&gt;"",الموظفون!$X44,IF(الموظفون!$E44="غير سعودي",cfg_IQ,0))))</f>
        <v/>
      </c>
      <c r="O44" s="97" t="str">
        <f aca="false">IF($B44="","",IF(F44="✖ منتهي الخدمة",0,IF(الموظفون!$Y44&lt;&gt;"",الموظفون!$Y44,IF(الموظفون!$E44="غير سعودي",cfg_WP,0))))</f>
        <v/>
      </c>
      <c r="P44" s="97" t="str">
        <f aca="false">IF($B44="","",IF(F44="✖ منتهي الخدمة",0,IF(الموظفون!$Z44&lt;&gt;"",الموظفون!$Z44,cfg_MED)))</f>
        <v/>
      </c>
      <c r="Q44" s="97" t="str">
        <f aca="false">IF($B44="","",IF(F44="✖ منتهي الخدمة",0,N(الموظفون!$AA44)))</f>
        <v/>
      </c>
      <c r="R44" s="97" t="str">
        <f aca="false">IF($B44="","",SUM(N44:Q44))</f>
        <v/>
      </c>
      <c r="S44" s="97" t="str">
        <f aca="false">IF($B44="","",R44/12)</f>
        <v/>
      </c>
      <c r="T44" s="97" t="str">
        <f aca="false">IF($B44="","",IF(1&lt;=cfg_VAL_M,'مسير يناير'!AD44+'مسير يناير'!AE44+'مسير يناير'!AF44,0)+IF(2&lt;=cfg_VAL_M,'مسير فبراير'!AD44+'مسير فبراير'!AE44+'مسير فبراير'!AF44,0)+IF(3&lt;=cfg_VAL_M,'مسير مارس'!AD44+'مسير مارس'!AE44+'مسير مارس'!AF44,0)+IF(4&lt;=cfg_VAL_M,'مسير أبريل'!AD44+'مسير أبريل'!AE44+'مسير أبريل'!AF44,0)+IF(5&lt;=cfg_VAL_M,'مسير مايو'!AD44+'مسير مايو'!AE44+'مسير مايو'!AF44,0)+IF(6&lt;=cfg_VAL_M,'مسير يونيو'!AD44+'مسير يونيو'!AE44+'مسير يونيو'!AF44,0)+IF(7&lt;=cfg_VAL_M,'مسير يوليو'!AD44+'مسير يوليو'!AE44+'مسير يوليو'!AF44,0)+IF(8&lt;=cfg_VAL_M,'مسير أغسطس'!AD44+'مسير أغسطس'!AE44+'مسير أغسطس'!AF44,0)+IF(9&lt;=cfg_VAL_M,'مسير سبتمبر'!AD44+'مسير سبتمبر'!AE44+'مسير سبتمبر'!AF44,0)+IF(10&lt;=cfg_VAL_M,'مسير أكتوبر'!AD44+'مسير أكتوبر'!AE44+'مسير أكتوبر'!AF44,0)+IF(11&lt;=cfg_VAL_M,'مسير نوفمبر'!AD44+'مسير نوفمبر'!AE44+'مسير نوفمبر'!AF44,0)+IF(12&lt;=cfg_VAL_M,'مسير ديسمبر'!AD44+'مسير ديسمبر'!AE44+'مسير ديسمبر'!AF44,0))</f>
        <v/>
      </c>
      <c r="U44" s="97" t="str">
        <f aca="false">IF(OR($B44="",F44="✖ منتهي الخدمة"),"",IF(AND(ISNUMBER(I44),I44&lt;=cfg_ALERT),N44,0)+IF(AND(ISNUMBER(L44),L44&lt;=cfg_ALERT),O44,0))</f>
        <v/>
      </c>
    </row>
    <row r="45" customFormat="false" ht="15" hidden="false" customHeight="false" outlineLevel="0" collapsed="false">
      <c r="B45" s="102" t="str">
        <f aca="false">IF(الموظفون!$B45="","",الموظفون!$B45)</f>
        <v/>
      </c>
      <c r="C45" s="102" t="str">
        <f aca="false">IF($B45="","",الموظفون!$C45)</f>
        <v/>
      </c>
      <c r="D45" s="102" t="str">
        <f aca="false">IF($B45="","",الموظفون!$D45)</f>
        <v/>
      </c>
      <c r="E45" s="102" t="str">
        <f aca="false">IF($B45="","",الموظفون!$E45)</f>
        <v/>
      </c>
      <c r="F45" s="102" t="str">
        <f aca="false">IF($B45="","",الموظفون!$AG45)</f>
        <v/>
      </c>
      <c r="G45" s="102" t="str">
        <f aca="false">IF($B45="","",IF(الموظفون!$I45="","",الموظفون!$I45))</f>
        <v/>
      </c>
      <c r="H45" s="148" t="str">
        <f aca="false">IF($B45="","",IF(الموظفون!$J45="","",الموظفون!$J45))</f>
        <v/>
      </c>
      <c r="I45" s="110" t="str">
        <f aca="false">IF(OR($B45="",H45=""),"",H45-cfg_TRACK)</f>
        <v/>
      </c>
      <c r="J45" s="102" t="str">
        <f aca="false">IF(OR($B45="",$F45="✖ منتهي الخدمة"),"",IF(H45="",IF($E45="غير سعودي","⚠ أدخل التاريخ","-"),IF(I45&lt;0,"✖ منتهية منذ "&amp;TEXT(-I45,"0")&amp;" يوم",IF(I45&lt;=cfg_ALERT,"⚠ تنتهي خلال "&amp;TEXT(I45,"0")&amp;" يوم","✔ سارية"))))</f>
        <v/>
      </c>
      <c r="K45" s="148" t="str">
        <f aca="false">IF($B45="","",IF(الموظفون!$K45="","",الموظفون!$K45))</f>
        <v/>
      </c>
      <c r="L45" s="110" t="str">
        <f aca="false">IF(OR($B45="",K45=""),"",K45-cfg_TRACK)</f>
        <v/>
      </c>
      <c r="M45" s="102" t="str">
        <f aca="false">IF(OR($B45="",$F45="✖ منتهي الخدمة"),"",IF(K45="",IF($E45="غير سعودي","⚠ أدخل التاريخ","-"),IF(L45&lt;0,"✖ منتهية منذ "&amp;TEXT(-L45,"0")&amp;" يوم",IF(L45&lt;=cfg_ALERT,"⚠ تنتهي خلال "&amp;TEXT(L45,"0")&amp;" يوم","✔ سارية"))))</f>
        <v/>
      </c>
      <c r="N45" s="101" t="str">
        <f aca="false">IF($B45="","",IF(F45="✖ منتهي الخدمة",0,IF(الموظفون!$X45&lt;&gt;"",الموظفون!$X45,IF(الموظفون!$E45="غير سعودي",cfg_IQ,0))))</f>
        <v/>
      </c>
      <c r="O45" s="101" t="str">
        <f aca="false">IF($B45="","",IF(F45="✖ منتهي الخدمة",0,IF(الموظفون!$Y45&lt;&gt;"",الموظفون!$Y45,IF(الموظفون!$E45="غير سعودي",cfg_WP,0))))</f>
        <v/>
      </c>
      <c r="P45" s="101" t="str">
        <f aca="false">IF($B45="","",IF(F45="✖ منتهي الخدمة",0,IF(الموظفون!$Z45&lt;&gt;"",الموظفون!$Z45,cfg_MED)))</f>
        <v/>
      </c>
      <c r="Q45" s="101" t="str">
        <f aca="false">IF($B45="","",IF(F45="✖ منتهي الخدمة",0,N(الموظفون!$AA45)))</f>
        <v/>
      </c>
      <c r="R45" s="101" t="str">
        <f aca="false">IF($B45="","",SUM(N45:Q45))</f>
        <v/>
      </c>
      <c r="S45" s="101" t="str">
        <f aca="false">IF($B45="","",R45/12)</f>
        <v/>
      </c>
      <c r="T45" s="101" t="str">
        <f aca="false">IF($B45="","",IF(1&lt;=cfg_VAL_M,'مسير يناير'!AD45+'مسير يناير'!AE45+'مسير يناير'!AF45,0)+IF(2&lt;=cfg_VAL_M,'مسير فبراير'!AD45+'مسير فبراير'!AE45+'مسير فبراير'!AF45,0)+IF(3&lt;=cfg_VAL_M,'مسير مارس'!AD45+'مسير مارس'!AE45+'مسير مارس'!AF45,0)+IF(4&lt;=cfg_VAL_M,'مسير أبريل'!AD45+'مسير أبريل'!AE45+'مسير أبريل'!AF45,0)+IF(5&lt;=cfg_VAL_M,'مسير مايو'!AD45+'مسير مايو'!AE45+'مسير مايو'!AF45,0)+IF(6&lt;=cfg_VAL_M,'مسير يونيو'!AD45+'مسير يونيو'!AE45+'مسير يونيو'!AF45,0)+IF(7&lt;=cfg_VAL_M,'مسير يوليو'!AD45+'مسير يوليو'!AE45+'مسير يوليو'!AF45,0)+IF(8&lt;=cfg_VAL_M,'مسير أغسطس'!AD45+'مسير أغسطس'!AE45+'مسير أغسطس'!AF45,0)+IF(9&lt;=cfg_VAL_M,'مسير سبتمبر'!AD45+'مسير سبتمبر'!AE45+'مسير سبتمبر'!AF45,0)+IF(10&lt;=cfg_VAL_M,'مسير أكتوبر'!AD45+'مسير أكتوبر'!AE45+'مسير أكتوبر'!AF45,0)+IF(11&lt;=cfg_VAL_M,'مسير نوفمبر'!AD45+'مسير نوفمبر'!AE45+'مسير نوفمبر'!AF45,0)+IF(12&lt;=cfg_VAL_M,'مسير ديسمبر'!AD45+'مسير ديسمبر'!AE45+'مسير ديسمبر'!AF45,0))</f>
        <v/>
      </c>
      <c r="U45" s="101" t="str">
        <f aca="false">IF(OR($B45="",F45="✖ منتهي الخدمة"),"",IF(AND(ISNUMBER(I45),I45&lt;=cfg_ALERT),N45,0)+IF(AND(ISNUMBER(L45),L45&lt;=cfg_ALERT),O45,0))</f>
        <v/>
      </c>
    </row>
    <row r="46" customFormat="false" ht="15" hidden="false" customHeight="false" outlineLevel="0" collapsed="false">
      <c r="B46" s="80" t="str">
        <f aca="false">IF(الموظفون!$B46="","",الموظفون!$B46)</f>
        <v/>
      </c>
      <c r="C46" s="80" t="str">
        <f aca="false">IF($B46="","",الموظفون!$C46)</f>
        <v/>
      </c>
      <c r="D46" s="80" t="str">
        <f aca="false">IF($B46="","",الموظفون!$D46)</f>
        <v/>
      </c>
      <c r="E46" s="80" t="str">
        <f aca="false">IF($B46="","",الموظفون!$E46)</f>
        <v/>
      </c>
      <c r="F46" s="80" t="str">
        <f aca="false">IF($B46="","",الموظفون!$AG46)</f>
        <v/>
      </c>
      <c r="G46" s="80" t="str">
        <f aca="false">IF($B46="","",IF(الموظفون!$I46="","",الموظفون!$I46))</f>
        <v/>
      </c>
      <c r="H46" s="147" t="str">
        <f aca="false">IF($B46="","",IF(الموظفون!$J46="","",الموظفون!$J46))</f>
        <v/>
      </c>
      <c r="I46" s="57" t="str">
        <f aca="false">IF(OR($B46="",H46=""),"",H46-cfg_TRACK)</f>
        <v/>
      </c>
      <c r="J46" s="80" t="str">
        <f aca="false">IF(OR($B46="",$F46="✖ منتهي الخدمة"),"",IF(H46="",IF($E46="غير سعودي","⚠ أدخل التاريخ","-"),IF(I46&lt;0,"✖ منتهية منذ "&amp;TEXT(-I46,"0")&amp;" يوم",IF(I46&lt;=cfg_ALERT,"⚠ تنتهي خلال "&amp;TEXT(I46,"0")&amp;" يوم","✔ سارية"))))</f>
        <v/>
      </c>
      <c r="K46" s="147" t="str">
        <f aca="false">IF($B46="","",IF(الموظفون!$K46="","",الموظفون!$K46))</f>
        <v/>
      </c>
      <c r="L46" s="57" t="str">
        <f aca="false">IF(OR($B46="",K46=""),"",K46-cfg_TRACK)</f>
        <v/>
      </c>
      <c r="M46" s="80" t="str">
        <f aca="false">IF(OR($B46="",$F46="✖ منتهي الخدمة"),"",IF(K46="",IF($E46="غير سعودي","⚠ أدخل التاريخ","-"),IF(L46&lt;0,"✖ منتهية منذ "&amp;TEXT(-L46,"0")&amp;" يوم",IF(L46&lt;=cfg_ALERT,"⚠ تنتهي خلال "&amp;TEXT(L46,"0")&amp;" يوم","✔ سارية"))))</f>
        <v/>
      </c>
      <c r="N46" s="97" t="str">
        <f aca="false">IF($B46="","",IF(F46="✖ منتهي الخدمة",0,IF(الموظفون!$X46&lt;&gt;"",الموظفون!$X46,IF(الموظفون!$E46="غير سعودي",cfg_IQ,0))))</f>
        <v/>
      </c>
      <c r="O46" s="97" t="str">
        <f aca="false">IF($B46="","",IF(F46="✖ منتهي الخدمة",0,IF(الموظفون!$Y46&lt;&gt;"",الموظفون!$Y46,IF(الموظفون!$E46="غير سعودي",cfg_WP,0))))</f>
        <v/>
      </c>
      <c r="P46" s="97" t="str">
        <f aca="false">IF($B46="","",IF(F46="✖ منتهي الخدمة",0,IF(الموظفون!$Z46&lt;&gt;"",الموظفون!$Z46,cfg_MED)))</f>
        <v/>
      </c>
      <c r="Q46" s="97" t="str">
        <f aca="false">IF($B46="","",IF(F46="✖ منتهي الخدمة",0,N(الموظفون!$AA46)))</f>
        <v/>
      </c>
      <c r="R46" s="97" t="str">
        <f aca="false">IF($B46="","",SUM(N46:Q46))</f>
        <v/>
      </c>
      <c r="S46" s="97" t="str">
        <f aca="false">IF($B46="","",R46/12)</f>
        <v/>
      </c>
      <c r="T46" s="97" t="str">
        <f aca="false">IF($B46="","",IF(1&lt;=cfg_VAL_M,'مسير يناير'!AD46+'مسير يناير'!AE46+'مسير يناير'!AF46,0)+IF(2&lt;=cfg_VAL_M,'مسير فبراير'!AD46+'مسير فبراير'!AE46+'مسير فبراير'!AF46,0)+IF(3&lt;=cfg_VAL_M,'مسير مارس'!AD46+'مسير مارس'!AE46+'مسير مارس'!AF46,0)+IF(4&lt;=cfg_VAL_M,'مسير أبريل'!AD46+'مسير أبريل'!AE46+'مسير أبريل'!AF46,0)+IF(5&lt;=cfg_VAL_M,'مسير مايو'!AD46+'مسير مايو'!AE46+'مسير مايو'!AF46,0)+IF(6&lt;=cfg_VAL_M,'مسير يونيو'!AD46+'مسير يونيو'!AE46+'مسير يونيو'!AF46,0)+IF(7&lt;=cfg_VAL_M,'مسير يوليو'!AD46+'مسير يوليو'!AE46+'مسير يوليو'!AF46,0)+IF(8&lt;=cfg_VAL_M,'مسير أغسطس'!AD46+'مسير أغسطس'!AE46+'مسير أغسطس'!AF46,0)+IF(9&lt;=cfg_VAL_M,'مسير سبتمبر'!AD46+'مسير سبتمبر'!AE46+'مسير سبتمبر'!AF46,0)+IF(10&lt;=cfg_VAL_M,'مسير أكتوبر'!AD46+'مسير أكتوبر'!AE46+'مسير أكتوبر'!AF46,0)+IF(11&lt;=cfg_VAL_M,'مسير نوفمبر'!AD46+'مسير نوفمبر'!AE46+'مسير نوفمبر'!AF46,0)+IF(12&lt;=cfg_VAL_M,'مسير ديسمبر'!AD46+'مسير ديسمبر'!AE46+'مسير ديسمبر'!AF46,0))</f>
        <v/>
      </c>
      <c r="U46" s="97" t="str">
        <f aca="false">IF(OR($B46="",F46="✖ منتهي الخدمة"),"",IF(AND(ISNUMBER(I46),I46&lt;=cfg_ALERT),N46,0)+IF(AND(ISNUMBER(L46),L46&lt;=cfg_ALERT),O46,0))</f>
        <v/>
      </c>
    </row>
    <row r="47" customFormat="false" ht="15" hidden="false" customHeight="false" outlineLevel="0" collapsed="false">
      <c r="B47" s="102" t="str">
        <f aca="false">IF(الموظفون!$B47="","",الموظفون!$B47)</f>
        <v/>
      </c>
      <c r="C47" s="102" t="str">
        <f aca="false">IF($B47="","",الموظفون!$C47)</f>
        <v/>
      </c>
      <c r="D47" s="102" t="str">
        <f aca="false">IF($B47="","",الموظفون!$D47)</f>
        <v/>
      </c>
      <c r="E47" s="102" t="str">
        <f aca="false">IF($B47="","",الموظفون!$E47)</f>
        <v/>
      </c>
      <c r="F47" s="102" t="str">
        <f aca="false">IF($B47="","",الموظفون!$AG47)</f>
        <v/>
      </c>
      <c r="G47" s="102" t="str">
        <f aca="false">IF($B47="","",IF(الموظفون!$I47="","",الموظفون!$I47))</f>
        <v/>
      </c>
      <c r="H47" s="148" t="str">
        <f aca="false">IF($B47="","",IF(الموظفون!$J47="","",الموظفون!$J47))</f>
        <v/>
      </c>
      <c r="I47" s="110" t="str">
        <f aca="false">IF(OR($B47="",H47=""),"",H47-cfg_TRACK)</f>
        <v/>
      </c>
      <c r="J47" s="102" t="str">
        <f aca="false">IF(OR($B47="",$F47="✖ منتهي الخدمة"),"",IF(H47="",IF($E47="غير سعودي","⚠ أدخل التاريخ","-"),IF(I47&lt;0,"✖ منتهية منذ "&amp;TEXT(-I47,"0")&amp;" يوم",IF(I47&lt;=cfg_ALERT,"⚠ تنتهي خلال "&amp;TEXT(I47,"0")&amp;" يوم","✔ سارية"))))</f>
        <v/>
      </c>
      <c r="K47" s="148" t="str">
        <f aca="false">IF($B47="","",IF(الموظفون!$K47="","",الموظفون!$K47))</f>
        <v/>
      </c>
      <c r="L47" s="110" t="str">
        <f aca="false">IF(OR($B47="",K47=""),"",K47-cfg_TRACK)</f>
        <v/>
      </c>
      <c r="M47" s="102" t="str">
        <f aca="false">IF(OR($B47="",$F47="✖ منتهي الخدمة"),"",IF(K47="",IF($E47="غير سعودي","⚠ أدخل التاريخ","-"),IF(L47&lt;0,"✖ منتهية منذ "&amp;TEXT(-L47,"0")&amp;" يوم",IF(L47&lt;=cfg_ALERT,"⚠ تنتهي خلال "&amp;TEXT(L47,"0")&amp;" يوم","✔ سارية"))))</f>
        <v/>
      </c>
      <c r="N47" s="101" t="str">
        <f aca="false">IF($B47="","",IF(F47="✖ منتهي الخدمة",0,IF(الموظفون!$X47&lt;&gt;"",الموظفون!$X47,IF(الموظفون!$E47="غير سعودي",cfg_IQ,0))))</f>
        <v/>
      </c>
      <c r="O47" s="101" t="str">
        <f aca="false">IF($B47="","",IF(F47="✖ منتهي الخدمة",0,IF(الموظفون!$Y47&lt;&gt;"",الموظفون!$Y47,IF(الموظفون!$E47="غير سعودي",cfg_WP,0))))</f>
        <v/>
      </c>
      <c r="P47" s="101" t="str">
        <f aca="false">IF($B47="","",IF(F47="✖ منتهي الخدمة",0,IF(الموظفون!$Z47&lt;&gt;"",الموظفون!$Z47,cfg_MED)))</f>
        <v/>
      </c>
      <c r="Q47" s="101" t="str">
        <f aca="false">IF($B47="","",IF(F47="✖ منتهي الخدمة",0,N(الموظفون!$AA47)))</f>
        <v/>
      </c>
      <c r="R47" s="101" t="str">
        <f aca="false">IF($B47="","",SUM(N47:Q47))</f>
        <v/>
      </c>
      <c r="S47" s="101" t="str">
        <f aca="false">IF($B47="","",R47/12)</f>
        <v/>
      </c>
      <c r="T47" s="101" t="str">
        <f aca="false">IF($B47="","",IF(1&lt;=cfg_VAL_M,'مسير يناير'!AD47+'مسير يناير'!AE47+'مسير يناير'!AF47,0)+IF(2&lt;=cfg_VAL_M,'مسير فبراير'!AD47+'مسير فبراير'!AE47+'مسير فبراير'!AF47,0)+IF(3&lt;=cfg_VAL_M,'مسير مارس'!AD47+'مسير مارس'!AE47+'مسير مارس'!AF47,0)+IF(4&lt;=cfg_VAL_M,'مسير أبريل'!AD47+'مسير أبريل'!AE47+'مسير أبريل'!AF47,0)+IF(5&lt;=cfg_VAL_M,'مسير مايو'!AD47+'مسير مايو'!AE47+'مسير مايو'!AF47,0)+IF(6&lt;=cfg_VAL_M,'مسير يونيو'!AD47+'مسير يونيو'!AE47+'مسير يونيو'!AF47,0)+IF(7&lt;=cfg_VAL_M,'مسير يوليو'!AD47+'مسير يوليو'!AE47+'مسير يوليو'!AF47,0)+IF(8&lt;=cfg_VAL_M,'مسير أغسطس'!AD47+'مسير أغسطس'!AE47+'مسير أغسطس'!AF47,0)+IF(9&lt;=cfg_VAL_M,'مسير سبتمبر'!AD47+'مسير سبتمبر'!AE47+'مسير سبتمبر'!AF47,0)+IF(10&lt;=cfg_VAL_M,'مسير أكتوبر'!AD47+'مسير أكتوبر'!AE47+'مسير أكتوبر'!AF47,0)+IF(11&lt;=cfg_VAL_M,'مسير نوفمبر'!AD47+'مسير نوفمبر'!AE47+'مسير نوفمبر'!AF47,0)+IF(12&lt;=cfg_VAL_M,'مسير ديسمبر'!AD47+'مسير ديسمبر'!AE47+'مسير ديسمبر'!AF47,0))</f>
        <v/>
      </c>
      <c r="U47" s="101" t="str">
        <f aca="false">IF(OR($B47="",F47="✖ منتهي الخدمة"),"",IF(AND(ISNUMBER(I47),I47&lt;=cfg_ALERT),N47,0)+IF(AND(ISNUMBER(L47),L47&lt;=cfg_ALERT),O47,0))</f>
        <v/>
      </c>
    </row>
    <row r="48" customFormat="false" ht="15" hidden="false" customHeight="false" outlineLevel="0" collapsed="false">
      <c r="B48" s="80" t="str">
        <f aca="false">IF(الموظفون!$B48="","",الموظفون!$B48)</f>
        <v/>
      </c>
      <c r="C48" s="80" t="str">
        <f aca="false">IF($B48="","",الموظفون!$C48)</f>
        <v/>
      </c>
      <c r="D48" s="80" t="str">
        <f aca="false">IF($B48="","",الموظفون!$D48)</f>
        <v/>
      </c>
      <c r="E48" s="80" t="str">
        <f aca="false">IF($B48="","",الموظفون!$E48)</f>
        <v/>
      </c>
      <c r="F48" s="80" t="str">
        <f aca="false">IF($B48="","",الموظفون!$AG48)</f>
        <v/>
      </c>
      <c r="G48" s="80" t="str">
        <f aca="false">IF($B48="","",IF(الموظفون!$I48="","",الموظفون!$I48))</f>
        <v/>
      </c>
      <c r="H48" s="147" t="str">
        <f aca="false">IF($B48="","",IF(الموظفون!$J48="","",الموظفون!$J48))</f>
        <v/>
      </c>
      <c r="I48" s="57" t="str">
        <f aca="false">IF(OR($B48="",H48=""),"",H48-cfg_TRACK)</f>
        <v/>
      </c>
      <c r="J48" s="80" t="str">
        <f aca="false">IF(OR($B48="",$F48="✖ منتهي الخدمة"),"",IF(H48="",IF($E48="غير سعودي","⚠ أدخل التاريخ","-"),IF(I48&lt;0,"✖ منتهية منذ "&amp;TEXT(-I48,"0")&amp;" يوم",IF(I48&lt;=cfg_ALERT,"⚠ تنتهي خلال "&amp;TEXT(I48,"0")&amp;" يوم","✔ سارية"))))</f>
        <v/>
      </c>
      <c r="K48" s="147" t="str">
        <f aca="false">IF($B48="","",IF(الموظفون!$K48="","",الموظفون!$K48))</f>
        <v/>
      </c>
      <c r="L48" s="57" t="str">
        <f aca="false">IF(OR($B48="",K48=""),"",K48-cfg_TRACK)</f>
        <v/>
      </c>
      <c r="M48" s="80" t="str">
        <f aca="false">IF(OR($B48="",$F48="✖ منتهي الخدمة"),"",IF(K48="",IF($E48="غير سعودي","⚠ أدخل التاريخ","-"),IF(L48&lt;0,"✖ منتهية منذ "&amp;TEXT(-L48,"0")&amp;" يوم",IF(L48&lt;=cfg_ALERT,"⚠ تنتهي خلال "&amp;TEXT(L48,"0")&amp;" يوم","✔ سارية"))))</f>
        <v/>
      </c>
      <c r="N48" s="97" t="str">
        <f aca="false">IF($B48="","",IF(F48="✖ منتهي الخدمة",0,IF(الموظفون!$X48&lt;&gt;"",الموظفون!$X48,IF(الموظفون!$E48="غير سعودي",cfg_IQ,0))))</f>
        <v/>
      </c>
      <c r="O48" s="97" t="str">
        <f aca="false">IF($B48="","",IF(F48="✖ منتهي الخدمة",0,IF(الموظفون!$Y48&lt;&gt;"",الموظفون!$Y48,IF(الموظفون!$E48="غير سعودي",cfg_WP,0))))</f>
        <v/>
      </c>
      <c r="P48" s="97" t="str">
        <f aca="false">IF($B48="","",IF(F48="✖ منتهي الخدمة",0,IF(الموظفون!$Z48&lt;&gt;"",الموظفون!$Z48,cfg_MED)))</f>
        <v/>
      </c>
      <c r="Q48" s="97" t="str">
        <f aca="false">IF($B48="","",IF(F48="✖ منتهي الخدمة",0,N(الموظفون!$AA48)))</f>
        <v/>
      </c>
      <c r="R48" s="97" t="str">
        <f aca="false">IF($B48="","",SUM(N48:Q48))</f>
        <v/>
      </c>
      <c r="S48" s="97" t="str">
        <f aca="false">IF($B48="","",R48/12)</f>
        <v/>
      </c>
      <c r="T48" s="97" t="str">
        <f aca="false">IF($B48="","",IF(1&lt;=cfg_VAL_M,'مسير يناير'!AD48+'مسير يناير'!AE48+'مسير يناير'!AF48,0)+IF(2&lt;=cfg_VAL_M,'مسير فبراير'!AD48+'مسير فبراير'!AE48+'مسير فبراير'!AF48,0)+IF(3&lt;=cfg_VAL_M,'مسير مارس'!AD48+'مسير مارس'!AE48+'مسير مارس'!AF48,0)+IF(4&lt;=cfg_VAL_M,'مسير أبريل'!AD48+'مسير أبريل'!AE48+'مسير أبريل'!AF48,0)+IF(5&lt;=cfg_VAL_M,'مسير مايو'!AD48+'مسير مايو'!AE48+'مسير مايو'!AF48,0)+IF(6&lt;=cfg_VAL_M,'مسير يونيو'!AD48+'مسير يونيو'!AE48+'مسير يونيو'!AF48,0)+IF(7&lt;=cfg_VAL_M,'مسير يوليو'!AD48+'مسير يوليو'!AE48+'مسير يوليو'!AF48,0)+IF(8&lt;=cfg_VAL_M,'مسير أغسطس'!AD48+'مسير أغسطس'!AE48+'مسير أغسطس'!AF48,0)+IF(9&lt;=cfg_VAL_M,'مسير سبتمبر'!AD48+'مسير سبتمبر'!AE48+'مسير سبتمبر'!AF48,0)+IF(10&lt;=cfg_VAL_M,'مسير أكتوبر'!AD48+'مسير أكتوبر'!AE48+'مسير أكتوبر'!AF48,0)+IF(11&lt;=cfg_VAL_M,'مسير نوفمبر'!AD48+'مسير نوفمبر'!AE48+'مسير نوفمبر'!AF48,0)+IF(12&lt;=cfg_VAL_M,'مسير ديسمبر'!AD48+'مسير ديسمبر'!AE48+'مسير ديسمبر'!AF48,0))</f>
        <v/>
      </c>
      <c r="U48" s="97" t="str">
        <f aca="false">IF(OR($B48="",F48="✖ منتهي الخدمة"),"",IF(AND(ISNUMBER(I48),I48&lt;=cfg_ALERT),N48,0)+IF(AND(ISNUMBER(L48),L48&lt;=cfg_ALERT),O48,0))</f>
        <v/>
      </c>
    </row>
    <row r="49" customFormat="false" ht="15" hidden="false" customHeight="false" outlineLevel="0" collapsed="false">
      <c r="B49" s="102" t="str">
        <f aca="false">IF(الموظفون!$B49="","",الموظفون!$B49)</f>
        <v/>
      </c>
      <c r="C49" s="102" t="str">
        <f aca="false">IF($B49="","",الموظفون!$C49)</f>
        <v/>
      </c>
      <c r="D49" s="102" t="str">
        <f aca="false">IF($B49="","",الموظفون!$D49)</f>
        <v/>
      </c>
      <c r="E49" s="102" t="str">
        <f aca="false">IF($B49="","",الموظفون!$E49)</f>
        <v/>
      </c>
      <c r="F49" s="102" t="str">
        <f aca="false">IF($B49="","",الموظفون!$AG49)</f>
        <v/>
      </c>
      <c r="G49" s="102" t="str">
        <f aca="false">IF($B49="","",IF(الموظفون!$I49="","",الموظفون!$I49))</f>
        <v/>
      </c>
      <c r="H49" s="148" t="str">
        <f aca="false">IF($B49="","",IF(الموظفون!$J49="","",الموظفون!$J49))</f>
        <v/>
      </c>
      <c r="I49" s="110" t="str">
        <f aca="false">IF(OR($B49="",H49=""),"",H49-cfg_TRACK)</f>
        <v/>
      </c>
      <c r="J49" s="102" t="str">
        <f aca="false">IF(OR($B49="",$F49="✖ منتهي الخدمة"),"",IF(H49="",IF($E49="غير سعودي","⚠ أدخل التاريخ","-"),IF(I49&lt;0,"✖ منتهية منذ "&amp;TEXT(-I49,"0")&amp;" يوم",IF(I49&lt;=cfg_ALERT,"⚠ تنتهي خلال "&amp;TEXT(I49,"0")&amp;" يوم","✔ سارية"))))</f>
        <v/>
      </c>
      <c r="K49" s="148" t="str">
        <f aca="false">IF($B49="","",IF(الموظفون!$K49="","",الموظفون!$K49))</f>
        <v/>
      </c>
      <c r="L49" s="110" t="str">
        <f aca="false">IF(OR($B49="",K49=""),"",K49-cfg_TRACK)</f>
        <v/>
      </c>
      <c r="M49" s="102" t="str">
        <f aca="false">IF(OR($B49="",$F49="✖ منتهي الخدمة"),"",IF(K49="",IF($E49="غير سعودي","⚠ أدخل التاريخ","-"),IF(L49&lt;0,"✖ منتهية منذ "&amp;TEXT(-L49,"0")&amp;" يوم",IF(L49&lt;=cfg_ALERT,"⚠ تنتهي خلال "&amp;TEXT(L49,"0")&amp;" يوم","✔ سارية"))))</f>
        <v/>
      </c>
      <c r="N49" s="101" t="str">
        <f aca="false">IF($B49="","",IF(F49="✖ منتهي الخدمة",0,IF(الموظفون!$X49&lt;&gt;"",الموظفون!$X49,IF(الموظفون!$E49="غير سعودي",cfg_IQ,0))))</f>
        <v/>
      </c>
      <c r="O49" s="101" t="str">
        <f aca="false">IF($B49="","",IF(F49="✖ منتهي الخدمة",0,IF(الموظفون!$Y49&lt;&gt;"",الموظفون!$Y49,IF(الموظفون!$E49="غير سعودي",cfg_WP,0))))</f>
        <v/>
      </c>
      <c r="P49" s="101" t="str">
        <f aca="false">IF($B49="","",IF(F49="✖ منتهي الخدمة",0,IF(الموظفون!$Z49&lt;&gt;"",الموظفون!$Z49,cfg_MED)))</f>
        <v/>
      </c>
      <c r="Q49" s="101" t="str">
        <f aca="false">IF($B49="","",IF(F49="✖ منتهي الخدمة",0,N(الموظفون!$AA49)))</f>
        <v/>
      </c>
      <c r="R49" s="101" t="str">
        <f aca="false">IF($B49="","",SUM(N49:Q49))</f>
        <v/>
      </c>
      <c r="S49" s="101" t="str">
        <f aca="false">IF($B49="","",R49/12)</f>
        <v/>
      </c>
      <c r="T49" s="101" t="str">
        <f aca="false">IF($B49="","",IF(1&lt;=cfg_VAL_M,'مسير يناير'!AD49+'مسير يناير'!AE49+'مسير يناير'!AF49,0)+IF(2&lt;=cfg_VAL_M,'مسير فبراير'!AD49+'مسير فبراير'!AE49+'مسير فبراير'!AF49,0)+IF(3&lt;=cfg_VAL_M,'مسير مارس'!AD49+'مسير مارس'!AE49+'مسير مارس'!AF49,0)+IF(4&lt;=cfg_VAL_M,'مسير أبريل'!AD49+'مسير أبريل'!AE49+'مسير أبريل'!AF49,0)+IF(5&lt;=cfg_VAL_M,'مسير مايو'!AD49+'مسير مايو'!AE49+'مسير مايو'!AF49,0)+IF(6&lt;=cfg_VAL_M,'مسير يونيو'!AD49+'مسير يونيو'!AE49+'مسير يونيو'!AF49,0)+IF(7&lt;=cfg_VAL_M,'مسير يوليو'!AD49+'مسير يوليو'!AE49+'مسير يوليو'!AF49,0)+IF(8&lt;=cfg_VAL_M,'مسير أغسطس'!AD49+'مسير أغسطس'!AE49+'مسير أغسطس'!AF49,0)+IF(9&lt;=cfg_VAL_M,'مسير سبتمبر'!AD49+'مسير سبتمبر'!AE49+'مسير سبتمبر'!AF49,0)+IF(10&lt;=cfg_VAL_M,'مسير أكتوبر'!AD49+'مسير أكتوبر'!AE49+'مسير أكتوبر'!AF49,0)+IF(11&lt;=cfg_VAL_M,'مسير نوفمبر'!AD49+'مسير نوفمبر'!AE49+'مسير نوفمبر'!AF49,0)+IF(12&lt;=cfg_VAL_M,'مسير ديسمبر'!AD49+'مسير ديسمبر'!AE49+'مسير ديسمبر'!AF49,0))</f>
        <v/>
      </c>
      <c r="U49" s="101" t="str">
        <f aca="false">IF(OR($B49="",F49="✖ منتهي الخدمة"),"",IF(AND(ISNUMBER(I49),I49&lt;=cfg_ALERT),N49,0)+IF(AND(ISNUMBER(L49),L49&lt;=cfg_ALERT),O49,0))</f>
        <v/>
      </c>
    </row>
    <row r="50" customFormat="false" ht="15" hidden="false" customHeight="false" outlineLevel="0" collapsed="false">
      <c r="B50" s="80" t="str">
        <f aca="false">IF(الموظفون!$B50="","",الموظفون!$B50)</f>
        <v/>
      </c>
      <c r="C50" s="80" t="str">
        <f aca="false">IF($B50="","",الموظفون!$C50)</f>
        <v/>
      </c>
      <c r="D50" s="80" t="str">
        <f aca="false">IF($B50="","",الموظفون!$D50)</f>
        <v/>
      </c>
      <c r="E50" s="80" t="str">
        <f aca="false">IF($B50="","",الموظفون!$E50)</f>
        <v/>
      </c>
      <c r="F50" s="80" t="str">
        <f aca="false">IF($B50="","",الموظفون!$AG50)</f>
        <v/>
      </c>
      <c r="G50" s="80" t="str">
        <f aca="false">IF($B50="","",IF(الموظفون!$I50="","",الموظفون!$I50))</f>
        <v/>
      </c>
      <c r="H50" s="147" t="str">
        <f aca="false">IF($B50="","",IF(الموظفون!$J50="","",الموظفون!$J50))</f>
        <v/>
      </c>
      <c r="I50" s="57" t="str">
        <f aca="false">IF(OR($B50="",H50=""),"",H50-cfg_TRACK)</f>
        <v/>
      </c>
      <c r="J50" s="80" t="str">
        <f aca="false">IF(OR($B50="",$F50="✖ منتهي الخدمة"),"",IF(H50="",IF($E50="غير سعودي","⚠ أدخل التاريخ","-"),IF(I50&lt;0,"✖ منتهية منذ "&amp;TEXT(-I50,"0")&amp;" يوم",IF(I50&lt;=cfg_ALERT,"⚠ تنتهي خلال "&amp;TEXT(I50,"0")&amp;" يوم","✔ سارية"))))</f>
        <v/>
      </c>
      <c r="K50" s="147" t="str">
        <f aca="false">IF($B50="","",IF(الموظفون!$K50="","",الموظفون!$K50))</f>
        <v/>
      </c>
      <c r="L50" s="57" t="str">
        <f aca="false">IF(OR($B50="",K50=""),"",K50-cfg_TRACK)</f>
        <v/>
      </c>
      <c r="M50" s="80" t="str">
        <f aca="false">IF(OR($B50="",$F50="✖ منتهي الخدمة"),"",IF(K50="",IF($E50="غير سعودي","⚠ أدخل التاريخ","-"),IF(L50&lt;0,"✖ منتهية منذ "&amp;TEXT(-L50,"0")&amp;" يوم",IF(L50&lt;=cfg_ALERT,"⚠ تنتهي خلال "&amp;TEXT(L50,"0")&amp;" يوم","✔ سارية"))))</f>
        <v/>
      </c>
      <c r="N50" s="97" t="str">
        <f aca="false">IF($B50="","",IF(F50="✖ منتهي الخدمة",0,IF(الموظفون!$X50&lt;&gt;"",الموظفون!$X50,IF(الموظفون!$E50="غير سعودي",cfg_IQ,0))))</f>
        <v/>
      </c>
      <c r="O50" s="97" t="str">
        <f aca="false">IF($B50="","",IF(F50="✖ منتهي الخدمة",0,IF(الموظفون!$Y50&lt;&gt;"",الموظفون!$Y50,IF(الموظفون!$E50="غير سعودي",cfg_WP,0))))</f>
        <v/>
      </c>
      <c r="P50" s="97" t="str">
        <f aca="false">IF($B50="","",IF(F50="✖ منتهي الخدمة",0,IF(الموظفون!$Z50&lt;&gt;"",الموظفون!$Z50,cfg_MED)))</f>
        <v/>
      </c>
      <c r="Q50" s="97" t="str">
        <f aca="false">IF($B50="","",IF(F50="✖ منتهي الخدمة",0,N(الموظفون!$AA50)))</f>
        <v/>
      </c>
      <c r="R50" s="97" t="str">
        <f aca="false">IF($B50="","",SUM(N50:Q50))</f>
        <v/>
      </c>
      <c r="S50" s="97" t="str">
        <f aca="false">IF($B50="","",R50/12)</f>
        <v/>
      </c>
      <c r="T50" s="97" t="str">
        <f aca="false">IF($B50="","",IF(1&lt;=cfg_VAL_M,'مسير يناير'!AD50+'مسير يناير'!AE50+'مسير يناير'!AF50,0)+IF(2&lt;=cfg_VAL_M,'مسير فبراير'!AD50+'مسير فبراير'!AE50+'مسير فبراير'!AF50,0)+IF(3&lt;=cfg_VAL_M,'مسير مارس'!AD50+'مسير مارس'!AE50+'مسير مارس'!AF50,0)+IF(4&lt;=cfg_VAL_M,'مسير أبريل'!AD50+'مسير أبريل'!AE50+'مسير أبريل'!AF50,0)+IF(5&lt;=cfg_VAL_M,'مسير مايو'!AD50+'مسير مايو'!AE50+'مسير مايو'!AF50,0)+IF(6&lt;=cfg_VAL_M,'مسير يونيو'!AD50+'مسير يونيو'!AE50+'مسير يونيو'!AF50,0)+IF(7&lt;=cfg_VAL_M,'مسير يوليو'!AD50+'مسير يوليو'!AE50+'مسير يوليو'!AF50,0)+IF(8&lt;=cfg_VAL_M,'مسير أغسطس'!AD50+'مسير أغسطس'!AE50+'مسير أغسطس'!AF50,0)+IF(9&lt;=cfg_VAL_M,'مسير سبتمبر'!AD50+'مسير سبتمبر'!AE50+'مسير سبتمبر'!AF50,0)+IF(10&lt;=cfg_VAL_M,'مسير أكتوبر'!AD50+'مسير أكتوبر'!AE50+'مسير أكتوبر'!AF50,0)+IF(11&lt;=cfg_VAL_M,'مسير نوفمبر'!AD50+'مسير نوفمبر'!AE50+'مسير نوفمبر'!AF50,0)+IF(12&lt;=cfg_VAL_M,'مسير ديسمبر'!AD50+'مسير ديسمبر'!AE50+'مسير ديسمبر'!AF50,0))</f>
        <v/>
      </c>
      <c r="U50" s="97" t="str">
        <f aca="false">IF(OR($B50="",F50="✖ منتهي الخدمة"),"",IF(AND(ISNUMBER(I50),I50&lt;=cfg_ALERT),N50,0)+IF(AND(ISNUMBER(L50),L50&lt;=cfg_ALERT),O50,0))</f>
        <v/>
      </c>
    </row>
    <row r="51" customFormat="false" ht="15" hidden="false" customHeight="false" outlineLevel="0" collapsed="false">
      <c r="B51" s="102" t="str">
        <f aca="false">IF(الموظفون!$B51="","",الموظفون!$B51)</f>
        <v/>
      </c>
      <c r="C51" s="102" t="str">
        <f aca="false">IF($B51="","",الموظفون!$C51)</f>
        <v/>
      </c>
      <c r="D51" s="102" t="str">
        <f aca="false">IF($B51="","",الموظفون!$D51)</f>
        <v/>
      </c>
      <c r="E51" s="102" t="str">
        <f aca="false">IF($B51="","",الموظفون!$E51)</f>
        <v/>
      </c>
      <c r="F51" s="102" t="str">
        <f aca="false">IF($B51="","",الموظفون!$AG51)</f>
        <v/>
      </c>
      <c r="G51" s="102" t="str">
        <f aca="false">IF($B51="","",IF(الموظفون!$I51="","",الموظفون!$I51))</f>
        <v/>
      </c>
      <c r="H51" s="148" t="str">
        <f aca="false">IF($B51="","",IF(الموظفون!$J51="","",الموظفون!$J51))</f>
        <v/>
      </c>
      <c r="I51" s="110" t="str">
        <f aca="false">IF(OR($B51="",H51=""),"",H51-cfg_TRACK)</f>
        <v/>
      </c>
      <c r="J51" s="102" t="str">
        <f aca="false">IF(OR($B51="",$F51="✖ منتهي الخدمة"),"",IF(H51="",IF($E51="غير سعودي","⚠ أدخل التاريخ","-"),IF(I51&lt;0,"✖ منتهية منذ "&amp;TEXT(-I51,"0")&amp;" يوم",IF(I51&lt;=cfg_ALERT,"⚠ تنتهي خلال "&amp;TEXT(I51,"0")&amp;" يوم","✔ سارية"))))</f>
        <v/>
      </c>
      <c r="K51" s="148" t="str">
        <f aca="false">IF($B51="","",IF(الموظفون!$K51="","",الموظفون!$K51))</f>
        <v/>
      </c>
      <c r="L51" s="110" t="str">
        <f aca="false">IF(OR($B51="",K51=""),"",K51-cfg_TRACK)</f>
        <v/>
      </c>
      <c r="M51" s="102" t="str">
        <f aca="false">IF(OR($B51="",$F51="✖ منتهي الخدمة"),"",IF(K51="",IF($E51="غير سعودي","⚠ أدخل التاريخ","-"),IF(L51&lt;0,"✖ منتهية منذ "&amp;TEXT(-L51,"0")&amp;" يوم",IF(L51&lt;=cfg_ALERT,"⚠ تنتهي خلال "&amp;TEXT(L51,"0")&amp;" يوم","✔ سارية"))))</f>
        <v/>
      </c>
      <c r="N51" s="101" t="str">
        <f aca="false">IF($B51="","",IF(F51="✖ منتهي الخدمة",0,IF(الموظفون!$X51&lt;&gt;"",الموظفون!$X51,IF(الموظفون!$E51="غير سعودي",cfg_IQ,0))))</f>
        <v/>
      </c>
      <c r="O51" s="101" t="str">
        <f aca="false">IF($B51="","",IF(F51="✖ منتهي الخدمة",0,IF(الموظفون!$Y51&lt;&gt;"",الموظفون!$Y51,IF(الموظفون!$E51="غير سعودي",cfg_WP,0))))</f>
        <v/>
      </c>
      <c r="P51" s="101" t="str">
        <f aca="false">IF($B51="","",IF(F51="✖ منتهي الخدمة",0,IF(الموظفون!$Z51&lt;&gt;"",الموظفون!$Z51,cfg_MED)))</f>
        <v/>
      </c>
      <c r="Q51" s="101" t="str">
        <f aca="false">IF($B51="","",IF(F51="✖ منتهي الخدمة",0,N(الموظفون!$AA51)))</f>
        <v/>
      </c>
      <c r="R51" s="101" t="str">
        <f aca="false">IF($B51="","",SUM(N51:Q51))</f>
        <v/>
      </c>
      <c r="S51" s="101" t="str">
        <f aca="false">IF($B51="","",R51/12)</f>
        <v/>
      </c>
      <c r="T51" s="101" t="str">
        <f aca="false">IF($B51="","",IF(1&lt;=cfg_VAL_M,'مسير يناير'!AD51+'مسير يناير'!AE51+'مسير يناير'!AF51,0)+IF(2&lt;=cfg_VAL_M,'مسير فبراير'!AD51+'مسير فبراير'!AE51+'مسير فبراير'!AF51,0)+IF(3&lt;=cfg_VAL_M,'مسير مارس'!AD51+'مسير مارس'!AE51+'مسير مارس'!AF51,0)+IF(4&lt;=cfg_VAL_M,'مسير أبريل'!AD51+'مسير أبريل'!AE51+'مسير أبريل'!AF51,0)+IF(5&lt;=cfg_VAL_M,'مسير مايو'!AD51+'مسير مايو'!AE51+'مسير مايو'!AF51,0)+IF(6&lt;=cfg_VAL_M,'مسير يونيو'!AD51+'مسير يونيو'!AE51+'مسير يونيو'!AF51,0)+IF(7&lt;=cfg_VAL_M,'مسير يوليو'!AD51+'مسير يوليو'!AE51+'مسير يوليو'!AF51,0)+IF(8&lt;=cfg_VAL_M,'مسير أغسطس'!AD51+'مسير أغسطس'!AE51+'مسير أغسطس'!AF51,0)+IF(9&lt;=cfg_VAL_M,'مسير سبتمبر'!AD51+'مسير سبتمبر'!AE51+'مسير سبتمبر'!AF51,0)+IF(10&lt;=cfg_VAL_M,'مسير أكتوبر'!AD51+'مسير أكتوبر'!AE51+'مسير أكتوبر'!AF51,0)+IF(11&lt;=cfg_VAL_M,'مسير نوفمبر'!AD51+'مسير نوفمبر'!AE51+'مسير نوفمبر'!AF51,0)+IF(12&lt;=cfg_VAL_M,'مسير ديسمبر'!AD51+'مسير ديسمبر'!AE51+'مسير ديسمبر'!AF51,0))</f>
        <v/>
      </c>
      <c r="U51" s="101" t="str">
        <f aca="false">IF(OR($B51="",F51="✖ منتهي الخدمة"),"",IF(AND(ISNUMBER(I51),I51&lt;=cfg_ALERT),N51,0)+IF(AND(ISNUMBER(L51),L51&lt;=cfg_ALERT),O51,0))</f>
        <v/>
      </c>
    </row>
    <row r="52" customFormat="false" ht="15" hidden="false" customHeight="false" outlineLevel="0" collapsed="false">
      <c r="B52" s="80" t="str">
        <f aca="false">IF(الموظفون!$B52="","",الموظفون!$B52)</f>
        <v/>
      </c>
      <c r="C52" s="80" t="str">
        <f aca="false">IF($B52="","",الموظفون!$C52)</f>
        <v/>
      </c>
      <c r="D52" s="80" t="str">
        <f aca="false">IF($B52="","",الموظفون!$D52)</f>
        <v/>
      </c>
      <c r="E52" s="80" t="str">
        <f aca="false">IF($B52="","",الموظفون!$E52)</f>
        <v/>
      </c>
      <c r="F52" s="80" t="str">
        <f aca="false">IF($B52="","",الموظفون!$AG52)</f>
        <v/>
      </c>
      <c r="G52" s="80" t="str">
        <f aca="false">IF($B52="","",IF(الموظفون!$I52="","",الموظفون!$I52))</f>
        <v/>
      </c>
      <c r="H52" s="147" t="str">
        <f aca="false">IF($B52="","",IF(الموظفون!$J52="","",الموظفون!$J52))</f>
        <v/>
      </c>
      <c r="I52" s="57" t="str">
        <f aca="false">IF(OR($B52="",H52=""),"",H52-cfg_TRACK)</f>
        <v/>
      </c>
      <c r="J52" s="80" t="str">
        <f aca="false">IF(OR($B52="",$F52="✖ منتهي الخدمة"),"",IF(H52="",IF($E52="غير سعودي","⚠ أدخل التاريخ","-"),IF(I52&lt;0,"✖ منتهية منذ "&amp;TEXT(-I52,"0")&amp;" يوم",IF(I52&lt;=cfg_ALERT,"⚠ تنتهي خلال "&amp;TEXT(I52,"0")&amp;" يوم","✔ سارية"))))</f>
        <v/>
      </c>
      <c r="K52" s="147" t="str">
        <f aca="false">IF($B52="","",IF(الموظفون!$K52="","",الموظفون!$K52))</f>
        <v/>
      </c>
      <c r="L52" s="57" t="str">
        <f aca="false">IF(OR($B52="",K52=""),"",K52-cfg_TRACK)</f>
        <v/>
      </c>
      <c r="M52" s="80" t="str">
        <f aca="false">IF(OR($B52="",$F52="✖ منتهي الخدمة"),"",IF(K52="",IF($E52="غير سعودي","⚠ أدخل التاريخ","-"),IF(L52&lt;0,"✖ منتهية منذ "&amp;TEXT(-L52,"0")&amp;" يوم",IF(L52&lt;=cfg_ALERT,"⚠ تنتهي خلال "&amp;TEXT(L52,"0")&amp;" يوم","✔ سارية"))))</f>
        <v/>
      </c>
      <c r="N52" s="97" t="str">
        <f aca="false">IF($B52="","",IF(F52="✖ منتهي الخدمة",0,IF(الموظفون!$X52&lt;&gt;"",الموظفون!$X52,IF(الموظفون!$E52="غير سعودي",cfg_IQ,0))))</f>
        <v/>
      </c>
      <c r="O52" s="97" t="str">
        <f aca="false">IF($B52="","",IF(F52="✖ منتهي الخدمة",0,IF(الموظفون!$Y52&lt;&gt;"",الموظفون!$Y52,IF(الموظفون!$E52="غير سعودي",cfg_WP,0))))</f>
        <v/>
      </c>
      <c r="P52" s="97" t="str">
        <f aca="false">IF($B52="","",IF(F52="✖ منتهي الخدمة",0,IF(الموظفون!$Z52&lt;&gt;"",الموظفون!$Z52,cfg_MED)))</f>
        <v/>
      </c>
      <c r="Q52" s="97" t="str">
        <f aca="false">IF($B52="","",IF(F52="✖ منتهي الخدمة",0,N(الموظفون!$AA52)))</f>
        <v/>
      </c>
      <c r="R52" s="97" t="str">
        <f aca="false">IF($B52="","",SUM(N52:Q52))</f>
        <v/>
      </c>
      <c r="S52" s="97" t="str">
        <f aca="false">IF($B52="","",R52/12)</f>
        <v/>
      </c>
      <c r="T52" s="97" t="str">
        <f aca="false">IF($B52="","",IF(1&lt;=cfg_VAL_M,'مسير يناير'!AD52+'مسير يناير'!AE52+'مسير يناير'!AF52,0)+IF(2&lt;=cfg_VAL_M,'مسير فبراير'!AD52+'مسير فبراير'!AE52+'مسير فبراير'!AF52,0)+IF(3&lt;=cfg_VAL_M,'مسير مارس'!AD52+'مسير مارس'!AE52+'مسير مارس'!AF52,0)+IF(4&lt;=cfg_VAL_M,'مسير أبريل'!AD52+'مسير أبريل'!AE52+'مسير أبريل'!AF52,0)+IF(5&lt;=cfg_VAL_M,'مسير مايو'!AD52+'مسير مايو'!AE52+'مسير مايو'!AF52,0)+IF(6&lt;=cfg_VAL_M,'مسير يونيو'!AD52+'مسير يونيو'!AE52+'مسير يونيو'!AF52,0)+IF(7&lt;=cfg_VAL_M,'مسير يوليو'!AD52+'مسير يوليو'!AE52+'مسير يوليو'!AF52,0)+IF(8&lt;=cfg_VAL_M,'مسير أغسطس'!AD52+'مسير أغسطس'!AE52+'مسير أغسطس'!AF52,0)+IF(9&lt;=cfg_VAL_M,'مسير سبتمبر'!AD52+'مسير سبتمبر'!AE52+'مسير سبتمبر'!AF52,0)+IF(10&lt;=cfg_VAL_M,'مسير أكتوبر'!AD52+'مسير أكتوبر'!AE52+'مسير أكتوبر'!AF52,0)+IF(11&lt;=cfg_VAL_M,'مسير نوفمبر'!AD52+'مسير نوفمبر'!AE52+'مسير نوفمبر'!AF52,0)+IF(12&lt;=cfg_VAL_M,'مسير ديسمبر'!AD52+'مسير ديسمبر'!AE52+'مسير ديسمبر'!AF52,0))</f>
        <v/>
      </c>
      <c r="U52" s="97" t="str">
        <f aca="false">IF(OR($B52="",F52="✖ منتهي الخدمة"),"",IF(AND(ISNUMBER(I52),I52&lt;=cfg_ALERT),N52,0)+IF(AND(ISNUMBER(L52),L52&lt;=cfg_ALERT),O52,0))</f>
        <v/>
      </c>
    </row>
    <row r="53" customFormat="false" ht="15" hidden="false" customHeight="false" outlineLevel="0" collapsed="false">
      <c r="B53" s="102" t="str">
        <f aca="false">IF(الموظفون!$B53="","",الموظفون!$B53)</f>
        <v/>
      </c>
      <c r="C53" s="102" t="str">
        <f aca="false">IF($B53="","",الموظفون!$C53)</f>
        <v/>
      </c>
      <c r="D53" s="102" t="str">
        <f aca="false">IF($B53="","",الموظفون!$D53)</f>
        <v/>
      </c>
      <c r="E53" s="102" t="str">
        <f aca="false">IF($B53="","",الموظفون!$E53)</f>
        <v/>
      </c>
      <c r="F53" s="102" t="str">
        <f aca="false">IF($B53="","",الموظفون!$AG53)</f>
        <v/>
      </c>
      <c r="G53" s="102" t="str">
        <f aca="false">IF($B53="","",IF(الموظفون!$I53="","",الموظفون!$I53))</f>
        <v/>
      </c>
      <c r="H53" s="148" t="str">
        <f aca="false">IF($B53="","",IF(الموظفون!$J53="","",الموظفون!$J53))</f>
        <v/>
      </c>
      <c r="I53" s="110" t="str">
        <f aca="false">IF(OR($B53="",H53=""),"",H53-cfg_TRACK)</f>
        <v/>
      </c>
      <c r="J53" s="102" t="str">
        <f aca="false">IF(OR($B53="",$F53="✖ منتهي الخدمة"),"",IF(H53="",IF($E53="غير سعودي","⚠ أدخل التاريخ","-"),IF(I53&lt;0,"✖ منتهية منذ "&amp;TEXT(-I53,"0")&amp;" يوم",IF(I53&lt;=cfg_ALERT,"⚠ تنتهي خلال "&amp;TEXT(I53,"0")&amp;" يوم","✔ سارية"))))</f>
        <v/>
      </c>
      <c r="K53" s="148" t="str">
        <f aca="false">IF($B53="","",IF(الموظفون!$K53="","",الموظفون!$K53))</f>
        <v/>
      </c>
      <c r="L53" s="110" t="str">
        <f aca="false">IF(OR($B53="",K53=""),"",K53-cfg_TRACK)</f>
        <v/>
      </c>
      <c r="M53" s="102" t="str">
        <f aca="false">IF(OR($B53="",$F53="✖ منتهي الخدمة"),"",IF(K53="",IF($E53="غير سعودي","⚠ أدخل التاريخ","-"),IF(L53&lt;0,"✖ منتهية منذ "&amp;TEXT(-L53,"0")&amp;" يوم",IF(L53&lt;=cfg_ALERT,"⚠ تنتهي خلال "&amp;TEXT(L53,"0")&amp;" يوم","✔ سارية"))))</f>
        <v/>
      </c>
      <c r="N53" s="101" t="str">
        <f aca="false">IF($B53="","",IF(F53="✖ منتهي الخدمة",0,IF(الموظفون!$X53&lt;&gt;"",الموظفون!$X53,IF(الموظفون!$E53="غير سعودي",cfg_IQ,0))))</f>
        <v/>
      </c>
      <c r="O53" s="101" t="str">
        <f aca="false">IF($B53="","",IF(F53="✖ منتهي الخدمة",0,IF(الموظفون!$Y53&lt;&gt;"",الموظفون!$Y53,IF(الموظفون!$E53="غير سعودي",cfg_WP,0))))</f>
        <v/>
      </c>
      <c r="P53" s="101" t="str">
        <f aca="false">IF($B53="","",IF(F53="✖ منتهي الخدمة",0,IF(الموظفون!$Z53&lt;&gt;"",الموظفون!$Z53,cfg_MED)))</f>
        <v/>
      </c>
      <c r="Q53" s="101" t="str">
        <f aca="false">IF($B53="","",IF(F53="✖ منتهي الخدمة",0,N(الموظفون!$AA53)))</f>
        <v/>
      </c>
      <c r="R53" s="101" t="str">
        <f aca="false">IF($B53="","",SUM(N53:Q53))</f>
        <v/>
      </c>
      <c r="S53" s="101" t="str">
        <f aca="false">IF($B53="","",R53/12)</f>
        <v/>
      </c>
      <c r="T53" s="101" t="str">
        <f aca="false">IF($B53="","",IF(1&lt;=cfg_VAL_M,'مسير يناير'!AD53+'مسير يناير'!AE53+'مسير يناير'!AF53,0)+IF(2&lt;=cfg_VAL_M,'مسير فبراير'!AD53+'مسير فبراير'!AE53+'مسير فبراير'!AF53,0)+IF(3&lt;=cfg_VAL_M,'مسير مارس'!AD53+'مسير مارس'!AE53+'مسير مارس'!AF53,0)+IF(4&lt;=cfg_VAL_M,'مسير أبريل'!AD53+'مسير أبريل'!AE53+'مسير أبريل'!AF53,0)+IF(5&lt;=cfg_VAL_M,'مسير مايو'!AD53+'مسير مايو'!AE53+'مسير مايو'!AF53,0)+IF(6&lt;=cfg_VAL_M,'مسير يونيو'!AD53+'مسير يونيو'!AE53+'مسير يونيو'!AF53,0)+IF(7&lt;=cfg_VAL_M,'مسير يوليو'!AD53+'مسير يوليو'!AE53+'مسير يوليو'!AF53,0)+IF(8&lt;=cfg_VAL_M,'مسير أغسطس'!AD53+'مسير أغسطس'!AE53+'مسير أغسطس'!AF53,0)+IF(9&lt;=cfg_VAL_M,'مسير سبتمبر'!AD53+'مسير سبتمبر'!AE53+'مسير سبتمبر'!AF53,0)+IF(10&lt;=cfg_VAL_M,'مسير أكتوبر'!AD53+'مسير أكتوبر'!AE53+'مسير أكتوبر'!AF53,0)+IF(11&lt;=cfg_VAL_M,'مسير نوفمبر'!AD53+'مسير نوفمبر'!AE53+'مسير نوفمبر'!AF53,0)+IF(12&lt;=cfg_VAL_M,'مسير ديسمبر'!AD53+'مسير ديسمبر'!AE53+'مسير ديسمبر'!AF53,0))</f>
        <v/>
      </c>
      <c r="U53" s="101" t="str">
        <f aca="false">IF(OR($B53="",F53="✖ منتهي الخدمة"),"",IF(AND(ISNUMBER(I53),I53&lt;=cfg_ALERT),N53,0)+IF(AND(ISNUMBER(L53),L53&lt;=cfg_ALERT),O53,0))</f>
        <v/>
      </c>
    </row>
    <row r="54" customFormat="false" ht="15" hidden="false" customHeight="false" outlineLevel="0" collapsed="false">
      <c r="B54" s="80" t="str">
        <f aca="false">IF(الموظفون!$B54="","",الموظفون!$B54)</f>
        <v/>
      </c>
      <c r="C54" s="80" t="str">
        <f aca="false">IF($B54="","",الموظفون!$C54)</f>
        <v/>
      </c>
      <c r="D54" s="80" t="str">
        <f aca="false">IF($B54="","",الموظفون!$D54)</f>
        <v/>
      </c>
      <c r="E54" s="80" t="str">
        <f aca="false">IF($B54="","",الموظفون!$E54)</f>
        <v/>
      </c>
      <c r="F54" s="80" t="str">
        <f aca="false">IF($B54="","",الموظفون!$AG54)</f>
        <v/>
      </c>
      <c r="G54" s="80" t="str">
        <f aca="false">IF($B54="","",IF(الموظفون!$I54="","",الموظفون!$I54))</f>
        <v/>
      </c>
      <c r="H54" s="147" t="str">
        <f aca="false">IF($B54="","",IF(الموظفون!$J54="","",الموظفون!$J54))</f>
        <v/>
      </c>
      <c r="I54" s="57" t="str">
        <f aca="false">IF(OR($B54="",H54=""),"",H54-cfg_TRACK)</f>
        <v/>
      </c>
      <c r="J54" s="80" t="str">
        <f aca="false">IF(OR($B54="",$F54="✖ منتهي الخدمة"),"",IF(H54="",IF($E54="غير سعودي","⚠ أدخل التاريخ","-"),IF(I54&lt;0,"✖ منتهية منذ "&amp;TEXT(-I54,"0")&amp;" يوم",IF(I54&lt;=cfg_ALERT,"⚠ تنتهي خلال "&amp;TEXT(I54,"0")&amp;" يوم","✔ سارية"))))</f>
        <v/>
      </c>
      <c r="K54" s="147" t="str">
        <f aca="false">IF($B54="","",IF(الموظفون!$K54="","",الموظفون!$K54))</f>
        <v/>
      </c>
      <c r="L54" s="57" t="str">
        <f aca="false">IF(OR($B54="",K54=""),"",K54-cfg_TRACK)</f>
        <v/>
      </c>
      <c r="M54" s="80" t="str">
        <f aca="false">IF(OR($B54="",$F54="✖ منتهي الخدمة"),"",IF(K54="",IF($E54="غير سعودي","⚠ أدخل التاريخ","-"),IF(L54&lt;0,"✖ منتهية منذ "&amp;TEXT(-L54,"0")&amp;" يوم",IF(L54&lt;=cfg_ALERT,"⚠ تنتهي خلال "&amp;TEXT(L54,"0")&amp;" يوم","✔ سارية"))))</f>
        <v/>
      </c>
      <c r="N54" s="97" t="str">
        <f aca="false">IF($B54="","",IF(F54="✖ منتهي الخدمة",0,IF(الموظفون!$X54&lt;&gt;"",الموظفون!$X54,IF(الموظفون!$E54="غير سعودي",cfg_IQ,0))))</f>
        <v/>
      </c>
      <c r="O54" s="97" t="str">
        <f aca="false">IF($B54="","",IF(F54="✖ منتهي الخدمة",0,IF(الموظفون!$Y54&lt;&gt;"",الموظفون!$Y54,IF(الموظفون!$E54="غير سعودي",cfg_WP,0))))</f>
        <v/>
      </c>
      <c r="P54" s="97" t="str">
        <f aca="false">IF($B54="","",IF(F54="✖ منتهي الخدمة",0,IF(الموظفون!$Z54&lt;&gt;"",الموظفون!$Z54,cfg_MED)))</f>
        <v/>
      </c>
      <c r="Q54" s="97" t="str">
        <f aca="false">IF($B54="","",IF(F54="✖ منتهي الخدمة",0,N(الموظفون!$AA54)))</f>
        <v/>
      </c>
      <c r="R54" s="97" t="str">
        <f aca="false">IF($B54="","",SUM(N54:Q54))</f>
        <v/>
      </c>
      <c r="S54" s="97" t="str">
        <f aca="false">IF($B54="","",R54/12)</f>
        <v/>
      </c>
      <c r="T54" s="97" t="str">
        <f aca="false">IF($B54="","",IF(1&lt;=cfg_VAL_M,'مسير يناير'!AD54+'مسير يناير'!AE54+'مسير يناير'!AF54,0)+IF(2&lt;=cfg_VAL_M,'مسير فبراير'!AD54+'مسير فبراير'!AE54+'مسير فبراير'!AF54,0)+IF(3&lt;=cfg_VAL_M,'مسير مارس'!AD54+'مسير مارس'!AE54+'مسير مارس'!AF54,0)+IF(4&lt;=cfg_VAL_M,'مسير أبريل'!AD54+'مسير أبريل'!AE54+'مسير أبريل'!AF54,0)+IF(5&lt;=cfg_VAL_M,'مسير مايو'!AD54+'مسير مايو'!AE54+'مسير مايو'!AF54,0)+IF(6&lt;=cfg_VAL_M,'مسير يونيو'!AD54+'مسير يونيو'!AE54+'مسير يونيو'!AF54,0)+IF(7&lt;=cfg_VAL_M,'مسير يوليو'!AD54+'مسير يوليو'!AE54+'مسير يوليو'!AF54,0)+IF(8&lt;=cfg_VAL_M,'مسير أغسطس'!AD54+'مسير أغسطس'!AE54+'مسير أغسطس'!AF54,0)+IF(9&lt;=cfg_VAL_M,'مسير سبتمبر'!AD54+'مسير سبتمبر'!AE54+'مسير سبتمبر'!AF54,0)+IF(10&lt;=cfg_VAL_M,'مسير أكتوبر'!AD54+'مسير أكتوبر'!AE54+'مسير أكتوبر'!AF54,0)+IF(11&lt;=cfg_VAL_M,'مسير نوفمبر'!AD54+'مسير نوفمبر'!AE54+'مسير نوفمبر'!AF54,0)+IF(12&lt;=cfg_VAL_M,'مسير ديسمبر'!AD54+'مسير ديسمبر'!AE54+'مسير ديسمبر'!AF54,0))</f>
        <v/>
      </c>
      <c r="U54" s="97" t="str">
        <f aca="false">IF(OR($B54="",F54="✖ منتهي الخدمة"),"",IF(AND(ISNUMBER(I54),I54&lt;=cfg_ALERT),N54,0)+IF(AND(ISNUMBER(L54),L54&lt;=cfg_ALERT),O54,0))</f>
        <v/>
      </c>
    </row>
    <row r="55" customFormat="false" ht="15" hidden="false" customHeight="false" outlineLevel="0" collapsed="false">
      <c r="B55" s="102" t="str">
        <f aca="false">IF(الموظفون!$B55="","",الموظفون!$B55)</f>
        <v/>
      </c>
      <c r="C55" s="102" t="str">
        <f aca="false">IF($B55="","",الموظفون!$C55)</f>
        <v/>
      </c>
      <c r="D55" s="102" t="str">
        <f aca="false">IF($B55="","",الموظفون!$D55)</f>
        <v/>
      </c>
      <c r="E55" s="102" t="str">
        <f aca="false">IF($B55="","",الموظفون!$E55)</f>
        <v/>
      </c>
      <c r="F55" s="102" t="str">
        <f aca="false">IF($B55="","",الموظفون!$AG55)</f>
        <v/>
      </c>
      <c r="G55" s="102" t="str">
        <f aca="false">IF($B55="","",IF(الموظفون!$I55="","",الموظفون!$I55))</f>
        <v/>
      </c>
      <c r="H55" s="148" t="str">
        <f aca="false">IF($B55="","",IF(الموظفون!$J55="","",الموظفون!$J55))</f>
        <v/>
      </c>
      <c r="I55" s="110" t="str">
        <f aca="false">IF(OR($B55="",H55=""),"",H55-cfg_TRACK)</f>
        <v/>
      </c>
      <c r="J55" s="102" t="str">
        <f aca="false">IF(OR($B55="",$F55="✖ منتهي الخدمة"),"",IF(H55="",IF($E55="غير سعودي","⚠ أدخل التاريخ","-"),IF(I55&lt;0,"✖ منتهية منذ "&amp;TEXT(-I55,"0")&amp;" يوم",IF(I55&lt;=cfg_ALERT,"⚠ تنتهي خلال "&amp;TEXT(I55,"0")&amp;" يوم","✔ سارية"))))</f>
        <v/>
      </c>
      <c r="K55" s="148" t="str">
        <f aca="false">IF($B55="","",IF(الموظفون!$K55="","",الموظفون!$K55))</f>
        <v/>
      </c>
      <c r="L55" s="110" t="str">
        <f aca="false">IF(OR($B55="",K55=""),"",K55-cfg_TRACK)</f>
        <v/>
      </c>
      <c r="M55" s="102" t="str">
        <f aca="false">IF(OR($B55="",$F55="✖ منتهي الخدمة"),"",IF(K55="",IF($E55="غير سعودي","⚠ أدخل التاريخ","-"),IF(L55&lt;0,"✖ منتهية منذ "&amp;TEXT(-L55,"0")&amp;" يوم",IF(L55&lt;=cfg_ALERT,"⚠ تنتهي خلال "&amp;TEXT(L55,"0")&amp;" يوم","✔ سارية"))))</f>
        <v/>
      </c>
      <c r="N55" s="101" t="str">
        <f aca="false">IF($B55="","",IF(F55="✖ منتهي الخدمة",0,IF(الموظفون!$X55&lt;&gt;"",الموظفون!$X55,IF(الموظفون!$E55="غير سعودي",cfg_IQ,0))))</f>
        <v/>
      </c>
      <c r="O55" s="101" t="str">
        <f aca="false">IF($B55="","",IF(F55="✖ منتهي الخدمة",0,IF(الموظفون!$Y55&lt;&gt;"",الموظفون!$Y55,IF(الموظفون!$E55="غير سعودي",cfg_WP,0))))</f>
        <v/>
      </c>
      <c r="P55" s="101" t="str">
        <f aca="false">IF($B55="","",IF(F55="✖ منتهي الخدمة",0,IF(الموظفون!$Z55&lt;&gt;"",الموظفون!$Z55,cfg_MED)))</f>
        <v/>
      </c>
      <c r="Q55" s="101" t="str">
        <f aca="false">IF($B55="","",IF(F55="✖ منتهي الخدمة",0,N(الموظفون!$AA55)))</f>
        <v/>
      </c>
      <c r="R55" s="101" t="str">
        <f aca="false">IF($B55="","",SUM(N55:Q55))</f>
        <v/>
      </c>
      <c r="S55" s="101" t="str">
        <f aca="false">IF($B55="","",R55/12)</f>
        <v/>
      </c>
      <c r="T55" s="101" t="str">
        <f aca="false">IF($B55="","",IF(1&lt;=cfg_VAL_M,'مسير يناير'!AD55+'مسير يناير'!AE55+'مسير يناير'!AF55,0)+IF(2&lt;=cfg_VAL_M,'مسير فبراير'!AD55+'مسير فبراير'!AE55+'مسير فبراير'!AF55,0)+IF(3&lt;=cfg_VAL_M,'مسير مارس'!AD55+'مسير مارس'!AE55+'مسير مارس'!AF55,0)+IF(4&lt;=cfg_VAL_M,'مسير أبريل'!AD55+'مسير أبريل'!AE55+'مسير أبريل'!AF55,0)+IF(5&lt;=cfg_VAL_M,'مسير مايو'!AD55+'مسير مايو'!AE55+'مسير مايو'!AF55,0)+IF(6&lt;=cfg_VAL_M,'مسير يونيو'!AD55+'مسير يونيو'!AE55+'مسير يونيو'!AF55,0)+IF(7&lt;=cfg_VAL_M,'مسير يوليو'!AD55+'مسير يوليو'!AE55+'مسير يوليو'!AF55,0)+IF(8&lt;=cfg_VAL_M,'مسير أغسطس'!AD55+'مسير أغسطس'!AE55+'مسير أغسطس'!AF55,0)+IF(9&lt;=cfg_VAL_M,'مسير سبتمبر'!AD55+'مسير سبتمبر'!AE55+'مسير سبتمبر'!AF55,0)+IF(10&lt;=cfg_VAL_M,'مسير أكتوبر'!AD55+'مسير أكتوبر'!AE55+'مسير أكتوبر'!AF55,0)+IF(11&lt;=cfg_VAL_M,'مسير نوفمبر'!AD55+'مسير نوفمبر'!AE55+'مسير نوفمبر'!AF55,0)+IF(12&lt;=cfg_VAL_M,'مسير ديسمبر'!AD55+'مسير ديسمبر'!AE55+'مسير ديسمبر'!AF55,0))</f>
        <v/>
      </c>
      <c r="U55" s="101" t="str">
        <f aca="false">IF(OR($B55="",F55="✖ منتهي الخدمة"),"",IF(AND(ISNUMBER(I55),I55&lt;=cfg_ALERT),N55,0)+IF(AND(ISNUMBER(L55),L55&lt;=cfg_ALERT),O55,0))</f>
        <v/>
      </c>
    </row>
    <row r="56" customFormat="false" ht="15" hidden="false" customHeight="false" outlineLevel="0" collapsed="false">
      <c r="B56" s="80" t="str">
        <f aca="false">IF(الموظفون!$B56="","",الموظفون!$B56)</f>
        <v/>
      </c>
      <c r="C56" s="80" t="str">
        <f aca="false">IF($B56="","",الموظفون!$C56)</f>
        <v/>
      </c>
      <c r="D56" s="80" t="str">
        <f aca="false">IF($B56="","",الموظفون!$D56)</f>
        <v/>
      </c>
      <c r="E56" s="80" t="str">
        <f aca="false">IF($B56="","",الموظفون!$E56)</f>
        <v/>
      </c>
      <c r="F56" s="80" t="str">
        <f aca="false">IF($B56="","",الموظفون!$AG56)</f>
        <v/>
      </c>
      <c r="G56" s="80" t="str">
        <f aca="false">IF($B56="","",IF(الموظفون!$I56="","",الموظفون!$I56))</f>
        <v/>
      </c>
      <c r="H56" s="147" t="str">
        <f aca="false">IF($B56="","",IF(الموظفون!$J56="","",الموظفون!$J56))</f>
        <v/>
      </c>
      <c r="I56" s="57" t="str">
        <f aca="false">IF(OR($B56="",H56=""),"",H56-cfg_TRACK)</f>
        <v/>
      </c>
      <c r="J56" s="80" t="str">
        <f aca="false">IF(OR($B56="",$F56="✖ منتهي الخدمة"),"",IF(H56="",IF($E56="غير سعودي","⚠ أدخل التاريخ","-"),IF(I56&lt;0,"✖ منتهية منذ "&amp;TEXT(-I56,"0")&amp;" يوم",IF(I56&lt;=cfg_ALERT,"⚠ تنتهي خلال "&amp;TEXT(I56,"0")&amp;" يوم","✔ سارية"))))</f>
        <v/>
      </c>
      <c r="K56" s="147" t="str">
        <f aca="false">IF($B56="","",IF(الموظفون!$K56="","",الموظفون!$K56))</f>
        <v/>
      </c>
      <c r="L56" s="57" t="str">
        <f aca="false">IF(OR($B56="",K56=""),"",K56-cfg_TRACK)</f>
        <v/>
      </c>
      <c r="M56" s="80" t="str">
        <f aca="false">IF(OR($B56="",$F56="✖ منتهي الخدمة"),"",IF(K56="",IF($E56="غير سعودي","⚠ أدخل التاريخ","-"),IF(L56&lt;0,"✖ منتهية منذ "&amp;TEXT(-L56,"0")&amp;" يوم",IF(L56&lt;=cfg_ALERT,"⚠ تنتهي خلال "&amp;TEXT(L56,"0")&amp;" يوم","✔ سارية"))))</f>
        <v/>
      </c>
      <c r="N56" s="97" t="str">
        <f aca="false">IF($B56="","",IF(F56="✖ منتهي الخدمة",0,IF(الموظفون!$X56&lt;&gt;"",الموظفون!$X56,IF(الموظفون!$E56="غير سعودي",cfg_IQ,0))))</f>
        <v/>
      </c>
      <c r="O56" s="97" t="str">
        <f aca="false">IF($B56="","",IF(F56="✖ منتهي الخدمة",0,IF(الموظفون!$Y56&lt;&gt;"",الموظفون!$Y56,IF(الموظفون!$E56="غير سعودي",cfg_WP,0))))</f>
        <v/>
      </c>
      <c r="P56" s="97" t="str">
        <f aca="false">IF($B56="","",IF(F56="✖ منتهي الخدمة",0,IF(الموظفون!$Z56&lt;&gt;"",الموظفون!$Z56,cfg_MED)))</f>
        <v/>
      </c>
      <c r="Q56" s="97" t="str">
        <f aca="false">IF($B56="","",IF(F56="✖ منتهي الخدمة",0,N(الموظفون!$AA56)))</f>
        <v/>
      </c>
      <c r="R56" s="97" t="str">
        <f aca="false">IF($B56="","",SUM(N56:Q56))</f>
        <v/>
      </c>
      <c r="S56" s="97" t="str">
        <f aca="false">IF($B56="","",R56/12)</f>
        <v/>
      </c>
      <c r="T56" s="97" t="str">
        <f aca="false">IF($B56="","",IF(1&lt;=cfg_VAL_M,'مسير يناير'!AD56+'مسير يناير'!AE56+'مسير يناير'!AF56,0)+IF(2&lt;=cfg_VAL_M,'مسير فبراير'!AD56+'مسير فبراير'!AE56+'مسير فبراير'!AF56,0)+IF(3&lt;=cfg_VAL_M,'مسير مارس'!AD56+'مسير مارس'!AE56+'مسير مارس'!AF56,0)+IF(4&lt;=cfg_VAL_M,'مسير أبريل'!AD56+'مسير أبريل'!AE56+'مسير أبريل'!AF56,0)+IF(5&lt;=cfg_VAL_M,'مسير مايو'!AD56+'مسير مايو'!AE56+'مسير مايو'!AF56,0)+IF(6&lt;=cfg_VAL_M,'مسير يونيو'!AD56+'مسير يونيو'!AE56+'مسير يونيو'!AF56,0)+IF(7&lt;=cfg_VAL_M,'مسير يوليو'!AD56+'مسير يوليو'!AE56+'مسير يوليو'!AF56,0)+IF(8&lt;=cfg_VAL_M,'مسير أغسطس'!AD56+'مسير أغسطس'!AE56+'مسير أغسطس'!AF56,0)+IF(9&lt;=cfg_VAL_M,'مسير سبتمبر'!AD56+'مسير سبتمبر'!AE56+'مسير سبتمبر'!AF56,0)+IF(10&lt;=cfg_VAL_M,'مسير أكتوبر'!AD56+'مسير أكتوبر'!AE56+'مسير أكتوبر'!AF56,0)+IF(11&lt;=cfg_VAL_M,'مسير نوفمبر'!AD56+'مسير نوفمبر'!AE56+'مسير نوفمبر'!AF56,0)+IF(12&lt;=cfg_VAL_M,'مسير ديسمبر'!AD56+'مسير ديسمبر'!AE56+'مسير ديسمبر'!AF56,0))</f>
        <v/>
      </c>
      <c r="U56" s="97" t="str">
        <f aca="false">IF(OR($B56="",F56="✖ منتهي الخدمة"),"",IF(AND(ISNUMBER(I56),I56&lt;=cfg_ALERT),N56,0)+IF(AND(ISNUMBER(L56),L56&lt;=cfg_ALERT),O56,0))</f>
        <v/>
      </c>
    </row>
    <row r="57" customFormat="false" ht="15" hidden="false" customHeight="false" outlineLevel="0" collapsed="false">
      <c r="B57" s="102" t="str">
        <f aca="false">IF(الموظفون!$B57="","",الموظفون!$B57)</f>
        <v/>
      </c>
      <c r="C57" s="102" t="str">
        <f aca="false">IF($B57="","",الموظفون!$C57)</f>
        <v/>
      </c>
      <c r="D57" s="102" t="str">
        <f aca="false">IF($B57="","",الموظفون!$D57)</f>
        <v/>
      </c>
      <c r="E57" s="102" t="str">
        <f aca="false">IF($B57="","",الموظفون!$E57)</f>
        <v/>
      </c>
      <c r="F57" s="102" t="str">
        <f aca="false">IF($B57="","",الموظفون!$AG57)</f>
        <v/>
      </c>
      <c r="G57" s="102" t="str">
        <f aca="false">IF($B57="","",IF(الموظفون!$I57="","",الموظفون!$I57))</f>
        <v/>
      </c>
      <c r="H57" s="148" t="str">
        <f aca="false">IF($B57="","",IF(الموظفون!$J57="","",الموظفون!$J57))</f>
        <v/>
      </c>
      <c r="I57" s="110" t="str">
        <f aca="false">IF(OR($B57="",H57=""),"",H57-cfg_TRACK)</f>
        <v/>
      </c>
      <c r="J57" s="102" t="str">
        <f aca="false">IF(OR($B57="",$F57="✖ منتهي الخدمة"),"",IF(H57="",IF($E57="غير سعودي","⚠ أدخل التاريخ","-"),IF(I57&lt;0,"✖ منتهية منذ "&amp;TEXT(-I57,"0")&amp;" يوم",IF(I57&lt;=cfg_ALERT,"⚠ تنتهي خلال "&amp;TEXT(I57,"0")&amp;" يوم","✔ سارية"))))</f>
        <v/>
      </c>
      <c r="K57" s="148" t="str">
        <f aca="false">IF($B57="","",IF(الموظفون!$K57="","",الموظفون!$K57))</f>
        <v/>
      </c>
      <c r="L57" s="110" t="str">
        <f aca="false">IF(OR($B57="",K57=""),"",K57-cfg_TRACK)</f>
        <v/>
      </c>
      <c r="M57" s="102" t="str">
        <f aca="false">IF(OR($B57="",$F57="✖ منتهي الخدمة"),"",IF(K57="",IF($E57="غير سعودي","⚠ أدخل التاريخ","-"),IF(L57&lt;0,"✖ منتهية منذ "&amp;TEXT(-L57,"0")&amp;" يوم",IF(L57&lt;=cfg_ALERT,"⚠ تنتهي خلال "&amp;TEXT(L57,"0")&amp;" يوم","✔ سارية"))))</f>
        <v/>
      </c>
      <c r="N57" s="101" t="str">
        <f aca="false">IF($B57="","",IF(F57="✖ منتهي الخدمة",0,IF(الموظفون!$X57&lt;&gt;"",الموظفون!$X57,IF(الموظفون!$E57="غير سعودي",cfg_IQ,0))))</f>
        <v/>
      </c>
      <c r="O57" s="101" t="str">
        <f aca="false">IF($B57="","",IF(F57="✖ منتهي الخدمة",0,IF(الموظفون!$Y57&lt;&gt;"",الموظفون!$Y57,IF(الموظفون!$E57="غير سعودي",cfg_WP,0))))</f>
        <v/>
      </c>
      <c r="P57" s="101" t="str">
        <f aca="false">IF($B57="","",IF(F57="✖ منتهي الخدمة",0,IF(الموظفون!$Z57&lt;&gt;"",الموظفون!$Z57,cfg_MED)))</f>
        <v/>
      </c>
      <c r="Q57" s="101" t="str">
        <f aca="false">IF($B57="","",IF(F57="✖ منتهي الخدمة",0,N(الموظفون!$AA57)))</f>
        <v/>
      </c>
      <c r="R57" s="101" t="str">
        <f aca="false">IF($B57="","",SUM(N57:Q57))</f>
        <v/>
      </c>
      <c r="S57" s="101" t="str">
        <f aca="false">IF($B57="","",R57/12)</f>
        <v/>
      </c>
      <c r="T57" s="101" t="str">
        <f aca="false">IF($B57="","",IF(1&lt;=cfg_VAL_M,'مسير يناير'!AD57+'مسير يناير'!AE57+'مسير يناير'!AF57,0)+IF(2&lt;=cfg_VAL_M,'مسير فبراير'!AD57+'مسير فبراير'!AE57+'مسير فبراير'!AF57,0)+IF(3&lt;=cfg_VAL_M,'مسير مارس'!AD57+'مسير مارس'!AE57+'مسير مارس'!AF57,0)+IF(4&lt;=cfg_VAL_M,'مسير أبريل'!AD57+'مسير أبريل'!AE57+'مسير أبريل'!AF57,0)+IF(5&lt;=cfg_VAL_M,'مسير مايو'!AD57+'مسير مايو'!AE57+'مسير مايو'!AF57,0)+IF(6&lt;=cfg_VAL_M,'مسير يونيو'!AD57+'مسير يونيو'!AE57+'مسير يونيو'!AF57,0)+IF(7&lt;=cfg_VAL_M,'مسير يوليو'!AD57+'مسير يوليو'!AE57+'مسير يوليو'!AF57,0)+IF(8&lt;=cfg_VAL_M,'مسير أغسطس'!AD57+'مسير أغسطس'!AE57+'مسير أغسطس'!AF57,0)+IF(9&lt;=cfg_VAL_M,'مسير سبتمبر'!AD57+'مسير سبتمبر'!AE57+'مسير سبتمبر'!AF57,0)+IF(10&lt;=cfg_VAL_M,'مسير أكتوبر'!AD57+'مسير أكتوبر'!AE57+'مسير أكتوبر'!AF57,0)+IF(11&lt;=cfg_VAL_M,'مسير نوفمبر'!AD57+'مسير نوفمبر'!AE57+'مسير نوفمبر'!AF57,0)+IF(12&lt;=cfg_VAL_M,'مسير ديسمبر'!AD57+'مسير ديسمبر'!AE57+'مسير ديسمبر'!AF57,0))</f>
        <v/>
      </c>
      <c r="U57" s="101" t="str">
        <f aca="false">IF(OR($B57="",F57="✖ منتهي الخدمة"),"",IF(AND(ISNUMBER(I57),I57&lt;=cfg_ALERT),N57,0)+IF(AND(ISNUMBER(L57),L57&lt;=cfg_ALERT),O57,0))</f>
        <v/>
      </c>
    </row>
    <row r="58" customFormat="false" ht="15" hidden="false" customHeight="false" outlineLevel="0" collapsed="false">
      <c r="B58" s="80" t="str">
        <f aca="false">IF(الموظفون!$B58="","",الموظفون!$B58)</f>
        <v/>
      </c>
      <c r="C58" s="80" t="str">
        <f aca="false">IF($B58="","",الموظفون!$C58)</f>
        <v/>
      </c>
      <c r="D58" s="80" t="str">
        <f aca="false">IF($B58="","",الموظفون!$D58)</f>
        <v/>
      </c>
      <c r="E58" s="80" t="str">
        <f aca="false">IF($B58="","",الموظفون!$E58)</f>
        <v/>
      </c>
      <c r="F58" s="80" t="str">
        <f aca="false">IF($B58="","",الموظفون!$AG58)</f>
        <v/>
      </c>
      <c r="G58" s="80" t="str">
        <f aca="false">IF($B58="","",IF(الموظفون!$I58="","",الموظفون!$I58))</f>
        <v/>
      </c>
      <c r="H58" s="147" t="str">
        <f aca="false">IF($B58="","",IF(الموظفون!$J58="","",الموظفون!$J58))</f>
        <v/>
      </c>
      <c r="I58" s="57" t="str">
        <f aca="false">IF(OR($B58="",H58=""),"",H58-cfg_TRACK)</f>
        <v/>
      </c>
      <c r="J58" s="80" t="str">
        <f aca="false">IF(OR($B58="",$F58="✖ منتهي الخدمة"),"",IF(H58="",IF($E58="غير سعودي","⚠ أدخل التاريخ","-"),IF(I58&lt;0,"✖ منتهية منذ "&amp;TEXT(-I58,"0")&amp;" يوم",IF(I58&lt;=cfg_ALERT,"⚠ تنتهي خلال "&amp;TEXT(I58,"0")&amp;" يوم","✔ سارية"))))</f>
        <v/>
      </c>
      <c r="K58" s="147" t="str">
        <f aca="false">IF($B58="","",IF(الموظفون!$K58="","",الموظفون!$K58))</f>
        <v/>
      </c>
      <c r="L58" s="57" t="str">
        <f aca="false">IF(OR($B58="",K58=""),"",K58-cfg_TRACK)</f>
        <v/>
      </c>
      <c r="M58" s="80" t="str">
        <f aca="false">IF(OR($B58="",$F58="✖ منتهي الخدمة"),"",IF(K58="",IF($E58="غير سعودي","⚠ أدخل التاريخ","-"),IF(L58&lt;0,"✖ منتهية منذ "&amp;TEXT(-L58,"0")&amp;" يوم",IF(L58&lt;=cfg_ALERT,"⚠ تنتهي خلال "&amp;TEXT(L58,"0")&amp;" يوم","✔ سارية"))))</f>
        <v/>
      </c>
      <c r="N58" s="97" t="str">
        <f aca="false">IF($B58="","",IF(F58="✖ منتهي الخدمة",0,IF(الموظفون!$X58&lt;&gt;"",الموظفون!$X58,IF(الموظفون!$E58="غير سعودي",cfg_IQ,0))))</f>
        <v/>
      </c>
      <c r="O58" s="97" t="str">
        <f aca="false">IF($B58="","",IF(F58="✖ منتهي الخدمة",0,IF(الموظفون!$Y58&lt;&gt;"",الموظفون!$Y58,IF(الموظفون!$E58="غير سعودي",cfg_WP,0))))</f>
        <v/>
      </c>
      <c r="P58" s="97" t="str">
        <f aca="false">IF($B58="","",IF(F58="✖ منتهي الخدمة",0,IF(الموظفون!$Z58&lt;&gt;"",الموظفون!$Z58,cfg_MED)))</f>
        <v/>
      </c>
      <c r="Q58" s="97" t="str">
        <f aca="false">IF($B58="","",IF(F58="✖ منتهي الخدمة",0,N(الموظفون!$AA58)))</f>
        <v/>
      </c>
      <c r="R58" s="97" t="str">
        <f aca="false">IF($B58="","",SUM(N58:Q58))</f>
        <v/>
      </c>
      <c r="S58" s="97" t="str">
        <f aca="false">IF($B58="","",R58/12)</f>
        <v/>
      </c>
      <c r="T58" s="97" t="str">
        <f aca="false">IF($B58="","",IF(1&lt;=cfg_VAL_M,'مسير يناير'!AD58+'مسير يناير'!AE58+'مسير يناير'!AF58,0)+IF(2&lt;=cfg_VAL_M,'مسير فبراير'!AD58+'مسير فبراير'!AE58+'مسير فبراير'!AF58,0)+IF(3&lt;=cfg_VAL_M,'مسير مارس'!AD58+'مسير مارس'!AE58+'مسير مارس'!AF58,0)+IF(4&lt;=cfg_VAL_M,'مسير أبريل'!AD58+'مسير أبريل'!AE58+'مسير أبريل'!AF58,0)+IF(5&lt;=cfg_VAL_M,'مسير مايو'!AD58+'مسير مايو'!AE58+'مسير مايو'!AF58,0)+IF(6&lt;=cfg_VAL_M,'مسير يونيو'!AD58+'مسير يونيو'!AE58+'مسير يونيو'!AF58,0)+IF(7&lt;=cfg_VAL_M,'مسير يوليو'!AD58+'مسير يوليو'!AE58+'مسير يوليو'!AF58,0)+IF(8&lt;=cfg_VAL_M,'مسير أغسطس'!AD58+'مسير أغسطس'!AE58+'مسير أغسطس'!AF58,0)+IF(9&lt;=cfg_VAL_M,'مسير سبتمبر'!AD58+'مسير سبتمبر'!AE58+'مسير سبتمبر'!AF58,0)+IF(10&lt;=cfg_VAL_M,'مسير أكتوبر'!AD58+'مسير أكتوبر'!AE58+'مسير أكتوبر'!AF58,0)+IF(11&lt;=cfg_VAL_M,'مسير نوفمبر'!AD58+'مسير نوفمبر'!AE58+'مسير نوفمبر'!AF58,0)+IF(12&lt;=cfg_VAL_M,'مسير ديسمبر'!AD58+'مسير ديسمبر'!AE58+'مسير ديسمبر'!AF58,0))</f>
        <v/>
      </c>
      <c r="U58" s="97" t="str">
        <f aca="false">IF(OR($B58="",F58="✖ منتهي الخدمة"),"",IF(AND(ISNUMBER(I58),I58&lt;=cfg_ALERT),N58,0)+IF(AND(ISNUMBER(L58),L58&lt;=cfg_ALERT),O58,0))</f>
        <v/>
      </c>
    </row>
    <row r="59" customFormat="false" ht="15" hidden="false" customHeight="false" outlineLevel="0" collapsed="false">
      <c r="B59" s="102" t="str">
        <f aca="false">IF(الموظفون!$B59="","",الموظفون!$B59)</f>
        <v/>
      </c>
      <c r="C59" s="102" t="str">
        <f aca="false">IF($B59="","",الموظفون!$C59)</f>
        <v/>
      </c>
      <c r="D59" s="102" t="str">
        <f aca="false">IF($B59="","",الموظفون!$D59)</f>
        <v/>
      </c>
      <c r="E59" s="102" t="str">
        <f aca="false">IF($B59="","",الموظفون!$E59)</f>
        <v/>
      </c>
      <c r="F59" s="102" t="str">
        <f aca="false">IF($B59="","",الموظفون!$AG59)</f>
        <v/>
      </c>
      <c r="G59" s="102" t="str">
        <f aca="false">IF($B59="","",IF(الموظفون!$I59="","",الموظفون!$I59))</f>
        <v/>
      </c>
      <c r="H59" s="148" t="str">
        <f aca="false">IF($B59="","",IF(الموظفون!$J59="","",الموظفون!$J59))</f>
        <v/>
      </c>
      <c r="I59" s="110" t="str">
        <f aca="false">IF(OR($B59="",H59=""),"",H59-cfg_TRACK)</f>
        <v/>
      </c>
      <c r="J59" s="102" t="str">
        <f aca="false">IF(OR($B59="",$F59="✖ منتهي الخدمة"),"",IF(H59="",IF($E59="غير سعودي","⚠ أدخل التاريخ","-"),IF(I59&lt;0,"✖ منتهية منذ "&amp;TEXT(-I59,"0")&amp;" يوم",IF(I59&lt;=cfg_ALERT,"⚠ تنتهي خلال "&amp;TEXT(I59,"0")&amp;" يوم","✔ سارية"))))</f>
        <v/>
      </c>
      <c r="K59" s="148" t="str">
        <f aca="false">IF($B59="","",IF(الموظفون!$K59="","",الموظفون!$K59))</f>
        <v/>
      </c>
      <c r="L59" s="110" t="str">
        <f aca="false">IF(OR($B59="",K59=""),"",K59-cfg_TRACK)</f>
        <v/>
      </c>
      <c r="M59" s="102" t="str">
        <f aca="false">IF(OR($B59="",$F59="✖ منتهي الخدمة"),"",IF(K59="",IF($E59="غير سعودي","⚠ أدخل التاريخ","-"),IF(L59&lt;0,"✖ منتهية منذ "&amp;TEXT(-L59,"0")&amp;" يوم",IF(L59&lt;=cfg_ALERT,"⚠ تنتهي خلال "&amp;TEXT(L59,"0")&amp;" يوم","✔ سارية"))))</f>
        <v/>
      </c>
      <c r="N59" s="101" t="str">
        <f aca="false">IF($B59="","",IF(F59="✖ منتهي الخدمة",0,IF(الموظفون!$X59&lt;&gt;"",الموظفون!$X59,IF(الموظفون!$E59="غير سعودي",cfg_IQ,0))))</f>
        <v/>
      </c>
      <c r="O59" s="101" t="str">
        <f aca="false">IF($B59="","",IF(F59="✖ منتهي الخدمة",0,IF(الموظفون!$Y59&lt;&gt;"",الموظفون!$Y59,IF(الموظفون!$E59="غير سعودي",cfg_WP,0))))</f>
        <v/>
      </c>
      <c r="P59" s="101" t="str">
        <f aca="false">IF($B59="","",IF(F59="✖ منتهي الخدمة",0,IF(الموظفون!$Z59&lt;&gt;"",الموظفون!$Z59,cfg_MED)))</f>
        <v/>
      </c>
      <c r="Q59" s="101" t="str">
        <f aca="false">IF($B59="","",IF(F59="✖ منتهي الخدمة",0,N(الموظفون!$AA59)))</f>
        <v/>
      </c>
      <c r="R59" s="101" t="str">
        <f aca="false">IF($B59="","",SUM(N59:Q59))</f>
        <v/>
      </c>
      <c r="S59" s="101" t="str">
        <f aca="false">IF($B59="","",R59/12)</f>
        <v/>
      </c>
      <c r="T59" s="101" t="str">
        <f aca="false">IF($B59="","",IF(1&lt;=cfg_VAL_M,'مسير يناير'!AD59+'مسير يناير'!AE59+'مسير يناير'!AF59,0)+IF(2&lt;=cfg_VAL_M,'مسير فبراير'!AD59+'مسير فبراير'!AE59+'مسير فبراير'!AF59,0)+IF(3&lt;=cfg_VAL_M,'مسير مارس'!AD59+'مسير مارس'!AE59+'مسير مارس'!AF59,0)+IF(4&lt;=cfg_VAL_M,'مسير أبريل'!AD59+'مسير أبريل'!AE59+'مسير أبريل'!AF59,0)+IF(5&lt;=cfg_VAL_M,'مسير مايو'!AD59+'مسير مايو'!AE59+'مسير مايو'!AF59,0)+IF(6&lt;=cfg_VAL_M,'مسير يونيو'!AD59+'مسير يونيو'!AE59+'مسير يونيو'!AF59,0)+IF(7&lt;=cfg_VAL_M,'مسير يوليو'!AD59+'مسير يوليو'!AE59+'مسير يوليو'!AF59,0)+IF(8&lt;=cfg_VAL_M,'مسير أغسطس'!AD59+'مسير أغسطس'!AE59+'مسير أغسطس'!AF59,0)+IF(9&lt;=cfg_VAL_M,'مسير سبتمبر'!AD59+'مسير سبتمبر'!AE59+'مسير سبتمبر'!AF59,0)+IF(10&lt;=cfg_VAL_M,'مسير أكتوبر'!AD59+'مسير أكتوبر'!AE59+'مسير أكتوبر'!AF59,0)+IF(11&lt;=cfg_VAL_M,'مسير نوفمبر'!AD59+'مسير نوفمبر'!AE59+'مسير نوفمبر'!AF59,0)+IF(12&lt;=cfg_VAL_M,'مسير ديسمبر'!AD59+'مسير ديسمبر'!AE59+'مسير ديسمبر'!AF59,0))</f>
        <v/>
      </c>
      <c r="U59" s="101" t="str">
        <f aca="false">IF(OR($B59="",F59="✖ منتهي الخدمة"),"",IF(AND(ISNUMBER(I59),I59&lt;=cfg_ALERT),N59,0)+IF(AND(ISNUMBER(L59),L59&lt;=cfg_ALERT),O59,0))</f>
        <v/>
      </c>
    </row>
    <row r="60" customFormat="false" ht="15" hidden="false" customHeight="false" outlineLevel="0" collapsed="false">
      <c r="B60" s="80" t="str">
        <f aca="false">IF(الموظفون!$B60="","",الموظفون!$B60)</f>
        <v/>
      </c>
      <c r="C60" s="80" t="str">
        <f aca="false">IF($B60="","",الموظفون!$C60)</f>
        <v/>
      </c>
      <c r="D60" s="80" t="str">
        <f aca="false">IF($B60="","",الموظفون!$D60)</f>
        <v/>
      </c>
      <c r="E60" s="80" t="str">
        <f aca="false">IF($B60="","",الموظفون!$E60)</f>
        <v/>
      </c>
      <c r="F60" s="80" t="str">
        <f aca="false">IF($B60="","",الموظفون!$AG60)</f>
        <v/>
      </c>
      <c r="G60" s="80" t="str">
        <f aca="false">IF($B60="","",IF(الموظفون!$I60="","",الموظفون!$I60))</f>
        <v/>
      </c>
      <c r="H60" s="147" t="str">
        <f aca="false">IF($B60="","",IF(الموظفون!$J60="","",الموظفون!$J60))</f>
        <v/>
      </c>
      <c r="I60" s="57" t="str">
        <f aca="false">IF(OR($B60="",H60=""),"",H60-cfg_TRACK)</f>
        <v/>
      </c>
      <c r="J60" s="80" t="str">
        <f aca="false">IF(OR($B60="",$F60="✖ منتهي الخدمة"),"",IF(H60="",IF($E60="غير سعودي","⚠ أدخل التاريخ","-"),IF(I60&lt;0,"✖ منتهية منذ "&amp;TEXT(-I60,"0")&amp;" يوم",IF(I60&lt;=cfg_ALERT,"⚠ تنتهي خلال "&amp;TEXT(I60,"0")&amp;" يوم","✔ سارية"))))</f>
        <v/>
      </c>
      <c r="K60" s="147" t="str">
        <f aca="false">IF($B60="","",IF(الموظفون!$K60="","",الموظفون!$K60))</f>
        <v/>
      </c>
      <c r="L60" s="57" t="str">
        <f aca="false">IF(OR($B60="",K60=""),"",K60-cfg_TRACK)</f>
        <v/>
      </c>
      <c r="M60" s="80" t="str">
        <f aca="false">IF(OR($B60="",$F60="✖ منتهي الخدمة"),"",IF(K60="",IF($E60="غير سعودي","⚠ أدخل التاريخ","-"),IF(L60&lt;0,"✖ منتهية منذ "&amp;TEXT(-L60,"0")&amp;" يوم",IF(L60&lt;=cfg_ALERT,"⚠ تنتهي خلال "&amp;TEXT(L60,"0")&amp;" يوم","✔ سارية"))))</f>
        <v/>
      </c>
      <c r="N60" s="97" t="str">
        <f aca="false">IF($B60="","",IF(F60="✖ منتهي الخدمة",0,IF(الموظفون!$X60&lt;&gt;"",الموظفون!$X60,IF(الموظفون!$E60="غير سعودي",cfg_IQ,0))))</f>
        <v/>
      </c>
      <c r="O60" s="97" t="str">
        <f aca="false">IF($B60="","",IF(F60="✖ منتهي الخدمة",0,IF(الموظفون!$Y60&lt;&gt;"",الموظفون!$Y60,IF(الموظفون!$E60="غير سعودي",cfg_WP,0))))</f>
        <v/>
      </c>
      <c r="P60" s="97" t="str">
        <f aca="false">IF($B60="","",IF(F60="✖ منتهي الخدمة",0,IF(الموظفون!$Z60&lt;&gt;"",الموظفون!$Z60,cfg_MED)))</f>
        <v/>
      </c>
      <c r="Q60" s="97" t="str">
        <f aca="false">IF($B60="","",IF(F60="✖ منتهي الخدمة",0,N(الموظفون!$AA60)))</f>
        <v/>
      </c>
      <c r="R60" s="97" t="str">
        <f aca="false">IF($B60="","",SUM(N60:Q60))</f>
        <v/>
      </c>
      <c r="S60" s="97" t="str">
        <f aca="false">IF($B60="","",R60/12)</f>
        <v/>
      </c>
      <c r="T60" s="97" t="str">
        <f aca="false">IF($B60="","",IF(1&lt;=cfg_VAL_M,'مسير يناير'!AD60+'مسير يناير'!AE60+'مسير يناير'!AF60,0)+IF(2&lt;=cfg_VAL_M,'مسير فبراير'!AD60+'مسير فبراير'!AE60+'مسير فبراير'!AF60,0)+IF(3&lt;=cfg_VAL_M,'مسير مارس'!AD60+'مسير مارس'!AE60+'مسير مارس'!AF60,0)+IF(4&lt;=cfg_VAL_M,'مسير أبريل'!AD60+'مسير أبريل'!AE60+'مسير أبريل'!AF60,0)+IF(5&lt;=cfg_VAL_M,'مسير مايو'!AD60+'مسير مايو'!AE60+'مسير مايو'!AF60,0)+IF(6&lt;=cfg_VAL_M,'مسير يونيو'!AD60+'مسير يونيو'!AE60+'مسير يونيو'!AF60,0)+IF(7&lt;=cfg_VAL_M,'مسير يوليو'!AD60+'مسير يوليو'!AE60+'مسير يوليو'!AF60,0)+IF(8&lt;=cfg_VAL_M,'مسير أغسطس'!AD60+'مسير أغسطس'!AE60+'مسير أغسطس'!AF60,0)+IF(9&lt;=cfg_VAL_M,'مسير سبتمبر'!AD60+'مسير سبتمبر'!AE60+'مسير سبتمبر'!AF60,0)+IF(10&lt;=cfg_VAL_M,'مسير أكتوبر'!AD60+'مسير أكتوبر'!AE60+'مسير أكتوبر'!AF60,0)+IF(11&lt;=cfg_VAL_M,'مسير نوفمبر'!AD60+'مسير نوفمبر'!AE60+'مسير نوفمبر'!AF60,0)+IF(12&lt;=cfg_VAL_M,'مسير ديسمبر'!AD60+'مسير ديسمبر'!AE60+'مسير ديسمبر'!AF60,0))</f>
        <v/>
      </c>
      <c r="U60" s="97" t="str">
        <f aca="false">IF(OR($B60="",F60="✖ منتهي الخدمة"),"",IF(AND(ISNUMBER(I60),I60&lt;=cfg_ALERT),N60,0)+IF(AND(ISNUMBER(L60),L60&lt;=cfg_ALERT),O60,0))</f>
        <v/>
      </c>
    </row>
    <row r="61" customFormat="false" ht="15" hidden="false" customHeight="false" outlineLevel="0" collapsed="false">
      <c r="B61" s="102" t="str">
        <f aca="false">IF(الموظفون!$B61="","",الموظفون!$B61)</f>
        <v/>
      </c>
      <c r="C61" s="102" t="str">
        <f aca="false">IF($B61="","",الموظفون!$C61)</f>
        <v/>
      </c>
      <c r="D61" s="102" t="str">
        <f aca="false">IF($B61="","",الموظفون!$D61)</f>
        <v/>
      </c>
      <c r="E61" s="102" t="str">
        <f aca="false">IF($B61="","",الموظفون!$E61)</f>
        <v/>
      </c>
      <c r="F61" s="102" t="str">
        <f aca="false">IF($B61="","",الموظفون!$AG61)</f>
        <v/>
      </c>
      <c r="G61" s="102" t="str">
        <f aca="false">IF($B61="","",IF(الموظفون!$I61="","",الموظفون!$I61))</f>
        <v/>
      </c>
      <c r="H61" s="148" t="str">
        <f aca="false">IF($B61="","",IF(الموظفون!$J61="","",الموظفون!$J61))</f>
        <v/>
      </c>
      <c r="I61" s="110" t="str">
        <f aca="false">IF(OR($B61="",H61=""),"",H61-cfg_TRACK)</f>
        <v/>
      </c>
      <c r="J61" s="102" t="str">
        <f aca="false">IF(OR($B61="",$F61="✖ منتهي الخدمة"),"",IF(H61="",IF($E61="غير سعودي","⚠ أدخل التاريخ","-"),IF(I61&lt;0,"✖ منتهية منذ "&amp;TEXT(-I61,"0")&amp;" يوم",IF(I61&lt;=cfg_ALERT,"⚠ تنتهي خلال "&amp;TEXT(I61,"0")&amp;" يوم","✔ سارية"))))</f>
        <v/>
      </c>
      <c r="K61" s="148" t="str">
        <f aca="false">IF($B61="","",IF(الموظفون!$K61="","",الموظفون!$K61))</f>
        <v/>
      </c>
      <c r="L61" s="110" t="str">
        <f aca="false">IF(OR($B61="",K61=""),"",K61-cfg_TRACK)</f>
        <v/>
      </c>
      <c r="M61" s="102" t="str">
        <f aca="false">IF(OR($B61="",$F61="✖ منتهي الخدمة"),"",IF(K61="",IF($E61="غير سعودي","⚠ أدخل التاريخ","-"),IF(L61&lt;0,"✖ منتهية منذ "&amp;TEXT(-L61,"0")&amp;" يوم",IF(L61&lt;=cfg_ALERT,"⚠ تنتهي خلال "&amp;TEXT(L61,"0")&amp;" يوم","✔ سارية"))))</f>
        <v/>
      </c>
      <c r="N61" s="101" t="str">
        <f aca="false">IF($B61="","",IF(F61="✖ منتهي الخدمة",0,IF(الموظفون!$X61&lt;&gt;"",الموظفون!$X61,IF(الموظفون!$E61="غير سعودي",cfg_IQ,0))))</f>
        <v/>
      </c>
      <c r="O61" s="101" t="str">
        <f aca="false">IF($B61="","",IF(F61="✖ منتهي الخدمة",0,IF(الموظفون!$Y61&lt;&gt;"",الموظفون!$Y61,IF(الموظفون!$E61="غير سعودي",cfg_WP,0))))</f>
        <v/>
      </c>
      <c r="P61" s="101" t="str">
        <f aca="false">IF($B61="","",IF(F61="✖ منتهي الخدمة",0,IF(الموظفون!$Z61&lt;&gt;"",الموظفون!$Z61,cfg_MED)))</f>
        <v/>
      </c>
      <c r="Q61" s="101" t="str">
        <f aca="false">IF($B61="","",IF(F61="✖ منتهي الخدمة",0,N(الموظفون!$AA61)))</f>
        <v/>
      </c>
      <c r="R61" s="101" t="str">
        <f aca="false">IF($B61="","",SUM(N61:Q61))</f>
        <v/>
      </c>
      <c r="S61" s="101" t="str">
        <f aca="false">IF($B61="","",R61/12)</f>
        <v/>
      </c>
      <c r="T61" s="101" t="str">
        <f aca="false">IF($B61="","",IF(1&lt;=cfg_VAL_M,'مسير يناير'!AD61+'مسير يناير'!AE61+'مسير يناير'!AF61,0)+IF(2&lt;=cfg_VAL_M,'مسير فبراير'!AD61+'مسير فبراير'!AE61+'مسير فبراير'!AF61,0)+IF(3&lt;=cfg_VAL_M,'مسير مارس'!AD61+'مسير مارس'!AE61+'مسير مارس'!AF61,0)+IF(4&lt;=cfg_VAL_M,'مسير أبريل'!AD61+'مسير أبريل'!AE61+'مسير أبريل'!AF61,0)+IF(5&lt;=cfg_VAL_M,'مسير مايو'!AD61+'مسير مايو'!AE61+'مسير مايو'!AF61,0)+IF(6&lt;=cfg_VAL_M,'مسير يونيو'!AD61+'مسير يونيو'!AE61+'مسير يونيو'!AF61,0)+IF(7&lt;=cfg_VAL_M,'مسير يوليو'!AD61+'مسير يوليو'!AE61+'مسير يوليو'!AF61,0)+IF(8&lt;=cfg_VAL_M,'مسير أغسطس'!AD61+'مسير أغسطس'!AE61+'مسير أغسطس'!AF61,0)+IF(9&lt;=cfg_VAL_M,'مسير سبتمبر'!AD61+'مسير سبتمبر'!AE61+'مسير سبتمبر'!AF61,0)+IF(10&lt;=cfg_VAL_M,'مسير أكتوبر'!AD61+'مسير أكتوبر'!AE61+'مسير أكتوبر'!AF61,0)+IF(11&lt;=cfg_VAL_M,'مسير نوفمبر'!AD61+'مسير نوفمبر'!AE61+'مسير نوفمبر'!AF61,0)+IF(12&lt;=cfg_VAL_M,'مسير ديسمبر'!AD61+'مسير ديسمبر'!AE61+'مسير ديسمبر'!AF61,0))</f>
        <v/>
      </c>
      <c r="U61" s="101" t="str">
        <f aca="false">IF(OR($B61="",F61="✖ منتهي الخدمة"),"",IF(AND(ISNUMBER(I61),I61&lt;=cfg_ALERT),N61,0)+IF(AND(ISNUMBER(L61),L61&lt;=cfg_ALERT),O61,0))</f>
        <v/>
      </c>
    </row>
    <row r="62" customFormat="false" ht="15" hidden="false" customHeight="false" outlineLevel="0" collapsed="false">
      <c r="B62" s="80" t="str">
        <f aca="false">IF(الموظفون!$B62="","",الموظفون!$B62)</f>
        <v/>
      </c>
      <c r="C62" s="80" t="str">
        <f aca="false">IF($B62="","",الموظفون!$C62)</f>
        <v/>
      </c>
      <c r="D62" s="80" t="str">
        <f aca="false">IF($B62="","",الموظفون!$D62)</f>
        <v/>
      </c>
      <c r="E62" s="80" t="str">
        <f aca="false">IF($B62="","",الموظفون!$E62)</f>
        <v/>
      </c>
      <c r="F62" s="80" t="str">
        <f aca="false">IF($B62="","",الموظفون!$AG62)</f>
        <v/>
      </c>
      <c r="G62" s="80" t="str">
        <f aca="false">IF($B62="","",IF(الموظفون!$I62="","",الموظفون!$I62))</f>
        <v/>
      </c>
      <c r="H62" s="147" t="str">
        <f aca="false">IF($B62="","",IF(الموظفون!$J62="","",الموظفون!$J62))</f>
        <v/>
      </c>
      <c r="I62" s="57" t="str">
        <f aca="false">IF(OR($B62="",H62=""),"",H62-cfg_TRACK)</f>
        <v/>
      </c>
      <c r="J62" s="80" t="str">
        <f aca="false">IF(OR($B62="",$F62="✖ منتهي الخدمة"),"",IF(H62="",IF($E62="غير سعودي","⚠ أدخل التاريخ","-"),IF(I62&lt;0,"✖ منتهية منذ "&amp;TEXT(-I62,"0")&amp;" يوم",IF(I62&lt;=cfg_ALERT,"⚠ تنتهي خلال "&amp;TEXT(I62,"0")&amp;" يوم","✔ سارية"))))</f>
        <v/>
      </c>
      <c r="K62" s="147" t="str">
        <f aca="false">IF($B62="","",IF(الموظفون!$K62="","",الموظفون!$K62))</f>
        <v/>
      </c>
      <c r="L62" s="57" t="str">
        <f aca="false">IF(OR($B62="",K62=""),"",K62-cfg_TRACK)</f>
        <v/>
      </c>
      <c r="M62" s="80" t="str">
        <f aca="false">IF(OR($B62="",$F62="✖ منتهي الخدمة"),"",IF(K62="",IF($E62="غير سعودي","⚠ أدخل التاريخ","-"),IF(L62&lt;0,"✖ منتهية منذ "&amp;TEXT(-L62,"0")&amp;" يوم",IF(L62&lt;=cfg_ALERT,"⚠ تنتهي خلال "&amp;TEXT(L62,"0")&amp;" يوم","✔ سارية"))))</f>
        <v/>
      </c>
      <c r="N62" s="97" t="str">
        <f aca="false">IF($B62="","",IF(F62="✖ منتهي الخدمة",0,IF(الموظفون!$X62&lt;&gt;"",الموظفون!$X62,IF(الموظفون!$E62="غير سعودي",cfg_IQ,0))))</f>
        <v/>
      </c>
      <c r="O62" s="97" t="str">
        <f aca="false">IF($B62="","",IF(F62="✖ منتهي الخدمة",0,IF(الموظفون!$Y62&lt;&gt;"",الموظفون!$Y62,IF(الموظفون!$E62="غير سعودي",cfg_WP,0))))</f>
        <v/>
      </c>
      <c r="P62" s="97" t="str">
        <f aca="false">IF($B62="","",IF(F62="✖ منتهي الخدمة",0,IF(الموظفون!$Z62&lt;&gt;"",الموظفون!$Z62,cfg_MED)))</f>
        <v/>
      </c>
      <c r="Q62" s="97" t="str">
        <f aca="false">IF($B62="","",IF(F62="✖ منتهي الخدمة",0,N(الموظفون!$AA62)))</f>
        <v/>
      </c>
      <c r="R62" s="97" t="str">
        <f aca="false">IF($B62="","",SUM(N62:Q62))</f>
        <v/>
      </c>
      <c r="S62" s="97" t="str">
        <f aca="false">IF($B62="","",R62/12)</f>
        <v/>
      </c>
      <c r="T62" s="97" t="str">
        <f aca="false">IF($B62="","",IF(1&lt;=cfg_VAL_M,'مسير يناير'!AD62+'مسير يناير'!AE62+'مسير يناير'!AF62,0)+IF(2&lt;=cfg_VAL_M,'مسير فبراير'!AD62+'مسير فبراير'!AE62+'مسير فبراير'!AF62,0)+IF(3&lt;=cfg_VAL_M,'مسير مارس'!AD62+'مسير مارس'!AE62+'مسير مارس'!AF62,0)+IF(4&lt;=cfg_VAL_M,'مسير أبريل'!AD62+'مسير أبريل'!AE62+'مسير أبريل'!AF62,0)+IF(5&lt;=cfg_VAL_M,'مسير مايو'!AD62+'مسير مايو'!AE62+'مسير مايو'!AF62,0)+IF(6&lt;=cfg_VAL_M,'مسير يونيو'!AD62+'مسير يونيو'!AE62+'مسير يونيو'!AF62,0)+IF(7&lt;=cfg_VAL_M,'مسير يوليو'!AD62+'مسير يوليو'!AE62+'مسير يوليو'!AF62,0)+IF(8&lt;=cfg_VAL_M,'مسير أغسطس'!AD62+'مسير أغسطس'!AE62+'مسير أغسطس'!AF62,0)+IF(9&lt;=cfg_VAL_M,'مسير سبتمبر'!AD62+'مسير سبتمبر'!AE62+'مسير سبتمبر'!AF62,0)+IF(10&lt;=cfg_VAL_M,'مسير أكتوبر'!AD62+'مسير أكتوبر'!AE62+'مسير أكتوبر'!AF62,0)+IF(11&lt;=cfg_VAL_M,'مسير نوفمبر'!AD62+'مسير نوفمبر'!AE62+'مسير نوفمبر'!AF62,0)+IF(12&lt;=cfg_VAL_M,'مسير ديسمبر'!AD62+'مسير ديسمبر'!AE62+'مسير ديسمبر'!AF62,0))</f>
        <v/>
      </c>
      <c r="U62" s="97" t="str">
        <f aca="false">IF(OR($B62="",F62="✖ منتهي الخدمة"),"",IF(AND(ISNUMBER(I62),I62&lt;=cfg_ALERT),N62,0)+IF(AND(ISNUMBER(L62),L62&lt;=cfg_ALERT),O62,0))</f>
        <v/>
      </c>
    </row>
    <row r="63" customFormat="false" ht="15" hidden="false" customHeight="false" outlineLevel="0" collapsed="false">
      <c r="B63" s="102" t="str">
        <f aca="false">IF(الموظفون!$B63="","",الموظفون!$B63)</f>
        <v/>
      </c>
      <c r="C63" s="102" t="str">
        <f aca="false">IF($B63="","",الموظفون!$C63)</f>
        <v/>
      </c>
      <c r="D63" s="102" t="str">
        <f aca="false">IF($B63="","",الموظفون!$D63)</f>
        <v/>
      </c>
      <c r="E63" s="102" t="str">
        <f aca="false">IF($B63="","",الموظفون!$E63)</f>
        <v/>
      </c>
      <c r="F63" s="102" t="str">
        <f aca="false">IF($B63="","",الموظفون!$AG63)</f>
        <v/>
      </c>
      <c r="G63" s="102" t="str">
        <f aca="false">IF($B63="","",IF(الموظفون!$I63="","",الموظفون!$I63))</f>
        <v/>
      </c>
      <c r="H63" s="148" t="str">
        <f aca="false">IF($B63="","",IF(الموظفون!$J63="","",الموظفون!$J63))</f>
        <v/>
      </c>
      <c r="I63" s="110" t="str">
        <f aca="false">IF(OR($B63="",H63=""),"",H63-cfg_TRACK)</f>
        <v/>
      </c>
      <c r="J63" s="102" t="str">
        <f aca="false">IF(OR($B63="",$F63="✖ منتهي الخدمة"),"",IF(H63="",IF($E63="غير سعودي","⚠ أدخل التاريخ","-"),IF(I63&lt;0,"✖ منتهية منذ "&amp;TEXT(-I63,"0")&amp;" يوم",IF(I63&lt;=cfg_ALERT,"⚠ تنتهي خلال "&amp;TEXT(I63,"0")&amp;" يوم","✔ سارية"))))</f>
        <v/>
      </c>
      <c r="K63" s="148" t="str">
        <f aca="false">IF($B63="","",IF(الموظفون!$K63="","",الموظفون!$K63))</f>
        <v/>
      </c>
      <c r="L63" s="110" t="str">
        <f aca="false">IF(OR($B63="",K63=""),"",K63-cfg_TRACK)</f>
        <v/>
      </c>
      <c r="M63" s="102" t="str">
        <f aca="false">IF(OR($B63="",$F63="✖ منتهي الخدمة"),"",IF(K63="",IF($E63="غير سعودي","⚠ أدخل التاريخ","-"),IF(L63&lt;0,"✖ منتهية منذ "&amp;TEXT(-L63,"0")&amp;" يوم",IF(L63&lt;=cfg_ALERT,"⚠ تنتهي خلال "&amp;TEXT(L63,"0")&amp;" يوم","✔ سارية"))))</f>
        <v/>
      </c>
      <c r="N63" s="101" t="str">
        <f aca="false">IF($B63="","",IF(F63="✖ منتهي الخدمة",0,IF(الموظفون!$X63&lt;&gt;"",الموظفون!$X63,IF(الموظفون!$E63="غير سعودي",cfg_IQ,0))))</f>
        <v/>
      </c>
      <c r="O63" s="101" t="str">
        <f aca="false">IF($B63="","",IF(F63="✖ منتهي الخدمة",0,IF(الموظفون!$Y63&lt;&gt;"",الموظفون!$Y63,IF(الموظفون!$E63="غير سعودي",cfg_WP,0))))</f>
        <v/>
      </c>
      <c r="P63" s="101" t="str">
        <f aca="false">IF($B63="","",IF(F63="✖ منتهي الخدمة",0,IF(الموظفون!$Z63&lt;&gt;"",الموظفون!$Z63,cfg_MED)))</f>
        <v/>
      </c>
      <c r="Q63" s="101" t="str">
        <f aca="false">IF($B63="","",IF(F63="✖ منتهي الخدمة",0,N(الموظفون!$AA63)))</f>
        <v/>
      </c>
      <c r="R63" s="101" t="str">
        <f aca="false">IF($B63="","",SUM(N63:Q63))</f>
        <v/>
      </c>
      <c r="S63" s="101" t="str">
        <f aca="false">IF($B63="","",R63/12)</f>
        <v/>
      </c>
      <c r="T63" s="101" t="str">
        <f aca="false">IF($B63="","",IF(1&lt;=cfg_VAL_M,'مسير يناير'!AD63+'مسير يناير'!AE63+'مسير يناير'!AF63,0)+IF(2&lt;=cfg_VAL_M,'مسير فبراير'!AD63+'مسير فبراير'!AE63+'مسير فبراير'!AF63,0)+IF(3&lt;=cfg_VAL_M,'مسير مارس'!AD63+'مسير مارس'!AE63+'مسير مارس'!AF63,0)+IF(4&lt;=cfg_VAL_M,'مسير أبريل'!AD63+'مسير أبريل'!AE63+'مسير أبريل'!AF63,0)+IF(5&lt;=cfg_VAL_M,'مسير مايو'!AD63+'مسير مايو'!AE63+'مسير مايو'!AF63,0)+IF(6&lt;=cfg_VAL_M,'مسير يونيو'!AD63+'مسير يونيو'!AE63+'مسير يونيو'!AF63,0)+IF(7&lt;=cfg_VAL_M,'مسير يوليو'!AD63+'مسير يوليو'!AE63+'مسير يوليو'!AF63,0)+IF(8&lt;=cfg_VAL_M,'مسير أغسطس'!AD63+'مسير أغسطس'!AE63+'مسير أغسطس'!AF63,0)+IF(9&lt;=cfg_VAL_M,'مسير سبتمبر'!AD63+'مسير سبتمبر'!AE63+'مسير سبتمبر'!AF63,0)+IF(10&lt;=cfg_VAL_M,'مسير أكتوبر'!AD63+'مسير أكتوبر'!AE63+'مسير أكتوبر'!AF63,0)+IF(11&lt;=cfg_VAL_M,'مسير نوفمبر'!AD63+'مسير نوفمبر'!AE63+'مسير نوفمبر'!AF63,0)+IF(12&lt;=cfg_VAL_M,'مسير ديسمبر'!AD63+'مسير ديسمبر'!AE63+'مسير ديسمبر'!AF63,0))</f>
        <v/>
      </c>
      <c r="U63" s="101" t="str">
        <f aca="false">IF(OR($B63="",F63="✖ منتهي الخدمة"),"",IF(AND(ISNUMBER(I63),I63&lt;=cfg_ALERT),N63,0)+IF(AND(ISNUMBER(L63),L63&lt;=cfg_ALERT),O63,0))</f>
        <v/>
      </c>
    </row>
    <row r="64" customFormat="false" ht="15" hidden="false" customHeight="false" outlineLevel="0" collapsed="false">
      <c r="B64" s="80" t="str">
        <f aca="false">IF(الموظفون!$B64="","",الموظفون!$B64)</f>
        <v/>
      </c>
      <c r="C64" s="80" t="str">
        <f aca="false">IF($B64="","",الموظفون!$C64)</f>
        <v/>
      </c>
      <c r="D64" s="80" t="str">
        <f aca="false">IF($B64="","",الموظفون!$D64)</f>
        <v/>
      </c>
      <c r="E64" s="80" t="str">
        <f aca="false">IF($B64="","",الموظفون!$E64)</f>
        <v/>
      </c>
      <c r="F64" s="80" t="str">
        <f aca="false">IF($B64="","",الموظفون!$AG64)</f>
        <v/>
      </c>
      <c r="G64" s="80" t="str">
        <f aca="false">IF($B64="","",IF(الموظفون!$I64="","",الموظفون!$I64))</f>
        <v/>
      </c>
      <c r="H64" s="147" t="str">
        <f aca="false">IF($B64="","",IF(الموظفون!$J64="","",الموظفون!$J64))</f>
        <v/>
      </c>
      <c r="I64" s="57" t="str">
        <f aca="false">IF(OR($B64="",H64=""),"",H64-cfg_TRACK)</f>
        <v/>
      </c>
      <c r="J64" s="80" t="str">
        <f aca="false">IF(OR($B64="",$F64="✖ منتهي الخدمة"),"",IF(H64="",IF($E64="غير سعودي","⚠ أدخل التاريخ","-"),IF(I64&lt;0,"✖ منتهية منذ "&amp;TEXT(-I64,"0")&amp;" يوم",IF(I64&lt;=cfg_ALERT,"⚠ تنتهي خلال "&amp;TEXT(I64,"0")&amp;" يوم","✔ سارية"))))</f>
        <v/>
      </c>
      <c r="K64" s="147" t="str">
        <f aca="false">IF($B64="","",IF(الموظفون!$K64="","",الموظفون!$K64))</f>
        <v/>
      </c>
      <c r="L64" s="57" t="str">
        <f aca="false">IF(OR($B64="",K64=""),"",K64-cfg_TRACK)</f>
        <v/>
      </c>
      <c r="M64" s="80" t="str">
        <f aca="false">IF(OR($B64="",$F64="✖ منتهي الخدمة"),"",IF(K64="",IF($E64="غير سعودي","⚠ أدخل التاريخ","-"),IF(L64&lt;0,"✖ منتهية منذ "&amp;TEXT(-L64,"0")&amp;" يوم",IF(L64&lt;=cfg_ALERT,"⚠ تنتهي خلال "&amp;TEXT(L64,"0")&amp;" يوم","✔ سارية"))))</f>
        <v/>
      </c>
      <c r="N64" s="97" t="str">
        <f aca="false">IF($B64="","",IF(F64="✖ منتهي الخدمة",0,IF(الموظفون!$X64&lt;&gt;"",الموظفون!$X64,IF(الموظفون!$E64="غير سعودي",cfg_IQ,0))))</f>
        <v/>
      </c>
      <c r="O64" s="97" t="str">
        <f aca="false">IF($B64="","",IF(F64="✖ منتهي الخدمة",0,IF(الموظفون!$Y64&lt;&gt;"",الموظفون!$Y64,IF(الموظفون!$E64="غير سعودي",cfg_WP,0))))</f>
        <v/>
      </c>
      <c r="P64" s="97" t="str">
        <f aca="false">IF($B64="","",IF(F64="✖ منتهي الخدمة",0,IF(الموظفون!$Z64&lt;&gt;"",الموظفون!$Z64,cfg_MED)))</f>
        <v/>
      </c>
      <c r="Q64" s="97" t="str">
        <f aca="false">IF($B64="","",IF(F64="✖ منتهي الخدمة",0,N(الموظفون!$AA64)))</f>
        <v/>
      </c>
      <c r="R64" s="97" t="str">
        <f aca="false">IF($B64="","",SUM(N64:Q64))</f>
        <v/>
      </c>
      <c r="S64" s="97" t="str">
        <f aca="false">IF($B64="","",R64/12)</f>
        <v/>
      </c>
      <c r="T64" s="97" t="str">
        <f aca="false">IF($B64="","",IF(1&lt;=cfg_VAL_M,'مسير يناير'!AD64+'مسير يناير'!AE64+'مسير يناير'!AF64,0)+IF(2&lt;=cfg_VAL_M,'مسير فبراير'!AD64+'مسير فبراير'!AE64+'مسير فبراير'!AF64,0)+IF(3&lt;=cfg_VAL_M,'مسير مارس'!AD64+'مسير مارس'!AE64+'مسير مارس'!AF64,0)+IF(4&lt;=cfg_VAL_M,'مسير أبريل'!AD64+'مسير أبريل'!AE64+'مسير أبريل'!AF64,0)+IF(5&lt;=cfg_VAL_M,'مسير مايو'!AD64+'مسير مايو'!AE64+'مسير مايو'!AF64,0)+IF(6&lt;=cfg_VAL_M,'مسير يونيو'!AD64+'مسير يونيو'!AE64+'مسير يونيو'!AF64,0)+IF(7&lt;=cfg_VAL_M,'مسير يوليو'!AD64+'مسير يوليو'!AE64+'مسير يوليو'!AF64,0)+IF(8&lt;=cfg_VAL_M,'مسير أغسطس'!AD64+'مسير أغسطس'!AE64+'مسير أغسطس'!AF64,0)+IF(9&lt;=cfg_VAL_M,'مسير سبتمبر'!AD64+'مسير سبتمبر'!AE64+'مسير سبتمبر'!AF64,0)+IF(10&lt;=cfg_VAL_M,'مسير أكتوبر'!AD64+'مسير أكتوبر'!AE64+'مسير أكتوبر'!AF64,0)+IF(11&lt;=cfg_VAL_M,'مسير نوفمبر'!AD64+'مسير نوفمبر'!AE64+'مسير نوفمبر'!AF64,0)+IF(12&lt;=cfg_VAL_M,'مسير ديسمبر'!AD64+'مسير ديسمبر'!AE64+'مسير ديسمبر'!AF64,0))</f>
        <v/>
      </c>
      <c r="U64" s="97" t="str">
        <f aca="false">IF(OR($B64="",F64="✖ منتهي الخدمة"),"",IF(AND(ISNUMBER(I64),I64&lt;=cfg_ALERT),N64,0)+IF(AND(ISNUMBER(L64),L64&lt;=cfg_ALERT),O64,0))</f>
        <v/>
      </c>
    </row>
    <row r="65" customFormat="false" ht="15" hidden="false" customHeight="false" outlineLevel="0" collapsed="false">
      <c r="B65" s="102" t="str">
        <f aca="false">IF(الموظفون!$B65="","",الموظفون!$B65)</f>
        <v/>
      </c>
      <c r="C65" s="102" t="str">
        <f aca="false">IF($B65="","",الموظفون!$C65)</f>
        <v/>
      </c>
      <c r="D65" s="102" t="str">
        <f aca="false">IF($B65="","",الموظفون!$D65)</f>
        <v/>
      </c>
      <c r="E65" s="102" t="str">
        <f aca="false">IF($B65="","",الموظفون!$E65)</f>
        <v/>
      </c>
      <c r="F65" s="102" t="str">
        <f aca="false">IF($B65="","",الموظفون!$AG65)</f>
        <v/>
      </c>
      <c r="G65" s="102" t="str">
        <f aca="false">IF($B65="","",IF(الموظفون!$I65="","",الموظفون!$I65))</f>
        <v/>
      </c>
      <c r="H65" s="148" t="str">
        <f aca="false">IF($B65="","",IF(الموظفون!$J65="","",الموظفون!$J65))</f>
        <v/>
      </c>
      <c r="I65" s="110" t="str">
        <f aca="false">IF(OR($B65="",H65=""),"",H65-cfg_TRACK)</f>
        <v/>
      </c>
      <c r="J65" s="102" t="str">
        <f aca="false">IF(OR($B65="",$F65="✖ منتهي الخدمة"),"",IF(H65="",IF($E65="غير سعودي","⚠ أدخل التاريخ","-"),IF(I65&lt;0,"✖ منتهية منذ "&amp;TEXT(-I65,"0")&amp;" يوم",IF(I65&lt;=cfg_ALERT,"⚠ تنتهي خلال "&amp;TEXT(I65,"0")&amp;" يوم","✔ سارية"))))</f>
        <v/>
      </c>
      <c r="K65" s="148" t="str">
        <f aca="false">IF($B65="","",IF(الموظفون!$K65="","",الموظفون!$K65))</f>
        <v/>
      </c>
      <c r="L65" s="110" t="str">
        <f aca="false">IF(OR($B65="",K65=""),"",K65-cfg_TRACK)</f>
        <v/>
      </c>
      <c r="M65" s="102" t="str">
        <f aca="false">IF(OR($B65="",$F65="✖ منتهي الخدمة"),"",IF(K65="",IF($E65="غير سعودي","⚠ أدخل التاريخ","-"),IF(L65&lt;0,"✖ منتهية منذ "&amp;TEXT(-L65,"0")&amp;" يوم",IF(L65&lt;=cfg_ALERT,"⚠ تنتهي خلال "&amp;TEXT(L65,"0")&amp;" يوم","✔ سارية"))))</f>
        <v/>
      </c>
      <c r="N65" s="101" t="str">
        <f aca="false">IF($B65="","",IF(F65="✖ منتهي الخدمة",0,IF(الموظفون!$X65&lt;&gt;"",الموظفون!$X65,IF(الموظفون!$E65="غير سعودي",cfg_IQ,0))))</f>
        <v/>
      </c>
      <c r="O65" s="101" t="str">
        <f aca="false">IF($B65="","",IF(F65="✖ منتهي الخدمة",0,IF(الموظفون!$Y65&lt;&gt;"",الموظفون!$Y65,IF(الموظفون!$E65="غير سعودي",cfg_WP,0))))</f>
        <v/>
      </c>
      <c r="P65" s="101" t="str">
        <f aca="false">IF($B65="","",IF(F65="✖ منتهي الخدمة",0,IF(الموظفون!$Z65&lt;&gt;"",الموظفون!$Z65,cfg_MED)))</f>
        <v/>
      </c>
      <c r="Q65" s="101" t="str">
        <f aca="false">IF($B65="","",IF(F65="✖ منتهي الخدمة",0,N(الموظفون!$AA65)))</f>
        <v/>
      </c>
      <c r="R65" s="101" t="str">
        <f aca="false">IF($B65="","",SUM(N65:Q65))</f>
        <v/>
      </c>
      <c r="S65" s="101" t="str">
        <f aca="false">IF($B65="","",R65/12)</f>
        <v/>
      </c>
      <c r="T65" s="101" t="str">
        <f aca="false">IF($B65="","",IF(1&lt;=cfg_VAL_M,'مسير يناير'!AD65+'مسير يناير'!AE65+'مسير يناير'!AF65,0)+IF(2&lt;=cfg_VAL_M,'مسير فبراير'!AD65+'مسير فبراير'!AE65+'مسير فبراير'!AF65,0)+IF(3&lt;=cfg_VAL_M,'مسير مارس'!AD65+'مسير مارس'!AE65+'مسير مارس'!AF65,0)+IF(4&lt;=cfg_VAL_M,'مسير أبريل'!AD65+'مسير أبريل'!AE65+'مسير أبريل'!AF65,0)+IF(5&lt;=cfg_VAL_M,'مسير مايو'!AD65+'مسير مايو'!AE65+'مسير مايو'!AF65,0)+IF(6&lt;=cfg_VAL_M,'مسير يونيو'!AD65+'مسير يونيو'!AE65+'مسير يونيو'!AF65,0)+IF(7&lt;=cfg_VAL_M,'مسير يوليو'!AD65+'مسير يوليو'!AE65+'مسير يوليو'!AF65,0)+IF(8&lt;=cfg_VAL_M,'مسير أغسطس'!AD65+'مسير أغسطس'!AE65+'مسير أغسطس'!AF65,0)+IF(9&lt;=cfg_VAL_M,'مسير سبتمبر'!AD65+'مسير سبتمبر'!AE65+'مسير سبتمبر'!AF65,0)+IF(10&lt;=cfg_VAL_M,'مسير أكتوبر'!AD65+'مسير أكتوبر'!AE65+'مسير أكتوبر'!AF65,0)+IF(11&lt;=cfg_VAL_M,'مسير نوفمبر'!AD65+'مسير نوفمبر'!AE65+'مسير نوفمبر'!AF65,0)+IF(12&lt;=cfg_VAL_M,'مسير ديسمبر'!AD65+'مسير ديسمبر'!AE65+'مسير ديسمبر'!AF65,0))</f>
        <v/>
      </c>
      <c r="U65" s="101" t="str">
        <f aca="false">IF(OR($B65="",F65="✖ منتهي الخدمة"),"",IF(AND(ISNUMBER(I65),I65&lt;=cfg_ALERT),N65,0)+IF(AND(ISNUMBER(L65),L65&lt;=cfg_ALERT),O65,0))</f>
        <v/>
      </c>
    </row>
    <row r="66" customFormat="false" ht="15" hidden="false" customHeight="false" outlineLevel="0" collapsed="false">
      <c r="B66" s="80" t="str">
        <f aca="false">IF(الموظفون!$B66="","",الموظفون!$B66)</f>
        <v/>
      </c>
      <c r="C66" s="80" t="str">
        <f aca="false">IF($B66="","",الموظفون!$C66)</f>
        <v/>
      </c>
      <c r="D66" s="80" t="str">
        <f aca="false">IF($B66="","",الموظفون!$D66)</f>
        <v/>
      </c>
      <c r="E66" s="80" t="str">
        <f aca="false">IF($B66="","",الموظفون!$E66)</f>
        <v/>
      </c>
      <c r="F66" s="80" t="str">
        <f aca="false">IF($B66="","",الموظفون!$AG66)</f>
        <v/>
      </c>
      <c r="G66" s="80" t="str">
        <f aca="false">IF($B66="","",IF(الموظفون!$I66="","",الموظفون!$I66))</f>
        <v/>
      </c>
      <c r="H66" s="147" t="str">
        <f aca="false">IF($B66="","",IF(الموظفون!$J66="","",الموظفون!$J66))</f>
        <v/>
      </c>
      <c r="I66" s="57" t="str">
        <f aca="false">IF(OR($B66="",H66=""),"",H66-cfg_TRACK)</f>
        <v/>
      </c>
      <c r="J66" s="80" t="str">
        <f aca="false">IF(OR($B66="",$F66="✖ منتهي الخدمة"),"",IF(H66="",IF($E66="غير سعودي","⚠ أدخل التاريخ","-"),IF(I66&lt;0,"✖ منتهية منذ "&amp;TEXT(-I66,"0")&amp;" يوم",IF(I66&lt;=cfg_ALERT,"⚠ تنتهي خلال "&amp;TEXT(I66,"0")&amp;" يوم","✔ سارية"))))</f>
        <v/>
      </c>
      <c r="K66" s="147" t="str">
        <f aca="false">IF($B66="","",IF(الموظفون!$K66="","",الموظفون!$K66))</f>
        <v/>
      </c>
      <c r="L66" s="57" t="str">
        <f aca="false">IF(OR($B66="",K66=""),"",K66-cfg_TRACK)</f>
        <v/>
      </c>
      <c r="M66" s="80" t="str">
        <f aca="false">IF(OR($B66="",$F66="✖ منتهي الخدمة"),"",IF(K66="",IF($E66="غير سعودي","⚠ أدخل التاريخ","-"),IF(L66&lt;0,"✖ منتهية منذ "&amp;TEXT(-L66,"0")&amp;" يوم",IF(L66&lt;=cfg_ALERT,"⚠ تنتهي خلال "&amp;TEXT(L66,"0")&amp;" يوم","✔ سارية"))))</f>
        <v/>
      </c>
      <c r="N66" s="97" t="str">
        <f aca="false">IF($B66="","",IF(F66="✖ منتهي الخدمة",0,IF(الموظفون!$X66&lt;&gt;"",الموظفون!$X66,IF(الموظفون!$E66="غير سعودي",cfg_IQ,0))))</f>
        <v/>
      </c>
      <c r="O66" s="97" t="str">
        <f aca="false">IF($B66="","",IF(F66="✖ منتهي الخدمة",0,IF(الموظفون!$Y66&lt;&gt;"",الموظفون!$Y66,IF(الموظفون!$E66="غير سعودي",cfg_WP,0))))</f>
        <v/>
      </c>
      <c r="P66" s="97" t="str">
        <f aca="false">IF($B66="","",IF(F66="✖ منتهي الخدمة",0,IF(الموظفون!$Z66&lt;&gt;"",الموظفون!$Z66,cfg_MED)))</f>
        <v/>
      </c>
      <c r="Q66" s="97" t="str">
        <f aca="false">IF($B66="","",IF(F66="✖ منتهي الخدمة",0,N(الموظفون!$AA66)))</f>
        <v/>
      </c>
      <c r="R66" s="97" t="str">
        <f aca="false">IF($B66="","",SUM(N66:Q66))</f>
        <v/>
      </c>
      <c r="S66" s="97" t="str">
        <f aca="false">IF($B66="","",R66/12)</f>
        <v/>
      </c>
      <c r="T66" s="97" t="str">
        <f aca="false">IF($B66="","",IF(1&lt;=cfg_VAL_M,'مسير يناير'!AD66+'مسير يناير'!AE66+'مسير يناير'!AF66,0)+IF(2&lt;=cfg_VAL_M,'مسير فبراير'!AD66+'مسير فبراير'!AE66+'مسير فبراير'!AF66,0)+IF(3&lt;=cfg_VAL_M,'مسير مارس'!AD66+'مسير مارس'!AE66+'مسير مارس'!AF66,0)+IF(4&lt;=cfg_VAL_M,'مسير أبريل'!AD66+'مسير أبريل'!AE66+'مسير أبريل'!AF66,0)+IF(5&lt;=cfg_VAL_M,'مسير مايو'!AD66+'مسير مايو'!AE66+'مسير مايو'!AF66,0)+IF(6&lt;=cfg_VAL_M,'مسير يونيو'!AD66+'مسير يونيو'!AE66+'مسير يونيو'!AF66,0)+IF(7&lt;=cfg_VAL_M,'مسير يوليو'!AD66+'مسير يوليو'!AE66+'مسير يوليو'!AF66,0)+IF(8&lt;=cfg_VAL_M,'مسير أغسطس'!AD66+'مسير أغسطس'!AE66+'مسير أغسطس'!AF66,0)+IF(9&lt;=cfg_VAL_M,'مسير سبتمبر'!AD66+'مسير سبتمبر'!AE66+'مسير سبتمبر'!AF66,0)+IF(10&lt;=cfg_VAL_M,'مسير أكتوبر'!AD66+'مسير أكتوبر'!AE66+'مسير أكتوبر'!AF66,0)+IF(11&lt;=cfg_VAL_M,'مسير نوفمبر'!AD66+'مسير نوفمبر'!AE66+'مسير نوفمبر'!AF66,0)+IF(12&lt;=cfg_VAL_M,'مسير ديسمبر'!AD66+'مسير ديسمبر'!AE66+'مسير ديسمبر'!AF66,0))</f>
        <v/>
      </c>
      <c r="U66" s="97" t="str">
        <f aca="false">IF(OR($B66="",F66="✖ منتهي الخدمة"),"",IF(AND(ISNUMBER(I66),I66&lt;=cfg_ALERT),N66,0)+IF(AND(ISNUMBER(L66),L66&lt;=cfg_ALERT),O66,0))</f>
        <v/>
      </c>
    </row>
    <row r="67" customFormat="false" ht="15" hidden="false" customHeight="false" outlineLevel="0" collapsed="false">
      <c r="B67" s="102" t="str">
        <f aca="false">IF(الموظفون!$B67="","",الموظفون!$B67)</f>
        <v/>
      </c>
      <c r="C67" s="102" t="str">
        <f aca="false">IF($B67="","",الموظفون!$C67)</f>
        <v/>
      </c>
      <c r="D67" s="102" t="str">
        <f aca="false">IF($B67="","",الموظفون!$D67)</f>
        <v/>
      </c>
      <c r="E67" s="102" t="str">
        <f aca="false">IF($B67="","",الموظفون!$E67)</f>
        <v/>
      </c>
      <c r="F67" s="102" t="str">
        <f aca="false">IF($B67="","",الموظفون!$AG67)</f>
        <v/>
      </c>
      <c r="G67" s="102" t="str">
        <f aca="false">IF($B67="","",IF(الموظفون!$I67="","",الموظفون!$I67))</f>
        <v/>
      </c>
      <c r="H67" s="148" t="str">
        <f aca="false">IF($B67="","",IF(الموظفون!$J67="","",الموظفون!$J67))</f>
        <v/>
      </c>
      <c r="I67" s="110" t="str">
        <f aca="false">IF(OR($B67="",H67=""),"",H67-cfg_TRACK)</f>
        <v/>
      </c>
      <c r="J67" s="102" t="str">
        <f aca="false">IF(OR($B67="",$F67="✖ منتهي الخدمة"),"",IF(H67="",IF($E67="غير سعودي","⚠ أدخل التاريخ","-"),IF(I67&lt;0,"✖ منتهية منذ "&amp;TEXT(-I67,"0")&amp;" يوم",IF(I67&lt;=cfg_ALERT,"⚠ تنتهي خلال "&amp;TEXT(I67,"0")&amp;" يوم","✔ سارية"))))</f>
        <v/>
      </c>
      <c r="K67" s="148" t="str">
        <f aca="false">IF($B67="","",IF(الموظفون!$K67="","",الموظفون!$K67))</f>
        <v/>
      </c>
      <c r="L67" s="110" t="str">
        <f aca="false">IF(OR($B67="",K67=""),"",K67-cfg_TRACK)</f>
        <v/>
      </c>
      <c r="M67" s="102" t="str">
        <f aca="false">IF(OR($B67="",$F67="✖ منتهي الخدمة"),"",IF(K67="",IF($E67="غير سعودي","⚠ أدخل التاريخ","-"),IF(L67&lt;0,"✖ منتهية منذ "&amp;TEXT(-L67,"0")&amp;" يوم",IF(L67&lt;=cfg_ALERT,"⚠ تنتهي خلال "&amp;TEXT(L67,"0")&amp;" يوم","✔ سارية"))))</f>
        <v/>
      </c>
      <c r="N67" s="101" t="str">
        <f aca="false">IF($B67="","",IF(F67="✖ منتهي الخدمة",0,IF(الموظفون!$X67&lt;&gt;"",الموظفون!$X67,IF(الموظفون!$E67="غير سعودي",cfg_IQ,0))))</f>
        <v/>
      </c>
      <c r="O67" s="101" t="str">
        <f aca="false">IF($B67="","",IF(F67="✖ منتهي الخدمة",0,IF(الموظفون!$Y67&lt;&gt;"",الموظفون!$Y67,IF(الموظفون!$E67="غير سعودي",cfg_WP,0))))</f>
        <v/>
      </c>
      <c r="P67" s="101" t="str">
        <f aca="false">IF($B67="","",IF(F67="✖ منتهي الخدمة",0,IF(الموظفون!$Z67&lt;&gt;"",الموظفون!$Z67,cfg_MED)))</f>
        <v/>
      </c>
      <c r="Q67" s="101" t="str">
        <f aca="false">IF($B67="","",IF(F67="✖ منتهي الخدمة",0,N(الموظفون!$AA67)))</f>
        <v/>
      </c>
      <c r="R67" s="101" t="str">
        <f aca="false">IF($B67="","",SUM(N67:Q67))</f>
        <v/>
      </c>
      <c r="S67" s="101" t="str">
        <f aca="false">IF($B67="","",R67/12)</f>
        <v/>
      </c>
      <c r="T67" s="101" t="str">
        <f aca="false">IF($B67="","",IF(1&lt;=cfg_VAL_M,'مسير يناير'!AD67+'مسير يناير'!AE67+'مسير يناير'!AF67,0)+IF(2&lt;=cfg_VAL_M,'مسير فبراير'!AD67+'مسير فبراير'!AE67+'مسير فبراير'!AF67,0)+IF(3&lt;=cfg_VAL_M,'مسير مارس'!AD67+'مسير مارس'!AE67+'مسير مارس'!AF67,0)+IF(4&lt;=cfg_VAL_M,'مسير أبريل'!AD67+'مسير أبريل'!AE67+'مسير أبريل'!AF67,0)+IF(5&lt;=cfg_VAL_M,'مسير مايو'!AD67+'مسير مايو'!AE67+'مسير مايو'!AF67,0)+IF(6&lt;=cfg_VAL_M,'مسير يونيو'!AD67+'مسير يونيو'!AE67+'مسير يونيو'!AF67,0)+IF(7&lt;=cfg_VAL_M,'مسير يوليو'!AD67+'مسير يوليو'!AE67+'مسير يوليو'!AF67,0)+IF(8&lt;=cfg_VAL_M,'مسير أغسطس'!AD67+'مسير أغسطس'!AE67+'مسير أغسطس'!AF67,0)+IF(9&lt;=cfg_VAL_M,'مسير سبتمبر'!AD67+'مسير سبتمبر'!AE67+'مسير سبتمبر'!AF67,0)+IF(10&lt;=cfg_VAL_M,'مسير أكتوبر'!AD67+'مسير أكتوبر'!AE67+'مسير أكتوبر'!AF67,0)+IF(11&lt;=cfg_VAL_M,'مسير نوفمبر'!AD67+'مسير نوفمبر'!AE67+'مسير نوفمبر'!AF67,0)+IF(12&lt;=cfg_VAL_M,'مسير ديسمبر'!AD67+'مسير ديسمبر'!AE67+'مسير ديسمبر'!AF67,0))</f>
        <v/>
      </c>
      <c r="U67" s="101" t="str">
        <f aca="false">IF(OR($B67="",F67="✖ منتهي الخدمة"),"",IF(AND(ISNUMBER(I67),I67&lt;=cfg_ALERT),N67,0)+IF(AND(ISNUMBER(L67),L67&lt;=cfg_ALERT),O67,0))</f>
        <v/>
      </c>
    </row>
    <row r="68" customFormat="false" ht="15" hidden="false" customHeight="false" outlineLevel="0" collapsed="false">
      <c r="B68" s="80" t="str">
        <f aca="false">IF(الموظفون!$B68="","",الموظفون!$B68)</f>
        <v/>
      </c>
      <c r="C68" s="80" t="str">
        <f aca="false">IF($B68="","",الموظفون!$C68)</f>
        <v/>
      </c>
      <c r="D68" s="80" t="str">
        <f aca="false">IF($B68="","",الموظفون!$D68)</f>
        <v/>
      </c>
      <c r="E68" s="80" t="str">
        <f aca="false">IF($B68="","",الموظفون!$E68)</f>
        <v/>
      </c>
      <c r="F68" s="80" t="str">
        <f aca="false">IF($B68="","",الموظفون!$AG68)</f>
        <v/>
      </c>
      <c r="G68" s="80" t="str">
        <f aca="false">IF($B68="","",IF(الموظفون!$I68="","",الموظفون!$I68))</f>
        <v/>
      </c>
      <c r="H68" s="147" t="str">
        <f aca="false">IF($B68="","",IF(الموظفون!$J68="","",الموظفون!$J68))</f>
        <v/>
      </c>
      <c r="I68" s="57" t="str">
        <f aca="false">IF(OR($B68="",H68=""),"",H68-cfg_TRACK)</f>
        <v/>
      </c>
      <c r="J68" s="80" t="str">
        <f aca="false">IF(OR($B68="",$F68="✖ منتهي الخدمة"),"",IF(H68="",IF($E68="غير سعودي","⚠ أدخل التاريخ","-"),IF(I68&lt;0,"✖ منتهية منذ "&amp;TEXT(-I68,"0")&amp;" يوم",IF(I68&lt;=cfg_ALERT,"⚠ تنتهي خلال "&amp;TEXT(I68,"0")&amp;" يوم","✔ سارية"))))</f>
        <v/>
      </c>
      <c r="K68" s="147" t="str">
        <f aca="false">IF($B68="","",IF(الموظفون!$K68="","",الموظفون!$K68))</f>
        <v/>
      </c>
      <c r="L68" s="57" t="str">
        <f aca="false">IF(OR($B68="",K68=""),"",K68-cfg_TRACK)</f>
        <v/>
      </c>
      <c r="M68" s="80" t="str">
        <f aca="false">IF(OR($B68="",$F68="✖ منتهي الخدمة"),"",IF(K68="",IF($E68="غير سعودي","⚠ أدخل التاريخ","-"),IF(L68&lt;0,"✖ منتهية منذ "&amp;TEXT(-L68,"0")&amp;" يوم",IF(L68&lt;=cfg_ALERT,"⚠ تنتهي خلال "&amp;TEXT(L68,"0")&amp;" يوم","✔ سارية"))))</f>
        <v/>
      </c>
      <c r="N68" s="97" t="str">
        <f aca="false">IF($B68="","",IF(F68="✖ منتهي الخدمة",0,IF(الموظفون!$X68&lt;&gt;"",الموظفون!$X68,IF(الموظفون!$E68="غير سعودي",cfg_IQ,0))))</f>
        <v/>
      </c>
      <c r="O68" s="97" t="str">
        <f aca="false">IF($B68="","",IF(F68="✖ منتهي الخدمة",0,IF(الموظفون!$Y68&lt;&gt;"",الموظفون!$Y68,IF(الموظفون!$E68="غير سعودي",cfg_WP,0))))</f>
        <v/>
      </c>
      <c r="P68" s="97" t="str">
        <f aca="false">IF($B68="","",IF(F68="✖ منتهي الخدمة",0,IF(الموظفون!$Z68&lt;&gt;"",الموظفون!$Z68,cfg_MED)))</f>
        <v/>
      </c>
      <c r="Q68" s="97" t="str">
        <f aca="false">IF($B68="","",IF(F68="✖ منتهي الخدمة",0,N(الموظفون!$AA68)))</f>
        <v/>
      </c>
      <c r="R68" s="97" t="str">
        <f aca="false">IF($B68="","",SUM(N68:Q68))</f>
        <v/>
      </c>
      <c r="S68" s="97" t="str">
        <f aca="false">IF($B68="","",R68/12)</f>
        <v/>
      </c>
      <c r="T68" s="97" t="str">
        <f aca="false">IF($B68="","",IF(1&lt;=cfg_VAL_M,'مسير يناير'!AD68+'مسير يناير'!AE68+'مسير يناير'!AF68,0)+IF(2&lt;=cfg_VAL_M,'مسير فبراير'!AD68+'مسير فبراير'!AE68+'مسير فبراير'!AF68,0)+IF(3&lt;=cfg_VAL_M,'مسير مارس'!AD68+'مسير مارس'!AE68+'مسير مارس'!AF68,0)+IF(4&lt;=cfg_VAL_M,'مسير أبريل'!AD68+'مسير أبريل'!AE68+'مسير أبريل'!AF68,0)+IF(5&lt;=cfg_VAL_M,'مسير مايو'!AD68+'مسير مايو'!AE68+'مسير مايو'!AF68,0)+IF(6&lt;=cfg_VAL_M,'مسير يونيو'!AD68+'مسير يونيو'!AE68+'مسير يونيو'!AF68,0)+IF(7&lt;=cfg_VAL_M,'مسير يوليو'!AD68+'مسير يوليو'!AE68+'مسير يوليو'!AF68,0)+IF(8&lt;=cfg_VAL_M,'مسير أغسطس'!AD68+'مسير أغسطس'!AE68+'مسير أغسطس'!AF68,0)+IF(9&lt;=cfg_VAL_M,'مسير سبتمبر'!AD68+'مسير سبتمبر'!AE68+'مسير سبتمبر'!AF68,0)+IF(10&lt;=cfg_VAL_M,'مسير أكتوبر'!AD68+'مسير أكتوبر'!AE68+'مسير أكتوبر'!AF68,0)+IF(11&lt;=cfg_VAL_M,'مسير نوفمبر'!AD68+'مسير نوفمبر'!AE68+'مسير نوفمبر'!AF68,0)+IF(12&lt;=cfg_VAL_M,'مسير ديسمبر'!AD68+'مسير ديسمبر'!AE68+'مسير ديسمبر'!AF68,0))</f>
        <v/>
      </c>
      <c r="U68" s="97" t="str">
        <f aca="false">IF(OR($B68="",F68="✖ منتهي الخدمة"),"",IF(AND(ISNUMBER(I68),I68&lt;=cfg_ALERT),N68,0)+IF(AND(ISNUMBER(L68),L68&lt;=cfg_ALERT),O68,0))</f>
        <v/>
      </c>
    </row>
    <row r="69" customFormat="false" ht="15" hidden="false" customHeight="false" outlineLevel="0" collapsed="false">
      <c r="B69" s="102" t="str">
        <f aca="false">IF(الموظفون!$B69="","",الموظفون!$B69)</f>
        <v/>
      </c>
      <c r="C69" s="102" t="str">
        <f aca="false">IF($B69="","",الموظفون!$C69)</f>
        <v/>
      </c>
      <c r="D69" s="102" t="str">
        <f aca="false">IF($B69="","",الموظفون!$D69)</f>
        <v/>
      </c>
      <c r="E69" s="102" t="str">
        <f aca="false">IF($B69="","",الموظفون!$E69)</f>
        <v/>
      </c>
      <c r="F69" s="102" t="str">
        <f aca="false">IF($B69="","",الموظفون!$AG69)</f>
        <v/>
      </c>
      <c r="G69" s="102" t="str">
        <f aca="false">IF($B69="","",IF(الموظفون!$I69="","",الموظفون!$I69))</f>
        <v/>
      </c>
      <c r="H69" s="148" t="str">
        <f aca="false">IF($B69="","",IF(الموظفون!$J69="","",الموظفون!$J69))</f>
        <v/>
      </c>
      <c r="I69" s="110" t="str">
        <f aca="false">IF(OR($B69="",H69=""),"",H69-cfg_TRACK)</f>
        <v/>
      </c>
      <c r="J69" s="102" t="str">
        <f aca="false">IF(OR($B69="",$F69="✖ منتهي الخدمة"),"",IF(H69="",IF($E69="غير سعودي","⚠ أدخل التاريخ","-"),IF(I69&lt;0,"✖ منتهية منذ "&amp;TEXT(-I69,"0")&amp;" يوم",IF(I69&lt;=cfg_ALERT,"⚠ تنتهي خلال "&amp;TEXT(I69,"0")&amp;" يوم","✔ سارية"))))</f>
        <v/>
      </c>
      <c r="K69" s="148" t="str">
        <f aca="false">IF($B69="","",IF(الموظفون!$K69="","",الموظفون!$K69))</f>
        <v/>
      </c>
      <c r="L69" s="110" t="str">
        <f aca="false">IF(OR($B69="",K69=""),"",K69-cfg_TRACK)</f>
        <v/>
      </c>
      <c r="M69" s="102" t="str">
        <f aca="false">IF(OR($B69="",$F69="✖ منتهي الخدمة"),"",IF(K69="",IF($E69="غير سعودي","⚠ أدخل التاريخ","-"),IF(L69&lt;0,"✖ منتهية منذ "&amp;TEXT(-L69,"0")&amp;" يوم",IF(L69&lt;=cfg_ALERT,"⚠ تنتهي خلال "&amp;TEXT(L69,"0")&amp;" يوم","✔ سارية"))))</f>
        <v/>
      </c>
      <c r="N69" s="101" t="str">
        <f aca="false">IF($B69="","",IF(F69="✖ منتهي الخدمة",0,IF(الموظفون!$X69&lt;&gt;"",الموظفون!$X69,IF(الموظفون!$E69="غير سعودي",cfg_IQ,0))))</f>
        <v/>
      </c>
      <c r="O69" s="101" t="str">
        <f aca="false">IF($B69="","",IF(F69="✖ منتهي الخدمة",0,IF(الموظفون!$Y69&lt;&gt;"",الموظفون!$Y69,IF(الموظفون!$E69="غير سعودي",cfg_WP,0))))</f>
        <v/>
      </c>
      <c r="P69" s="101" t="str">
        <f aca="false">IF($B69="","",IF(F69="✖ منتهي الخدمة",0,IF(الموظفون!$Z69&lt;&gt;"",الموظفون!$Z69,cfg_MED)))</f>
        <v/>
      </c>
      <c r="Q69" s="101" t="str">
        <f aca="false">IF($B69="","",IF(F69="✖ منتهي الخدمة",0,N(الموظفون!$AA69)))</f>
        <v/>
      </c>
      <c r="R69" s="101" t="str">
        <f aca="false">IF($B69="","",SUM(N69:Q69))</f>
        <v/>
      </c>
      <c r="S69" s="101" t="str">
        <f aca="false">IF($B69="","",R69/12)</f>
        <v/>
      </c>
      <c r="T69" s="101" t="str">
        <f aca="false">IF($B69="","",IF(1&lt;=cfg_VAL_M,'مسير يناير'!AD69+'مسير يناير'!AE69+'مسير يناير'!AF69,0)+IF(2&lt;=cfg_VAL_M,'مسير فبراير'!AD69+'مسير فبراير'!AE69+'مسير فبراير'!AF69,0)+IF(3&lt;=cfg_VAL_M,'مسير مارس'!AD69+'مسير مارس'!AE69+'مسير مارس'!AF69,0)+IF(4&lt;=cfg_VAL_M,'مسير أبريل'!AD69+'مسير أبريل'!AE69+'مسير أبريل'!AF69,0)+IF(5&lt;=cfg_VAL_M,'مسير مايو'!AD69+'مسير مايو'!AE69+'مسير مايو'!AF69,0)+IF(6&lt;=cfg_VAL_M,'مسير يونيو'!AD69+'مسير يونيو'!AE69+'مسير يونيو'!AF69,0)+IF(7&lt;=cfg_VAL_M,'مسير يوليو'!AD69+'مسير يوليو'!AE69+'مسير يوليو'!AF69,0)+IF(8&lt;=cfg_VAL_M,'مسير أغسطس'!AD69+'مسير أغسطس'!AE69+'مسير أغسطس'!AF69,0)+IF(9&lt;=cfg_VAL_M,'مسير سبتمبر'!AD69+'مسير سبتمبر'!AE69+'مسير سبتمبر'!AF69,0)+IF(10&lt;=cfg_VAL_M,'مسير أكتوبر'!AD69+'مسير أكتوبر'!AE69+'مسير أكتوبر'!AF69,0)+IF(11&lt;=cfg_VAL_M,'مسير نوفمبر'!AD69+'مسير نوفمبر'!AE69+'مسير نوفمبر'!AF69,0)+IF(12&lt;=cfg_VAL_M,'مسير ديسمبر'!AD69+'مسير ديسمبر'!AE69+'مسير ديسمبر'!AF69,0))</f>
        <v/>
      </c>
      <c r="U69" s="101" t="str">
        <f aca="false">IF(OR($B69="",F69="✖ منتهي الخدمة"),"",IF(AND(ISNUMBER(I69),I69&lt;=cfg_ALERT),N69,0)+IF(AND(ISNUMBER(L69),L69&lt;=cfg_ALERT),O69,0))</f>
        <v/>
      </c>
    </row>
    <row r="70" customFormat="false" ht="15" hidden="false" customHeight="false" outlineLevel="0" collapsed="false">
      <c r="B70" s="80" t="str">
        <f aca="false">IF(الموظفون!$B70="","",الموظفون!$B70)</f>
        <v/>
      </c>
      <c r="C70" s="80" t="str">
        <f aca="false">IF($B70="","",الموظفون!$C70)</f>
        <v/>
      </c>
      <c r="D70" s="80" t="str">
        <f aca="false">IF($B70="","",الموظفون!$D70)</f>
        <v/>
      </c>
      <c r="E70" s="80" t="str">
        <f aca="false">IF($B70="","",الموظفون!$E70)</f>
        <v/>
      </c>
      <c r="F70" s="80" t="str">
        <f aca="false">IF($B70="","",الموظفون!$AG70)</f>
        <v/>
      </c>
      <c r="G70" s="80" t="str">
        <f aca="false">IF($B70="","",IF(الموظفون!$I70="","",الموظفون!$I70))</f>
        <v/>
      </c>
      <c r="H70" s="147" t="str">
        <f aca="false">IF($B70="","",IF(الموظفون!$J70="","",الموظفون!$J70))</f>
        <v/>
      </c>
      <c r="I70" s="57" t="str">
        <f aca="false">IF(OR($B70="",H70=""),"",H70-cfg_TRACK)</f>
        <v/>
      </c>
      <c r="J70" s="80" t="str">
        <f aca="false">IF(OR($B70="",$F70="✖ منتهي الخدمة"),"",IF(H70="",IF($E70="غير سعودي","⚠ أدخل التاريخ","-"),IF(I70&lt;0,"✖ منتهية منذ "&amp;TEXT(-I70,"0")&amp;" يوم",IF(I70&lt;=cfg_ALERT,"⚠ تنتهي خلال "&amp;TEXT(I70,"0")&amp;" يوم","✔ سارية"))))</f>
        <v/>
      </c>
      <c r="K70" s="147" t="str">
        <f aca="false">IF($B70="","",IF(الموظفون!$K70="","",الموظفون!$K70))</f>
        <v/>
      </c>
      <c r="L70" s="57" t="str">
        <f aca="false">IF(OR($B70="",K70=""),"",K70-cfg_TRACK)</f>
        <v/>
      </c>
      <c r="M70" s="80" t="str">
        <f aca="false">IF(OR($B70="",$F70="✖ منتهي الخدمة"),"",IF(K70="",IF($E70="غير سعودي","⚠ أدخل التاريخ","-"),IF(L70&lt;0,"✖ منتهية منذ "&amp;TEXT(-L70,"0")&amp;" يوم",IF(L70&lt;=cfg_ALERT,"⚠ تنتهي خلال "&amp;TEXT(L70,"0")&amp;" يوم","✔ سارية"))))</f>
        <v/>
      </c>
      <c r="N70" s="97" t="str">
        <f aca="false">IF($B70="","",IF(F70="✖ منتهي الخدمة",0,IF(الموظفون!$X70&lt;&gt;"",الموظفون!$X70,IF(الموظفون!$E70="غير سعودي",cfg_IQ,0))))</f>
        <v/>
      </c>
      <c r="O70" s="97" t="str">
        <f aca="false">IF($B70="","",IF(F70="✖ منتهي الخدمة",0,IF(الموظفون!$Y70&lt;&gt;"",الموظفون!$Y70,IF(الموظفون!$E70="غير سعودي",cfg_WP,0))))</f>
        <v/>
      </c>
      <c r="P70" s="97" t="str">
        <f aca="false">IF($B70="","",IF(F70="✖ منتهي الخدمة",0,IF(الموظفون!$Z70&lt;&gt;"",الموظفون!$Z70,cfg_MED)))</f>
        <v/>
      </c>
      <c r="Q70" s="97" t="str">
        <f aca="false">IF($B70="","",IF(F70="✖ منتهي الخدمة",0,N(الموظفون!$AA70)))</f>
        <v/>
      </c>
      <c r="R70" s="97" t="str">
        <f aca="false">IF($B70="","",SUM(N70:Q70))</f>
        <v/>
      </c>
      <c r="S70" s="97" t="str">
        <f aca="false">IF($B70="","",R70/12)</f>
        <v/>
      </c>
      <c r="T70" s="97" t="str">
        <f aca="false">IF($B70="","",IF(1&lt;=cfg_VAL_M,'مسير يناير'!AD70+'مسير يناير'!AE70+'مسير يناير'!AF70,0)+IF(2&lt;=cfg_VAL_M,'مسير فبراير'!AD70+'مسير فبراير'!AE70+'مسير فبراير'!AF70,0)+IF(3&lt;=cfg_VAL_M,'مسير مارس'!AD70+'مسير مارس'!AE70+'مسير مارس'!AF70,0)+IF(4&lt;=cfg_VAL_M,'مسير أبريل'!AD70+'مسير أبريل'!AE70+'مسير أبريل'!AF70,0)+IF(5&lt;=cfg_VAL_M,'مسير مايو'!AD70+'مسير مايو'!AE70+'مسير مايو'!AF70,0)+IF(6&lt;=cfg_VAL_M,'مسير يونيو'!AD70+'مسير يونيو'!AE70+'مسير يونيو'!AF70,0)+IF(7&lt;=cfg_VAL_M,'مسير يوليو'!AD70+'مسير يوليو'!AE70+'مسير يوليو'!AF70,0)+IF(8&lt;=cfg_VAL_M,'مسير أغسطس'!AD70+'مسير أغسطس'!AE70+'مسير أغسطس'!AF70,0)+IF(9&lt;=cfg_VAL_M,'مسير سبتمبر'!AD70+'مسير سبتمبر'!AE70+'مسير سبتمبر'!AF70,0)+IF(10&lt;=cfg_VAL_M,'مسير أكتوبر'!AD70+'مسير أكتوبر'!AE70+'مسير أكتوبر'!AF70,0)+IF(11&lt;=cfg_VAL_M,'مسير نوفمبر'!AD70+'مسير نوفمبر'!AE70+'مسير نوفمبر'!AF70,0)+IF(12&lt;=cfg_VAL_M,'مسير ديسمبر'!AD70+'مسير ديسمبر'!AE70+'مسير ديسمبر'!AF70,0))</f>
        <v/>
      </c>
      <c r="U70" s="97" t="str">
        <f aca="false">IF(OR($B70="",F70="✖ منتهي الخدمة"),"",IF(AND(ISNUMBER(I70),I70&lt;=cfg_ALERT),N70,0)+IF(AND(ISNUMBER(L70),L70&lt;=cfg_ALERT),O70,0))</f>
        <v/>
      </c>
    </row>
    <row r="71" customFormat="false" ht="15" hidden="false" customHeight="false" outlineLevel="0" collapsed="false">
      <c r="B71" s="102" t="str">
        <f aca="false">IF(الموظفون!$B71="","",الموظفون!$B71)</f>
        <v/>
      </c>
      <c r="C71" s="102" t="str">
        <f aca="false">IF($B71="","",الموظفون!$C71)</f>
        <v/>
      </c>
      <c r="D71" s="102" t="str">
        <f aca="false">IF($B71="","",الموظفون!$D71)</f>
        <v/>
      </c>
      <c r="E71" s="102" t="str">
        <f aca="false">IF($B71="","",الموظفون!$E71)</f>
        <v/>
      </c>
      <c r="F71" s="102" t="str">
        <f aca="false">IF($B71="","",الموظفون!$AG71)</f>
        <v/>
      </c>
      <c r="G71" s="102" t="str">
        <f aca="false">IF($B71="","",IF(الموظفون!$I71="","",الموظفون!$I71))</f>
        <v/>
      </c>
      <c r="H71" s="148" t="str">
        <f aca="false">IF($B71="","",IF(الموظفون!$J71="","",الموظفون!$J71))</f>
        <v/>
      </c>
      <c r="I71" s="110" t="str">
        <f aca="false">IF(OR($B71="",H71=""),"",H71-cfg_TRACK)</f>
        <v/>
      </c>
      <c r="J71" s="102" t="str">
        <f aca="false">IF(OR($B71="",$F71="✖ منتهي الخدمة"),"",IF(H71="",IF($E71="غير سعودي","⚠ أدخل التاريخ","-"),IF(I71&lt;0,"✖ منتهية منذ "&amp;TEXT(-I71,"0")&amp;" يوم",IF(I71&lt;=cfg_ALERT,"⚠ تنتهي خلال "&amp;TEXT(I71,"0")&amp;" يوم","✔ سارية"))))</f>
        <v/>
      </c>
      <c r="K71" s="148" t="str">
        <f aca="false">IF($B71="","",IF(الموظفون!$K71="","",الموظفون!$K71))</f>
        <v/>
      </c>
      <c r="L71" s="110" t="str">
        <f aca="false">IF(OR($B71="",K71=""),"",K71-cfg_TRACK)</f>
        <v/>
      </c>
      <c r="M71" s="102" t="str">
        <f aca="false">IF(OR($B71="",$F71="✖ منتهي الخدمة"),"",IF(K71="",IF($E71="غير سعودي","⚠ أدخل التاريخ","-"),IF(L71&lt;0,"✖ منتهية منذ "&amp;TEXT(-L71,"0")&amp;" يوم",IF(L71&lt;=cfg_ALERT,"⚠ تنتهي خلال "&amp;TEXT(L71,"0")&amp;" يوم","✔ سارية"))))</f>
        <v/>
      </c>
      <c r="N71" s="101" t="str">
        <f aca="false">IF($B71="","",IF(F71="✖ منتهي الخدمة",0,IF(الموظفون!$X71&lt;&gt;"",الموظفون!$X71,IF(الموظفون!$E71="غير سعودي",cfg_IQ,0))))</f>
        <v/>
      </c>
      <c r="O71" s="101" t="str">
        <f aca="false">IF($B71="","",IF(F71="✖ منتهي الخدمة",0,IF(الموظفون!$Y71&lt;&gt;"",الموظفون!$Y71,IF(الموظفون!$E71="غير سعودي",cfg_WP,0))))</f>
        <v/>
      </c>
      <c r="P71" s="101" t="str">
        <f aca="false">IF($B71="","",IF(F71="✖ منتهي الخدمة",0,IF(الموظفون!$Z71&lt;&gt;"",الموظفون!$Z71,cfg_MED)))</f>
        <v/>
      </c>
      <c r="Q71" s="101" t="str">
        <f aca="false">IF($B71="","",IF(F71="✖ منتهي الخدمة",0,N(الموظفون!$AA71)))</f>
        <v/>
      </c>
      <c r="R71" s="101" t="str">
        <f aca="false">IF($B71="","",SUM(N71:Q71))</f>
        <v/>
      </c>
      <c r="S71" s="101" t="str">
        <f aca="false">IF($B71="","",R71/12)</f>
        <v/>
      </c>
      <c r="T71" s="101" t="str">
        <f aca="false">IF($B71="","",IF(1&lt;=cfg_VAL_M,'مسير يناير'!AD71+'مسير يناير'!AE71+'مسير يناير'!AF71,0)+IF(2&lt;=cfg_VAL_M,'مسير فبراير'!AD71+'مسير فبراير'!AE71+'مسير فبراير'!AF71,0)+IF(3&lt;=cfg_VAL_M,'مسير مارس'!AD71+'مسير مارس'!AE71+'مسير مارس'!AF71,0)+IF(4&lt;=cfg_VAL_M,'مسير أبريل'!AD71+'مسير أبريل'!AE71+'مسير أبريل'!AF71,0)+IF(5&lt;=cfg_VAL_M,'مسير مايو'!AD71+'مسير مايو'!AE71+'مسير مايو'!AF71,0)+IF(6&lt;=cfg_VAL_M,'مسير يونيو'!AD71+'مسير يونيو'!AE71+'مسير يونيو'!AF71,0)+IF(7&lt;=cfg_VAL_M,'مسير يوليو'!AD71+'مسير يوليو'!AE71+'مسير يوليو'!AF71,0)+IF(8&lt;=cfg_VAL_M,'مسير أغسطس'!AD71+'مسير أغسطس'!AE71+'مسير أغسطس'!AF71,0)+IF(9&lt;=cfg_VAL_M,'مسير سبتمبر'!AD71+'مسير سبتمبر'!AE71+'مسير سبتمبر'!AF71,0)+IF(10&lt;=cfg_VAL_M,'مسير أكتوبر'!AD71+'مسير أكتوبر'!AE71+'مسير أكتوبر'!AF71,0)+IF(11&lt;=cfg_VAL_M,'مسير نوفمبر'!AD71+'مسير نوفمبر'!AE71+'مسير نوفمبر'!AF71,0)+IF(12&lt;=cfg_VAL_M,'مسير ديسمبر'!AD71+'مسير ديسمبر'!AE71+'مسير ديسمبر'!AF71,0))</f>
        <v/>
      </c>
      <c r="U71" s="101" t="str">
        <f aca="false">IF(OR($B71="",F71="✖ منتهي الخدمة"),"",IF(AND(ISNUMBER(I71),I71&lt;=cfg_ALERT),N71,0)+IF(AND(ISNUMBER(L71),L71&lt;=cfg_ALERT),O71,0))</f>
        <v/>
      </c>
    </row>
    <row r="72" customFormat="false" ht="15" hidden="false" customHeight="false" outlineLevel="0" collapsed="false">
      <c r="B72" s="80" t="str">
        <f aca="false">IF(الموظفون!$B72="","",الموظفون!$B72)</f>
        <v/>
      </c>
      <c r="C72" s="80" t="str">
        <f aca="false">IF($B72="","",الموظفون!$C72)</f>
        <v/>
      </c>
      <c r="D72" s="80" t="str">
        <f aca="false">IF($B72="","",الموظفون!$D72)</f>
        <v/>
      </c>
      <c r="E72" s="80" t="str">
        <f aca="false">IF($B72="","",الموظفون!$E72)</f>
        <v/>
      </c>
      <c r="F72" s="80" t="str">
        <f aca="false">IF($B72="","",الموظفون!$AG72)</f>
        <v/>
      </c>
      <c r="G72" s="80" t="str">
        <f aca="false">IF($B72="","",IF(الموظفون!$I72="","",الموظفون!$I72))</f>
        <v/>
      </c>
      <c r="H72" s="147" t="str">
        <f aca="false">IF($B72="","",IF(الموظفون!$J72="","",الموظفون!$J72))</f>
        <v/>
      </c>
      <c r="I72" s="57" t="str">
        <f aca="false">IF(OR($B72="",H72=""),"",H72-cfg_TRACK)</f>
        <v/>
      </c>
      <c r="J72" s="80" t="str">
        <f aca="false">IF(OR($B72="",$F72="✖ منتهي الخدمة"),"",IF(H72="",IF($E72="غير سعودي","⚠ أدخل التاريخ","-"),IF(I72&lt;0,"✖ منتهية منذ "&amp;TEXT(-I72,"0")&amp;" يوم",IF(I72&lt;=cfg_ALERT,"⚠ تنتهي خلال "&amp;TEXT(I72,"0")&amp;" يوم","✔ سارية"))))</f>
        <v/>
      </c>
      <c r="K72" s="147" t="str">
        <f aca="false">IF($B72="","",IF(الموظفون!$K72="","",الموظفون!$K72))</f>
        <v/>
      </c>
      <c r="L72" s="57" t="str">
        <f aca="false">IF(OR($B72="",K72=""),"",K72-cfg_TRACK)</f>
        <v/>
      </c>
      <c r="M72" s="80" t="str">
        <f aca="false">IF(OR($B72="",$F72="✖ منتهي الخدمة"),"",IF(K72="",IF($E72="غير سعودي","⚠ أدخل التاريخ","-"),IF(L72&lt;0,"✖ منتهية منذ "&amp;TEXT(-L72,"0")&amp;" يوم",IF(L72&lt;=cfg_ALERT,"⚠ تنتهي خلال "&amp;TEXT(L72,"0")&amp;" يوم","✔ سارية"))))</f>
        <v/>
      </c>
      <c r="N72" s="97" t="str">
        <f aca="false">IF($B72="","",IF(F72="✖ منتهي الخدمة",0,IF(الموظفون!$X72&lt;&gt;"",الموظفون!$X72,IF(الموظفون!$E72="غير سعودي",cfg_IQ,0))))</f>
        <v/>
      </c>
      <c r="O72" s="97" t="str">
        <f aca="false">IF($B72="","",IF(F72="✖ منتهي الخدمة",0,IF(الموظفون!$Y72&lt;&gt;"",الموظفون!$Y72,IF(الموظفون!$E72="غير سعودي",cfg_WP,0))))</f>
        <v/>
      </c>
      <c r="P72" s="97" t="str">
        <f aca="false">IF($B72="","",IF(F72="✖ منتهي الخدمة",0,IF(الموظفون!$Z72&lt;&gt;"",الموظفون!$Z72,cfg_MED)))</f>
        <v/>
      </c>
      <c r="Q72" s="97" t="str">
        <f aca="false">IF($B72="","",IF(F72="✖ منتهي الخدمة",0,N(الموظفون!$AA72)))</f>
        <v/>
      </c>
      <c r="R72" s="97" t="str">
        <f aca="false">IF($B72="","",SUM(N72:Q72))</f>
        <v/>
      </c>
      <c r="S72" s="97" t="str">
        <f aca="false">IF($B72="","",R72/12)</f>
        <v/>
      </c>
      <c r="T72" s="97" t="str">
        <f aca="false">IF($B72="","",IF(1&lt;=cfg_VAL_M,'مسير يناير'!AD72+'مسير يناير'!AE72+'مسير يناير'!AF72,0)+IF(2&lt;=cfg_VAL_M,'مسير فبراير'!AD72+'مسير فبراير'!AE72+'مسير فبراير'!AF72,0)+IF(3&lt;=cfg_VAL_M,'مسير مارس'!AD72+'مسير مارس'!AE72+'مسير مارس'!AF72,0)+IF(4&lt;=cfg_VAL_M,'مسير أبريل'!AD72+'مسير أبريل'!AE72+'مسير أبريل'!AF72,0)+IF(5&lt;=cfg_VAL_M,'مسير مايو'!AD72+'مسير مايو'!AE72+'مسير مايو'!AF72,0)+IF(6&lt;=cfg_VAL_M,'مسير يونيو'!AD72+'مسير يونيو'!AE72+'مسير يونيو'!AF72,0)+IF(7&lt;=cfg_VAL_M,'مسير يوليو'!AD72+'مسير يوليو'!AE72+'مسير يوليو'!AF72,0)+IF(8&lt;=cfg_VAL_M,'مسير أغسطس'!AD72+'مسير أغسطس'!AE72+'مسير أغسطس'!AF72,0)+IF(9&lt;=cfg_VAL_M,'مسير سبتمبر'!AD72+'مسير سبتمبر'!AE72+'مسير سبتمبر'!AF72,0)+IF(10&lt;=cfg_VAL_M,'مسير أكتوبر'!AD72+'مسير أكتوبر'!AE72+'مسير أكتوبر'!AF72,0)+IF(11&lt;=cfg_VAL_M,'مسير نوفمبر'!AD72+'مسير نوفمبر'!AE72+'مسير نوفمبر'!AF72,0)+IF(12&lt;=cfg_VAL_M,'مسير ديسمبر'!AD72+'مسير ديسمبر'!AE72+'مسير ديسمبر'!AF72,0))</f>
        <v/>
      </c>
      <c r="U72" s="97" t="str">
        <f aca="false">IF(OR($B72="",F72="✖ منتهي الخدمة"),"",IF(AND(ISNUMBER(I72),I72&lt;=cfg_ALERT),N72,0)+IF(AND(ISNUMBER(L72),L72&lt;=cfg_ALERT),O72,0))</f>
        <v/>
      </c>
    </row>
    <row r="73" customFormat="false" ht="15" hidden="false" customHeight="false" outlineLevel="0" collapsed="false">
      <c r="B73" s="102" t="str">
        <f aca="false">IF(الموظفون!$B73="","",الموظفون!$B73)</f>
        <v/>
      </c>
      <c r="C73" s="102" t="str">
        <f aca="false">IF($B73="","",الموظفون!$C73)</f>
        <v/>
      </c>
      <c r="D73" s="102" t="str">
        <f aca="false">IF($B73="","",الموظفون!$D73)</f>
        <v/>
      </c>
      <c r="E73" s="102" t="str">
        <f aca="false">IF($B73="","",الموظفون!$E73)</f>
        <v/>
      </c>
      <c r="F73" s="102" t="str">
        <f aca="false">IF($B73="","",الموظفون!$AG73)</f>
        <v/>
      </c>
      <c r="G73" s="102" t="str">
        <f aca="false">IF($B73="","",IF(الموظفون!$I73="","",الموظفون!$I73))</f>
        <v/>
      </c>
      <c r="H73" s="148" t="str">
        <f aca="false">IF($B73="","",IF(الموظفون!$J73="","",الموظفون!$J73))</f>
        <v/>
      </c>
      <c r="I73" s="110" t="str">
        <f aca="false">IF(OR($B73="",H73=""),"",H73-cfg_TRACK)</f>
        <v/>
      </c>
      <c r="J73" s="102" t="str">
        <f aca="false">IF(OR($B73="",$F73="✖ منتهي الخدمة"),"",IF(H73="",IF($E73="غير سعودي","⚠ أدخل التاريخ","-"),IF(I73&lt;0,"✖ منتهية منذ "&amp;TEXT(-I73,"0")&amp;" يوم",IF(I73&lt;=cfg_ALERT,"⚠ تنتهي خلال "&amp;TEXT(I73,"0")&amp;" يوم","✔ سارية"))))</f>
        <v/>
      </c>
      <c r="K73" s="148" t="str">
        <f aca="false">IF($B73="","",IF(الموظفون!$K73="","",الموظفون!$K73))</f>
        <v/>
      </c>
      <c r="L73" s="110" t="str">
        <f aca="false">IF(OR($B73="",K73=""),"",K73-cfg_TRACK)</f>
        <v/>
      </c>
      <c r="M73" s="102" t="str">
        <f aca="false">IF(OR($B73="",$F73="✖ منتهي الخدمة"),"",IF(K73="",IF($E73="غير سعودي","⚠ أدخل التاريخ","-"),IF(L73&lt;0,"✖ منتهية منذ "&amp;TEXT(-L73,"0")&amp;" يوم",IF(L73&lt;=cfg_ALERT,"⚠ تنتهي خلال "&amp;TEXT(L73,"0")&amp;" يوم","✔ سارية"))))</f>
        <v/>
      </c>
      <c r="N73" s="101" t="str">
        <f aca="false">IF($B73="","",IF(F73="✖ منتهي الخدمة",0,IF(الموظفون!$X73&lt;&gt;"",الموظفون!$X73,IF(الموظفون!$E73="غير سعودي",cfg_IQ,0))))</f>
        <v/>
      </c>
      <c r="O73" s="101" t="str">
        <f aca="false">IF($B73="","",IF(F73="✖ منتهي الخدمة",0,IF(الموظفون!$Y73&lt;&gt;"",الموظفون!$Y73,IF(الموظفون!$E73="غير سعودي",cfg_WP,0))))</f>
        <v/>
      </c>
      <c r="P73" s="101" t="str">
        <f aca="false">IF($B73="","",IF(F73="✖ منتهي الخدمة",0,IF(الموظفون!$Z73&lt;&gt;"",الموظفون!$Z73,cfg_MED)))</f>
        <v/>
      </c>
      <c r="Q73" s="101" t="str">
        <f aca="false">IF($B73="","",IF(F73="✖ منتهي الخدمة",0,N(الموظفون!$AA73)))</f>
        <v/>
      </c>
      <c r="R73" s="101" t="str">
        <f aca="false">IF($B73="","",SUM(N73:Q73))</f>
        <v/>
      </c>
      <c r="S73" s="101" t="str">
        <f aca="false">IF($B73="","",R73/12)</f>
        <v/>
      </c>
      <c r="T73" s="101" t="str">
        <f aca="false">IF($B73="","",IF(1&lt;=cfg_VAL_M,'مسير يناير'!AD73+'مسير يناير'!AE73+'مسير يناير'!AF73,0)+IF(2&lt;=cfg_VAL_M,'مسير فبراير'!AD73+'مسير فبراير'!AE73+'مسير فبراير'!AF73,0)+IF(3&lt;=cfg_VAL_M,'مسير مارس'!AD73+'مسير مارس'!AE73+'مسير مارس'!AF73,0)+IF(4&lt;=cfg_VAL_M,'مسير أبريل'!AD73+'مسير أبريل'!AE73+'مسير أبريل'!AF73,0)+IF(5&lt;=cfg_VAL_M,'مسير مايو'!AD73+'مسير مايو'!AE73+'مسير مايو'!AF73,0)+IF(6&lt;=cfg_VAL_M,'مسير يونيو'!AD73+'مسير يونيو'!AE73+'مسير يونيو'!AF73,0)+IF(7&lt;=cfg_VAL_M,'مسير يوليو'!AD73+'مسير يوليو'!AE73+'مسير يوليو'!AF73,0)+IF(8&lt;=cfg_VAL_M,'مسير أغسطس'!AD73+'مسير أغسطس'!AE73+'مسير أغسطس'!AF73,0)+IF(9&lt;=cfg_VAL_M,'مسير سبتمبر'!AD73+'مسير سبتمبر'!AE73+'مسير سبتمبر'!AF73,0)+IF(10&lt;=cfg_VAL_M,'مسير أكتوبر'!AD73+'مسير أكتوبر'!AE73+'مسير أكتوبر'!AF73,0)+IF(11&lt;=cfg_VAL_M,'مسير نوفمبر'!AD73+'مسير نوفمبر'!AE73+'مسير نوفمبر'!AF73,0)+IF(12&lt;=cfg_VAL_M,'مسير ديسمبر'!AD73+'مسير ديسمبر'!AE73+'مسير ديسمبر'!AF73,0))</f>
        <v/>
      </c>
      <c r="U73" s="101" t="str">
        <f aca="false">IF(OR($B73="",F73="✖ منتهي الخدمة"),"",IF(AND(ISNUMBER(I73),I73&lt;=cfg_ALERT),N73,0)+IF(AND(ISNUMBER(L73),L73&lt;=cfg_ALERT),O73,0))</f>
        <v/>
      </c>
    </row>
    <row r="74" customFormat="false" ht="15" hidden="false" customHeight="false" outlineLevel="0" collapsed="false">
      <c r="B74" s="80" t="str">
        <f aca="false">IF(الموظفون!$B74="","",الموظفون!$B74)</f>
        <v/>
      </c>
      <c r="C74" s="80" t="str">
        <f aca="false">IF($B74="","",الموظفون!$C74)</f>
        <v/>
      </c>
      <c r="D74" s="80" t="str">
        <f aca="false">IF($B74="","",الموظفون!$D74)</f>
        <v/>
      </c>
      <c r="E74" s="80" t="str">
        <f aca="false">IF($B74="","",الموظفون!$E74)</f>
        <v/>
      </c>
      <c r="F74" s="80" t="str">
        <f aca="false">IF($B74="","",الموظفون!$AG74)</f>
        <v/>
      </c>
      <c r="G74" s="80" t="str">
        <f aca="false">IF($B74="","",IF(الموظفون!$I74="","",الموظفون!$I74))</f>
        <v/>
      </c>
      <c r="H74" s="147" t="str">
        <f aca="false">IF($B74="","",IF(الموظفون!$J74="","",الموظفون!$J74))</f>
        <v/>
      </c>
      <c r="I74" s="57" t="str">
        <f aca="false">IF(OR($B74="",H74=""),"",H74-cfg_TRACK)</f>
        <v/>
      </c>
      <c r="J74" s="80" t="str">
        <f aca="false">IF(OR($B74="",$F74="✖ منتهي الخدمة"),"",IF(H74="",IF($E74="غير سعودي","⚠ أدخل التاريخ","-"),IF(I74&lt;0,"✖ منتهية منذ "&amp;TEXT(-I74,"0")&amp;" يوم",IF(I74&lt;=cfg_ALERT,"⚠ تنتهي خلال "&amp;TEXT(I74,"0")&amp;" يوم","✔ سارية"))))</f>
        <v/>
      </c>
      <c r="K74" s="147" t="str">
        <f aca="false">IF($B74="","",IF(الموظفون!$K74="","",الموظفون!$K74))</f>
        <v/>
      </c>
      <c r="L74" s="57" t="str">
        <f aca="false">IF(OR($B74="",K74=""),"",K74-cfg_TRACK)</f>
        <v/>
      </c>
      <c r="M74" s="80" t="str">
        <f aca="false">IF(OR($B74="",$F74="✖ منتهي الخدمة"),"",IF(K74="",IF($E74="غير سعودي","⚠ أدخل التاريخ","-"),IF(L74&lt;0,"✖ منتهية منذ "&amp;TEXT(-L74,"0")&amp;" يوم",IF(L74&lt;=cfg_ALERT,"⚠ تنتهي خلال "&amp;TEXT(L74,"0")&amp;" يوم","✔ سارية"))))</f>
        <v/>
      </c>
      <c r="N74" s="97" t="str">
        <f aca="false">IF($B74="","",IF(F74="✖ منتهي الخدمة",0,IF(الموظفون!$X74&lt;&gt;"",الموظفون!$X74,IF(الموظفون!$E74="غير سعودي",cfg_IQ,0))))</f>
        <v/>
      </c>
      <c r="O74" s="97" t="str">
        <f aca="false">IF($B74="","",IF(F74="✖ منتهي الخدمة",0,IF(الموظفون!$Y74&lt;&gt;"",الموظفون!$Y74,IF(الموظفون!$E74="غير سعودي",cfg_WP,0))))</f>
        <v/>
      </c>
      <c r="P74" s="97" t="str">
        <f aca="false">IF($B74="","",IF(F74="✖ منتهي الخدمة",0,IF(الموظفون!$Z74&lt;&gt;"",الموظفون!$Z74,cfg_MED)))</f>
        <v/>
      </c>
      <c r="Q74" s="97" t="str">
        <f aca="false">IF($B74="","",IF(F74="✖ منتهي الخدمة",0,N(الموظفون!$AA74)))</f>
        <v/>
      </c>
      <c r="R74" s="97" t="str">
        <f aca="false">IF($B74="","",SUM(N74:Q74))</f>
        <v/>
      </c>
      <c r="S74" s="97" t="str">
        <f aca="false">IF($B74="","",R74/12)</f>
        <v/>
      </c>
      <c r="T74" s="97" t="str">
        <f aca="false">IF($B74="","",IF(1&lt;=cfg_VAL_M,'مسير يناير'!AD74+'مسير يناير'!AE74+'مسير يناير'!AF74,0)+IF(2&lt;=cfg_VAL_M,'مسير فبراير'!AD74+'مسير فبراير'!AE74+'مسير فبراير'!AF74,0)+IF(3&lt;=cfg_VAL_M,'مسير مارس'!AD74+'مسير مارس'!AE74+'مسير مارس'!AF74,0)+IF(4&lt;=cfg_VAL_M,'مسير أبريل'!AD74+'مسير أبريل'!AE74+'مسير أبريل'!AF74,0)+IF(5&lt;=cfg_VAL_M,'مسير مايو'!AD74+'مسير مايو'!AE74+'مسير مايو'!AF74,0)+IF(6&lt;=cfg_VAL_M,'مسير يونيو'!AD74+'مسير يونيو'!AE74+'مسير يونيو'!AF74,0)+IF(7&lt;=cfg_VAL_M,'مسير يوليو'!AD74+'مسير يوليو'!AE74+'مسير يوليو'!AF74,0)+IF(8&lt;=cfg_VAL_M,'مسير أغسطس'!AD74+'مسير أغسطس'!AE74+'مسير أغسطس'!AF74,0)+IF(9&lt;=cfg_VAL_M,'مسير سبتمبر'!AD74+'مسير سبتمبر'!AE74+'مسير سبتمبر'!AF74,0)+IF(10&lt;=cfg_VAL_M,'مسير أكتوبر'!AD74+'مسير أكتوبر'!AE74+'مسير أكتوبر'!AF74,0)+IF(11&lt;=cfg_VAL_M,'مسير نوفمبر'!AD74+'مسير نوفمبر'!AE74+'مسير نوفمبر'!AF74,0)+IF(12&lt;=cfg_VAL_M,'مسير ديسمبر'!AD74+'مسير ديسمبر'!AE74+'مسير ديسمبر'!AF74,0))</f>
        <v/>
      </c>
      <c r="U74" s="97" t="str">
        <f aca="false">IF(OR($B74="",F74="✖ منتهي الخدمة"),"",IF(AND(ISNUMBER(I74),I74&lt;=cfg_ALERT),N74,0)+IF(AND(ISNUMBER(L74),L74&lt;=cfg_ALERT),O74,0))</f>
        <v/>
      </c>
    </row>
    <row r="75" customFormat="false" ht="15" hidden="false" customHeight="false" outlineLevel="0" collapsed="false">
      <c r="B75" s="102" t="str">
        <f aca="false">IF(الموظفون!$B75="","",الموظفون!$B75)</f>
        <v/>
      </c>
      <c r="C75" s="102" t="str">
        <f aca="false">IF($B75="","",الموظفون!$C75)</f>
        <v/>
      </c>
      <c r="D75" s="102" t="str">
        <f aca="false">IF($B75="","",الموظفون!$D75)</f>
        <v/>
      </c>
      <c r="E75" s="102" t="str">
        <f aca="false">IF($B75="","",الموظفون!$E75)</f>
        <v/>
      </c>
      <c r="F75" s="102" t="str">
        <f aca="false">IF($B75="","",الموظفون!$AG75)</f>
        <v/>
      </c>
      <c r="G75" s="102" t="str">
        <f aca="false">IF($B75="","",IF(الموظفون!$I75="","",الموظفون!$I75))</f>
        <v/>
      </c>
      <c r="H75" s="148" t="str">
        <f aca="false">IF($B75="","",IF(الموظفون!$J75="","",الموظفون!$J75))</f>
        <v/>
      </c>
      <c r="I75" s="110" t="str">
        <f aca="false">IF(OR($B75="",H75=""),"",H75-cfg_TRACK)</f>
        <v/>
      </c>
      <c r="J75" s="102" t="str">
        <f aca="false">IF(OR($B75="",$F75="✖ منتهي الخدمة"),"",IF(H75="",IF($E75="غير سعودي","⚠ أدخل التاريخ","-"),IF(I75&lt;0,"✖ منتهية منذ "&amp;TEXT(-I75,"0")&amp;" يوم",IF(I75&lt;=cfg_ALERT,"⚠ تنتهي خلال "&amp;TEXT(I75,"0")&amp;" يوم","✔ سارية"))))</f>
        <v/>
      </c>
      <c r="K75" s="148" t="str">
        <f aca="false">IF($B75="","",IF(الموظفون!$K75="","",الموظفون!$K75))</f>
        <v/>
      </c>
      <c r="L75" s="110" t="str">
        <f aca="false">IF(OR($B75="",K75=""),"",K75-cfg_TRACK)</f>
        <v/>
      </c>
      <c r="M75" s="102" t="str">
        <f aca="false">IF(OR($B75="",$F75="✖ منتهي الخدمة"),"",IF(K75="",IF($E75="غير سعودي","⚠ أدخل التاريخ","-"),IF(L75&lt;0,"✖ منتهية منذ "&amp;TEXT(-L75,"0")&amp;" يوم",IF(L75&lt;=cfg_ALERT,"⚠ تنتهي خلال "&amp;TEXT(L75,"0")&amp;" يوم","✔ سارية"))))</f>
        <v/>
      </c>
      <c r="N75" s="101" t="str">
        <f aca="false">IF($B75="","",IF(F75="✖ منتهي الخدمة",0,IF(الموظفون!$X75&lt;&gt;"",الموظفون!$X75,IF(الموظفون!$E75="غير سعودي",cfg_IQ,0))))</f>
        <v/>
      </c>
      <c r="O75" s="101" t="str">
        <f aca="false">IF($B75="","",IF(F75="✖ منتهي الخدمة",0,IF(الموظفون!$Y75&lt;&gt;"",الموظفون!$Y75,IF(الموظفون!$E75="غير سعودي",cfg_WP,0))))</f>
        <v/>
      </c>
      <c r="P75" s="101" t="str">
        <f aca="false">IF($B75="","",IF(F75="✖ منتهي الخدمة",0,IF(الموظفون!$Z75&lt;&gt;"",الموظفون!$Z75,cfg_MED)))</f>
        <v/>
      </c>
      <c r="Q75" s="101" t="str">
        <f aca="false">IF($B75="","",IF(F75="✖ منتهي الخدمة",0,N(الموظفون!$AA75)))</f>
        <v/>
      </c>
      <c r="R75" s="101" t="str">
        <f aca="false">IF($B75="","",SUM(N75:Q75))</f>
        <v/>
      </c>
      <c r="S75" s="101" t="str">
        <f aca="false">IF($B75="","",R75/12)</f>
        <v/>
      </c>
      <c r="T75" s="101" t="str">
        <f aca="false">IF($B75="","",IF(1&lt;=cfg_VAL_M,'مسير يناير'!AD75+'مسير يناير'!AE75+'مسير يناير'!AF75,0)+IF(2&lt;=cfg_VAL_M,'مسير فبراير'!AD75+'مسير فبراير'!AE75+'مسير فبراير'!AF75,0)+IF(3&lt;=cfg_VAL_M,'مسير مارس'!AD75+'مسير مارس'!AE75+'مسير مارس'!AF75,0)+IF(4&lt;=cfg_VAL_M,'مسير أبريل'!AD75+'مسير أبريل'!AE75+'مسير أبريل'!AF75,0)+IF(5&lt;=cfg_VAL_M,'مسير مايو'!AD75+'مسير مايو'!AE75+'مسير مايو'!AF75,0)+IF(6&lt;=cfg_VAL_M,'مسير يونيو'!AD75+'مسير يونيو'!AE75+'مسير يونيو'!AF75,0)+IF(7&lt;=cfg_VAL_M,'مسير يوليو'!AD75+'مسير يوليو'!AE75+'مسير يوليو'!AF75,0)+IF(8&lt;=cfg_VAL_M,'مسير أغسطس'!AD75+'مسير أغسطس'!AE75+'مسير أغسطس'!AF75,0)+IF(9&lt;=cfg_VAL_M,'مسير سبتمبر'!AD75+'مسير سبتمبر'!AE75+'مسير سبتمبر'!AF75,0)+IF(10&lt;=cfg_VAL_M,'مسير أكتوبر'!AD75+'مسير أكتوبر'!AE75+'مسير أكتوبر'!AF75,0)+IF(11&lt;=cfg_VAL_M,'مسير نوفمبر'!AD75+'مسير نوفمبر'!AE75+'مسير نوفمبر'!AF75,0)+IF(12&lt;=cfg_VAL_M,'مسير ديسمبر'!AD75+'مسير ديسمبر'!AE75+'مسير ديسمبر'!AF75,0))</f>
        <v/>
      </c>
      <c r="U75" s="101" t="str">
        <f aca="false">IF(OR($B75="",F75="✖ منتهي الخدمة"),"",IF(AND(ISNUMBER(I75),I75&lt;=cfg_ALERT),N75,0)+IF(AND(ISNUMBER(L75),L75&lt;=cfg_ALERT),O75,0))</f>
        <v/>
      </c>
    </row>
    <row r="76" customFormat="false" ht="15" hidden="false" customHeight="false" outlineLevel="0" collapsed="false">
      <c r="B76" s="80" t="str">
        <f aca="false">IF(الموظفون!$B76="","",الموظفون!$B76)</f>
        <v/>
      </c>
      <c r="C76" s="80" t="str">
        <f aca="false">IF($B76="","",الموظفون!$C76)</f>
        <v/>
      </c>
      <c r="D76" s="80" t="str">
        <f aca="false">IF($B76="","",الموظفون!$D76)</f>
        <v/>
      </c>
      <c r="E76" s="80" t="str">
        <f aca="false">IF($B76="","",الموظفون!$E76)</f>
        <v/>
      </c>
      <c r="F76" s="80" t="str">
        <f aca="false">IF($B76="","",الموظفون!$AG76)</f>
        <v/>
      </c>
      <c r="G76" s="80" t="str">
        <f aca="false">IF($B76="","",IF(الموظفون!$I76="","",الموظفون!$I76))</f>
        <v/>
      </c>
      <c r="H76" s="147" t="str">
        <f aca="false">IF($B76="","",IF(الموظفون!$J76="","",الموظفون!$J76))</f>
        <v/>
      </c>
      <c r="I76" s="57" t="str">
        <f aca="false">IF(OR($B76="",H76=""),"",H76-cfg_TRACK)</f>
        <v/>
      </c>
      <c r="J76" s="80" t="str">
        <f aca="false">IF(OR($B76="",$F76="✖ منتهي الخدمة"),"",IF(H76="",IF($E76="غير سعودي","⚠ أدخل التاريخ","-"),IF(I76&lt;0,"✖ منتهية منذ "&amp;TEXT(-I76,"0")&amp;" يوم",IF(I76&lt;=cfg_ALERT,"⚠ تنتهي خلال "&amp;TEXT(I76,"0")&amp;" يوم","✔ سارية"))))</f>
        <v/>
      </c>
      <c r="K76" s="147" t="str">
        <f aca="false">IF($B76="","",IF(الموظفون!$K76="","",الموظفون!$K76))</f>
        <v/>
      </c>
      <c r="L76" s="57" t="str">
        <f aca="false">IF(OR($B76="",K76=""),"",K76-cfg_TRACK)</f>
        <v/>
      </c>
      <c r="M76" s="80" t="str">
        <f aca="false">IF(OR($B76="",$F76="✖ منتهي الخدمة"),"",IF(K76="",IF($E76="غير سعودي","⚠ أدخل التاريخ","-"),IF(L76&lt;0,"✖ منتهية منذ "&amp;TEXT(-L76,"0")&amp;" يوم",IF(L76&lt;=cfg_ALERT,"⚠ تنتهي خلال "&amp;TEXT(L76,"0")&amp;" يوم","✔ سارية"))))</f>
        <v/>
      </c>
      <c r="N76" s="97" t="str">
        <f aca="false">IF($B76="","",IF(F76="✖ منتهي الخدمة",0,IF(الموظفون!$X76&lt;&gt;"",الموظفون!$X76,IF(الموظفون!$E76="غير سعودي",cfg_IQ,0))))</f>
        <v/>
      </c>
      <c r="O76" s="97" t="str">
        <f aca="false">IF($B76="","",IF(F76="✖ منتهي الخدمة",0,IF(الموظفون!$Y76&lt;&gt;"",الموظفون!$Y76,IF(الموظفون!$E76="غير سعودي",cfg_WP,0))))</f>
        <v/>
      </c>
      <c r="P76" s="97" t="str">
        <f aca="false">IF($B76="","",IF(F76="✖ منتهي الخدمة",0,IF(الموظفون!$Z76&lt;&gt;"",الموظفون!$Z76,cfg_MED)))</f>
        <v/>
      </c>
      <c r="Q76" s="97" t="str">
        <f aca="false">IF($B76="","",IF(F76="✖ منتهي الخدمة",0,N(الموظفون!$AA76)))</f>
        <v/>
      </c>
      <c r="R76" s="97" t="str">
        <f aca="false">IF($B76="","",SUM(N76:Q76))</f>
        <v/>
      </c>
      <c r="S76" s="97" t="str">
        <f aca="false">IF($B76="","",R76/12)</f>
        <v/>
      </c>
      <c r="T76" s="97" t="str">
        <f aca="false">IF($B76="","",IF(1&lt;=cfg_VAL_M,'مسير يناير'!AD76+'مسير يناير'!AE76+'مسير يناير'!AF76,0)+IF(2&lt;=cfg_VAL_M,'مسير فبراير'!AD76+'مسير فبراير'!AE76+'مسير فبراير'!AF76,0)+IF(3&lt;=cfg_VAL_M,'مسير مارس'!AD76+'مسير مارس'!AE76+'مسير مارس'!AF76,0)+IF(4&lt;=cfg_VAL_M,'مسير أبريل'!AD76+'مسير أبريل'!AE76+'مسير أبريل'!AF76,0)+IF(5&lt;=cfg_VAL_M,'مسير مايو'!AD76+'مسير مايو'!AE76+'مسير مايو'!AF76,0)+IF(6&lt;=cfg_VAL_M,'مسير يونيو'!AD76+'مسير يونيو'!AE76+'مسير يونيو'!AF76,0)+IF(7&lt;=cfg_VAL_M,'مسير يوليو'!AD76+'مسير يوليو'!AE76+'مسير يوليو'!AF76,0)+IF(8&lt;=cfg_VAL_M,'مسير أغسطس'!AD76+'مسير أغسطس'!AE76+'مسير أغسطس'!AF76,0)+IF(9&lt;=cfg_VAL_M,'مسير سبتمبر'!AD76+'مسير سبتمبر'!AE76+'مسير سبتمبر'!AF76,0)+IF(10&lt;=cfg_VAL_M,'مسير أكتوبر'!AD76+'مسير أكتوبر'!AE76+'مسير أكتوبر'!AF76,0)+IF(11&lt;=cfg_VAL_M,'مسير نوفمبر'!AD76+'مسير نوفمبر'!AE76+'مسير نوفمبر'!AF76,0)+IF(12&lt;=cfg_VAL_M,'مسير ديسمبر'!AD76+'مسير ديسمبر'!AE76+'مسير ديسمبر'!AF76,0))</f>
        <v/>
      </c>
      <c r="U76" s="97" t="str">
        <f aca="false">IF(OR($B76="",F76="✖ منتهي الخدمة"),"",IF(AND(ISNUMBER(I76),I76&lt;=cfg_ALERT),N76,0)+IF(AND(ISNUMBER(L76),L76&lt;=cfg_ALERT),O76,0))</f>
        <v/>
      </c>
    </row>
    <row r="77" customFormat="false" ht="15" hidden="false" customHeight="false" outlineLevel="0" collapsed="false">
      <c r="B77" s="102" t="str">
        <f aca="false">IF(الموظفون!$B77="","",الموظفون!$B77)</f>
        <v/>
      </c>
      <c r="C77" s="102" t="str">
        <f aca="false">IF($B77="","",الموظفون!$C77)</f>
        <v/>
      </c>
      <c r="D77" s="102" t="str">
        <f aca="false">IF($B77="","",الموظفون!$D77)</f>
        <v/>
      </c>
      <c r="E77" s="102" t="str">
        <f aca="false">IF($B77="","",الموظفون!$E77)</f>
        <v/>
      </c>
      <c r="F77" s="102" t="str">
        <f aca="false">IF($B77="","",الموظفون!$AG77)</f>
        <v/>
      </c>
      <c r="G77" s="102" t="str">
        <f aca="false">IF($B77="","",IF(الموظفون!$I77="","",الموظفون!$I77))</f>
        <v/>
      </c>
      <c r="H77" s="148" t="str">
        <f aca="false">IF($B77="","",IF(الموظفون!$J77="","",الموظفون!$J77))</f>
        <v/>
      </c>
      <c r="I77" s="110" t="str">
        <f aca="false">IF(OR($B77="",H77=""),"",H77-cfg_TRACK)</f>
        <v/>
      </c>
      <c r="J77" s="102" t="str">
        <f aca="false">IF(OR($B77="",$F77="✖ منتهي الخدمة"),"",IF(H77="",IF($E77="غير سعودي","⚠ أدخل التاريخ","-"),IF(I77&lt;0,"✖ منتهية منذ "&amp;TEXT(-I77,"0")&amp;" يوم",IF(I77&lt;=cfg_ALERT,"⚠ تنتهي خلال "&amp;TEXT(I77,"0")&amp;" يوم","✔ سارية"))))</f>
        <v/>
      </c>
      <c r="K77" s="148" t="str">
        <f aca="false">IF($B77="","",IF(الموظفون!$K77="","",الموظفون!$K77))</f>
        <v/>
      </c>
      <c r="L77" s="110" t="str">
        <f aca="false">IF(OR($B77="",K77=""),"",K77-cfg_TRACK)</f>
        <v/>
      </c>
      <c r="M77" s="102" t="str">
        <f aca="false">IF(OR($B77="",$F77="✖ منتهي الخدمة"),"",IF(K77="",IF($E77="غير سعودي","⚠ أدخل التاريخ","-"),IF(L77&lt;0,"✖ منتهية منذ "&amp;TEXT(-L77,"0")&amp;" يوم",IF(L77&lt;=cfg_ALERT,"⚠ تنتهي خلال "&amp;TEXT(L77,"0")&amp;" يوم","✔ سارية"))))</f>
        <v/>
      </c>
      <c r="N77" s="101" t="str">
        <f aca="false">IF($B77="","",IF(F77="✖ منتهي الخدمة",0,IF(الموظفون!$X77&lt;&gt;"",الموظفون!$X77,IF(الموظفون!$E77="غير سعودي",cfg_IQ,0))))</f>
        <v/>
      </c>
      <c r="O77" s="101" t="str">
        <f aca="false">IF($B77="","",IF(F77="✖ منتهي الخدمة",0,IF(الموظفون!$Y77&lt;&gt;"",الموظفون!$Y77,IF(الموظفون!$E77="غير سعودي",cfg_WP,0))))</f>
        <v/>
      </c>
      <c r="P77" s="101" t="str">
        <f aca="false">IF($B77="","",IF(F77="✖ منتهي الخدمة",0,IF(الموظفون!$Z77&lt;&gt;"",الموظفون!$Z77,cfg_MED)))</f>
        <v/>
      </c>
      <c r="Q77" s="101" t="str">
        <f aca="false">IF($B77="","",IF(F77="✖ منتهي الخدمة",0,N(الموظفون!$AA77)))</f>
        <v/>
      </c>
      <c r="R77" s="101" t="str">
        <f aca="false">IF($B77="","",SUM(N77:Q77))</f>
        <v/>
      </c>
      <c r="S77" s="101" t="str">
        <f aca="false">IF($B77="","",R77/12)</f>
        <v/>
      </c>
      <c r="T77" s="101" t="str">
        <f aca="false">IF($B77="","",IF(1&lt;=cfg_VAL_M,'مسير يناير'!AD77+'مسير يناير'!AE77+'مسير يناير'!AF77,0)+IF(2&lt;=cfg_VAL_M,'مسير فبراير'!AD77+'مسير فبراير'!AE77+'مسير فبراير'!AF77,0)+IF(3&lt;=cfg_VAL_M,'مسير مارس'!AD77+'مسير مارس'!AE77+'مسير مارس'!AF77,0)+IF(4&lt;=cfg_VAL_M,'مسير أبريل'!AD77+'مسير أبريل'!AE77+'مسير أبريل'!AF77,0)+IF(5&lt;=cfg_VAL_M,'مسير مايو'!AD77+'مسير مايو'!AE77+'مسير مايو'!AF77,0)+IF(6&lt;=cfg_VAL_M,'مسير يونيو'!AD77+'مسير يونيو'!AE77+'مسير يونيو'!AF77,0)+IF(7&lt;=cfg_VAL_M,'مسير يوليو'!AD77+'مسير يوليو'!AE77+'مسير يوليو'!AF77,0)+IF(8&lt;=cfg_VAL_M,'مسير أغسطس'!AD77+'مسير أغسطس'!AE77+'مسير أغسطس'!AF77,0)+IF(9&lt;=cfg_VAL_M,'مسير سبتمبر'!AD77+'مسير سبتمبر'!AE77+'مسير سبتمبر'!AF77,0)+IF(10&lt;=cfg_VAL_M,'مسير أكتوبر'!AD77+'مسير أكتوبر'!AE77+'مسير أكتوبر'!AF77,0)+IF(11&lt;=cfg_VAL_M,'مسير نوفمبر'!AD77+'مسير نوفمبر'!AE77+'مسير نوفمبر'!AF77,0)+IF(12&lt;=cfg_VAL_M,'مسير ديسمبر'!AD77+'مسير ديسمبر'!AE77+'مسير ديسمبر'!AF77,0))</f>
        <v/>
      </c>
      <c r="U77" s="101" t="str">
        <f aca="false">IF(OR($B77="",F77="✖ منتهي الخدمة"),"",IF(AND(ISNUMBER(I77),I77&lt;=cfg_ALERT),N77,0)+IF(AND(ISNUMBER(L77),L77&lt;=cfg_ALERT),O77,0))</f>
        <v/>
      </c>
    </row>
    <row r="78" customFormat="false" ht="15" hidden="false" customHeight="false" outlineLevel="0" collapsed="false">
      <c r="B78" s="80" t="str">
        <f aca="false">IF(الموظفون!$B78="","",الموظفون!$B78)</f>
        <v/>
      </c>
      <c r="C78" s="80" t="str">
        <f aca="false">IF($B78="","",الموظفون!$C78)</f>
        <v/>
      </c>
      <c r="D78" s="80" t="str">
        <f aca="false">IF($B78="","",الموظفون!$D78)</f>
        <v/>
      </c>
      <c r="E78" s="80" t="str">
        <f aca="false">IF($B78="","",الموظفون!$E78)</f>
        <v/>
      </c>
      <c r="F78" s="80" t="str">
        <f aca="false">IF($B78="","",الموظفون!$AG78)</f>
        <v/>
      </c>
      <c r="G78" s="80" t="str">
        <f aca="false">IF($B78="","",IF(الموظفون!$I78="","",الموظفون!$I78))</f>
        <v/>
      </c>
      <c r="H78" s="147" t="str">
        <f aca="false">IF($B78="","",IF(الموظفون!$J78="","",الموظفون!$J78))</f>
        <v/>
      </c>
      <c r="I78" s="57" t="str">
        <f aca="false">IF(OR($B78="",H78=""),"",H78-cfg_TRACK)</f>
        <v/>
      </c>
      <c r="J78" s="80" t="str">
        <f aca="false">IF(OR($B78="",$F78="✖ منتهي الخدمة"),"",IF(H78="",IF($E78="غير سعودي","⚠ أدخل التاريخ","-"),IF(I78&lt;0,"✖ منتهية منذ "&amp;TEXT(-I78,"0")&amp;" يوم",IF(I78&lt;=cfg_ALERT,"⚠ تنتهي خلال "&amp;TEXT(I78,"0")&amp;" يوم","✔ سارية"))))</f>
        <v/>
      </c>
      <c r="K78" s="147" t="str">
        <f aca="false">IF($B78="","",IF(الموظفون!$K78="","",الموظفون!$K78))</f>
        <v/>
      </c>
      <c r="L78" s="57" t="str">
        <f aca="false">IF(OR($B78="",K78=""),"",K78-cfg_TRACK)</f>
        <v/>
      </c>
      <c r="M78" s="80" t="str">
        <f aca="false">IF(OR($B78="",$F78="✖ منتهي الخدمة"),"",IF(K78="",IF($E78="غير سعودي","⚠ أدخل التاريخ","-"),IF(L78&lt;0,"✖ منتهية منذ "&amp;TEXT(-L78,"0")&amp;" يوم",IF(L78&lt;=cfg_ALERT,"⚠ تنتهي خلال "&amp;TEXT(L78,"0")&amp;" يوم","✔ سارية"))))</f>
        <v/>
      </c>
      <c r="N78" s="97" t="str">
        <f aca="false">IF($B78="","",IF(F78="✖ منتهي الخدمة",0,IF(الموظفون!$X78&lt;&gt;"",الموظفون!$X78,IF(الموظفون!$E78="غير سعودي",cfg_IQ,0))))</f>
        <v/>
      </c>
      <c r="O78" s="97" t="str">
        <f aca="false">IF($B78="","",IF(F78="✖ منتهي الخدمة",0,IF(الموظفون!$Y78&lt;&gt;"",الموظفون!$Y78,IF(الموظفون!$E78="غير سعودي",cfg_WP,0))))</f>
        <v/>
      </c>
      <c r="P78" s="97" t="str">
        <f aca="false">IF($B78="","",IF(F78="✖ منتهي الخدمة",0,IF(الموظفون!$Z78&lt;&gt;"",الموظفون!$Z78,cfg_MED)))</f>
        <v/>
      </c>
      <c r="Q78" s="97" t="str">
        <f aca="false">IF($B78="","",IF(F78="✖ منتهي الخدمة",0,N(الموظفون!$AA78)))</f>
        <v/>
      </c>
      <c r="R78" s="97" t="str">
        <f aca="false">IF($B78="","",SUM(N78:Q78))</f>
        <v/>
      </c>
      <c r="S78" s="97" t="str">
        <f aca="false">IF($B78="","",R78/12)</f>
        <v/>
      </c>
      <c r="T78" s="97" t="str">
        <f aca="false">IF($B78="","",IF(1&lt;=cfg_VAL_M,'مسير يناير'!AD78+'مسير يناير'!AE78+'مسير يناير'!AF78,0)+IF(2&lt;=cfg_VAL_M,'مسير فبراير'!AD78+'مسير فبراير'!AE78+'مسير فبراير'!AF78,0)+IF(3&lt;=cfg_VAL_M,'مسير مارس'!AD78+'مسير مارس'!AE78+'مسير مارس'!AF78,0)+IF(4&lt;=cfg_VAL_M,'مسير أبريل'!AD78+'مسير أبريل'!AE78+'مسير أبريل'!AF78,0)+IF(5&lt;=cfg_VAL_M,'مسير مايو'!AD78+'مسير مايو'!AE78+'مسير مايو'!AF78,0)+IF(6&lt;=cfg_VAL_M,'مسير يونيو'!AD78+'مسير يونيو'!AE78+'مسير يونيو'!AF78,0)+IF(7&lt;=cfg_VAL_M,'مسير يوليو'!AD78+'مسير يوليو'!AE78+'مسير يوليو'!AF78,0)+IF(8&lt;=cfg_VAL_M,'مسير أغسطس'!AD78+'مسير أغسطس'!AE78+'مسير أغسطس'!AF78,0)+IF(9&lt;=cfg_VAL_M,'مسير سبتمبر'!AD78+'مسير سبتمبر'!AE78+'مسير سبتمبر'!AF78,0)+IF(10&lt;=cfg_VAL_M,'مسير أكتوبر'!AD78+'مسير أكتوبر'!AE78+'مسير أكتوبر'!AF78,0)+IF(11&lt;=cfg_VAL_M,'مسير نوفمبر'!AD78+'مسير نوفمبر'!AE78+'مسير نوفمبر'!AF78,0)+IF(12&lt;=cfg_VAL_M,'مسير ديسمبر'!AD78+'مسير ديسمبر'!AE78+'مسير ديسمبر'!AF78,0))</f>
        <v/>
      </c>
      <c r="U78" s="97" t="str">
        <f aca="false">IF(OR($B78="",F78="✖ منتهي الخدمة"),"",IF(AND(ISNUMBER(I78),I78&lt;=cfg_ALERT),N78,0)+IF(AND(ISNUMBER(L78),L78&lt;=cfg_ALERT),O78,0))</f>
        <v/>
      </c>
    </row>
    <row r="79" customFormat="false" ht="15" hidden="false" customHeight="false" outlineLevel="0" collapsed="false">
      <c r="B79" s="102" t="str">
        <f aca="false">IF(الموظفون!$B79="","",الموظفون!$B79)</f>
        <v/>
      </c>
      <c r="C79" s="102" t="str">
        <f aca="false">IF($B79="","",الموظفون!$C79)</f>
        <v/>
      </c>
      <c r="D79" s="102" t="str">
        <f aca="false">IF($B79="","",الموظفون!$D79)</f>
        <v/>
      </c>
      <c r="E79" s="102" t="str">
        <f aca="false">IF($B79="","",الموظفون!$E79)</f>
        <v/>
      </c>
      <c r="F79" s="102" t="str">
        <f aca="false">IF($B79="","",الموظفون!$AG79)</f>
        <v/>
      </c>
      <c r="G79" s="102" t="str">
        <f aca="false">IF($B79="","",IF(الموظفون!$I79="","",الموظفون!$I79))</f>
        <v/>
      </c>
      <c r="H79" s="148" t="str">
        <f aca="false">IF($B79="","",IF(الموظفون!$J79="","",الموظفون!$J79))</f>
        <v/>
      </c>
      <c r="I79" s="110" t="str">
        <f aca="false">IF(OR($B79="",H79=""),"",H79-cfg_TRACK)</f>
        <v/>
      </c>
      <c r="J79" s="102" t="str">
        <f aca="false">IF(OR($B79="",$F79="✖ منتهي الخدمة"),"",IF(H79="",IF($E79="غير سعودي","⚠ أدخل التاريخ","-"),IF(I79&lt;0,"✖ منتهية منذ "&amp;TEXT(-I79,"0")&amp;" يوم",IF(I79&lt;=cfg_ALERT,"⚠ تنتهي خلال "&amp;TEXT(I79,"0")&amp;" يوم","✔ سارية"))))</f>
        <v/>
      </c>
      <c r="K79" s="148" t="str">
        <f aca="false">IF($B79="","",IF(الموظفون!$K79="","",الموظفون!$K79))</f>
        <v/>
      </c>
      <c r="L79" s="110" t="str">
        <f aca="false">IF(OR($B79="",K79=""),"",K79-cfg_TRACK)</f>
        <v/>
      </c>
      <c r="M79" s="102" t="str">
        <f aca="false">IF(OR($B79="",$F79="✖ منتهي الخدمة"),"",IF(K79="",IF($E79="غير سعودي","⚠ أدخل التاريخ","-"),IF(L79&lt;0,"✖ منتهية منذ "&amp;TEXT(-L79,"0")&amp;" يوم",IF(L79&lt;=cfg_ALERT,"⚠ تنتهي خلال "&amp;TEXT(L79,"0")&amp;" يوم","✔ سارية"))))</f>
        <v/>
      </c>
      <c r="N79" s="101" t="str">
        <f aca="false">IF($B79="","",IF(F79="✖ منتهي الخدمة",0,IF(الموظفون!$X79&lt;&gt;"",الموظفون!$X79,IF(الموظفون!$E79="غير سعودي",cfg_IQ,0))))</f>
        <v/>
      </c>
      <c r="O79" s="101" t="str">
        <f aca="false">IF($B79="","",IF(F79="✖ منتهي الخدمة",0,IF(الموظفون!$Y79&lt;&gt;"",الموظفون!$Y79,IF(الموظفون!$E79="غير سعودي",cfg_WP,0))))</f>
        <v/>
      </c>
      <c r="P79" s="101" t="str">
        <f aca="false">IF($B79="","",IF(F79="✖ منتهي الخدمة",0,IF(الموظفون!$Z79&lt;&gt;"",الموظفون!$Z79,cfg_MED)))</f>
        <v/>
      </c>
      <c r="Q79" s="101" t="str">
        <f aca="false">IF($B79="","",IF(F79="✖ منتهي الخدمة",0,N(الموظفون!$AA79)))</f>
        <v/>
      </c>
      <c r="R79" s="101" t="str">
        <f aca="false">IF($B79="","",SUM(N79:Q79))</f>
        <v/>
      </c>
      <c r="S79" s="101" t="str">
        <f aca="false">IF($B79="","",R79/12)</f>
        <v/>
      </c>
      <c r="T79" s="101" t="str">
        <f aca="false">IF($B79="","",IF(1&lt;=cfg_VAL_M,'مسير يناير'!AD79+'مسير يناير'!AE79+'مسير يناير'!AF79,0)+IF(2&lt;=cfg_VAL_M,'مسير فبراير'!AD79+'مسير فبراير'!AE79+'مسير فبراير'!AF79,0)+IF(3&lt;=cfg_VAL_M,'مسير مارس'!AD79+'مسير مارس'!AE79+'مسير مارس'!AF79,0)+IF(4&lt;=cfg_VAL_M,'مسير أبريل'!AD79+'مسير أبريل'!AE79+'مسير أبريل'!AF79,0)+IF(5&lt;=cfg_VAL_M,'مسير مايو'!AD79+'مسير مايو'!AE79+'مسير مايو'!AF79,0)+IF(6&lt;=cfg_VAL_M,'مسير يونيو'!AD79+'مسير يونيو'!AE79+'مسير يونيو'!AF79,0)+IF(7&lt;=cfg_VAL_M,'مسير يوليو'!AD79+'مسير يوليو'!AE79+'مسير يوليو'!AF79,0)+IF(8&lt;=cfg_VAL_M,'مسير أغسطس'!AD79+'مسير أغسطس'!AE79+'مسير أغسطس'!AF79,0)+IF(9&lt;=cfg_VAL_M,'مسير سبتمبر'!AD79+'مسير سبتمبر'!AE79+'مسير سبتمبر'!AF79,0)+IF(10&lt;=cfg_VAL_M,'مسير أكتوبر'!AD79+'مسير أكتوبر'!AE79+'مسير أكتوبر'!AF79,0)+IF(11&lt;=cfg_VAL_M,'مسير نوفمبر'!AD79+'مسير نوفمبر'!AE79+'مسير نوفمبر'!AF79,0)+IF(12&lt;=cfg_VAL_M,'مسير ديسمبر'!AD79+'مسير ديسمبر'!AE79+'مسير ديسمبر'!AF79,0))</f>
        <v/>
      </c>
      <c r="U79" s="101" t="str">
        <f aca="false">IF(OR($B79="",F79="✖ منتهي الخدمة"),"",IF(AND(ISNUMBER(I79),I79&lt;=cfg_ALERT),N79,0)+IF(AND(ISNUMBER(L79),L79&lt;=cfg_ALERT),O79,0))</f>
        <v/>
      </c>
    </row>
    <row r="80" customFormat="false" ht="15" hidden="false" customHeight="false" outlineLevel="0" collapsed="false">
      <c r="B80" s="80" t="str">
        <f aca="false">IF(الموظفون!$B80="","",الموظفون!$B80)</f>
        <v/>
      </c>
      <c r="C80" s="80" t="str">
        <f aca="false">IF($B80="","",الموظفون!$C80)</f>
        <v/>
      </c>
      <c r="D80" s="80" t="str">
        <f aca="false">IF($B80="","",الموظفون!$D80)</f>
        <v/>
      </c>
      <c r="E80" s="80" t="str">
        <f aca="false">IF($B80="","",الموظفون!$E80)</f>
        <v/>
      </c>
      <c r="F80" s="80" t="str">
        <f aca="false">IF($B80="","",الموظفون!$AG80)</f>
        <v/>
      </c>
      <c r="G80" s="80" t="str">
        <f aca="false">IF($B80="","",IF(الموظفون!$I80="","",الموظفون!$I80))</f>
        <v/>
      </c>
      <c r="H80" s="147" t="str">
        <f aca="false">IF($B80="","",IF(الموظفون!$J80="","",الموظفون!$J80))</f>
        <v/>
      </c>
      <c r="I80" s="57" t="str">
        <f aca="false">IF(OR($B80="",H80=""),"",H80-cfg_TRACK)</f>
        <v/>
      </c>
      <c r="J80" s="80" t="str">
        <f aca="false">IF(OR($B80="",$F80="✖ منتهي الخدمة"),"",IF(H80="",IF($E80="غير سعودي","⚠ أدخل التاريخ","-"),IF(I80&lt;0,"✖ منتهية منذ "&amp;TEXT(-I80,"0")&amp;" يوم",IF(I80&lt;=cfg_ALERT,"⚠ تنتهي خلال "&amp;TEXT(I80,"0")&amp;" يوم","✔ سارية"))))</f>
        <v/>
      </c>
      <c r="K80" s="147" t="str">
        <f aca="false">IF($B80="","",IF(الموظفون!$K80="","",الموظفون!$K80))</f>
        <v/>
      </c>
      <c r="L80" s="57" t="str">
        <f aca="false">IF(OR($B80="",K80=""),"",K80-cfg_TRACK)</f>
        <v/>
      </c>
      <c r="M80" s="80" t="str">
        <f aca="false">IF(OR($B80="",$F80="✖ منتهي الخدمة"),"",IF(K80="",IF($E80="غير سعودي","⚠ أدخل التاريخ","-"),IF(L80&lt;0,"✖ منتهية منذ "&amp;TEXT(-L80,"0")&amp;" يوم",IF(L80&lt;=cfg_ALERT,"⚠ تنتهي خلال "&amp;TEXT(L80,"0")&amp;" يوم","✔ سارية"))))</f>
        <v/>
      </c>
      <c r="N80" s="97" t="str">
        <f aca="false">IF($B80="","",IF(F80="✖ منتهي الخدمة",0,IF(الموظفون!$X80&lt;&gt;"",الموظفون!$X80,IF(الموظفون!$E80="غير سعودي",cfg_IQ,0))))</f>
        <v/>
      </c>
      <c r="O80" s="97" t="str">
        <f aca="false">IF($B80="","",IF(F80="✖ منتهي الخدمة",0,IF(الموظفون!$Y80&lt;&gt;"",الموظفون!$Y80,IF(الموظفون!$E80="غير سعودي",cfg_WP,0))))</f>
        <v/>
      </c>
      <c r="P80" s="97" t="str">
        <f aca="false">IF($B80="","",IF(F80="✖ منتهي الخدمة",0,IF(الموظفون!$Z80&lt;&gt;"",الموظفون!$Z80,cfg_MED)))</f>
        <v/>
      </c>
      <c r="Q80" s="97" t="str">
        <f aca="false">IF($B80="","",IF(F80="✖ منتهي الخدمة",0,N(الموظفون!$AA80)))</f>
        <v/>
      </c>
      <c r="R80" s="97" t="str">
        <f aca="false">IF($B80="","",SUM(N80:Q80))</f>
        <v/>
      </c>
      <c r="S80" s="97" t="str">
        <f aca="false">IF($B80="","",R80/12)</f>
        <v/>
      </c>
      <c r="T80" s="97" t="str">
        <f aca="false">IF($B80="","",IF(1&lt;=cfg_VAL_M,'مسير يناير'!AD80+'مسير يناير'!AE80+'مسير يناير'!AF80,0)+IF(2&lt;=cfg_VAL_M,'مسير فبراير'!AD80+'مسير فبراير'!AE80+'مسير فبراير'!AF80,0)+IF(3&lt;=cfg_VAL_M,'مسير مارس'!AD80+'مسير مارس'!AE80+'مسير مارس'!AF80,0)+IF(4&lt;=cfg_VAL_M,'مسير أبريل'!AD80+'مسير أبريل'!AE80+'مسير أبريل'!AF80,0)+IF(5&lt;=cfg_VAL_M,'مسير مايو'!AD80+'مسير مايو'!AE80+'مسير مايو'!AF80,0)+IF(6&lt;=cfg_VAL_M,'مسير يونيو'!AD80+'مسير يونيو'!AE80+'مسير يونيو'!AF80,0)+IF(7&lt;=cfg_VAL_M,'مسير يوليو'!AD80+'مسير يوليو'!AE80+'مسير يوليو'!AF80,0)+IF(8&lt;=cfg_VAL_M,'مسير أغسطس'!AD80+'مسير أغسطس'!AE80+'مسير أغسطس'!AF80,0)+IF(9&lt;=cfg_VAL_M,'مسير سبتمبر'!AD80+'مسير سبتمبر'!AE80+'مسير سبتمبر'!AF80,0)+IF(10&lt;=cfg_VAL_M,'مسير أكتوبر'!AD80+'مسير أكتوبر'!AE80+'مسير أكتوبر'!AF80,0)+IF(11&lt;=cfg_VAL_M,'مسير نوفمبر'!AD80+'مسير نوفمبر'!AE80+'مسير نوفمبر'!AF80,0)+IF(12&lt;=cfg_VAL_M,'مسير ديسمبر'!AD80+'مسير ديسمبر'!AE80+'مسير ديسمبر'!AF80,0))</f>
        <v/>
      </c>
      <c r="U80" s="97" t="str">
        <f aca="false">IF(OR($B80="",F80="✖ منتهي الخدمة"),"",IF(AND(ISNUMBER(I80),I80&lt;=cfg_ALERT),N80,0)+IF(AND(ISNUMBER(L80),L80&lt;=cfg_ALERT),O80,0))</f>
        <v/>
      </c>
    </row>
    <row r="81" customFormat="false" ht="15" hidden="false" customHeight="false" outlineLevel="0" collapsed="false">
      <c r="B81" s="102" t="str">
        <f aca="false">IF(الموظفون!$B81="","",الموظفون!$B81)</f>
        <v/>
      </c>
      <c r="C81" s="102" t="str">
        <f aca="false">IF($B81="","",الموظفون!$C81)</f>
        <v/>
      </c>
      <c r="D81" s="102" t="str">
        <f aca="false">IF($B81="","",الموظفون!$D81)</f>
        <v/>
      </c>
      <c r="E81" s="102" t="str">
        <f aca="false">IF($B81="","",الموظفون!$E81)</f>
        <v/>
      </c>
      <c r="F81" s="102" t="str">
        <f aca="false">IF($B81="","",الموظفون!$AG81)</f>
        <v/>
      </c>
      <c r="G81" s="102" t="str">
        <f aca="false">IF($B81="","",IF(الموظفون!$I81="","",الموظفون!$I81))</f>
        <v/>
      </c>
      <c r="H81" s="148" t="str">
        <f aca="false">IF($B81="","",IF(الموظفون!$J81="","",الموظفون!$J81))</f>
        <v/>
      </c>
      <c r="I81" s="110" t="str">
        <f aca="false">IF(OR($B81="",H81=""),"",H81-cfg_TRACK)</f>
        <v/>
      </c>
      <c r="J81" s="102" t="str">
        <f aca="false">IF(OR($B81="",$F81="✖ منتهي الخدمة"),"",IF(H81="",IF($E81="غير سعودي","⚠ أدخل التاريخ","-"),IF(I81&lt;0,"✖ منتهية منذ "&amp;TEXT(-I81,"0")&amp;" يوم",IF(I81&lt;=cfg_ALERT,"⚠ تنتهي خلال "&amp;TEXT(I81,"0")&amp;" يوم","✔ سارية"))))</f>
        <v/>
      </c>
      <c r="K81" s="148" t="str">
        <f aca="false">IF($B81="","",IF(الموظفون!$K81="","",الموظفون!$K81))</f>
        <v/>
      </c>
      <c r="L81" s="110" t="str">
        <f aca="false">IF(OR($B81="",K81=""),"",K81-cfg_TRACK)</f>
        <v/>
      </c>
      <c r="M81" s="102" t="str">
        <f aca="false">IF(OR($B81="",$F81="✖ منتهي الخدمة"),"",IF(K81="",IF($E81="غير سعودي","⚠ أدخل التاريخ","-"),IF(L81&lt;0,"✖ منتهية منذ "&amp;TEXT(-L81,"0")&amp;" يوم",IF(L81&lt;=cfg_ALERT,"⚠ تنتهي خلال "&amp;TEXT(L81,"0")&amp;" يوم","✔ سارية"))))</f>
        <v/>
      </c>
      <c r="N81" s="101" t="str">
        <f aca="false">IF($B81="","",IF(F81="✖ منتهي الخدمة",0,IF(الموظفون!$X81&lt;&gt;"",الموظفون!$X81,IF(الموظفون!$E81="غير سعودي",cfg_IQ,0))))</f>
        <v/>
      </c>
      <c r="O81" s="101" t="str">
        <f aca="false">IF($B81="","",IF(F81="✖ منتهي الخدمة",0,IF(الموظفون!$Y81&lt;&gt;"",الموظفون!$Y81,IF(الموظفون!$E81="غير سعودي",cfg_WP,0))))</f>
        <v/>
      </c>
      <c r="P81" s="101" t="str">
        <f aca="false">IF($B81="","",IF(F81="✖ منتهي الخدمة",0,IF(الموظفون!$Z81&lt;&gt;"",الموظفون!$Z81,cfg_MED)))</f>
        <v/>
      </c>
      <c r="Q81" s="101" t="str">
        <f aca="false">IF($B81="","",IF(F81="✖ منتهي الخدمة",0,N(الموظفون!$AA81)))</f>
        <v/>
      </c>
      <c r="R81" s="101" t="str">
        <f aca="false">IF($B81="","",SUM(N81:Q81))</f>
        <v/>
      </c>
      <c r="S81" s="101" t="str">
        <f aca="false">IF($B81="","",R81/12)</f>
        <v/>
      </c>
      <c r="T81" s="101" t="str">
        <f aca="false">IF($B81="","",IF(1&lt;=cfg_VAL_M,'مسير يناير'!AD81+'مسير يناير'!AE81+'مسير يناير'!AF81,0)+IF(2&lt;=cfg_VAL_M,'مسير فبراير'!AD81+'مسير فبراير'!AE81+'مسير فبراير'!AF81,0)+IF(3&lt;=cfg_VAL_M,'مسير مارس'!AD81+'مسير مارس'!AE81+'مسير مارس'!AF81,0)+IF(4&lt;=cfg_VAL_M,'مسير أبريل'!AD81+'مسير أبريل'!AE81+'مسير أبريل'!AF81,0)+IF(5&lt;=cfg_VAL_M,'مسير مايو'!AD81+'مسير مايو'!AE81+'مسير مايو'!AF81,0)+IF(6&lt;=cfg_VAL_M,'مسير يونيو'!AD81+'مسير يونيو'!AE81+'مسير يونيو'!AF81,0)+IF(7&lt;=cfg_VAL_M,'مسير يوليو'!AD81+'مسير يوليو'!AE81+'مسير يوليو'!AF81,0)+IF(8&lt;=cfg_VAL_M,'مسير أغسطس'!AD81+'مسير أغسطس'!AE81+'مسير أغسطس'!AF81,0)+IF(9&lt;=cfg_VAL_M,'مسير سبتمبر'!AD81+'مسير سبتمبر'!AE81+'مسير سبتمبر'!AF81,0)+IF(10&lt;=cfg_VAL_M,'مسير أكتوبر'!AD81+'مسير أكتوبر'!AE81+'مسير أكتوبر'!AF81,0)+IF(11&lt;=cfg_VAL_M,'مسير نوفمبر'!AD81+'مسير نوفمبر'!AE81+'مسير نوفمبر'!AF81,0)+IF(12&lt;=cfg_VAL_M,'مسير ديسمبر'!AD81+'مسير ديسمبر'!AE81+'مسير ديسمبر'!AF81,0))</f>
        <v/>
      </c>
      <c r="U81" s="101" t="str">
        <f aca="false">IF(OR($B81="",F81="✖ منتهي الخدمة"),"",IF(AND(ISNUMBER(I81),I81&lt;=cfg_ALERT),N81,0)+IF(AND(ISNUMBER(L81),L81&lt;=cfg_ALERT),O81,0))</f>
        <v/>
      </c>
    </row>
    <row r="82" customFormat="false" ht="15" hidden="false" customHeight="false" outlineLevel="0" collapsed="false">
      <c r="B82" s="80" t="str">
        <f aca="false">IF(الموظفون!$B82="","",الموظفون!$B82)</f>
        <v/>
      </c>
      <c r="C82" s="80" t="str">
        <f aca="false">IF($B82="","",الموظفون!$C82)</f>
        <v/>
      </c>
      <c r="D82" s="80" t="str">
        <f aca="false">IF($B82="","",الموظفون!$D82)</f>
        <v/>
      </c>
      <c r="E82" s="80" t="str">
        <f aca="false">IF($B82="","",الموظفون!$E82)</f>
        <v/>
      </c>
      <c r="F82" s="80" t="str">
        <f aca="false">IF($B82="","",الموظفون!$AG82)</f>
        <v/>
      </c>
      <c r="G82" s="80" t="str">
        <f aca="false">IF($B82="","",IF(الموظفون!$I82="","",الموظفون!$I82))</f>
        <v/>
      </c>
      <c r="H82" s="147" t="str">
        <f aca="false">IF($B82="","",IF(الموظفون!$J82="","",الموظفون!$J82))</f>
        <v/>
      </c>
      <c r="I82" s="57" t="str">
        <f aca="false">IF(OR($B82="",H82=""),"",H82-cfg_TRACK)</f>
        <v/>
      </c>
      <c r="J82" s="80" t="str">
        <f aca="false">IF(OR($B82="",$F82="✖ منتهي الخدمة"),"",IF(H82="",IF($E82="غير سعودي","⚠ أدخل التاريخ","-"),IF(I82&lt;0,"✖ منتهية منذ "&amp;TEXT(-I82,"0")&amp;" يوم",IF(I82&lt;=cfg_ALERT,"⚠ تنتهي خلال "&amp;TEXT(I82,"0")&amp;" يوم","✔ سارية"))))</f>
        <v/>
      </c>
      <c r="K82" s="147" t="str">
        <f aca="false">IF($B82="","",IF(الموظفون!$K82="","",الموظفون!$K82))</f>
        <v/>
      </c>
      <c r="L82" s="57" t="str">
        <f aca="false">IF(OR($B82="",K82=""),"",K82-cfg_TRACK)</f>
        <v/>
      </c>
      <c r="M82" s="80" t="str">
        <f aca="false">IF(OR($B82="",$F82="✖ منتهي الخدمة"),"",IF(K82="",IF($E82="غير سعودي","⚠ أدخل التاريخ","-"),IF(L82&lt;0,"✖ منتهية منذ "&amp;TEXT(-L82,"0")&amp;" يوم",IF(L82&lt;=cfg_ALERT,"⚠ تنتهي خلال "&amp;TEXT(L82,"0")&amp;" يوم","✔ سارية"))))</f>
        <v/>
      </c>
      <c r="N82" s="97" t="str">
        <f aca="false">IF($B82="","",IF(F82="✖ منتهي الخدمة",0,IF(الموظفون!$X82&lt;&gt;"",الموظفون!$X82,IF(الموظفون!$E82="غير سعودي",cfg_IQ,0))))</f>
        <v/>
      </c>
      <c r="O82" s="97" t="str">
        <f aca="false">IF($B82="","",IF(F82="✖ منتهي الخدمة",0,IF(الموظفون!$Y82&lt;&gt;"",الموظفون!$Y82,IF(الموظفون!$E82="غير سعودي",cfg_WP,0))))</f>
        <v/>
      </c>
      <c r="P82" s="97" t="str">
        <f aca="false">IF($B82="","",IF(F82="✖ منتهي الخدمة",0,IF(الموظفون!$Z82&lt;&gt;"",الموظفون!$Z82,cfg_MED)))</f>
        <v/>
      </c>
      <c r="Q82" s="97" t="str">
        <f aca="false">IF($B82="","",IF(F82="✖ منتهي الخدمة",0,N(الموظفون!$AA82)))</f>
        <v/>
      </c>
      <c r="R82" s="97" t="str">
        <f aca="false">IF($B82="","",SUM(N82:Q82))</f>
        <v/>
      </c>
      <c r="S82" s="97" t="str">
        <f aca="false">IF($B82="","",R82/12)</f>
        <v/>
      </c>
      <c r="T82" s="97" t="str">
        <f aca="false">IF($B82="","",IF(1&lt;=cfg_VAL_M,'مسير يناير'!AD82+'مسير يناير'!AE82+'مسير يناير'!AF82,0)+IF(2&lt;=cfg_VAL_M,'مسير فبراير'!AD82+'مسير فبراير'!AE82+'مسير فبراير'!AF82,0)+IF(3&lt;=cfg_VAL_M,'مسير مارس'!AD82+'مسير مارس'!AE82+'مسير مارس'!AF82,0)+IF(4&lt;=cfg_VAL_M,'مسير أبريل'!AD82+'مسير أبريل'!AE82+'مسير أبريل'!AF82,0)+IF(5&lt;=cfg_VAL_M,'مسير مايو'!AD82+'مسير مايو'!AE82+'مسير مايو'!AF82,0)+IF(6&lt;=cfg_VAL_M,'مسير يونيو'!AD82+'مسير يونيو'!AE82+'مسير يونيو'!AF82,0)+IF(7&lt;=cfg_VAL_M,'مسير يوليو'!AD82+'مسير يوليو'!AE82+'مسير يوليو'!AF82,0)+IF(8&lt;=cfg_VAL_M,'مسير أغسطس'!AD82+'مسير أغسطس'!AE82+'مسير أغسطس'!AF82,0)+IF(9&lt;=cfg_VAL_M,'مسير سبتمبر'!AD82+'مسير سبتمبر'!AE82+'مسير سبتمبر'!AF82,0)+IF(10&lt;=cfg_VAL_M,'مسير أكتوبر'!AD82+'مسير أكتوبر'!AE82+'مسير أكتوبر'!AF82,0)+IF(11&lt;=cfg_VAL_M,'مسير نوفمبر'!AD82+'مسير نوفمبر'!AE82+'مسير نوفمبر'!AF82,0)+IF(12&lt;=cfg_VAL_M,'مسير ديسمبر'!AD82+'مسير ديسمبر'!AE82+'مسير ديسمبر'!AF82,0))</f>
        <v/>
      </c>
      <c r="U82" s="97" t="str">
        <f aca="false">IF(OR($B82="",F82="✖ منتهي الخدمة"),"",IF(AND(ISNUMBER(I82),I82&lt;=cfg_ALERT),N82,0)+IF(AND(ISNUMBER(L82),L82&lt;=cfg_ALERT),O82,0))</f>
        <v/>
      </c>
    </row>
    <row r="83" customFormat="false" ht="15" hidden="false" customHeight="false" outlineLevel="0" collapsed="false">
      <c r="B83" s="102" t="str">
        <f aca="false">IF(الموظفون!$B83="","",الموظفون!$B83)</f>
        <v/>
      </c>
      <c r="C83" s="102" t="str">
        <f aca="false">IF($B83="","",الموظفون!$C83)</f>
        <v/>
      </c>
      <c r="D83" s="102" t="str">
        <f aca="false">IF($B83="","",الموظفون!$D83)</f>
        <v/>
      </c>
      <c r="E83" s="102" t="str">
        <f aca="false">IF($B83="","",الموظفون!$E83)</f>
        <v/>
      </c>
      <c r="F83" s="102" t="str">
        <f aca="false">IF($B83="","",الموظفون!$AG83)</f>
        <v/>
      </c>
      <c r="G83" s="102" t="str">
        <f aca="false">IF($B83="","",IF(الموظفون!$I83="","",الموظفون!$I83))</f>
        <v/>
      </c>
      <c r="H83" s="148" t="str">
        <f aca="false">IF($B83="","",IF(الموظفون!$J83="","",الموظفون!$J83))</f>
        <v/>
      </c>
      <c r="I83" s="110" t="str">
        <f aca="false">IF(OR($B83="",H83=""),"",H83-cfg_TRACK)</f>
        <v/>
      </c>
      <c r="J83" s="102" t="str">
        <f aca="false">IF(OR($B83="",$F83="✖ منتهي الخدمة"),"",IF(H83="",IF($E83="غير سعودي","⚠ أدخل التاريخ","-"),IF(I83&lt;0,"✖ منتهية منذ "&amp;TEXT(-I83,"0")&amp;" يوم",IF(I83&lt;=cfg_ALERT,"⚠ تنتهي خلال "&amp;TEXT(I83,"0")&amp;" يوم","✔ سارية"))))</f>
        <v/>
      </c>
      <c r="K83" s="148" t="str">
        <f aca="false">IF($B83="","",IF(الموظفون!$K83="","",الموظفون!$K83))</f>
        <v/>
      </c>
      <c r="L83" s="110" t="str">
        <f aca="false">IF(OR($B83="",K83=""),"",K83-cfg_TRACK)</f>
        <v/>
      </c>
      <c r="M83" s="102" t="str">
        <f aca="false">IF(OR($B83="",$F83="✖ منتهي الخدمة"),"",IF(K83="",IF($E83="غير سعودي","⚠ أدخل التاريخ","-"),IF(L83&lt;0,"✖ منتهية منذ "&amp;TEXT(-L83,"0")&amp;" يوم",IF(L83&lt;=cfg_ALERT,"⚠ تنتهي خلال "&amp;TEXT(L83,"0")&amp;" يوم","✔ سارية"))))</f>
        <v/>
      </c>
      <c r="N83" s="101" t="str">
        <f aca="false">IF($B83="","",IF(F83="✖ منتهي الخدمة",0,IF(الموظفون!$X83&lt;&gt;"",الموظفون!$X83,IF(الموظفون!$E83="غير سعودي",cfg_IQ,0))))</f>
        <v/>
      </c>
      <c r="O83" s="101" t="str">
        <f aca="false">IF($B83="","",IF(F83="✖ منتهي الخدمة",0,IF(الموظفون!$Y83&lt;&gt;"",الموظفون!$Y83,IF(الموظفون!$E83="غير سعودي",cfg_WP,0))))</f>
        <v/>
      </c>
      <c r="P83" s="101" t="str">
        <f aca="false">IF($B83="","",IF(F83="✖ منتهي الخدمة",0,IF(الموظفون!$Z83&lt;&gt;"",الموظفون!$Z83,cfg_MED)))</f>
        <v/>
      </c>
      <c r="Q83" s="101" t="str">
        <f aca="false">IF($B83="","",IF(F83="✖ منتهي الخدمة",0,N(الموظفون!$AA83)))</f>
        <v/>
      </c>
      <c r="R83" s="101" t="str">
        <f aca="false">IF($B83="","",SUM(N83:Q83))</f>
        <v/>
      </c>
      <c r="S83" s="101" t="str">
        <f aca="false">IF($B83="","",R83/12)</f>
        <v/>
      </c>
      <c r="T83" s="101" t="str">
        <f aca="false">IF($B83="","",IF(1&lt;=cfg_VAL_M,'مسير يناير'!AD83+'مسير يناير'!AE83+'مسير يناير'!AF83,0)+IF(2&lt;=cfg_VAL_M,'مسير فبراير'!AD83+'مسير فبراير'!AE83+'مسير فبراير'!AF83,0)+IF(3&lt;=cfg_VAL_M,'مسير مارس'!AD83+'مسير مارس'!AE83+'مسير مارس'!AF83,0)+IF(4&lt;=cfg_VAL_M,'مسير أبريل'!AD83+'مسير أبريل'!AE83+'مسير أبريل'!AF83,0)+IF(5&lt;=cfg_VAL_M,'مسير مايو'!AD83+'مسير مايو'!AE83+'مسير مايو'!AF83,0)+IF(6&lt;=cfg_VAL_M,'مسير يونيو'!AD83+'مسير يونيو'!AE83+'مسير يونيو'!AF83,0)+IF(7&lt;=cfg_VAL_M,'مسير يوليو'!AD83+'مسير يوليو'!AE83+'مسير يوليو'!AF83,0)+IF(8&lt;=cfg_VAL_M,'مسير أغسطس'!AD83+'مسير أغسطس'!AE83+'مسير أغسطس'!AF83,0)+IF(9&lt;=cfg_VAL_M,'مسير سبتمبر'!AD83+'مسير سبتمبر'!AE83+'مسير سبتمبر'!AF83,0)+IF(10&lt;=cfg_VAL_M,'مسير أكتوبر'!AD83+'مسير أكتوبر'!AE83+'مسير أكتوبر'!AF83,0)+IF(11&lt;=cfg_VAL_M,'مسير نوفمبر'!AD83+'مسير نوفمبر'!AE83+'مسير نوفمبر'!AF83,0)+IF(12&lt;=cfg_VAL_M,'مسير ديسمبر'!AD83+'مسير ديسمبر'!AE83+'مسير ديسمبر'!AF83,0))</f>
        <v/>
      </c>
      <c r="U83" s="101" t="str">
        <f aca="false">IF(OR($B83="",F83="✖ منتهي الخدمة"),"",IF(AND(ISNUMBER(I83),I83&lt;=cfg_ALERT),N83,0)+IF(AND(ISNUMBER(L83),L83&lt;=cfg_ALERT),O83,0))</f>
        <v/>
      </c>
    </row>
    <row r="84" customFormat="false" ht="15" hidden="false" customHeight="false" outlineLevel="0" collapsed="false">
      <c r="B84" s="80" t="str">
        <f aca="false">IF(الموظفون!$B84="","",الموظفون!$B84)</f>
        <v/>
      </c>
      <c r="C84" s="80" t="str">
        <f aca="false">IF($B84="","",الموظفون!$C84)</f>
        <v/>
      </c>
      <c r="D84" s="80" t="str">
        <f aca="false">IF($B84="","",الموظفون!$D84)</f>
        <v/>
      </c>
      <c r="E84" s="80" t="str">
        <f aca="false">IF($B84="","",الموظفون!$E84)</f>
        <v/>
      </c>
      <c r="F84" s="80" t="str">
        <f aca="false">IF($B84="","",الموظفون!$AG84)</f>
        <v/>
      </c>
      <c r="G84" s="80" t="str">
        <f aca="false">IF($B84="","",IF(الموظفون!$I84="","",الموظفون!$I84))</f>
        <v/>
      </c>
      <c r="H84" s="147" t="str">
        <f aca="false">IF($B84="","",IF(الموظفون!$J84="","",الموظفون!$J84))</f>
        <v/>
      </c>
      <c r="I84" s="57" t="str">
        <f aca="false">IF(OR($B84="",H84=""),"",H84-cfg_TRACK)</f>
        <v/>
      </c>
      <c r="J84" s="80" t="str">
        <f aca="false">IF(OR($B84="",$F84="✖ منتهي الخدمة"),"",IF(H84="",IF($E84="غير سعودي","⚠ أدخل التاريخ","-"),IF(I84&lt;0,"✖ منتهية منذ "&amp;TEXT(-I84,"0")&amp;" يوم",IF(I84&lt;=cfg_ALERT,"⚠ تنتهي خلال "&amp;TEXT(I84,"0")&amp;" يوم","✔ سارية"))))</f>
        <v/>
      </c>
      <c r="K84" s="147" t="str">
        <f aca="false">IF($B84="","",IF(الموظفون!$K84="","",الموظفون!$K84))</f>
        <v/>
      </c>
      <c r="L84" s="57" t="str">
        <f aca="false">IF(OR($B84="",K84=""),"",K84-cfg_TRACK)</f>
        <v/>
      </c>
      <c r="M84" s="80" t="str">
        <f aca="false">IF(OR($B84="",$F84="✖ منتهي الخدمة"),"",IF(K84="",IF($E84="غير سعودي","⚠ أدخل التاريخ","-"),IF(L84&lt;0,"✖ منتهية منذ "&amp;TEXT(-L84,"0")&amp;" يوم",IF(L84&lt;=cfg_ALERT,"⚠ تنتهي خلال "&amp;TEXT(L84,"0")&amp;" يوم","✔ سارية"))))</f>
        <v/>
      </c>
      <c r="N84" s="97" t="str">
        <f aca="false">IF($B84="","",IF(F84="✖ منتهي الخدمة",0,IF(الموظفون!$X84&lt;&gt;"",الموظفون!$X84,IF(الموظفون!$E84="غير سعودي",cfg_IQ,0))))</f>
        <v/>
      </c>
      <c r="O84" s="97" t="str">
        <f aca="false">IF($B84="","",IF(F84="✖ منتهي الخدمة",0,IF(الموظفون!$Y84&lt;&gt;"",الموظفون!$Y84,IF(الموظفون!$E84="غير سعودي",cfg_WP,0))))</f>
        <v/>
      </c>
      <c r="P84" s="97" t="str">
        <f aca="false">IF($B84="","",IF(F84="✖ منتهي الخدمة",0,IF(الموظفون!$Z84&lt;&gt;"",الموظفون!$Z84,cfg_MED)))</f>
        <v/>
      </c>
      <c r="Q84" s="97" t="str">
        <f aca="false">IF($B84="","",IF(F84="✖ منتهي الخدمة",0,N(الموظفون!$AA84)))</f>
        <v/>
      </c>
      <c r="R84" s="97" t="str">
        <f aca="false">IF($B84="","",SUM(N84:Q84))</f>
        <v/>
      </c>
      <c r="S84" s="97" t="str">
        <f aca="false">IF($B84="","",R84/12)</f>
        <v/>
      </c>
      <c r="T84" s="97" t="str">
        <f aca="false">IF($B84="","",IF(1&lt;=cfg_VAL_M,'مسير يناير'!AD84+'مسير يناير'!AE84+'مسير يناير'!AF84,0)+IF(2&lt;=cfg_VAL_M,'مسير فبراير'!AD84+'مسير فبراير'!AE84+'مسير فبراير'!AF84,0)+IF(3&lt;=cfg_VAL_M,'مسير مارس'!AD84+'مسير مارس'!AE84+'مسير مارس'!AF84,0)+IF(4&lt;=cfg_VAL_M,'مسير أبريل'!AD84+'مسير أبريل'!AE84+'مسير أبريل'!AF84,0)+IF(5&lt;=cfg_VAL_M,'مسير مايو'!AD84+'مسير مايو'!AE84+'مسير مايو'!AF84,0)+IF(6&lt;=cfg_VAL_M,'مسير يونيو'!AD84+'مسير يونيو'!AE84+'مسير يونيو'!AF84,0)+IF(7&lt;=cfg_VAL_M,'مسير يوليو'!AD84+'مسير يوليو'!AE84+'مسير يوليو'!AF84,0)+IF(8&lt;=cfg_VAL_M,'مسير أغسطس'!AD84+'مسير أغسطس'!AE84+'مسير أغسطس'!AF84,0)+IF(9&lt;=cfg_VAL_M,'مسير سبتمبر'!AD84+'مسير سبتمبر'!AE84+'مسير سبتمبر'!AF84,0)+IF(10&lt;=cfg_VAL_M,'مسير أكتوبر'!AD84+'مسير أكتوبر'!AE84+'مسير أكتوبر'!AF84,0)+IF(11&lt;=cfg_VAL_M,'مسير نوفمبر'!AD84+'مسير نوفمبر'!AE84+'مسير نوفمبر'!AF84,0)+IF(12&lt;=cfg_VAL_M,'مسير ديسمبر'!AD84+'مسير ديسمبر'!AE84+'مسير ديسمبر'!AF84,0))</f>
        <v/>
      </c>
      <c r="U84" s="97" t="str">
        <f aca="false">IF(OR($B84="",F84="✖ منتهي الخدمة"),"",IF(AND(ISNUMBER(I84),I84&lt;=cfg_ALERT),N84,0)+IF(AND(ISNUMBER(L84),L84&lt;=cfg_ALERT),O84,0))</f>
        <v/>
      </c>
    </row>
    <row r="85" customFormat="false" ht="15" hidden="false" customHeight="false" outlineLevel="0" collapsed="false">
      <c r="B85" s="102" t="str">
        <f aca="false">IF(الموظفون!$B85="","",الموظفون!$B85)</f>
        <v/>
      </c>
      <c r="C85" s="102" t="str">
        <f aca="false">IF($B85="","",الموظفون!$C85)</f>
        <v/>
      </c>
      <c r="D85" s="102" t="str">
        <f aca="false">IF($B85="","",الموظفون!$D85)</f>
        <v/>
      </c>
      <c r="E85" s="102" t="str">
        <f aca="false">IF($B85="","",الموظفون!$E85)</f>
        <v/>
      </c>
      <c r="F85" s="102" t="str">
        <f aca="false">IF($B85="","",الموظفون!$AG85)</f>
        <v/>
      </c>
      <c r="G85" s="102" t="str">
        <f aca="false">IF($B85="","",IF(الموظفون!$I85="","",الموظفون!$I85))</f>
        <v/>
      </c>
      <c r="H85" s="148" t="str">
        <f aca="false">IF($B85="","",IF(الموظفون!$J85="","",الموظفون!$J85))</f>
        <v/>
      </c>
      <c r="I85" s="110" t="str">
        <f aca="false">IF(OR($B85="",H85=""),"",H85-cfg_TRACK)</f>
        <v/>
      </c>
      <c r="J85" s="102" t="str">
        <f aca="false">IF(OR($B85="",$F85="✖ منتهي الخدمة"),"",IF(H85="",IF($E85="غير سعودي","⚠ أدخل التاريخ","-"),IF(I85&lt;0,"✖ منتهية منذ "&amp;TEXT(-I85,"0")&amp;" يوم",IF(I85&lt;=cfg_ALERT,"⚠ تنتهي خلال "&amp;TEXT(I85,"0")&amp;" يوم","✔ سارية"))))</f>
        <v/>
      </c>
      <c r="K85" s="148" t="str">
        <f aca="false">IF($B85="","",IF(الموظفون!$K85="","",الموظفون!$K85))</f>
        <v/>
      </c>
      <c r="L85" s="110" t="str">
        <f aca="false">IF(OR($B85="",K85=""),"",K85-cfg_TRACK)</f>
        <v/>
      </c>
      <c r="M85" s="102" t="str">
        <f aca="false">IF(OR($B85="",$F85="✖ منتهي الخدمة"),"",IF(K85="",IF($E85="غير سعودي","⚠ أدخل التاريخ","-"),IF(L85&lt;0,"✖ منتهية منذ "&amp;TEXT(-L85,"0")&amp;" يوم",IF(L85&lt;=cfg_ALERT,"⚠ تنتهي خلال "&amp;TEXT(L85,"0")&amp;" يوم","✔ سارية"))))</f>
        <v/>
      </c>
      <c r="N85" s="101" t="str">
        <f aca="false">IF($B85="","",IF(F85="✖ منتهي الخدمة",0,IF(الموظفون!$X85&lt;&gt;"",الموظفون!$X85,IF(الموظفون!$E85="غير سعودي",cfg_IQ,0))))</f>
        <v/>
      </c>
      <c r="O85" s="101" t="str">
        <f aca="false">IF($B85="","",IF(F85="✖ منتهي الخدمة",0,IF(الموظفون!$Y85&lt;&gt;"",الموظفون!$Y85,IF(الموظفون!$E85="غير سعودي",cfg_WP,0))))</f>
        <v/>
      </c>
      <c r="P85" s="101" t="str">
        <f aca="false">IF($B85="","",IF(F85="✖ منتهي الخدمة",0,IF(الموظفون!$Z85&lt;&gt;"",الموظفون!$Z85,cfg_MED)))</f>
        <v/>
      </c>
      <c r="Q85" s="101" t="str">
        <f aca="false">IF($B85="","",IF(F85="✖ منتهي الخدمة",0,N(الموظفون!$AA85)))</f>
        <v/>
      </c>
      <c r="R85" s="101" t="str">
        <f aca="false">IF($B85="","",SUM(N85:Q85))</f>
        <v/>
      </c>
      <c r="S85" s="101" t="str">
        <f aca="false">IF($B85="","",R85/12)</f>
        <v/>
      </c>
      <c r="T85" s="101" t="str">
        <f aca="false">IF($B85="","",IF(1&lt;=cfg_VAL_M,'مسير يناير'!AD85+'مسير يناير'!AE85+'مسير يناير'!AF85,0)+IF(2&lt;=cfg_VAL_M,'مسير فبراير'!AD85+'مسير فبراير'!AE85+'مسير فبراير'!AF85,0)+IF(3&lt;=cfg_VAL_M,'مسير مارس'!AD85+'مسير مارس'!AE85+'مسير مارس'!AF85,0)+IF(4&lt;=cfg_VAL_M,'مسير أبريل'!AD85+'مسير أبريل'!AE85+'مسير أبريل'!AF85,0)+IF(5&lt;=cfg_VAL_M,'مسير مايو'!AD85+'مسير مايو'!AE85+'مسير مايو'!AF85,0)+IF(6&lt;=cfg_VAL_M,'مسير يونيو'!AD85+'مسير يونيو'!AE85+'مسير يونيو'!AF85,0)+IF(7&lt;=cfg_VAL_M,'مسير يوليو'!AD85+'مسير يوليو'!AE85+'مسير يوليو'!AF85,0)+IF(8&lt;=cfg_VAL_M,'مسير أغسطس'!AD85+'مسير أغسطس'!AE85+'مسير أغسطس'!AF85,0)+IF(9&lt;=cfg_VAL_M,'مسير سبتمبر'!AD85+'مسير سبتمبر'!AE85+'مسير سبتمبر'!AF85,0)+IF(10&lt;=cfg_VAL_M,'مسير أكتوبر'!AD85+'مسير أكتوبر'!AE85+'مسير أكتوبر'!AF85,0)+IF(11&lt;=cfg_VAL_M,'مسير نوفمبر'!AD85+'مسير نوفمبر'!AE85+'مسير نوفمبر'!AF85,0)+IF(12&lt;=cfg_VAL_M,'مسير ديسمبر'!AD85+'مسير ديسمبر'!AE85+'مسير ديسمبر'!AF85,0))</f>
        <v/>
      </c>
      <c r="U85" s="101" t="str">
        <f aca="false">IF(OR($B85="",F85="✖ منتهي الخدمة"),"",IF(AND(ISNUMBER(I85),I85&lt;=cfg_ALERT),N85,0)+IF(AND(ISNUMBER(L85),L85&lt;=cfg_ALERT),O85,0))</f>
        <v/>
      </c>
    </row>
    <row r="86" customFormat="false" ht="15" hidden="false" customHeight="false" outlineLevel="0" collapsed="false">
      <c r="B86" s="80" t="str">
        <f aca="false">IF(الموظفون!$B86="","",الموظفون!$B86)</f>
        <v/>
      </c>
      <c r="C86" s="80" t="str">
        <f aca="false">IF($B86="","",الموظفون!$C86)</f>
        <v/>
      </c>
      <c r="D86" s="80" t="str">
        <f aca="false">IF($B86="","",الموظفون!$D86)</f>
        <v/>
      </c>
      <c r="E86" s="80" t="str">
        <f aca="false">IF($B86="","",الموظفون!$E86)</f>
        <v/>
      </c>
      <c r="F86" s="80" t="str">
        <f aca="false">IF($B86="","",الموظفون!$AG86)</f>
        <v/>
      </c>
      <c r="G86" s="80" t="str">
        <f aca="false">IF($B86="","",IF(الموظفون!$I86="","",الموظفون!$I86))</f>
        <v/>
      </c>
      <c r="H86" s="147" t="str">
        <f aca="false">IF($B86="","",IF(الموظفون!$J86="","",الموظفون!$J86))</f>
        <v/>
      </c>
      <c r="I86" s="57" t="str">
        <f aca="false">IF(OR($B86="",H86=""),"",H86-cfg_TRACK)</f>
        <v/>
      </c>
      <c r="J86" s="80" t="str">
        <f aca="false">IF(OR($B86="",$F86="✖ منتهي الخدمة"),"",IF(H86="",IF($E86="غير سعودي","⚠ أدخل التاريخ","-"),IF(I86&lt;0,"✖ منتهية منذ "&amp;TEXT(-I86,"0")&amp;" يوم",IF(I86&lt;=cfg_ALERT,"⚠ تنتهي خلال "&amp;TEXT(I86,"0")&amp;" يوم","✔ سارية"))))</f>
        <v/>
      </c>
      <c r="K86" s="147" t="str">
        <f aca="false">IF($B86="","",IF(الموظفون!$K86="","",الموظفون!$K86))</f>
        <v/>
      </c>
      <c r="L86" s="57" t="str">
        <f aca="false">IF(OR($B86="",K86=""),"",K86-cfg_TRACK)</f>
        <v/>
      </c>
      <c r="M86" s="80" t="str">
        <f aca="false">IF(OR($B86="",$F86="✖ منتهي الخدمة"),"",IF(K86="",IF($E86="غير سعودي","⚠ أدخل التاريخ","-"),IF(L86&lt;0,"✖ منتهية منذ "&amp;TEXT(-L86,"0")&amp;" يوم",IF(L86&lt;=cfg_ALERT,"⚠ تنتهي خلال "&amp;TEXT(L86,"0")&amp;" يوم","✔ سارية"))))</f>
        <v/>
      </c>
      <c r="N86" s="97" t="str">
        <f aca="false">IF($B86="","",IF(F86="✖ منتهي الخدمة",0,IF(الموظفون!$X86&lt;&gt;"",الموظفون!$X86,IF(الموظفون!$E86="غير سعودي",cfg_IQ,0))))</f>
        <v/>
      </c>
      <c r="O86" s="97" t="str">
        <f aca="false">IF($B86="","",IF(F86="✖ منتهي الخدمة",0,IF(الموظفون!$Y86&lt;&gt;"",الموظفون!$Y86,IF(الموظفون!$E86="غير سعودي",cfg_WP,0))))</f>
        <v/>
      </c>
      <c r="P86" s="97" t="str">
        <f aca="false">IF($B86="","",IF(F86="✖ منتهي الخدمة",0,IF(الموظفون!$Z86&lt;&gt;"",الموظفون!$Z86,cfg_MED)))</f>
        <v/>
      </c>
      <c r="Q86" s="97" t="str">
        <f aca="false">IF($B86="","",IF(F86="✖ منتهي الخدمة",0,N(الموظفون!$AA86)))</f>
        <v/>
      </c>
      <c r="R86" s="97" t="str">
        <f aca="false">IF($B86="","",SUM(N86:Q86))</f>
        <v/>
      </c>
      <c r="S86" s="97" t="str">
        <f aca="false">IF($B86="","",R86/12)</f>
        <v/>
      </c>
      <c r="T86" s="97" t="str">
        <f aca="false">IF($B86="","",IF(1&lt;=cfg_VAL_M,'مسير يناير'!AD86+'مسير يناير'!AE86+'مسير يناير'!AF86,0)+IF(2&lt;=cfg_VAL_M,'مسير فبراير'!AD86+'مسير فبراير'!AE86+'مسير فبراير'!AF86,0)+IF(3&lt;=cfg_VAL_M,'مسير مارس'!AD86+'مسير مارس'!AE86+'مسير مارس'!AF86,0)+IF(4&lt;=cfg_VAL_M,'مسير أبريل'!AD86+'مسير أبريل'!AE86+'مسير أبريل'!AF86,0)+IF(5&lt;=cfg_VAL_M,'مسير مايو'!AD86+'مسير مايو'!AE86+'مسير مايو'!AF86,0)+IF(6&lt;=cfg_VAL_M,'مسير يونيو'!AD86+'مسير يونيو'!AE86+'مسير يونيو'!AF86,0)+IF(7&lt;=cfg_VAL_M,'مسير يوليو'!AD86+'مسير يوليو'!AE86+'مسير يوليو'!AF86,0)+IF(8&lt;=cfg_VAL_M,'مسير أغسطس'!AD86+'مسير أغسطس'!AE86+'مسير أغسطس'!AF86,0)+IF(9&lt;=cfg_VAL_M,'مسير سبتمبر'!AD86+'مسير سبتمبر'!AE86+'مسير سبتمبر'!AF86,0)+IF(10&lt;=cfg_VAL_M,'مسير أكتوبر'!AD86+'مسير أكتوبر'!AE86+'مسير أكتوبر'!AF86,0)+IF(11&lt;=cfg_VAL_M,'مسير نوفمبر'!AD86+'مسير نوفمبر'!AE86+'مسير نوفمبر'!AF86,0)+IF(12&lt;=cfg_VAL_M,'مسير ديسمبر'!AD86+'مسير ديسمبر'!AE86+'مسير ديسمبر'!AF86,0))</f>
        <v/>
      </c>
      <c r="U86" s="97" t="str">
        <f aca="false">IF(OR($B86="",F86="✖ منتهي الخدمة"),"",IF(AND(ISNUMBER(I86),I86&lt;=cfg_ALERT),N86,0)+IF(AND(ISNUMBER(L86),L86&lt;=cfg_ALERT),O86,0))</f>
        <v/>
      </c>
    </row>
    <row r="87" customFormat="false" ht="15" hidden="false" customHeight="false" outlineLevel="0" collapsed="false">
      <c r="B87" s="102" t="str">
        <f aca="false">IF(الموظفون!$B87="","",الموظفون!$B87)</f>
        <v/>
      </c>
      <c r="C87" s="102" t="str">
        <f aca="false">IF($B87="","",الموظفون!$C87)</f>
        <v/>
      </c>
      <c r="D87" s="102" t="str">
        <f aca="false">IF($B87="","",الموظفون!$D87)</f>
        <v/>
      </c>
      <c r="E87" s="102" t="str">
        <f aca="false">IF($B87="","",الموظفون!$E87)</f>
        <v/>
      </c>
      <c r="F87" s="102" t="str">
        <f aca="false">IF($B87="","",الموظفون!$AG87)</f>
        <v/>
      </c>
      <c r="G87" s="102" t="str">
        <f aca="false">IF($B87="","",IF(الموظفون!$I87="","",الموظفون!$I87))</f>
        <v/>
      </c>
      <c r="H87" s="148" t="str">
        <f aca="false">IF($B87="","",IF(الموظفون!$J87="","",الموظفون!$J87))</f>
        <v/>
      </c>
      <c r="I87" s="110" t="str">
        <f aca="false">IF(OR($B87="",H87=""),"",H87-cfg_TRACK)</f>
        <v/>
      </c>
      <c r="J87" s="102" t="str">
        <f aca="false">IF(OR($B87="",$F87="✖ منتهي الخدمة"),"",IF(H87="",IF($E87="غير سعودي","⚠ أدخل التاريخ","-"),IF(I87&lt;0,"✖ منتهية منذ "&amp;TEXT(-I87,"0")&amp;" يوم",IF(I87&lt;=cfg_ALERT,"⚠ تنتهي خلال "&amp;TEXT(I87,"0")&amp;" يوم","✔ سارية"))))</f>
        <v/>
      </c>
      <c r="K87" s="148" t="str">
        <f aca="false">IF($B87="","",IF(الموظفون!$K87="","",الموظفون!$K87))</f>
        <v/>
      </c>
      <c r="L87" s="110" t="str">
        <f aca="false">IF(OR($B87="",K87=""),"",K87-cfg_TRACK)</f>
        <v/>
      </c>
      <c r="M87" s="102" t="str">
        <f aca="false">IF(OR($B87="",$F87="✖ منتهي الخدمة"),"",IF(K87="",IF($E87="غير سعودي","⚠ أدخل التاريخ","-"),IF(L87&lt;0,"✖ منتهية منذ "&amp;TEXT(-L87,"0")&amp;" يوم",IF(L87&lt;=cfg_ALERT,"⚠ تنتهي خلال "&amp;TEXT(L87,"0")&amp;" يوم","✔ سارية"))))</f>
        <v/>
      </c>
      <c r="N87" s="101" t="str">
        <f aca="false">IF($B87="","",IF(F87="✖ منتهي الخدمة",0,IF(الموظفون!$X87&lt;&gt;"",الموظفون!$X87,IF(الموظفون!$E87="غير سعودي",cfg_IQ,0))))</f>
        <v/>
      </c>
      <c r="O87" s="101" t="str">
        <f aca="false">IF($B87="","",IF(F87="✖ منتهي الخدمة",0,IF(الموظفون!$Y87&lt;&gt;"",الموظفون!$Y87,IF(الموظفون!$E87="غير سعودي",cfg_WP,0))))</f>
        <v/>
      </c>
      <c r="P87" s="101" t="str">
        <f aca="false">IF($B87="","",IF(F87="✖ منتهي الخدمة",0,IF(الموظفون!$Z87&lt;&gt;"",الموظفون!$Z87,cfg_MED)))</f>
        <v/>
      </c>
      <c r="Q87" s="101" t="str">
        <f aca="false">IF($B87="","",IF(F87="✖ منتهي الخدمة",0,N(الموظفون!$AA87)))</f>
        <v/>
      </c>
      <c r="R87" s="101" t="str">
        <f aca="false">IF($B87="","",SUM(N87:Q87))</f>
        <v/>
      </c>
      <c r="S87" s="101" t="str">
        <f aca="false">IF($B87="","",R87/12)</f>
        <v/>
      </c>
      <c r="T87" s="101" t="str">
        <f aca="false">IF($B87="","",IF(1&lt;=cfg_VAL_M,'مسير يناير'!AD87+'مسير يناير'!AE87+'مسير يناير'!AF87,0)+IF(2&lt;=cfg_VAL_M,'مسير فبراير'!AD87+'مسير فبراير'!AE87+'مسير فبراير'!AF87,0)+IF(3&lt;=cfg_VAL_M,'مسير مارس'!AD87+'مسير مارس'!AE87+'مسير مارس'!AF87,0)+IF(4&lt;=cfg_VAL_M,'مسير أبريل'!AD87+'مسير أبريل'!AE87+'مسير أبريل'!AF87,0)+IF(5&lt;=cfg_VAL_M,'مسير مايو'!AD87+'مسير مايو'!AE87+'مسير مايو'!AF87,0)+IF(6&lt;=cfg_VAL_M,'مسير يونيو'!AD87+'مسير يونيو'!AE87+'مسير يونيو'!AF87,0)+IF(7&lt;=cfg_VAL_M,'مسير يوليو'!AD87+'مسير يوليو'!AE87+'مسير يوليو'!AF87,0)+IF(8&lt;=cfg_VAL_M,'مسير أغسطس'!AD87+'مسير أغسطس'!AE87+'مسير أغسطس'!AF87,0)+IF(9&lt;=cfg_VAL_M,'مسير سبتمبر'!AD87+'مسير سبتمبر'!AE87+'مسير سبتمبر'!AF87,0)+IF(10&lt;=cfg_VAL_M,'مسير أكتوبر'!AD87+'مسير أكتوبر'!AE87+'مسير أكتوبر'!AF87,0)+IF(11&lt;=cfg_VAL_M,'مسير نوفمبر'!AD87+'مسير نوفمبر'!AE87+'مسير نوفمبر'!AF87,0)+IF(12&lt;=cfg_VAL_M,'مسير ديسمبر'!AD87+'مسير ديسمبر'!AE87+'مسير ديسمبر'!AF87,0))</f>
        <v/>
      </c>
      <c r="U87" s="101" t="str">
        <f aca="false">IF(OR($B87="",F87="✖ منتهي الخدمة"),"",IF(AND(ISNUMBER(I87),I87&lt;=cfg_ALERT),N87,0)+IF(AND(ISNUMBER(L87),L87&lt;=cfg_ALERT),O87,0))</f>
        <v/>
      </c>
    </row>
    <row r="88" customFormat="false" ht="15" hidden="false" customHeight="false" outlineLevel="0" collapsed="false">
      <c r="B88" s="80" t="str">
        <f aca="false">IF(الموظفون!$B88="","",الموظفون!$B88)</f>
        <v/>
      </c>
      <c r="C88" s="80" t="str">
        <f aca="false">IF($B88="","",الموظفون!$C88)</f>
        <v/>
      </c>
      <c r="D88" s="80" t="str">
        <f aca="false">IF($B88="","",الموظفون!$D88)</f>
        <v/>
      </c>
      <c r="E88" s="80" t="str">
        <f aca="false">IF($B88="","",الموظفون!$E88)</f>
        <v/>
      </c>
      <c r="F88" s="80" t="str">
        <f aca="false">IF($B88="","",الموظفون!$AG88)</f>
        <v/>
      </c>
      <c r="G88" s="80" t="str">
        <f aca="false">IF($B88="","",IF(الموظفون!$I88="","",الموظفون!$I88))</f>
        <v/>
      </c>
      <c r="H88" s="147" t="str">
        <f aca="false">IF($B88="","",IF(الموظفون!$J88="","",الموظفون!$J88))</f>
        <v/>
      </c>
      <c r="I88" s="57" t="str">
        <f aca="false">IF(OR($B88="",H88=""),"",H88-cfg_TRACK)</f>
        <v/>
      </c>
      <c r="J88" s="80" t="str">
        <f aca="false">IF(OR($B88="",$F88="✖ منتهي الخدمة"),"",IF(H88="",IF($E88="غير سعودي","⚠ أدخل التاريخ","-"),IF(I88&lt;0,"✖ منتهية منذ "&amp;TEXT(-I88,"0")&amp;" يوم",IF(I88&lt;=cfg_ALERT,"⚠ تنتهي خلال "&amp;TEXT(I88,"0")&amp;" يوم","✔ سارية"))))</f>
        <v/>
      </c>
      <c r="K88" s="147" t="str">
        <f aca="false">IF($B88="","",IF(الموظفون!$K88="","",الموظفون!$K88))</f>
        <v/>
      </c>
      <c r="L88" s="57" t="str">
        <f aca="false">IF(OR($B88="",K88=""),"",K88-cfg_TRACK)</f>
        <v/>
      </c>
      <c r="M88" s="80" t="str">
        <f aca="false">IF(OR($B88="",$F88="✖ منتهي الخدمة"),"",IF(K88="",IF($E88="غير سعودي","⚠ أدخل التاريخ","-"),IF(L88&lt;0,"✖ منتهية منذ "&amp;TEXT(-L88,"0")&amp;" يوم",IF(L88&lt;=cfg_ALERT,"⚠ تنتهي خلال "&amp;TEXT(L88,"0")&amp;" يوم","✔ سارية"))))</f>
        <v/>
      </c>
      <c r="N88" s="97" t="str">
        <f aca="false">IF($B88="","",IF(F88="✖ منتهي الخدمة",0,IF(الموظفون!$X88&lt;&gt;"",الموظفون!$X88,IF(الموظفون!$E88="غير سعودي",cfg_IQ,0))))</f>
        <v/>
      </c>
      <c r="O88" s="97" t="str">
        <f aca="false">IF($B88="","",IF(F88="✖ منتهي الخدمة",0,IF(الموظفون!$Y88&lt;&gt;"",الموظفون!$Y88,IF(الموظفون!$E88="غير سعودي",cfg_WP,0))))</f>
        <v/>
      </c>
      <c r="P88" s="97" t="str">
        <f aca="false">IF($B88="","",IF(F88="✖ منتهي الخدمة",0,IF(الموظفون!$Z88&lt;&gt;"",الموظفون!$Z88,cfg_MED)))</f>
        <v/>
      </c>
      <c r="Q88" s="97" t="str">
        <f aca="false">IF($B88="","",IF(F88="✖ منتهي الخدمة",0,N(الموظفون!$AA88)))</f>
        <v/>
      </c>
      <c r="R88" s="97" t="str">
        <f aca="false">IF($B88="","",SUM(N88:Q88))</f>
        <v/>
      </c>
      <c r="S88" s="97" t="str">
        <f aca="false">IF($B88="","",R88/12)</f>
        <v/>
      </c>
      <c r="T88" s="97" t="str">
        <f aca="false">IF($B88="","",IF(1&lt;=cfg_VAL_M,'مسير يناير'!AD88+'مسير يناير'!AE88+'مسير يناير'!AF88,0)+IF(2&lt;=cfg_VAL_M,'مسير فبراير'!AD88+'مسير فبراير'!AE88+'مسير فبراير'!AF88,0)+IF(3&lt;=cfg_VAL_M,'مسير مارس'!AD88+'مسير مارس'!AE88+'مسير مارس'!AF88,0)+IF(4&lt;=cfg_VAL_M,'مسير أبريل'!AD88+'مسير أبريل'!AE88+'مسير أبريل'!AF88,0)+IF(5&lt;=cfg_VAL_M,'مسير مايو'!AD88+'مسير مايو'!AE88+'مسير مايو'!AF88,0)+IF(6&lt;=cfg_VAL_M,'مسير يونيو'!AD88+'مسير يونيو'!AE88+'مسير يونيو'!AF88,0)+IF(7&lt;=cfg_VAL_M,'مسير يوليو'!AD88+'مسير يوليو'!AE88+'مسير يوليو'!AF88,0)+IF(8&lt;=cfg_VAL_M,'مسير أغسطس'!AD88+'مسير أغسطس'!AE88+'مسير أغسطس'!AF88,0)+IF(9&lt;=cfg_VAL_M,'مسير سبتمبر'!AD88+'مسير سبتمبر'!AE88+'مسير سبتمبر'!AF88,0)+IF(10&lt;=cfg_VAL_M,'مسير أكتوبر'!AD88+'مسير أكتوبر'!AE88+'مسير أكتوبر'!AF88,0)+IF(11&lt;=cfg_VAL_M,'مسير نوفمبر'!AD88+'مسير نوفمبر'!AE88+'مسير نوفمبر'!AF88,0)+IF(12&lt;=cfg_VAL_M,'مسير ديسمبر'!AD88+'مسير ديسمبر'!AE88+'مسير ديسمبر'!AF88,0))</f>
        <v/>
      </c>
      <c r="U88" s="97" t="str">
        <f aca="false">IF(OR($B88="",F88="✖ منتهي الخدمة"),"",IF(AND(ISNUMBER(I88),I88&lt;=cfg_ALERT),N88,0)+IF(AND(ISNUMBER(L88),L88&lt;=cfg_ALERT),O88,0))</f>
        <v/>
      </c>
    </row>
    <row r="89" customFormat="false" ht="15" hidden="false" customHeight="false" outlineLevel="0" collapsed="false">
      <c r="B89" s="102" t="str">
        <f aca="false">IF(الموظفون!$B89="","",الموظفون!$B89)</f>
        <v/>
      </c>
      <c r="C89" s="102" t="str">
        <f aca="false">IF($B89="","",الموظفون!$C89)</f>
        <v/>
      </c>
      <c r="D89" s="102" t="str">
        <f aca="false">IF($B89="","",الموظفون!$D89)</f>
        <v/>
      </c>
      <c r="E89" s="102" t="str">
        <f aca="false">IF($B89="","",الموظفون!$E89)</f>
        <v/>
      </c>
      <c r="F89" s="102" t="str">
        <f aca="false">IF($B89="","",الموظفون!$AG89)</f>
        <v/>
      </c>
      <c r="G89" s="102" t="str">
        <f aca="false">IF($B89="","",IF(الموظفون!$I89="","",الموظفون!$I89))</f>
        <v/>
      </c>
      <c r="H89" s="148" t="str">
        <f aca="false">IF($B89="","",IF(الموظفون!$J89="","",الموظفون!$J89))</f>
        <v/>
      </c>
      <c r="I89" s="110" t="str">
        <f aca="false">IF(OR($B89="",H89=""),"",H89-cfg_TRACK)</f>
        <v/>
      </c>
      <c r="J89" s="102" t="str">
        <f aca="false">IF(OR($B89="",$F89="✖ منتهي الخدمة"),"",IF(H89="",IF($E89="غير سعودي","⚠ أدخل التاريخ","-"),IF(I89&lt;0,"✖ منتهية منذ "&amp;TEXT(-I89,"0")&amp;" يوم",IF(I89&lt;=cfg_ALERT,"⚠ تنتهي خلال "&amp;TEXT(I89,"0")&amp;" يوم","✔ سارية"))))</f>
        <v/>
      </c>
      <c r="K89" s="148" t="str">
        <f aca="false">IF($B89="","",IF(الموظفون!$K89="","",الموظفون!$K89))</f>
        <v/>
      </c>
      <c r="L89" s="110" t="str">
        <f aca="false">IF(OR($B89="",K89=""),"",K89-cfg_TRACK)</f>
        <v/>
      </c>
      <c r="M89" s="102" t="str">
        <f aca="false">IF(OR($B89="",$F89="✖ منتهي الخدمة"),"",IF(K89="",IF($E89="غير سعودي","⚠ أدخل التاريخ","-"),IF(L89&lt;0,"✖ منتهية منذ "&amp;TEXT(-L89,"0")&amp;" يوم",IF(L89&lt;=cfg_ALERT,"⚠ تنتهي خلال "&amp;TEXT(L89,"0")&amp;" يوم","✔ سارية"))))</f>
        <v/>
      </c>
      <c r="N89" s="101" t="str">
        <f aca="false">IF($B89="","",IF(F89="✖ منتهي الخدمة",0,IF(الموظفون!$X89&lt;&gt;"",الموظفون!$X89,IF(الموظفون!$E89="غير سعودي",cfg_IQ,0))))</f>
        <v/>
      </c>
      <c r="O89" s="101" t="str">
        <f aca="false">IF($B89="","",IF(F89="✖ منتهي الخدمة",0,IF(الموظفون!$Y89&lt;&gt;"",الموظفون!$Y89,IF(الموظفون!$E89="غير سعودي",cfg_WP,0))))</f>
        <v/>
      </c>
      <c r="P89" s="101" t="str">
        <f aca="false">IF($B89="","",IF(F89="✖ منتهي الخدمة",0,IF(الموظفون!$Z89&lt;&gt;"",الموظفون!$Z89,cfg_MED)))</f>
        <v/>
      </c>
      <c r="Q89" s="101" t="str">
        <f aca="false">IF($B89="","",IF(F89="✖ منتهي الخدمة",0,N(الموظفون!$AA89)))</f>
        <v/>
      </c>
      <c r="R89" s="101" t="str">
        <f aca="false">IF($B89="","",SUM(N89:Q89))</f>
        <v/>
      </c>
      <c r="S89" s="101" t="str">
        <f aca="false">IF($B89="","",R89/12)</f>
        <v/>
      </c>
      <c r="T89" s="101" t="str">
        <f aca="false">IF($B89="","",IF(1&lt;=cfg_VAL_M,'مسير يناير'!AD89+'مسير يناير'!AE89+'مسير يناير'!AF89,0)+IF(2&lt;=cfg_VAL_M,'مسير فبراير'!AD89+'مسير فبراير'!AE89+'مسير فبراير'!AF89,0)+IF(3&lt;=cfg_VAL_M,'مسير مارس'!AD89+'مسير مارس'!AE89+'مسير مارس'!AF89,0)+IF(4&lt;=cfg_VAL_M,'مسير أبريل'!AD89+'مسير أبريل'!AE89+'مسير أبريل'!AF89,0)+IF(5&lt;=cfg_VAL_M,'مسير مايو'!AD89+'مسير مايو'!AE89+'مسير مايو'!AF89,0)+IF(6&lt;=cfg_VAL_M,'مسير يونيو'!AD89+'مسير يونيو'!AE89+'مسير يونيو'!AF89,0)+IF(7&lt;=cfg_VAL_M,'مسير يوليو'!AD89+'مسير يوليو'!AE89+'مسير يوليو'!AF89,0)+IF(8&lt;=cfg_VAL_M,'مسير أغسطس'!AD89+'مسير أغسطس'!AE89+'مسير أغسطس'!AF89,0)+IF(9&lt;=cfg_VAL_M,'مسير سبتمبر'!AD89+'مسير سبتمبر'!AE89+'مسير سبتمبر'!AF89,0)+IF(10&lt;=cfg_VAL_M,'مسير أكتوبر'!AD89+'مسير أكتوبر'!AE89+'مسير أكتوبر'!AF89,0)+IF(11&lt;=cfg_VAL_M,'مسير نوفمبر'!AD89+'مسير نوفمبر'!AE89+'مسير نوفمبر'!AF89,0)+IF(12&lt;=cfg_VAL_M,'مسير ديسمبر'!AD89+'مسير ديسمبر'!AE89+'مسير ديسمبر'!AF89,0))</f>
        <v/>
      </c>
      <c r="U89" s="101" t="str">
        <f aca="false">IF(OR($B89="",F89="✖ منتهي الخدمة"),"",IF(AND(ISNUMBER(I89),I89&lt;=cfg_ALERT),N89,0)+IF(AND(ISNUMBER(L89),L89&lt;=cfg_ALERT),O89,0))</f>
        <v/>
      </c>
    </row>
    <row r="90" customFormat="false" ht="15" hidden="false" customHeight="false" outlineLevel="0" collapsed="false">
      <c r="B90" s="80" t="str">
        <f aca="false">IF(الموظفون!$B90="","",الموظفون!$B90)</f>
        <v/>
      </c>
      <c r="C90" s="80" t="str">
        <f aca="false">IF($B90="","",الموظفون!$C90)</f>
        <v/>
      </c>
      <c r="D90" s="80" t="str">
        <f aca="false">IF($B90="","",الموظفون!$D90)</f>
        <v/>
      </c>
      <c r="E90" s="80" t="str">
        <f aca="false">IF($B90="","",الموظفون!$E90)</f>
        <v/>
      </c>
      <c r="F90" s="80" t="str">
        <f aca="false">IF($B90="","",الموظفون!$AG90)</f>
        <v/>
      </c>
      <c r="G90" s="80" t="str">
        <f aca="false">IF($B90="","",IF(الموظفون!$I90="","",الموظفون!$I90))</f>
        <v/>
      </c>
      <c r="H90" s="147" t="str">
        <f aca="false">IF($B90="","",IF(الموظفون!$J90="","",الموظفون!$J90))</f>
        <v/>
      </c>
      <c r="I90" s="57" t="str">
        <f aca="false">IF(OR($B90="",H90=""),"",H90-cfg_TRACK)</f>
        <v/>
      </c>
      <c r="J90" s="80" t="str">
        <f aca="false">IF(OR($B90="",$F90="✖ منتهي الخدمة"),"",IF(H90="",IF($E90="غير سعودي","⚠ أدخل التاريخ","-"),IF(I90&lt;0,"✖ منتهية منذ "&amp;TEXT(-I90,"0")&amp;" يوم",IF(I90&lt;=cfg_ALERT,"⚠ تنتهي خلال "&amp;TEXT(I90,"0")&amp;" يوم","✔ سارية"))))</f>
        <v/>
      </c>
      <c r="K90" s="147" t="str">
        <f aca="false">IF($B90="","",IF(الموظفون!$K90="","",الموظفون!$K90))</f>
        <v/>
      </c>
      <c r="L90" s="57" t="str">
        <f aca="false">IF(OR($B90="",K90=""),"",K90-cfg_TRACK)</f>
        <v/>
      </c>
      <c r="M90" s="80" t="str">
        <f aca="false">IF(OR($B90="",$F90="✖ منتهي الخدمة"),"",IF(K90="",IF($E90="غير سعودي","⚠ أدخل التاريخ","-"),IF(L90&lt;0,"✖ منتهية منذ "&amp;TEXT(-L90,"0")&amp;" يوم",IF(L90&lt;=cfg_ALERT,"⚠ تنتهي خلال "&amp;TEXT(L90,"0")&amp;" يوم","✔ سارية"))))</f>
        <v/>
      </c>
      <c r="N90" s="97" t="str">
        <f aca="false">IF($B90="","",IF(F90="✖ منتهي الخدمة",0,IF(الموظفون!$X90&lt;&gt;"",الموظفون!$X90,IF(الموظفون!$E90="غير سعودي",cfg_IQ,0))))</f>
        <v/>
      </c>
      <c r="O90" s="97" t="str">
        <f aca="false">IF($B90="","",IF(F90="✖ منتهي الخدمة",0,IF(الموظفون!$Y90&lt;&gt;"",الموظفون!$Y90,IF(الموظفون!$E90="غير سعودي",cfg_WP,0))))</f>
        <v/>
      </c>
      <c r="P90" s="97" t="str">
        <f aca="false">IF($B90="","",IF(F90="✖ منتهي الخدمة",0,IF(الموظفون!$Z90&lt;&gt;"",الموظفون!$Z90,cfg_MED)))</f>
        <v/>
      </c>
      <c r="Q90" s="97" t="str">
        <f aca="false">IF($B90="","",IF(F90="✖ منتهي الخدمة",0,N(الموظفون!$AA90)))</f>
        <v/>
      </c>
      <c r="R90" s="97" t="str">
        <f aca="false">IF($B90="","",SUM(N90:Q90))</f>
        <v/>
      </c>
      <c r="S90" s="97" t="str">
        <f aca="false">IF($B90="","",R90/12)</f>
        <v/>
      </c>
      <c r="T90" s="97" t="str">
        <f aca="false">IF($B90="","",IF(1&lt;=cfg_VAL_M,'مسير يناير'!AD90+'مسير يناير'!AE90+'مسير يناير'!AF90,0)+IF(2&lt;=cfg_VAL_M,'مسير فبراير'!AD90+'مسير فبراير'!AE90+'مسير فبراير'!AF90,0)+IF(3&lt;=cfg_VAL_M,'مسير مارس'!AD90+'مسير مارس'!AE90+'مسير مارس'!AF90,0)+IF(4&lt;=cfg_VAL_M,'مسير أبريل'!AD90+'مسير أبريل'!AE90+'مسير أبريل'!AF90,0)+IF(5&lt;=cfg_VAL_M,'مسير مايو'!AD90+'مسير مايو'!AE90+'مسير مايو'!AF90,0)+IF(6&lt;=cfg_VAL_M,'مسير يونيو'!AD90+'مسير يونيو'!AE90+'مسير يونيو'!AF90,0)+IF(7&lt;=cfg_VAL_M,'مسير يوليو'!AD90+'مسير يوليو'!AE90+'مسير يوليو'!AF90,0)+IF(8&lt;=cfg_VAL_M,'مسير أغسطس'!AD90+'مسير أغسطس'!AE90+'مسير أغسطس'!AF90,0)+IF(9&lt;=cfg_VAL_M,'مسير سبتمبر'!AD90+'مسير سبتمبر'!AE90+'مسير سبتمبر'!AF90,0)+IF(10&lt;=cfg_VAL_M,'مسير أكتوبر'!AD90+'مسير أكتوبر'!AE90+'مسير أكتوبر'!AF90,0)+IF(11&lt;=cfg_VAL_M,'مسير نوفمبر'!AD90+'مسير نوفمبر'!AE90+'مسير نوفمبر'!AF90,0)+IF(12&lt;=cfg_VAL_M,'مسير ديسمبر'!AD90+'مسير ديسمبر'!AE90+'مسير ديسمبر'!AF90,0))</f>
        <v/>
      </c>
      <c r="U90" s="97" t="str">
        <f aca="false">IF(OR($B90="",F90="✖ منتهي الخدمة"),"",IF(AND(ISNUMBER(I90),I90&lt;=cfg_ALERT),N90,0)+IF(AND(ISNUMBER(L90),L90&lt;=cfg_ALERT),O90,0))</f>
        <v/>
      </c>
    </row>
    <row r="91" customFormat="false" ht="15" hidden="false" customHeight="false" outlineLevel="0" collapsed="false">
      <c r="B91" s="102" t="str">
        <f aca="false">IF(الموظفون!$B91="","",الموظفون!$B91)</f>
        <v/>
      </c>
      <c r="C91" s="102" t="str">
        <f aca="false">IF($B91="","",الموظفون!$C91)</f>
        <v/>
      </c>
      <c r="D91" s="102" t="str">
        <f aca="false">IF($B91="","",الموظفون!$D91)</f>
        <v/>
      </c>
      <c r="E91" s="102" t="str">
        <f aca="false">IF($B91="","",الموظفون!$E91)</f>
        <v/>
      </c>
      <c r="F91" s="102" t="str">
        <f aca="false">IF($B91="","",الموظفون!$AG91)</f>
        <v/>
      </c>
      <c r="G91" s="102" t="str">
        <f aca="false">IF($B91="","",IF(الموظفون!$I91="","",الموظفون!$I91))</f>
        <v/>
      </c>
      <c r="H91" s="148" t="str">
        <f aca="false">IF($B91="","",IF(الموظفون!$J91="","",الموظفون!$J91))</f>
        <v/>
      </c>
      <c r="I91" s="110" t="str">
        <f aca="false">IF(OR($B91="",H91=""),"",H91-cfg_TRACK)</f>
        <v/>
      </c>
      <c r="J91" s="102" t="str">
        <f aca="false">IF(OR($B91="",$F91="✖ منتهي الخدمة"),"",IF(H91="",IF($E91="غير سعودي","⚠ أدخل التاريخ","-"),IF(I91&lt;0,"✖ منتهية منذ "&amp;TEXT(-I91,"0")&amp;" يوم",IF(I91&lt;=cfg_ALERT,"⚠ تنتهي خلال "&amp;TEXT(I91,"0")&amp;" يوم","✔ سارية"))))</f>
        <v/>
      </c>
      <c r="K91" s="148" t="str">
        <f aca="false">IF($B91="","",IF(الموظفون!$K91="","",الموظفون!$K91))</f>
        <v/>
      </c>
      <c r="L91" s="110" t="str">
        <f aca="false">IF(OR($B91="",K91=""),"",K91-cfg_TRACK)</f>
        <v/>
      </c>
      <c r="M91" s="102" t="str">
        <f aca="false">IF(OR($B91="",$F91="✖ منتهي الخدمة"),"",IF(K91="",IF($E91="غير سعودي","⚠ أدخل التاريخ","-"),IF(L91&lt;0,"✖ منتهية منذ "&amp;TEXT(-L91,"0")&amp;" يوم",IF(L91&lt;=cfg_ALERT,"⚠ تنتهي خلال "&amp;TEXT(L91,"0")&amp;" يوم","✔ سارية"))))</f>
        <v/>
      </c>
      <c r="N91" s="101" t="str">
        <f aca="false">IF($B91="","",IF(F91="✖ منتهي الخدمة",0,IF(الموظفون!$X91&lt;&gt;"",الموظفون!$X91,IF(الموظفون!$E91="غير سعودي",cfg_IQ,0))))</f>
        <v/>
      </c>
      <c r="O91" s="101" t="str">
        <f aca="false">IF($B91="","",IF(F91="✖ منتهي الخدمة",0,IF(الموظفون!$Y91&lt;&gt;"",الموظفون!$Y91,IF(الموظفون!$E91="غير سعودي",cfg_WP,0))))</f>
        <v/>
      </c>
      <c r="P91" s="101" t="str">
        <f aca="false">IF($B91="","",IF(F91="✖ منتهي الخدمة",0,IF(الموظفون!$Z91&lt;&gt;"",الموظفون!$Z91,cfg_MED)))</f>
        <v/>
      </c>
      <c r="Q91" s="101" t="str">
        <f aca="false">IF($B91="","",IF(F91="✖ منتهي الخدمة",0,N(الموظفون!$AA91)))</f>
        <v/>
      </c>
      <c r="R91" s="101" t="str">
        <f aca="false">IF($B91="","",SUM(N91:Q91))</f>
        <v/>
      </c>
      <c r="S91" s="101" t="str">
        <f aca="false">IF($B91="","",R91/12)</f>
        <v/>
      </c>
      <c r="T91" s="101" t="str">
        <f aca="false">IF($B91="","",IF(1&lt;=cfg_VAL_M,'مسير يناير'!AD91+'مسير يناير'!AE91+'مسير يناير'!AF91,0)+IF(2&lt;=cfg_VAL_M,'مسير فبراير'!AD91+'مسير فبراير'!AE91+'مسير فبراير'!AF91,0)+IF(3&lt;=cfg_VAL_M,'مسير مارس'!AD91+'مسير مارس'!AE91+'مسير مارس'!AF91,0)+IF(4&lt;=cfg_VAL_M,'مسير أبريل'!AD91+'مسير أبريل'!AE91+'مسير أبريل'!AF91,0)+IF(5&lt;=cfg_VAL_M,'مسير مايو'!AD91+'مسير مايو'!AE91+'مسير مايو'!AF91,0)+IF(6&lt;=cfg_VAL_M,'مسير يونيو'!AD91+'مسير يونيو'!AE91+'مسير يونيو'!AF91,0)+IF(7&lt;=cfg_VAL_M,'مسير يوليو'!AD91+'مسير يوليو'!AE91+'مسير يوليو'!AF91,0)+IF(8&lt;=cfg_VAL_M,'مسير أغسطس'!AD91+'مسير أغسطس'!AE91+'مسير أغسطس'!AF91,0)+IF(9&lt;=cfg_VAL_M,'مسير سبتمبر'!AD91+'مسير سبتمبر'!AE91+'مسير سبتمبر'!AF91,0)+IF(10&lt;=cfg_VAL_M,'مسير أكتوبر'!AD91+'مسير أكتوبر'!AE91+'مسير أكتوبر'!AF91,0)+IF(11&lt;=cfg_VAL_M,'مسير نوفمبر'!AD91+'مسير نوفمبر'!AE91+'مسير نوفمبر'!AF91,0)+IF(12&lt;=cfg_VAL_M,'مسير ديسمبر'!AD91+'مسير ديسمبر'!AE91+'مسير ديسمبر'!AF91,0))</f>
        <v/>
      </c>
      <c r="U91" s="101" t="str">
        <f aca="false">IF(OR($B91="",F91="✖ منتهي الخدمة"),"",IF(AND(ISNUMBER(I91),I91&lt;=cfg_ALERT),N91,0)+IF(AND(ISNUMBER(L91),L91&lt;=cfg_ALERT),O91,0))</f>
        <v/>
      </c>
    </row>
    <row r="92" customFormat="false" ht="15" hidden="false" customHeight="false" outlineLevel="0" collapsed="false">
      <c r="B92" s="80" t="str">
        <f aca="false">IF(الموظفون!$B92="","",الموظفون!$B92)</f>
        <v/>
      </c>
      <c r="C92" s="80" t="str">
        <f aca="false">IF($B92="","",الموظفون!$C92)</f>
        <v/>
      </c>
      <c r="D92" s="80" t="str">
        <f aca="false">IF($B92="","",الموظفون!$D92)</f>
        <v/>
      </c>
      <c r="E92" s="80" t="str">
        <f aca="false">IF($B92="","",الموظفون!$E92)</f>
        <v/>
      </c>
      <c r="F92" s="80" t="str">
        <f aca="false">IF($B92="","",الموظفون!$AG92)</f>
        <v/>
      </c>
      <c r="G92" s="80" t="str">
        <f aca="false">IF($B92="","",IF(الموظفون!$I92="","",الموظفون!$I92))</f>
        <v/>
      </c>
      <c r="H92" s="147" t="str">
        <f aca="false">IF($B92="","",IF(الموظفون!$J92="","",الموظفون!$J92))</f>
        <v/>
      </c>
      <c r="I92" s="57" t="str">
        <f aca="false">IF(OR($B92="",H92=""),"",H92-cfg_TRACK)</f>
        <v/>
      </c>
      <c r="J92" s="80" t="str">
        <f aca="false">IF(OR($B92="",$F92="✖ منتهي الخدمة"),"",IF(H92="",IF($E92="غير سعودي","⚠ أدخل التاريخ","-"),IF(I92&lt;0,"✖ منتهية منذ "&amp;TEXT(-I92,"0")&amp;" يوم",IF(I92&lt;=cfg_ALERT,"⚠ تنتهي خلال "&amp;TEXT(I92,"0")&amp;" يوم","✔ سارية"))))</f>
        <v/>
      </c>
      <c r="K92" s="147" t="str">
        <f aca="false">IF($B92="","",IF(الموظفون!$K92="","",الموظفون!$K92))</f>
        <v/>
      </c>
      <c r="L92" s="57" t="str">
        <f aca="false">IF(OR($B92="",K92=""),"",K92-cfg_TRACK)</f>
        <v/>
      </c>
      <c r="M92" s="80" t="str">
        <f aca="false">IF(OR($B92="",$F92="✖ منتهي الخدمة"),"",IF(K92="",IF($E92="غير سعودي","⚠ أدخل التاريخ","-"),IF(L92&lt;0,"✖ منتهية منذ "&amp;TEXT(-L92,"0")&amp;" يوم",IF(L92&lt;=cfg_ALERT,"⚠ تنتهي خلال "&amp;TEXT(L92,"0")&amp;" يوم","✔ سارية"))))</f>
        <v/>
      </c>
      <c r="N92" s="97" t="str">
        <f aca="false">IF($B92="","",IF(F92="✖ منتهي الخدمة",0,IF(الموظفون!$X92&lt;&gt;"",الموظفون!$X92,IF(الموظفون!$E92="غير سعودي",cfg_IQ,0))))</f>
        <v/>
      </c>
      <c r="O92" s="97" t="str">
        <f aca="false">IF($B92="","",IF(F92="✖ منتهي الخدمة",0,IF(الموظفون!$Y92&lt;&gt;"",الموظفون!$Y92,IF(الموظفون!$E92="غير سعودي",cfg_WP,0))))</f>
        <v/>
      </c>
      <c r="P92" s="97" t="str">
        <f aca="false">IF($B92="","",IF(F92="✖ منتهي الخدمة",0,IF(الموظفون!$Z92&lt;&gt;"",الموظفون!$Z92,cfg_MED)))</f>
        <v/>
      </c>
      <c r="Q92" s="97" t="str">
        <f aca="false">IF($B92="","",IF(F92="✖ منتهي الخدمة",0,N(الموظفون!$AA92)))</f>
        <v/>
      </c>
      <c r="R92" s="97" t="str">
        <f aca="false">IF($B92="","",SUM(N92:Q92))</f>
        <v/>
      </c>
      <c r="S92" s="97" t="str">
        <f aca="false">IF($B92="","",R92/12)</f>
        <v/>
      </c>
      <c r="T92" s="97" t="str">
        <f aca="false">IF($B92="","",IF(1&lt;=cfg_VAL_M,'مسير يناير'!AD92+'مسير يناير'!AE92+'مسير يناير'!AF92,0)+IF(2&lt;=cfg_VAL_M,'مسير فبراير'!AD92+'مسير فبراير'!AE92+'مسير فبراير'!AF92,0)+IF(3&lt;=cfg_VAL_M,'مسير مارس'!AD92+'مسير مارس'!AE92+'مسير مارس'!AF92,0)+IF(4&lt;=cfg_VAL_M,'مسير أبريل'!AD92+'مسير أبريل'!AE92+'مسير أبريل'!AF92,0)+IF(5&lt;=cfg_VAL_M,'مسير مايو'!AD92+'مسير مايو'!AE92+'مسير مايو'!AF92,0)+IF(6&lt;=cfg_VAL_M,'مسير يونيو'!AD92+'مسير يونيو'!AE92+'مسير يونيو'!AF92,0)+IF(7&lt;=cfg_VAL_M,'مسير يوليو'!AD92+'مسير يوليو'!AE92+'مسير يوليو'!AF92,0)+IF(8&lt;=cfg_VAL_M,'مسير أغسطس'!AD92+'مسير أغسطس'!AE92+'مسير أغسطس'!AF92,0)+IF(9&lt;=cfg_VAL_M,'مسير سبتمبر'!AD92+'مسير سبتمبر'!AE92+'مسير سبتمبر'!AF92,0)+IF(10&lt;=cfg_VAL_M,'مسير أكتوبر'!AD92+'مسير أكتوبر'!AE92+'مسير أكتوبر'!AF92,0)+IF(11&lt;=cfg_VAL_M,'مسير نوفمبر'!AD92+'مسير نوفمبر'!AE92+'مسير نوفمبر'!AF92,0)+IF(12&lt;=cfg_VAL_M,'مسير ديسمبر'!AD92+'مسير ديسمبر'!AE92+'مسير ديسمبر'!AF92,0))</f>
        <v/>
      </c>
      <c r="U92" s="97" t="str">
        <f aca="false">IF(OR($B92="",F92="✖ منتهي الخدمة"),"",IF(AND(ISNUMBER(I92),I92&lt;=cfg_ALERT),N92,0)+IF(AND(ISNUMBER(L92),L92&lt;=cfg_ALERT),O92,0))</f>
        <v/>
      </c>
    </row>
    <row r="93" customFormat="false" ht="15" hidden="false" customHeight="false" outlineLevel="0" collapsed="false">
      <c r="B93" s="102" t="str">
        <f aca="false">IF(الموظفون!$B93="","",الموظفون!$B93)</f>
        <v/>
      </c>
      <c r="C93" s="102" t="str">
        <f aca="false">IF($B93="","",الموظفون!$C93)</f>
        <v/>
      </c>
      <c r="D93" s="102" t="str">
        <f aca="false">IF($B93="","",الموظفون!$D93)</f>
        <v/>
      </c>
      <c r="E93" s="102" t="str">
        <f aca="false">IF($B93="","",الموظفون!$E93)</f>
        <v/>
      </c>
      <c r="F93" s="102" t="str">
        <f aca="false">IF($B93="","",الموظفون!$AG93)</f>
        <v/>
      </c>
      <c r="G93" s="102" t="str">
        <f aca="false">IF($B93="","",IF(الموظفون!$I93="","",الموظفون!$I93))</f>
        <v/>
      </c>
      <c r="H93" s="148" t="str">
        <f aca="false">IF($B93="","",IF(الموظفون!$J93="","",الموظفون!$J93))</f>
        <v/>
      </c>
      <c r="I93" s="110" t="str">
        <f aca="false">IF(OR($B93="",H93=""),"",H93-cfg_TRACK)</f>
        <v/>
      </c>
      <c r="J93" s="102" t="str">
        <f aca="false">IF(OR($B93="",$F93="✖ منتهي الخدمة"),"",IF(H93="",IF($E93="غير سعودي","⚠ أدخل التاريخ","-"),IF(I93&lt;0,"✖ منتهية منذ "&amp;TEXT(-I93,"0")&amp;" يوم",IF(I93&lt;=cfg_ALERT,"⚠ تنتهي خلال "&amp;TEXT(I93,"0")&amp;" يوم","✔ سارية"))))</f>
        <v/>
      </c>
      <c r="K93" s="148" t="str">
        <f aca="false">IF($B93="","",IF(الموظفون!$K93="","",الموظفون!$K93))</f>
        <v/>
      </c>
      <c r="L93" s="110" t="str">
        <f aca="false">IF(OR($B93="",K93=""),"",K93-cfg_TRACK)</f>
        <v/>
      </c>
      <c r="M93" s="102" t="str">
        <f aca="false">IF(OR($B93="",$F93="✖ منتهي الخدمة"),"",IF(K93="",IF($E93="غير سعودي","⚠ أدخل التاريخ","-"),IF(L93&lt;0,"✖ منتهية منذ "&amp;TEXT(-L93,"0")&amp;" يوم",IF(L93&lt;=cfg_ALERT,"⚠ تنتهي خلال "&amp;TEXT(L93,"0")&amp;" يوم","✔ سارية"))))</f>
        <v/>
      </c>
      <c r="N93" s="101" t="str">
        <f aca="false">IF($B93="","",IF(F93="✖ منتهي الخدمة",0,IF(الموظفون!$X93&lt;&gt;"",الموظفون!$X93,IF(الموظفون!$E93="غير سعودي",cfg_IQ,0))))</f>
        <v/>
      </c>
      <c r="O93" s="101" t="str">
        <f aca="false">IF($B93="","",IF(F93="✖ منتهي الخدمة",0,IF(الموظفون!$Y93&lt;&gt;"",الموظفون!$Y93,IF(الموظفون!$E93="غير سعودي",cfg_WP,0))))</f>
        <v/>
      </c>
      <c r="P93" s="101" t="str">
        <f aca="false">IF($B93="","",IF(F93="✖ منتهي الخدمة",0,IF(الموظفون!$Z93&lt;&gt;"",الموظفون!$Z93,cfg_MED)))</f>
        <v/>
      </c>
      <c r="Q93" s="101" t="str">
        <f aca="false">IF($B93="","",IF(F93="✖ منتهي الخدمة",0,N(الموظفون!$AA93)))</f>
        <v/>
      </c>
      <c r="R93" s="101" t="str">
        <f aca="false">IF($B93="","",SUM(N93:Q93))</f>
        <v/>
      </c>
      <c r="S93" s="101" t="str">
        <f aca="false">IF($B93="","",R93/12)</f>
        <v/>
      </c>
      <c r="T93" s="101" t="str">
        <f aca="false">IF($B93="","",IF(1&lt;=cfg_VAL_M,'مسير يناير'!AD93+'مسير يناير'!AE93+'مسير يناير'!AF93,0)+IF(2&lt;=cfg_VAL_M,'مسير فبراير'!AD93+'مسير فبراير'!AE93+'مسير فبراير'!AF93,0)+IF(3&lt;=cfg_VAL_M,'مسير مارس'!AD93+'مسير مارس'!AE93+'مسير مارس'!AF93,0)+IF(4&lt;=cfg_VAL_M,'مسير أبريل'!AD93+'مسير أبريل'!AE93+'مسير أبريل'!AF93,0)+IF(5&lt;=cfg_VAL_M,'مسير مايو'!AD93+'مسير مايو'!AE93+'مسير مايو'!AF93,0)+IF(6&lt;=cfg_VAL_M,'مسير يونيو'!AD93+'مسير يونيو'!AE93+'مسير يونيو'!AF93,0)+IF(7&lt;=cfg_VAL_M,'مسير يوليو'!AD93+'مسير يوليو'!AE93+'مسير يوليو'!AF93,0)+IF(8&lt;=cfg_VAL_M,'مسير أغسطس'!AD93+'مسير أغسطس'!AE93+'مسير أغسطس'!AF93,0)+IF(9&lt;=cfg_VAL_M,'مسير سبتمبر'!AD93+'مسير سبتمبر'!AE93+'مسير سبتمبر'!AF93,0)+IF(10&lt;=cfg_VAL_M,'مسير أكتوبر'!AD93+'مسير أكتوبر'!AE93+'مسير أكتوبر'!AF93,0)+IF(11&lt;=cfg_VAL_M,'مسير نوفمبر'!AD93+'مسير نوفمبر'!AE93+'مسير نوفمبر'!AF93,0)+IF(12&lt;=cfg_VAL_M,'مسير ديسمبر'!AD93+'مسير ديسمبر'!AE93+'مسير ديسمبر'!AF93,0))</f>
        <v/>
      </c>
      <c r="U93" s="101" t="str">
        <f aca="false">IF(OR($B93="",F93="✖ منتهي الخدمة"),"",IF(AND(ISNUMBER(I93),I93&lt;=cfg_ALERT),N93,0)+IF(AND(ISNUMBER(L93),L93&lt;=cfg_ALERT),O93,0))</f>
        <v/>
      </c>
    </row>
    <row r="94" customFormat="false" ht="15" hidden="false" customHeight="false" outlineLevel="0" collapsed="false">
      <c r="B94" s="80" t="str">
        <f aca="false">IF(الموظفون!$B94="","",الموظفون!$B94)</f>
        <v/>
      </c>
      <c r="C94" s="80" t="str">
        <f aca="false">IF($B94="","",الموظفون!$C94)</f>
        <v/>
      </c>
      <c r="D94" s="80" t="str">
        <f aca="false">IF($B94="","",الموظفون!$D94)</f>
        <v/>
      </c>
      <c r="E94" s="80" t="str">
        <f aca="false">IF($B94="","",الموظفون!$E94)</f>
        <v/>
      </c>
      <c r="F94" s="80" t="str">
        <f aca="false">IF($B94="","",الموظفون!$AG94)</f>
        <v/>
      </c>
      <c r="G94" s="80" t="str">
        <f aca="false">IF($B94="","",IF(الموظفون!$I94="","",الموظفون!$I94))</f>
        <v/>
      </c>
      <c r="H94" s="147" t="str">
        <f aca="false">IF($B94="","",IF(الموظفون!$J94="","",الموظفون!$J94))</f>
        <v/>
      </c>
      <c r="I94" s="57" t="str">
        <f aca="false">IF(OR($B94="",H94=""),"",H94-cfg_TRACK)</f>
        <v/>
      </c>
      <c r="J94" s="80" t="str">
        <f aca="false">IF(OR($B94="",$F94="✖ منتهي الخدمة"),"",IF(H94="",IF($E94="غير سعودي","⚠ أدخل التاريخ","-"),IF(I94&lt;0,"✖ منتهية منذ "&amp;TEXT(-I94,"0")&amp;" يوم",IF(I94&lt;=cfg_ALERT,"⚠ تنتهي خلال "&amp;TEXT(I94,"0")&amp;" يوم","✔ سارية"))))</f>
        <v/>
      </c>
      <c r="K94" s="147" t="str">
        <f aca="false">IF($B94="","",IF(الموظفون!$K94="","",الموظفون!$K94))</f>
        <v/>
      </c>
      <c r="L94" s="57" t="str">
        <f aca="false">IF(OR($B94="",K94=""),"",K94-cfg_TRACK)</f>
        <v/>
      </c>
      <c r="M94" s="80" t="str">
        <f aca="false">IF(OR($B94="",$F94="✖ منتهي الخدمة"),"",IF(K94="",IF($E94="غير سعودي","⚠ أدخل التاريخ","-"),IF(L94&lt;0,"✖ منتهية منذ "&amp;TEXT(-L94,"0")&amp;" يوم",IF(L94&lt;=cfg_ALERT,"⚠ تنتهي خلال "&amp;TEXT(L94,"0")&amp;" يوم","✔ سارية"))))</f>
        <v/>
      </c>
      <c r="N94" s="97" t="str">
        <f aca="false">IF($B94="","",IF(F94="✖ منتهي الخدمة",0,IF(الموظفون!$X94&lt;&gt;"",الموظفون!$X94,IF(الموظفون!$E94="غير سعودي",cfg_IQ,0))))</f>
        <v/>
      </c>
      <c r="O94" s="97" t="str">
        <f aca="false">IF($B94="","",IF(F94="✖ منتهي الخدمة",0,IF(الموظفون!$Y94&lt;&gt;"",الموظفون!$Y94,IF(الموظفون!$E94="غير سعودي",cfg_WP,0))))</f>
        <v/>
      </c>
      <c r="P94" s="97" t="str">
        <f aca="false">IF($B94="","",IF(F94="✖ منتهي الخدمة",0,IF(الموظفون!$Z94&lt;&gt;"",الموظفون!$Z94,cfg_MED)))</f>
        <v/>
      </c>
      <c r="Q94" s="97" t="str">
        <f aca="false">IF($B94="","",IF(F94="✖ منتهي الخدمة",0,N(الموظفون!$AA94)))</f>
        <v/>
      </c>
      <c r="R94" s="97" t="str">
        <f aca="false">IF($B94="","",SUM(N94:Q94))</f>
        <v/>
      </c>
      <c r="S94" s="97" t="str">
        <f aca="false">IF($B94="","",R94/12)</f>
        <v/>
      </c>
      <c r="T94" s="97" t="str">
        <f aca="false">IF($B94="","",IF(1&lt;=cfg_VAL_M,'مسير يناير'!AD94+'مسير يناير'!AE94+'مسير يناير'!AF94,0)+IF(2&lt;=cfg_VAL_M,'مسير فبراير'!AD94+'مسير فبراير'!AE94+'مسير فبراير'!AF94,0)+IF(3&lt;=cfg_VAL_M,'مسير مارس'!AD94+'مسير مارس'!AE94+'مسير مارس'!AF94,0)+IF(4&lt;=cfg_VAL_M,'مسير أبريل'!AD94+'مسير أبريل'!AE94+'مسير أبريل'!AF94,0)+IF(5&lt;=cfg_VAL_M,'مسير مايو'!AD94+'مسير مايو'!AE94+'مسير مايو'!AF94,0)+IF(6&lt;=cfg_VAL_M,'مسير يونيو'!AD94+'مسير يونيو'!AE94+'مسير يونيو'!AF94,0)+IF(7&lt;=cfg_VAL_M,'مسير يوليو'!AD94+'مسير يوليو'!AE94+'مسير يوليو'!AF94,0)+IF(8&lt;=cfg_VAL_M,'مسير أغسطس'!AD94+'مسير أغسطس'!AE94+'مسير أغسطس'!AF94,0)+IF(9&lt;=cfg_VAL_M,'مسير سبتمبر'!AD94+'مسير سبتمبر'!AE94+'مسير سبتمبر'!AF94,0)+IF(10&lt;=cfg_VAL_M,'مسير أكتوبر'!AD94+'مسير أكتوبر'!AE94+'مسير أكتوبر'!AF94,0)+IF(11&lt;=cfg_VAL_M,'مسير نوفمبر'!AD94+'مسير نوفمبر'!AE94+'مسير نوفمبر'!AF94,0)+IF(12&lt;=cfg_VAL_M,'مسير ديسمبر'!AD94+'مسير ديسمبر'!AE94+'مسير ديسمبر'!AF94,0))</f>
        <v/>
      </c>
      <c r="U94" s="97" t="str">
        <f aca="false">IF(OR($B94="",F94="✖ منتهي الخدمة"),"",IF(AND(ISNUMBER(I94),I94&lt;=cfg_ALERT),N94,0)+IF(AND(ISNUMBER(L94),L94&lt;=cfg_ALERT),O94,0))</f>
        <v/>
      </c>
    </row>
    <row r="95" customFormat="false" ht="15" hidden="false" customHeight="false" outlineLevel="0" collapsed="false">
      <c r="B95" s="102" t="str">
        <f aca="false">IF(الموظفون!$B95="","",الموظفون!$B95)</f>
        <v/>
      </c>
      <c r="C95" s="102" t="str">
        <f aca="false">IF($B95="","",الموظفون!$C95)</f>
        <v/>
      </c>
      <c r="D95" s="102" t="str">
        <f aca="false">IF($B95="","",الموظفون!$D95)</f>
        <v/>
      </c>
      <c r="E95" s="102" t="str">
        <f aca="false">IF($B95="","",الموظفون!$E95)</f>
        <v/>
      </c>
      <c r="F95" s="102" t="str">
        <f aca="false">IF($B95="","",الموظفون!$AG95)</f>
        <v/>
      </c>
      <c r="G95" s="102" t="str">
        <f aca="false">IF($B95="","",IF(الموظفون!$I95="","",الموظفون!$I95))</f>
        <v/>
      </c>
      <c r="H95" s="148" t="str">
        <f aca="false">IF($B95="","",IF(الموظفون!$J95="","",الموظفون!$J95))</f>
        <v/>
      </c>
      <c r="I95" s="110" t="str">
        <f aca="false">IF(OR($B95="",H95=""),"",H95-cfg_TRACK)</f>
        <v/>
      </c>
      <c r="J95" s="102" t="str">
        <f aca="false">IF(OR($B95="",$F95="✖ منتهي الخدمة"),"",IF(H95="",IF($E95="غير سعودي","⚠ أدخل التاريخ","-"),IF(I95&lt;0,"✖ منتهية منذ "&amp;TEXT(-I95,"0")&amp;" يوم",IF(I95&lt;=cfg_ALERT,"⚠ تنتهي خلال "&amp;TEXT(I95,"0")&amp;" يوم","✔ سارية"))))</f>
        <v/>
      </c>
      <c r="K95" s="148" t="str">
        <f aca="false">IF($B95="","",IF(الموظفون!$K95="","",الموظفون!$K95))</f>
        <v/>
      </c>
      <c r="L95" s="110" t="str">
        <f aca="false">IF(OR($B95="",K95=""),"",K95-cfg_TRACK)</f>
        <v/>
      </c>
      <c r="M95" s="102" t="str">
        <f aca="false">IF(OR($B95="",$F95="✖ منتهي الخدمة"),"",IF(K95="",IF($E95="غير سعودي","⚠ أدخل التاريخ","-"),IF(L95&lt;0,"✖ منتهية منذ "&amp;TEXT(-L95,"0")&amp;" يوم",IF(L95&lt;=cfg_ALERT,"⚠ تنتهي خلال "&amp;TEXT(L95,"0")&amp;" يوم","✔ سارية"))))</f>
        <v/>
      </c>
      <c r="N95" s="101" t="str">
        <f aca="false">IF($B95="","",IF(F95="✖ منتهي الخدمة",0,IF(الموظفون!$X95&lt;&gt;"",الموظفون!$X95,IF(الموظفون!$E95="غير سعودي",cfg_IQ,0))))</f>
        <v/>
      </c>
      <c r="O95" s="101" t="str">
        <f aca="false">IF($B95="","",IF(F95="✖ منتهي الخدمة",0,IF(الموظفون!$Y95&lt;&gt;"",الموظفون!$Y95,IF(الموظفون!$E95="غير سعودي",cfg_WP,0))))</f>
        <v/>
      </c>
      <c r="P95" s="101" t="str">
        <f aca="false">IF($B95="","",IF(F95="✖ منتهي الخدمة",0,IF(الموظفون!$Z95&lt;&gt;"",الموظفون!$Z95,cfg_MED)))</f>
        <v/>
      </c>
      <c r="Q95" s="101" t="str">
        <f aca="false">IF($B95="","",IF(F95="✖ منتهي الخدمة",0,N(الموظفون!$AA95)))</f>
        <v/>
      </c>
      <c r="R95" s="101" t="str">
        <f aca="false">IF($B95="","",SUM(N95:Q95))</f>
        <v/>
      </c>
      <c r="S95" s="101" t="str">
        <f aca="false">IF($B95="","",R95/12)</f>
        <v/>
      </c>
      <c r="T95" s="101" t="str">
        <f aca="false">IF($B95="","",IF(1&lt;=cfg_VAL_M,'مسير يناير'!AD95+'مسير يناير'!AE95+'مسير يناير'!AF95,0)+IF(2&lt;=cfg_VAL_M,'مسير فبراير'!AD95+'مسير فبراير'!AE95+'مسير فبراير'!AF95,0)+IF(3&lt;=cfg_VAL_M,'مسير مارس'!AD95+'مسير مارس'!AE95+'مسير مارس'!AF95,0)+IF(4&lt;=cfg_VAL_M,'مسير أبريل'!AD95+'مسير أبريل'!AE95+'مسير أبريل'!AF95,0)+IF(5&lt;=cfg_VAL_M,'مسير مايو'!AD95+'مسير مايو'!AE95+'مسير مايو'!AF95,0)+IF(6&lt;=cfg_VAL_M,'مسير يونيو'!AD95+'مسير يونيو'!AE95+'مسير يونيو'!AF95,0)+IF(7&lt;=cfg_VAL_M,'مسير يوليو'!AD95+'مسير يوليو'!AE95+'مسير يوليو'!AF95,0)+IF(8&lt;=cfg_VAL_M,'مسير أغسطس'!AD95+'مسير أغسطس'!AE95+'مسير أغسطس'!AF95,0)+IF(9&lt;=cfg_VAL_M,'مسير سبتمبر'!AD95+'مسير سبتمبر'!AE95+'مسير سبتمبر'!AF95,0)+IF(10&lt;=cfg_VAL_M,'مسير أكتوبر'!AD95+'مسير أكتوبر'!AE95+'مسير أكتوبر'!AF95,0)+IF(11&lt;=cfg_VAL_M,'مسير نوفمبر'!AD95+'مسير نوفمبر'!AE95+'مسير نوفمبر'!AF95,0)+IF(12&lt;=cfg_VAL_M,'مسير ديسمبر'!AD95+'مسير ديسمبر'!AE95+'مسير ديسمبر'!AF95,0))</f>
        <v/>
      </c>
      <c r="U95" s="101" t="str">
        <f aca="false">IF(OR($B95="",F95="✖ منتهي الخدمة"),"",IF(AND(ISNUMBER(I95),I95&lt;=cfg_ALERT),N95,0)+IF(AND(ISNUMBER(L95),L95&lt;=cfg_ALERT),O95,0))</f>
        <v/>
      </c>
    </row>
    <row r="96" customFormat="false" ht="15" hidden="false" customHeight="false" outlineLevel="0" collapsed="false">
      <c r="B96" s="80" t="str">
        <f aca="false">IF(الموظفون!$B96="","",الموظفون!$B96)</f>
        <v/>
      </c>
      <c r="C96" s="80" t="str">
        <f aca="false">IF($B96="","",الموظفون!$C96)</f>
        <v/>
      </c>
      <c r="D96" s="80" t="str">
        <f aca="false">IF($B96="","",الموظفون!$D96)</f>
        <v/>
      </c>
      <c r="E96" s="80" t="str">
        <f aca="false">IF($B96="","",الموظفون!$E96)</f>
        <v/>
      </c>
      <c r="F96" s="80" t="str">
        <f aca="false">IF($B96="","",الموظفون!$AG96)</f>
        <v/>
      </c>
      <c r="G96" s="80" t="str">
        <f aca="false">IF($B96="","",IF(الموظفون!$I96="","",الموظفون!$I96))</f>
        <v/>
      </c>
      <c r="H96" s="147" t="str">
        <f aca="false">IF($B96="","",IF(الموظفون!$J96="","",الموظفون!$J96))</f>
        <v/>
      </c>
      <c r="I96" s="57" t="str">
        <f aca="false">IF(OR($B96="",H96=""),"",H96-cfg_TRACK)</f>
        <v/>
      </c>
      <c r="J96" s="80" t="str">
        <f aca="false">IF(OR($B96="",$F96="✖ منتهي الخدمة"),"",IF(H96="",IF($E96="غير سعودي","⚠ أدخل التاريخ","-"),IF(I96&lt;0,"✖ منتهية منذ "&amp;TEXT(-I96,"0")&amp;" يوم",IF(I96&lt;=cfg_ALERT,"⚠ تنتهي خلال "&amp;TEXT(I96,"0")&amp;" يوم","✔ سارية"))))</f>
        <v/>
      </c>
      <c r="K96" s="147" t="str">
        <f aca="false">IF($B96="","",IF(الموظفون!$K96="","",الموظفون!$K96))</f>
        <v/>
      </c>
      <c r="L96" s="57" t="str">
        <f aca="false">IF(OR($B96="",K96=""),"",K96-cfg_TRACK)</f>
        <v/>
      </c>
      <c r="M96" s="80" t="str">
        <f aca="false">IF(OR($B96="",$F96="✖ منتهي الخدمة"),"",IF(K96="",IF($E96="غير سعودي","⚠ أدخل التاريخ","-"),IF(L96&lt;0,"✖ منتهية منذ "&amp;TEXT(-L96,"0")&amp;" يوم",IF(L96&lt;=cfg_ALERT,"⚠ تنتهي خلال "&amp;TEXT(L96,"0")&amp;" يوم","✔ سارية"))))</f>
        <v/>
      </c>
      <c r="N96" s="97" t="str">
        <f aca="false">IF($B96="","",IF(F96="✖ منتهي الخدمة",0,IF(الموظفون!$X96&lt;&gt;"",الموظفون!$X96,IF(الموظفون!$E96="غير سعودي",cfg_IQ,0))))</f>
        <v/>
      </c>
      <c r="O96" s="97" t="str">
        <f aca="false">IF($B96="","",IF(F96="✖ منتهي الخدمة",0,IF(الموظفون!$Y96&lt;&gt;"",الموظفون!$Y96,IF(الموظفون!$E96="غير سعودي",cfg_WP,0))))</f>
        <v/>
      </c>
      <c r="P96" s="97" t="str">
        <f aca="false">IF($B96="","",IF(F96="✖ منتهي الخدمة",0,IF(الموظفون!$Z96&lt;&gt;"",الموظفون!$Z96,cfg_MED)))</f>
        <v/>
      </c>
      <c r="Q96" s="97" t="str">
        <f aca="false">IF($B96="","",IF(F96="✖ منتهي الخدمة",0,N(الموظفون!$AA96)))</f>
        <v/>
      </c>
      <c r="R96" s="97" t="str">
        <f aca="false">IF($B96="","",SUM(N96:Q96))</f>
        <v/>
      </c>
      <c r="S96" s="97" t="str">
        <f aca="false">IF($B96="","",R96/12)</f>
        <v/>
      </c>
      <c r="T96" s="97" t="str">
        <f aca="false">IF($B96="","",IF(1&lt;=cfg_VAL_M,'مسير يناير'!AD96+'مسير يناير'!AE96+'مسير يناير'!AF96,0)+IF(2&lt;=cfg_VAL_M,'مسير فبراير'!AD96+'مسير فبراير'!AE96+'مسير فبراير'!AF96,0)+IF(3&lt;=cfg_VAL_M,'مسير مارس'!AD96+'مسير مارس'!AE96+'مسير مارس'!AF96,0)+IF(4&lt;=cfg_VAL_M,'مسير أبريل'!AD96+'مسير أبريل'!AE96+'مسير أبريل'!AF96,0)+IF(5&lt;=cfg_VAL_M,'مسير مايو'!AD96+'مسير مايو'!AE96+'مسير مايو'!AF96,0)+IF(6&lt;=cfg_VAL_M,'مسير يونيو'!AD96+'مسير يونيو'!AE96+'مسير يونيو'!AF96,0)+IF(7&lt;=cfg_VAL_M,'مسير يوليو'!AD96+'مسير يوليو'!AE96+'مسير يوليو'!AF96,0)+IF(8&lt;=cfg_VAL_M,'مسير أغسطس'!AD96+'مسير أغسطس'!AE96+'مسير أغسطس'!AF96,0)+IF(9&lt;=cfg_VAL_M,'مسير سبتمبر'!AD96+'مسير سبتمبر'!AE96+'مسير سبتمبر'!AF96,0)+IF(10&lt;=cfg_VAL_M,'مسير أكتوبر'!AD96+'مسير أكتوبر'!AE96+'مسير أكتوبر'!AF96,0)+IF(11&lt;=cfg_VAL_M,'مسير نوفمبر'!AD96+'مسير نوفمبر'!AE96+'مسير نوفمبر'!AF96,0)+IF(12&lt;=cfg_VAL_M,'مسير ديسمبر'!AD96+'مسير ديسمبر'!AE96+'مسير ديسمبر'!AF96,0))</f>
        <v/>
      </c>
      <c r="U96" s="97" t="str">
        <f aca="false">IF(OR($B96="",F96="✖ منتهي الخدمة"),"",IF(AND(ISNUMBER(I96),I96&lt;=cfg_ALERT),N96,0)+IF(AND(ISNUMBER(L96),L96&lt;=cfg_ALERT),O96,0))</f>
        <v/>
      </c>
    </row>
    <row r="97" customFormat="false" ht="15" hidden="false" customHeight="false" outlineLevel="0" collapsed="false">
      <c r="B97" s="102" t="str">
        <f aca="false">IF(الموظفون!$B97="","",الموظفون!$B97)</f>
        <v/>
      </c>
      <c r="C97" s="102" t="str">
        <f aca="false">IF($B97="","",الموظفون!$C97)</f>
        <v/>
      </c>
      <c r="D97" s="102" t="str">
        <f aca="false">IF($B97="","",الموظفون!$D97)</f>
        <v/>
      </c>
      <c r="E97" s="102" t="str">
        <f aca="false">IF($B97="","",الموظفون!$E97)</f>
        <v/>
      </c>
      <c r="F97" s="102" t="str">
        <f aca="false">IF($B97="","",الموظفون!$AG97)</f>
        <v/>
      </c>
      <c r="G97" s="102" t="str">
        <f aca="false">IF($B97="","",IF(الموظفون!$I97="","",الموظفون!$I97))</f>
        <v/>
      </c>
      <c r="H97" s="148" t="str">
        <f aca="false">IF($B97="","",IF(الموظفون!$J97="","",الموظفون!$J97))</f>
        <v/>
      </c>
      <c r="I97" s="110" t="str">
        <f aca="false">IF(OR($B97="",H97=""),"",H97-cfg_TRACK)</f>
        <v/>
      </c>
      <c r="J97" s="102" t="str">
        <f aca="false">IF(OR($B97="",$F97="✖ منتهي الخدمة"),"",IF(H97="",IF($E97="غير سعودي","⚠ أدخل التاريخ","-"),IF(I97&lt;0,"✖ منتهية منذ "&amp;TEXT(-I97,"0")&amp;" يوم",IF(I97&lt;=cfg_ALERT,"⚠ تنتهي خلال "&amp;TEXT(I97,"0")&amp;" يوم","✔ سارية"))))</f>
        <v/>
      </c>
      <c r="K97" s="148" t="str">
        <f aca="false">IF($B97="","",IF(الموظفون!$K97="","",الموظفون!$K97))</f>
        <v/>
      </c>
      <c r="L97" s="110" t="str">
        <f aca="false">IF(OR($B97="",K97=""),"",K97-cfg_TRACK)</f>
        <v/>
      </c>
      <c r="M97" s="102" t="str">
        <f aca="false">IF(OR($B97="",$F97="✖ منتهي الخدمة"),"",IF(K97="",IF($E97="غير سعودي","⚠ أدخل التاريخ","-"),IF(L97&lt;0,"✖ منتهية منذ "&amp;TEXT(-L97,"0")&amp;" يوم",IF(L97&lt;=cfg_ALERT,"⚠ تنتهي خلال "&amp;TEXT(L97,"0")&amp;" يوم","✔ سارية"))))</f>
        <v/>
      </c>
      <c r="N97" s="101" t="str">
        <f aca="false">IF($B97="","",IF(F97="✖ منتهي الخدمة",0,IF(الموظفون!$X97&lt;&gt;"",الموظفون!$X97,IF(الموظفون!$E97="غير سعودي",cfg_IQ,0))))</f>
        <v/>
      </c>
      <c r="O97" s="101" t="str">
        <f aca="false">IF($B97="","",IF(F97="✖ منتهي الخدمة",0,IF(الموظفون!$Y97&lt;&gt;"",الموظفون!$Y97,IF(الموظفون!$E97="غير سعودي",cfg_WP,0))))</f>
        <v/>
      </c>
      <c r="P97" s="101" t="str">
        <f aca="false">IF($B97="","",IF(F97="✖ منتهي الخدمة",0,IF(الموظفون!$Z97&lt;&gt;"",الموظفون!$Z97,cfg_MED)))</f>
        <v/>
      </c>
      <c r="Q97" s="101" t="str">
        <f aca="false">IF($B97="","",IF(F97="✖ منتهي الخدمة",0,N(الموظفون!$AA97)))</f>
        <v/>
      </c>
      <c r="R97" s="101" t="str">
        <f aca="false">IF($B97="","",SUM(N97:Q97))</f>
        <v/>
      </c>
      <c r="S97" s="101" t="str">
        <f aca="false">IF($B97="","",R97/12)</f>
        <v/>
      </c>
      <c r="T97" s="101" t="str">
        <f aca="false">IF($B97="","",IF(1&lt;=cfg_VAL_M,'مسير يناير'!AD97+'مسير يناير'!AE97+'مسير يناير'!AF97,0)+IF(2&lt;=cfg_VAL_M,'مسير فبراير'!AD97+'مسير فبراير'!AE97+'مسير فبراير'!AF97,0)+IF(3&lt;=cfg_VAL_M,'مسير مارس'!AD97+'مسير مارس'!AE97+'مسير مارس'!AF97,0)+IF(4&lt;=cfg_VAL_M,'مسير أبريل'!AD97+'مسير أبريل'!AE97+'مسير أبريل'!AF97,0)+IF(5&lt;=cfg_VAL_M,'مسير مايو'!AD97+'مسير مايو'!AE97+'مسير مايو'!AF97,0)+IF(6&lt;=cfg_VAL_M,'مسير يونيو'!AD97+'مسير يونيو'!AE97+'مسير يونيو'!AF97,0)+IF(7&lt;=cfg_VAL_M,'مسير يوليو'!AD97+'مسير يوليو'!AE97+'مسير يوليو'!AF97,0)+IF(8&lt;=cfg_VAL_M,'مسير أغسطس'!AD97+'مسير أغسطس'!AE97+'مسير أغسطس'!AF97,0)+IF(9&lt;=cfg_VAL_M,'مسير سبتمبر'!AD97+'مسير سبتمبر'!AE97+'مسير سبتمبر'!AF97,0)+IF(10&lt;=cfg_VAL_M,'مسير أكتوبر'!AD97+'مسير أكتوبر'!AE97+'مسير أكتوبر'!AF97,0)+IF(11&lt;=cfg_VAL_M,'مسير نوفمبر'!AD97+'مسير نوفمبر'!AE97+'مسير نوفمبر'!AF97,0)+IF(12&lt;=cfg_VAL_M,'مسير ديسمبر'!AD97+'مسير ديسمبر'!AE97+'مسير ديسمبر'!AF97,0))</f>
        <v/>
      </c>
      <c r="U97" s="101" t="str">
        <f aca="false">IF(OR($B97="",F97="✖ منتهي الخدمة"),"",IF(AND(ISNUMBER(I97),I97&lt;=cfg_ALERT),N97,0)+IF(AND(ISNUMBER(L97),L97&lt;=cfg_ALERT),O97,0))</f>
        <v/>
      </c>
    </row>
    <row r="98" customFormat="false" ht="15" hidden="false" customHeight="false" outlineLevel="0" collapsed="false">
      <c r="B98" s="80" t="str">
        <f aca="false">IF(الموظفون!$B98="","",الموظفون!$B98)</f>
        <v/>
      </c>
      <c r="C98" s="80" t="str">
        <f aca="false">IF($B98="","",الموظفون!$C98)</f>
        <v/>
      </c>
      <c r="D98" s="80" t="str">
        <f aca="false">IF($B98="","",الموظفون!$D98)</f>
        <v/>
      </c>
      <c r="E98" s="80" t="str">
        <f aca="false">IF($B98="","",الموظفون!$E98)</f>
        <v/>
      </c>
      <c r="F98" s="80" t="str">
        <f aca="false">IF($B98="","",الموظفون!$AG98)</f>
        <v/>
      </c>
      <c r="G98" s="80" t="str">
        <f aca="false">IF($B98="","",IF(الموظفون!$I98="","",الموظفون!$I98))</f>
        <v/>
      </c>
      <c r="H98" s="147" t="str">
        <f aca="false">IF($B98="","",IF(الموظفون!$J98="","",الموظفون!$J98))</f>
        <v/>
      </c>
      <c r="I98" s="57" t="str">
        <f aca="false">IF(OR($B98="",H98=""),"",H98-cfg_TRACK)</f>
        <v/>
      </c>
      <c r="J98" s="80" t="str">
        <f aca="false">IF(OR($B98="",$F98="✖ منتهي الخدمة"),"",IF(H98="",IF($E98="غير سعودي","⚠ أدخل التاريخ","-"),IF(I98&lt;0,"✖ منتهية منذ "&amp;TEXT(-I98,"0")&amp;" يوم",IF(I98&lt;=cfg_ALERT,"⚠ تنتهي خلال "&amp;TEXT(I98,"0")&amp;" يوم","✔ سارية"))))</f>
        <v/>
      </c>
      <c r="K98" s="147" t="str">
        <f aca="false">IF($B98="","",IF(الموظفون!$K98="","",الموظفون!$K98))</f>
        <v/>
      </c>
      <c r="L98" s="57" t="str">
        <f aca="false">IF(OR($B98="",K98=""),"",K98-cfg_TRACK)</f>
        <v/>
      </c>
      <c r="M98" s="80" t="str">
        <f aca="false">IF(OR($B98="",$F98="✖ منتهي الخدمة"),"",IF(K98="",IF($E98="غير سعودي","⚠ أدخل التاريخ","-"),IF(L98&lt;0,"✖ منتهية منذ "&amp;TEXT(-L98,"0")&amp;" يوم",IF(L98&lt;=cfg_ALERT,"⚠ تنتهي خلال "&amp;TEXT(L98,"0")&amp;" يوم","✔ سارية"))))</f>
        <v/>
      </c>
      <c r="N98" s="97" t="str">
        <f aca="false">IF($B98="","",IF(F98="✖ منتهي الخدمة",0,IF(الموظفون!$X98&lt;&gt;"",الموظفون!$X98,IF(الموظفون!$E98="غير سعودي",cfg_IQ,0))))</f>
        <v/>
      </c>
      <c r="O98" s="97" t="str">
        <f aca="false">IF($B98="","",IF(F98="✖ منتهي الخدمة",0,IF(الموظفون!$Y98&lt;&gt;"",الموظفون!$Y98,IF(الموظفون!$E98="غير سعودي",cfg_WP,0))))</f>
        <v/>
      </c>
      <c r="P98" s="97" t="str">
        <f aca="false">IF($B98="","",IF(F98="✖ منتهي الخدمة",0,IF(الموظفون!$Z98&lt;&gt;"",الموظفون!$Z98,cfg_MED)))</f>
        <v/>
      </c>
      <c r="Q98" s="97" t="str">
        <f aca="false">IF($B98="","",IF(F98="✖ منتهي الخدمة",0,N(الموظفون!$AA98)))</f>
        <v/>
      </c>
      <c r="R98" s="97" t="str">
        <f aca="false">IF($B98="","",SUM(N98:Q98))</f>
        <v/>
      </c>
      <c r="S98" s="97" t="str">
        <f aca="false">IF($B98="","",R98/12)</f>
        <v/>
      </c>
      <c r="T98" s="97" t="str">
        <f aca="false">IF($B98="","",IF(1&lt;=cfg_VAL_M,'مسير يناير'!AD98+'مسير يناير'!AE98+'مسير يناير'!AF98,0)+IF(2&lt;=cfg_VAL_M,'مسير فبراير'!AD98+'مسير فبراير'!AE98+'مسير فبراير'!AF98,0)+IF(3&lt;=cfg_VAL_M,'مسير مارس'!AD98+'مسير مارس'!AE98+'مسير مارس'!AF98,0)+IF(4&lt;=cfg_VAL_M,'مسير أبريل'!AD98+'مسير أبريل'!AE98+'مسير أبريل'!AF98,0)+IF(5&lt;=cfg_VAL_M,'مسير مايو'!AD98+'مسير مايو'!AE98+'مسير مايو'!AF98,0)+IF(6&lt;=cfg_VAL_M,'مسير يونيو'!AD98+'مسير يونيو'!AE98+'مسير يونيو'!AF98,0)+IF(7&lt;=cfg_VAL_M,'مسير يوليو'!AD98+'مسير يوليو'!AE98+'مسير يوليو'!AF98,0)+IF(8&lt;=cfg_VAL_M,'مسير أغسطس'!AD98+'مسير أغسطس'!AE98+'مسير أغسطس'!AF98,0)+IF(9&lt;=cfg_VAL_M,'مسير سبتمبر'!AD98+'مسير سبتمبر'!AE98+'مسير سبتمبر'!AF98,0)+IF(10&lt;=cfg_VAL_M,'مسير أكتوبر'!AD98+'مسير أكتوبر'!AE98+'مسير أكتوبر'!AF98,0)+IF(11&lt;=cfg_VAL_M,'مسير نوفمبر'!AD98+'مسير نوفمبر'!AE98+'مسير نوفمبر'!AF98,0)+IF(12&lt;=cfg_VAL_M,'مسير ديسمبر'!AD98+'مسير ديسمبر'!AE98+'مسير ديسمبر'!AF98,0))</f>
        <v/>
      </c>
      <c r="U98" s="97" t="str">
        <f aca="false">IF(OR($B98="",F98="✖ منتهي الخدمة"),"",IF(AND(ISNUMBER(I98),I98&lt;=cfg_ALERT),N98,0)+IF(AND(ISNUMBER(L98),L98&lt;=cfg_ALERT),O98,0))</f>
        <v/>
      </c>
    </row>
    <row r="99" customFormat="false" ht="15" hidden="false" customHeight="false" outlineLevel="0" collapsed="false">
      <c r="B99" s="102" t="str">
        <f aca="false">IF(الموظفون!$B99="","",الموظفون!$B99)</f>
        <v/>
      </c>
      <c r="C99" s="102" t="str">
        <f aca="false">IF($B99="","",الموظفون!$C99)</f>
        <v/>
      </c>
      <c r="D99" s="102" t="str">
        <f aca="false">IF($B99="","",الموظفون!$D99)</f>
        <v/>
      </c>
      <c r="E99" s="102" t="str">
        <f aca="false">IF($B99="","",الموظفون!$E99)</f>
        <v/>
      </c>
      <c r="F99" s="102" t="str">
        <f aca="false">IF($B99="","",الموظفون!$AG99)</f>
        <v/>
      </c>
      <c r="G99" s="102" t="str">
        <f aca="false">IF($B99="","",IF(الموظفون!$I99="","",الموظفون!$I99))</f>
        <v/>
      </c>
      <c r="H99" s="148" t="str">
        <f aca="false">IF($B99="","",IF(الموظفون!$J99="","",الموظفون!$J99))</f>
        <v/>
      </c>
      <c r="I99" s="110" t="str">
        <f aca="false">IF(OR($B99="",H99=""),"",H99-cfg_TRACK)</f>
        <v/>
      </c>
      <c r="J99" s="102" t="str">
        <f aca="false">IF(OR($B99="",$F99="✖ منتهي الخدمة"),"",IF(H99="",IF($E99="غير سعودي","⚠ أدخل التاريخ","-"),IF(I99&lt;0,"✖ منتهية منذ "&amp;TEXT(-I99,"0")&amp;" يوم",IF(I99&lt;=cfg_ALERT,"⚠ تنتهي خلال "&amp;TEXT(I99,"0")&amp;" يوم","✔ سارية"))))</f>
        <v/>
      </c>
      <c r="K99" s="148" t="str">
        <f aca="false">IF($B99="","",IF(الموظفون!$K99="","",الموظفون!$K99))</f>
        <v/>
      </c>
      <c r="L99" s="110" t="str">
        <f aca="false">IF(OR($B99="",K99=""),"",K99-cfg_TRACK)</f>
        <v/>
      </c>
      <c r="M99" s="102" t="str">
        <f aca="false">IF(OR($B99="",$F99="✖ منتهي الخدمة"),"",IF(K99="",IF($E99="غير سعودي","⚠ أدخل التاريخ","-"),IF(L99&lt;0,"✖ منتهية منذ "&amp;TEXT(-L99,"0")&amp;" يوم",IF(L99&lt;=cfg_ALERT,"⚠ تنتهي خلال "&amp;TEXT(L99,"0")&amp;" يوم","✔ سارية"))))</f>
        <v/>
      </c>
      <c r="N99" s="101" t="str">
        <f aca="false">IF($B99="","",IF(F99="✖ منتهي الخدمة",0,IF(الموظفون!$X99&lt;&gt;"",الموظفون!$X99,IF(الموظفون!$E99="غير سعودي",cfg_IQ,0))))</f>
        <v/>
      </c>
      <c r="O99" s="101" t="str">
        <f aca="false">IF($B99="","",IF(F99="✖ منتهي الخدمة",0,IF(الموظفون!$Y99&lt;&gt;"",الموظفون!$Y99,IF(الموظفون!$E99="غير سعودي",cfg_WP,0))))</f>
        <v/>
      </c>
      <c r="P99" s="101" t="str">
        <f aca="false">IF($B99="","",IF(F99="✖ منتهي الخدمة",0,IF(الموظفون!$Z99&lt;&gt;"",الموظفون!$Z99,cfg_MED)))</f>
        <v/>
      </c>
      <c r="Q99" s="101" t="str">
        <f aca="false">IF($B99="","",IF(F99="✖ منتهي الخدمة",0,N(الموظفون!$AA99)))</f>
        <v/>
      </c>
      <c r="R99" s="101" t="str">
        <f aca="false">IF($B99="","",SUM(N99:Q99))</f>
        <v/>
      </c>
      <c r="S99" s="101" t="str">
        <f aca="false">IF($B99="","",R99/12)</f>
        <v/>
      </c>
      <c r="T99" s="101" t="str">
        <f aca="false">IF($B99="","",IF(1&lt;=cfg_VAL_M,'مسير يناير'!AD99+'مسير يناير'!AE99+'مسير يناير'!AF99,0)+IF(2&lt;=cfg_VAL_M,'مسير فبراير'!AD99+'مسير فبراير'!AE99+'مسير فبراير'!AF99,0)+IF(3&lt;=cfg_VAL_M,'مسير مارس'!AD99+'مسير مارس'!AE99+'مسير مارس'!AF99,0)+IF(4&lt;=cfg_VAL_M,'مسير أبريل'!AD99+'مسير أبريل'!AE99+'مسير أبريل'!AF99,0)+IF(5&lt;=cfg_VAL_M,'مسير مايو'!AD99+'مسير مايو'!AE99+'مسير مايو'!AF99,0)+IF(6&lt;=cfg_VAL_M,'مسير يونيو'!AD99+'مسير يونيو'!AE99+'مسير يونيو'!AF99,0)+IF(7&lt;=cfg_VAL_M,'مسير يوليو'!AD99+'مسير يوليو'!AE99+'مسير يوليو'!AF99,0)+IF(8&lt;=cfg_VAL_M,'مسير أغسطس'!AD99+'مسير أغسطس'!AE99+'مسير أغسطس'!AF99,0)+IF(9&lt;=cfg_VAL_M,'مسير سبتمبر'!AD99+'مسير سبتمبر'!AE99+'مسير سبتمبر'!AF99,0)+IF(10&lt;=cfg_VAL_M,'مسير أكتوبر'!AD99+'مسير أكتوبر'!AE99+'مسير أكتوبر'!AF99,0)+IF(11&lt;=cfg_VAL_M,'مسير نوفمبر'!AD99+'مسير نوفمبر'!AE99+'مسير نوفمبر'!AF99,0)+IF(12&lt;=cfg_VAL_M,'مسير ديسمبر'!AD99+'مسير ديسمبر'!AE99+'مسير ديسمبر'!AF99,0))</f>
        <v/>
      </c>
      <c r="U99" s="101" t="str">
        <f aca="false">IF(OR($B99="",F99="✖ منتهي الخدمة"),"",IF(AND(ISNUMBER(I99),I99&lt;=cfg_ALERT),N99,0)+IF(AND(ISNUMBER(L99),L99&lt;=cfg_ALERT),O99,0))</f>
        <v/>
      </c>
    </row>
    <row r="100" customFormat="false" ht="15" hidden="false" customHeight="false" outlineLevel="0" collapsed="false">
      <c r="B100" s="80" t="str">
        <f aca="false">IF(الموظفون!$B100="","",الموظفون!$B100)</f>
        <v/>
      </c>
      <c r="C100" s="80" t="str">
        <f aca="false">IF($B100="","",الموظفون!$C100)</f>
        <v/>
      </c>
      <c r="D100" s="80" t="str">
        <f aca="false">IF($B100="","",الموظفون!$D100)</f>
        <v/>
      </c>
      <c r="E100" s="80" t="str">
        <f aca="false">IF($B100="","",الموظفون!$E100)</f>
        <v/>
      </c>
      <c r="F100" s="80" t="str">
        <f aca="false">IF($B100="","",الموظفون!$AG100)</f>
        <v/>
      </c>
      <c r="G100" s="80" t="str">
        <f aca="false">IF($B100="","",IF(الموظفون!$I100="","",الموظفون!$I100))</f>
        <v/>
      </c>
      <c r="H100" s="147" t="str">
        <f aca="false">IF($B100="","",IF(الموظفون!$J100="","",الموظفون!$J100))</f>
        <v/>
      </c>
      <c r="I100" s="57" t="str">
        <f aca="false">IF(OR($B100="",H100=""),"",H100-cfg_TRACK)</f>
        <v/>
      </c>
      <c r="J100" s="80" t="str">
        <f aca="false">IF(OR($B100="",$F100="✖ منتهي الخدمة"),"",IF(H100="",IF($E100="غير سعودي","⚠ أدخل التاريخ","-"),IF(I100&lt;0,"✖ منتهية منذ "&amp;TEXT(-I100,"0")&amp;" يوم",IF(I100&lt;=cfg_ALERT,"⚠ تنتهي خلال "&amp;TEXT(I100,"0")&amp;" يوم","✔ سارية"))))</f>
        <v/>
      </c>
      <c r="K100" s="147" t="str">
        <f aca="false">IF($B100="","",IF(الموظفون!$K100="","",الموظفون!$K100))</f>
        <v/>
      </c>
      <c r="L100" s="57" t="str">
        <f aca="false">IF(OR($B100="",K100=""),"",K100-cfg_TRACK)</f>
        <v/>
      </c>
      <c r="M100" s="80" t="str">
        <f aca="false">IF(OR($B100="",$F100="✖ منتهي الخدمة"),"",IF(K100="",IF($E100="غير سعودي","⚠ أدخل التاريخ","-"),IF(L100&lt;0,"✖ منتهية منذ "&amp;TEXT(-L100,"0")&amp;" يوم",IF(L100&lt;=cfg_ALERT,"⚠ تنتهي خلال "&amp;TEXT(L100,"0")&amp;" يوم","✔ سارية"))))</f>
        <v/>
      </c>
      <c r="N100" s="97" t="str">
        <f aca="false">IF($B100="","",IF(F100="✖ منتهي الخدمة",0,IF(الموظفون!$X100&lt;&gt;"",الموظفون!$X100,IF(الموظفون!$E100="غير سعودي",cfg_IQ,0))))</f>
        <v/>
      </c>
      <c r="O100" s="97" t="str">
        <f aca="false">IF($B100="","",IF(F100="✖ منتهي الخدمة",0,IF(الموظفون!$Y100&lt;&gt;"",الموظفون!$Y100,IF(الموظفون!$E100="غير سعودي",cfg_WP,0))))</f>
        <v/>
      </c>
      <c r="P100" s="97" t="str">
        <f aca="false">IF($B100="","",IF(F100="✖ منتهي الخدمة",0,IF(الموظفون!$Z100&lt;&gt;"",الموظفون!$Z100,cfg_MED)))</f>
        <v/>
      </c>
      <c r="Q100" s="97" t="str">
        <f aca="false">IF($B100="","",IF(F100="✖ منتهي الخدمة",0,N(الموظفون!$AA100)))</f>
        <v/>
      </c>
      <c r="R100" s="97" t="str">
        <f aca="false">IF($B100="","",SUM(N100:Q100))</f>
        <v/>
      </c>
      <c r="S100" s="97" t="str">
        <f aca="false">IF($B100="","",R100/12)</f>
        <v/>
      </c>
      <c r="T100" s="97" t="str">
        <f aca="false">IF($B100="","",IF(1&lt;=cfg_VAL_M,'مسير يناير'!AD100+'مسير يناير'!AE100+'مسير يناير'!AF100,0)+IF(2&lt;=cfg_VAL_M,'مسير فبراير'!AD100+'مسير فبراير'!AE100+'مسير فبراير'!AF100,0)+IF(3&lt;=cfg_VAL_M,'مسير مارس'!AD100+'مسير مارس'!AE100+'مسير مارس'!AF100,0)+IF(4&lt;=cfg_VAL_M,'مسير أبريل'!AD100+'مسير أبريل'!AE100+'مسير أبريل'!AF100,0)+IF(5&lt;=cfg_VAL_M,'مسير مايو'!AD100+'مسير مايو'!AE100+'مسير مايو'!AF100,0)+IF(6&lt;=cfg_VAL_M,'مسير يونيو'!AD100+'مسير يونيو'!AE100+'مسير يونيو'!AF100,0)+IF(7&lt;=cfg_VAL_M,'مسير يوليو'!AD100+'مسير يوليو'!AE100+'مسير يوليو'!AF100,0)+IF(8&lt;=cfg_VAL_M,'مسير أغسطس'!AD100+'مسير أغسطس'!AE100+'مسير أغسطس'!AF100,0)+IF(9&lt;=cfg_VAL_M,'مسير سبتمبر'!AD100+'مسير سبتمبر'!AE100+'مسير سبتمبر'!AF100,0)+IF(10&lt;=cfg_VAL_M,'مسير أكتوبر'!AD100+'مسير أكتوبر'!AE100+'مسير أكتوبر'!AF100,0)+IF(11&lt;=cfg_VAL_M,'مسير نوفمبر'!AD100+'مسير نوفمبر'!AE100+'مسير نوفمبر'!AF100,0)+IF(12&lt;=cfg_VAL_M,'مسير ديسمبر'!AD100+'مسير ديسمبر'!AE100+'مسير ديسمبر'!AF100,0))</f>
        <v/>
      </c>
      <c r="U100" s="97" t="str">
        <f aca="false">IF(OR($B100="",F100="✖ منتهي الخدمة"),"",IF(AND(ISNUMBER(I100),I100&lt;=cfg_ALERT),N100,0)+IF(AND(ISNUMBER(L100),L100&lt;=cfg_ALERT),O100,0))</f>
        <v/>
      </c>
    </row>
    <row r="101" customFormat="false" ht="15" hidden="false" customHeight="false" outlineLevel="0" collapsed="false">
      <c r="B101" s="102" t="str">
        <f aca="false">IF(الموظفون!$B101="","",الموظفون!$B101)</f>
        <v/>
      </c>
      <c r="C101" s="102" t="str">
        <f aca="false">IF($B101="","",الموظفون!$C101)</f>
        <v/>
      </c>
      <c r="D101" s="102" t="str">
        <f aca="false">IF($B101="","",الموظفون!$D101)</f>
        <v/>
      </c>
      <c r="E101" s="102" t="str">
        <f aca="false">IF($B101="","",الموظفون!$E101)</f>
        <v/>
      </c>
      <c r="F101" s="102" t="str">
        <f aca="false">IF($B101="","",الموظفون!$AG101)</f>
        <v/>
      </c>
      <c r="G101" s="102" t="str">
        <f aca="false">IF($B101="","",IF(الموظفون!$I101="","",الموظفون!$I101))</f>
        <v/>
      </c>
      <c r="H101" s="148" t="str">
        <f aca="false">IF($B101="","",IF(الموظفون!$J101="","",الموظفون!$J101))</f>
        <v/>
      </c>
      <c r="I101" s="110" t="str">
        <f aca="false">IF(OR($B101="",H101=""),"",H101-cfg_TRACK)</f>
        <v/>
      </c>
      <c r="J101" s="102" t="str">
        <f aca="false">IF(OR($B101="",$F101="✖ منتهي الخدمة"),"",IF(H101="",IF($E101="غير سعودي","⚠ أدخل التاريخ","-"),IF(I101&lt;0,"✖ منتهية منذ "&amp;TEXT(-I101,"0")&amp;" يوم",IF(I101&lt;=cfg_ALERT,"⚠ تنتهي خلال "&amp;TEXT(I101,"0")&amp;" يوم","✔ سارية"))))</f>
        <v/>
      </c>
      <c r="K101" s="148" t="str">
        <f aca="false">IF($B101="","",IF(الموظفون!$K101="","",الموظفون!$K101))</f>
        <v/>
      </c>
      <c r="L101" s="110" t="str">
        <f aca="false">IF(OR($B101="",K101=""),"",K101-cfg_TRACK)</f>
        <v/>
      </c>
      <c r="M101" s="102" t="str">
        <f aca="false">IF(OR($B101="",$F101="✖ منتهي الخدمة"),"",IF(K101="",IF($E101="غير سعودي","⚠ أدخل التاريخ","-"),IF(L101&lt;0,"✖ منتهية منذ "&amp;TEXT(-L101,"0")&amp;" يوم",IF(L101&lt;=cfg_ALERT,"⚠ تنتهي خلال "&amp;TEXT(L101,"0")&amp;" يوم","✔ سارية"))))</f>
        <v/>
      </c>
      <c r="N101" s="101" t="str">
        <f aca="false">IF($B101="","",IF(F101="✖ منتهي الخدمة",0,IF(الموظفون!$X101&lt;&gt;"",الموظفون!$X101,IF(الموظفون!$E101="غير سعودي",cfg_IQ,0))))</f>
        <v/>
      </c>
      <c r="O101" s="101" t="str">
        <f aca="false">IF($B101="","",IF(F101="✖ منتهي الخدمة",0,IF(الموظفون!$Y101&lt;&gt;"",الموظفون!$Y101,IF(الموظفون!$E101="غير سعودي",cfg_WP,0))))</f>
        <v/>
      </c>
      <c r="P101" s="101" t="str">
        <f aca="false">IF($B101="","",IF(F101="✖ منتهي الخدمة",0,IF(الموظفون!$Z101&lt;&gt;"",الموظفون!$Z101,cfg_MED)))</f>
        <v/>
      </c>
      <c r="Q101" s="101" t="str">
        <f aca="false">IF($B101="","",IF(F101="✖ منتهي الخدمة",0,N(الموظفون!$AA101)))</f>
        <v/>
      </c>
      <c r="R101" s="101" t="str">
        <f aca="false">IF($B101="","",SUM(N101:Q101))</f>
        <v/>
      </c>
      <c r="S101" s="101" t="str">
        <f aca="false">IF($B101="","",R101/12)</f>
        <v/>
      </c>
      <c r="T101" s="101" t="str">
        <f aca="false">IF($B101="","",IF(1&lt;=cfg_VAL_M,'مسير يناير'!AD101+'مسير يناير'!AE101+'مسير يناير'!AF101,0)+IF(2&lt;=cfg_VAL_M,'مسير فبراير'!AD101+'مسير فبراير'!AE101+'مسير فبراير'!AF101,0)+IF(3&lt;=cfg_VAL_M,'مسير مارس'!AD101+'مسير مارس'!AE101+'مسير مارس'!AF101,0)+IF(4&lt;=cfg_VAL_M,'مسير أبريل'!AD101+'مسير أبريل'!AE101+'مسير أبريل'!AF101,0)+IF(5&lt;=cfg_VAL_M,'مسير مايو'!AD101+'مسير مايو'!AE101+'مسير مايو'!AF101,0)+IF(6&lt;=cfg_VAL_M,'مسير يونيو'!AD101+'مسير يونيو'!AE101+'مسير يونيو'!AF101,0)+IF(7&lt;=cfg_VAL_M,'مسير يوليو'!AD101+'مسير يوليو'!AE101+'مسير يوليو'!AF101,0)+IF(8&lt;=cfg_VAL_M,'مسير أغسطس'!AD101+'مسير أغسطس'!AE101+'مسير أغسطس'!AF101,0)+IF(9&lt;=cfg_VAL_M,'مسير سبتمبر'!AD101+'مسير سبتمبر'!AE101+'مسير سبتمبر'!AF101,0)+IF(10&lt;=cfg_VAL_M,'مسير أكتوبر'!AD101+'مسير أكتوبر'!AE101+'مسير أكتوبر'!AF101,0)+IF(11&lt;=cfg_VAL_M,'مسير نوفمبر'!AD101+'مسير نوفمبر'!AE101+'مسير نوفمبر'!AF101,0)+IF(12&lt;=cfg_VAL_M,'مسير ديسمبر'!AD101+'مسير ديسمبر'!AE101+'مسير ديسمبر'!AF101,0))</f>
        <v/>
      </c>
      <c r="U101" s="101" t="str">
        <f aca="false">IF(OR($B101="",F101="✖ منتهي الخدمة"),"",IF(AND(ISNUMBER(I101),I101&lt;=cfg_ALERT),N101,0)+IF(AND(ISNUMBER(L101),L101&lt;=cfg_ALERT),O101,0))</f>
        <v/>
      </c>
    </row>
    <row r="102" customFormat="false" ht="15" hidden="false" customHeight="false" outlineLevel="0" collapsed="false">
      <c r="B102" s="80" t="str">
        <f aca="false">IF(الموظفون!$B102="","",الموظفون!$B102)</f>
        <v/>
      </c>
      <c r="C102" s="80" t="str">
        <f aca="false">IF($B102="","",الموظفون!$C102)</f>
        <v/>
      </c>
      <c r="D102" s="80" t="str">
        <f aca="false">IF($B102="","",الموظفون!$D102)</f>
        <v/>
      </c>
      <c r="E102" s="80" t="str">
        <f aca="false">IF($B102="","",الموظفون!$E102)</f>
        <v/>
      </c>
      <c r="F102" s="80" t="str">
        <f aca="false">IF($B102="","",الموظفون!$AG102)</f>
        <v/>
      </c>
      <c r="G102" s="80" t="str">
        <f aca="false">IF($B102="","",IF(الموظفون!$I102="","",الموظفون!$I102))</f>
        <v/>
      </c>
      <c r="H102" s="147" t="str">
        <f aca="false">IF($B102="","",IF(الموظفون!$J102="","",الموظفون!$J102))</f>
        <v/>
      </c>
      <c r="I102" s="57" t="str">
        <f aca="false">IF(OR($B102="",H102=""),"",H102-cfg_TRACK)</f>
        <v/>
      </c>
      <c r="J102" s="80" t="str">
        <f aca="false">IF(OR($B102="",$F102="✖ منتهي الخدمة"),"",IF(H102="",IF($E102="غير سعودي","⚠ أدخل التاريخ","-"),IF(I102&lt;0,"✖ منتهية منذ "&amp;TEXT(-I102,"0")&amp;" يوم",IF(I102&lt;=cfg_ALERT,"⚠ تنتهي خلال "&amp;TEXT(I102,"0")&amp;" يوم","✔ سارية"))))</f>
        <v/>
      </c>
      <c r="K102" s="147" t="str">
        <f aca="false">IF($B102="","",IF(الموظفون!$K102="","",الموظفون!$K102))</f>
        <v/>
      </c>
      <c r="L102" s="57" t="str">
        <f aca="false">IF(OR($B102="",K102=""),"",K102-cfg_TRACK)</f>
        <v/>
      </c>
      <c r="M102" s="80" t="str">
        <f aca="false">IF(OR($B102="",$F102="✖ منتهي الخدمة"),"",IF(K102="",IF($E102="غير سعودي","⚠ أدخل التاريخ","-"),IF(L102&lt;0,"✖ منتهية منذ "&amp;TEXT(-L102,"0")&amp;" يوم",IF(L102&lt;=cfg_ALERT,"⚠ تنتهي خلال "&amp;TEXT(L102,"0")&amp;" يوم","✔ سارية"))))</f>
        <v/>
      </c>
      <c r="N102" s="97" t="str">
        <f aca="false">IF($B102="","",IF(F102="✖ منتهي الخدمة",0,IF(الموظفون!$X102&lt;&gt;"",الموظفون!$X102,IF(الموظفون!$E102="غير سعودي",cfg_IQ,0))))</f>
        <v/>
      </c>
      <c r="O102" s="97" t="str">
        <f aca="false">IF($B102="","",IF(F102="✖ منتهي الخدمة",0,IF(الموظفون!$Y102&lt;&gt;"",الموظفون!$Y102,IF(الموظفون!$E102="غير سعودي",cfg_WP,0))))</f>
        <v/>
      </c>
      <c r="P102" s="97" t="str">
        <f aca="false">IF($B102="","",IF(F102="✖ منتهي الخدمة",0,IF(الموظفون!$Z102&lt;&gt;"",الموظفون!$Z102,cfg_MED)))</f>
        <v/>
      </c>
      <c r="Q102" s="97" t="str">
        <f aca="false">IF($B102="","",IF(F102="✖ منتهي الخدمة",0,N(الموظفون!$AA102)))</f>
        <v/>
      </c>
      <c r="R102" s="97" t="str">
        <f aca="false">IF($B102="","",SUM(N102:Q102))</f>
        <v/>
      </c>
      <c r="S102" s="97" t="str">
        <f aca="false">IF($B102="","",R102/12)</f>
        <v/>
      </c>
      <c r="T102" s="97" t="str">
        <f aca="false">IF($B102="","",IF(1&lt;=cfg_VAL_M,'مسير يناير'!AD102+'مسير يناير'!AE102+'مسير يناير'!AF102,0)+IF(2&lt;=cfg_VAL_M,'مسير فبراير'!AD102+'مسير فبراير'!AE102+'مسير فبراير'!AF102,0)+IF(3&lt;=cfg_VAL_M,'مسير مارس'!AD102+'مسير مارس'!AE102+'مسير مارس'!AF102,0)+IF(4&lt;=cfg_VAL_M,'مسير أبريل'!AD102+'مسير أبريل'!AE102+'مسير أبريل'!AF102,0)+IF(5&lt;=cfg_VAL_M,'مسير مايو'!AD102+'مسير مايو'!AE102+'مسير مايو'!AF102,0)+IF(6&lt;=cfg_VAL_M,'مسير يونيو'!AD102+'مسير يونيو'!AE102+'مسير يونيو'!AF102,0)+IF(7&lt;=cfg_VAL_M,'مسير يوليو'!AD102+'مسير يوليو'!AE102+'مسير يوليو'!AF102,0)+IF(8&lt;=cfg_VAL_M,'مسير أغسطس'!AD102+'مسير أغسطس'!AE102+'مسير أغسطس'!AF102,0)+IF(9&lt;=cfg_VAL_M,'مسير سبتمبر'!AD102+'مسير سبتمبر'!AE102+'مسير سبتمبر'!AF102,0)+IF(10&lt;=cfg_VAL_M,'مسير أكتوبر'!AD102+'مسير أكتوبر'!AE102+'مسير أكتوبر'!AF102,0)+IF(11&lt;=cfg_VAL_M,'مسير نوفمبر'!AD102+'مسير نوفمبر'!AE102+'مسير نوفمبر'!AF102,0)+IF(12&lt;=cfg_VAL_M,'مسير ديسمبر'!AD102+'مسير ديسمبر'!AE102+'مسير ديسمبر'!AF102,0))</f>
        <v/>
      </c>
      <c r="U102" s="97" t="str">
        <f aca="false">IF(OR($B102="",F102="✖ منتهي الخدمة"),"",IF(AND(ISNUMBER(I102),I102&lt;=cfg_ALERT),N102,0)+IF(AND(ISNUMBER(L102),L102&lt;=cfg_ALERT),O102,0))</f>
        <v/>
      </c>
    </row>
    <row r="103" customFormat="false" ht="15" hidden="false" customHeight="false" outlineLevel="0" collapsed="false">
      <c r="B103" s="102" t="str">
        <f aca="false">IF(الموظفون!$B103="","",الموظفون!$B103)</f>
        <v/>
      </c>
      <c r="C103" s="102" t="str">
        <f aca="false">IF($B103="","",الموظفون!$C103)</f>
        <v/>
      </c>
      <c r="D103" s="102" t="str">
        <f aca="false">IF($B103="","",الموظفون!$D103)</f>
        <v/>
      </c>
      <c r="E103" s="102" t="str">
        <f aca="false">IF($B103="","",الموظفون!$E103)</f>
        <v/>
      </c>
      <c r="F103" s="102" t="str">
        <f aca="false">IF($B103="","",الموظفون!$AG103)</f>
        <v/>
      </c>
      <c r="G103" s="102" t="str">
        <f aca="false">IF($B103="","",IF(الموظفون!$I103="","",الموظفون!$I103))</f>
        <v/>
      </c>
      <c r="H103" s="148" t="str">
        <f aca="false">IF($B103="","",IF(الموظفون!$J103="","",الموظفون!$J103))</f>
        <v/>
      </c>
      <c r="I103" s="110" t="str">
        <f aca="false">IF(OR($B103="",H103=""),"",H103-cfg_TRACK)</f>
        <v/>
      </c>
      <c r="J103" s="102" t="str">
        <f aca="false">IF(OR($B103="",$F103="✖ منتهي الخدمة"),"",IF(H103="",IF($E103="غير سعودي","⚠ أدخل التاريخ","-"),IF(I103&lt;0,"✖ منتهية منذ "&amp;TEXT(-I103,"0")&amp;" يوم",IF(I103&lt;=cfg_ALERT,"⚠ تنتهي خلال "&amp;TEXT(I103,"0")&amp;" يوم","✔ سارية"))))</f>
        <v/>
      </c>
      <c r="K103" s="148" t="str">
        <f aca="false">IF($B103="","",IF(الموظفون!$K103="","",الموظفون!$K103))</f>
        <v/>
      </c>
      <c r="L103" s="110" t="str">
        <f aca="false">IF(OR($B103="",K103=""),"",K103-cfg_TRACK)</f>
        <v/>
      </c>
      <c r="M103" s="102" t="str">
        <f aca="false">IF(OR($B103="",$F103="✖ منتهي الخدمة"),"",IF(K103="",IF($E103="غير سعودي","⚠ أدخل التاريخ","-"),IF(L103&lt;0,"✖ منتهية منذ "&amp;TEXT(-L103,"0")&amp;" يوم",IF(L103&lt;=cfg_ALERT,"⚠ تنتهي خلال "&amp;TEXT(L103,"0")&amp;" يوم","✔ سارية"))))</f>
        <v/>
      </c>
      <c r="N103" s="101" t="str">
        <f aca="false">IF($B103="","",IF(F103="✖ منتهي الخدمة",0,IF(الموظفون!$X103&lt;&gt;"",الموظفون!$X103,IF(الموظفون!$E103="غير سعودي",cfg_IQ,0))))</f>
        <v/>
      </c>
      <c r="O103" s="101" t="str">
        <f aca="false">IF($B103="","",IF(F103="✖ منتهي الخدمة",0,IF(الموظفون!$Y103&lt;&gt;"",الموظفون!$Y103,IF(الموظفون!$E103="غير سعودي",cfg_WP,0))))</f>
        <v/>
      </c>
      <c r="P103" s="101" t="str">
        <f aca="false">IF($B103="","",IF(F103="✖ منتهي الخدمة",0,IF(الموظفون!$Z103&lt;&gt;"",الموظفون!$Z103,cfg_MED)))</f>
        <v/>
      </c>
      <c r="Q103" s="101" t="str">
        <f aca="false">IF($B103="","",IF(F103="✖ منتهي الخدمة",0,N(الموظفون!$AA103)))</f>
        <v/>
      </c>
      <c r="R103" s="101" t="str">
        <f aca="false">IF($B103="","",SUM(N103:Q103))</f>
        <v/>
      </c>
      <c r="S103" s="101" t="str">
        <f aca="false">IF($B103="","",R103/12)</f>
        <v/>
      </c>
      <c r="T103" s="101" t="str">
        <f aca="false">IF($B103="","",IF(1&lt;=cfg_VAL_M,'مسير يناير'!AD103+'مسير يناير'!AE103+'مسير يناير'!AF103,0)+IF(2&lt;=cfg_VAL_M,'مسير فبراير'!AD103+'مسير فبراير'!AE103+'مسير فبراير'!AF103,0)+IF(3&lt;=cfg_VAL_M,'مسير مارس'!AD103+'مسير مارس'!AE103+'مسير مارس'!AF103,0)+IF(4&lt;=cfg_VAL_M,'مسير أبريل'!AD103+'مسير أبريل'!AE103+'مسير أبريل'!AF103,0)+IF(5&lt;=cfg_VAL_M,'مسير مايو'!AD103+'مسير مايو'!AE103+'مسير مايو'!AF103,0)+IF(6&lt;=cfg_VAL_M,'مسير يونيو'!AD103+'مسير يونيو'!AE103+'مسير يونيو'!AF103,0)+IF(7&lt;=cfg_VAL_M,'مسير يوليو'!AD103+'مسير يوليو'!AE103+'مسير يوليو'!AF103,0)+IF(8&lt;=cfg_VAL_M,'مسير أغسطس'!AD103+'مسير أغسطس'!AE103+'مسير أغسطس'!AF103,0)+IF(9&lt;=cfg_VAL_M,'مسير سبتمبر'!AD103+'مسير سبتمبر'!AE103+'مسير سبتمبر'!AF103,0)+IF(10&lt;=cfg_VAL_M,'مسير أكتوبر'!AD103+'مسير أكتوبر'!AE103+'مسير أكتوبر'!AF103,0)+IF(11&lt;=cfg_VAL_M,'مسير نوفمبر'!AD103+'مسير نوفمبر'!AE103+'مسير نوفمبر'!AF103,0)+IF(12&lt;=cfg_VAL_M,'مسير ديسمبر'!AD103+'مسير ديسمبر'!AE103+'مسير ديسمبر'!AF103,0))</f>
        <v/>
      </c>
      <c r="U103" s="101" t="str">
        <f aca="false">IF(OR($B103="",F103="✖ منتهي الخدمة"),"",IF(AND(ISNUMBER(I103),I103&lt;=cfg_ALERT),N103,0)+IF(AND(ISNUMBER(L103),L103&lt;=cfg_ALERT),O103,0))</f>
        <v/>
      </c>
    </row>
    <row r="104" customFormat="false" ht="15" hidden="false" customHeight="false" outlineLevel="0" collapsed="false">
      <c r="B104" s="80" t="str">
        <f aca="false">IF(الموظفون!$B104="","",الموظفون!$B104)</f>
        <v/>
      </c>
      <c r="C104" s="80" t="str">
        <f aca="false">IF($B104="","",الموظفون!$C104)</f>
        <v/>
      </c>
      <c r="D104" s="80" t="str">
        <f aca="false">IF($B104="","",الموظفون!$D104)</f>
        <v/>
      </c>
      <c r="E104" s="80" t="str">
        <f aca="false">IF($B104="","",الموظفون!$E104)</f>
        <v/>
      </c>
      <c r="F104" s="80" t="str">
        <f aca="false">IF($B104="","",الموظفون!$AG104)</f>
        <v/>
      </c>
      <c r="G104" s="80" t="str">
        <f aca="false">IF($B104="","",IF(الموظفون!$I104="","",الموظفون!$I104))</f>
        <v/>
      </c>
      <c r="H104" s="147" t="str">
        <f aca="false">IF($B104="","",IF(الموظفون!$J104="","",الموظفون!$J104))</f>
        <v/>
      </c>
      <c r="I104" s="57" t="str">
        <f aca="false">IF(OR($B104="",H104=""),"",H104-cfg_TRACK)</f>
        <v/>
      </c>
      <c r="J104" s="80" t="str">
        <f aca="false">IF(OR($B104="",$F104="✖ منتهي الخدمة"),"",IF(H104="",IF($E104="غير سعودي","⚠ أدخل التاريخ","-"),IF(I104&lt;0,"✖ منتهية منذ "&amp;TEXT(-I104,"0")&amp;" يوم",IF(I104&lt;=cfg_ALERT,"⚠ تنتهي خلال "&amp;TEXT(I104,"0")&amp;" يوم","✔ سارية"))))</f>
        <v/>
      </c>
      <c r="K104" s="147" t="str">
        <f aca="false">IF($B104="","",IF(الموظفون!$K104="","",الموظفون!$K104))</f>
        <v/>
      </c>
      <c r="L104" s="57" t="str">
        <f aca="false">IF(OR($B104="",K104=""),"",K104-cfg_TRACK)</f>
        <v/>
      </c>
      <c r="M104" s="80" t="str">
        <f aca="false">IF(OR($B104="",$F104="✖ منتهي الخدمة"),"",IF(K104="",IF($E104="غير سعودي","⚠ أدخل التاريخ","-"),IF(L104&lt;0,"✖ منتهية منذ "&amp;TEXT(-L104,"0")&amp;" يوم",IF(L104&lt;=cfg_ALERT,"⚠ تنتهي خلال "&amp;TEXT(L104,"0")&amp;" يوم","✔ سارية"))))</f>
        <v/>
      </c>
      <c r="N104" s="97" t="str">
        <f aca="false">IF($B104="","",IF(F104="✖ منتهي الخدمة",0,IF(الموظفون!$X104&lt;&gt;"",الموظفون!$X104,IF(الموظفون!$E104="غير سعودي",cfg_IQ,0))))</f>
        <v/>
      </c>
      <c r="O104" s="97" t="str">
        <f aca="false">IF($B104="","",IF(F104="✖ منتهي الخدمة",0,IF(الموظفون!$Y104&lt;&gt;"",الموظفون!$Y104,IF(الموظفون!$E104="غير سعودي",cfg_WP,0))))</f>
        <v/>
      </c>
      <c r="P104" s="97" t="str">
        <f aca="false">IF($B104="","",IF(F104="✖ منتهي الخدمة",0,IF(الموظفون!$Z104&lt;&gt;"",الموظفون!$Z104,cfg_MED)))</f>
        <v/>
      </c>
      <c r="Q104" s="97" t="str">
        <f aca="false">IF($B104="","",IF(F104="✖ منتهي الخدمة",0,N(الموظفون!$AA104)))</f>
        <v/>
      </c>
      <c r="R104" s="97" t="str">
        <f aca="false">IF($B104="","",SUM(N104:Q104))</f>
        <v/>
      </c>
      <c r="S104" s="97" t="str">
        <f aca="false">IF($B104="","",R104/12)</f>
        <v/>
      </c>
      <c r="T104" s="97" t="str">
        <f aca="false">IF($B104="","",IF(1&lt;=cfg_VAL_M,'مسير يناير'!AD104+'مسير يناير'!AE104+'مسير يناير'!AF104,0)+IF(2&lt;=cfg_VAL_M,'مسير فبراير'!AD104+'مسير فبراير'!AE104+'مسير فبراير'!AF104,0)+IF(3&lt;=cfg_VAL_M,'مسير مارس'!AD104+'مسير مارس'!AE104+'مسير مارس'!AF104,0)+IF(4&lt;=cfg_VAL_M,'مسير أبريل'!AD104+'مسير أبريل'!AE104+'مسير أبريل'!AF104,0)+IF(5&lt;=cfg_VAL_M,'مسير مايو'!AD104+'مسير مايو'!AE104+'مسير مايو'!AF104,0)+IF(6&lt;=cfg_VAL_M,'مسير يونيو'!AD104+'مسير يونيو'!AE104+'مسير يونيو'!AF104,0)+IF(7&lt;=cfg_VAL_M,'مسير يوليو'!AD104+'مسير يوليو'!AE104+'مسير يوليو'!AF104,0)+IF(8&lt;=cfg_VAL_M,'مسير أغسطس'!AD104+'مسير أغسطس'!AE104+'مسير أغسطس'!AF104,0)+IF(9&lt;=cfg_VAL_M,'مسير سبتمبر'!AD104+'مسير سبتمبر'!AE104+'مسير سبتمبر'!AF104,0)+IF(10&lt;=cfg_VAL_M,'مسير أكتوبر'!AD104+'مسير أكتوبر'!AE104+'مسير أكتوبر'!AF104,0)+IF(11&lt;=cfg_VAL_M,'مسير نوفمبر'!AD104+'مسير نوفمبر'!AE104+'مسير نوفمبر'!AF104,0)+IF(12&lt;=cfg_VAL_M,'مسير ديسمبر'!AD104+'مسير ديسمبر'!AE104+'مسير ديسمبر'!AF104,0))</f>
        <v/>
      </c>
      <c r="U104" s="97" t="str">
        <f aca="false">IF(OR($B104="",F104="✖ منتهي الخدمة"),"",IF(AND(ISNUMBER(I104),I104&lt;=cfg_ALERT),N104,0)+IF(AND(ISNUMBER(L104),L104&lt;=cfg_ALERT),O104,0))</f>
        <v/>
      </c>
    </row>
    <row r="105" customFormat="false" ht="15" hidden="false" customHeight="false" outlineLevel="0" collapsed="false">
      <c r="B105" s="102" t="str">
        <f aca="false">IF(الموظفون!$B105="","",الموظفون!$B105)</f>
        <v/>
      </c>
      <c r="C105" s="102" t="str">
        <f aca="false">IF($B105="","",الموظفون!$C105)</f>
        <v/>
      </c>
      <c r="D105" s="102" t="str">
        <f aca="false">IF($B105="","",الموظفون!$D105)</f>
        <v/>
      </c>
      <c r="E105" s="102" t="str">
        <f aca="false">IF($B105="","",الموظفون!$E105)</f>
        <v/>
      </c>
      <c r="F105" s="102" t="str">
        <f aca="false">IF($B105="","",الموظفون!$AG105)</f>
        <v/>
      </c>
      <c r="G105" s="102" t="str">
        <f aca="false">IF($B105="","",IF(الموظفون!$I105="","",الموظفون!$I105))</f>
        <v/>
      </c>
      <c r="H105" s="148" t="str">
        <f aca="false">IF($B105="","",IF(الموظفون!$J105="","",الموظفون!$J105))</f>
        <v/>
      </c>
      <c r="I105" s="110" t="str">
        <f aca="false">IF(OR($B105="",H105=""),"",H105-cfg_TRACK)</f>
        <v/>
      </c>
      <c r="J105" s="102" t="str">
        <f aca="false">IF(OR($B105="",$F105="✖ منتهي الخدمة"),"",IF(H105="",IF($E105="غير سعودي","⚠ أدخل التاريخ","-"),IF(I105&lt;0,"✖ منتهية منذ "&amp;TEXT(-I105,"0")&amp;" يوم",IF(I105&lt;=cfg_ALERT,"⚠ تنتهي خلال "&amp;TEXT(I105,"0")&amp;" يوم","✔ سارية"))))</f>
        <v/>
      </c>
      <c r="K105" s="148" t="str">
        <f aca="false">IF($B105="","",IF(الموظفون!$K105="","",الموظفون!$K105))</f>
        <v/>
      </c>
      <c r="L105" s="110" t="str">
        <f aca="false">IF(OR($B105="",K105=""),"",K105-cfg_TRACK)</f>
        <v/>
      </c>
      <c r="M105" s="102" t="str">
        <f aca="false">IF(OR($B105="",$F105="✖ منتهي الخدمة"),"",IF(K105="",IF($E105="غير سعودي","⚠ أدخل التاريخ","-"),IF(L105&lt;0,"✖ منتهية منذ "&amp;TEXT(-L105,"0")&amp;" يوم",IF(L105&lt;=cfg_ALERT,"⚠ تنتهي خلال "&amp;TEXT(L105,"0")&amp;" يوم","✔ سارية"))))</f>
        <v/>
      </c>
      <c r="N105" s="101" t="str">
        <f aca="false">IF($B105="","",IF(F105="✖ منتهي الخدمة",0,IF(الموظفون!$X105&lt;&gt;"",الموظفون!$X105,IF(الموظفون!$E105="غير سعودي",cfg_IQ,0))))</f>
        <v/>
      </c>
      <c r="O105" s="101" t="str">
        <f aca="false">IF($B105="","",IF(F105="✖ منتهي الخدمة",0,IF(الموظفون!$Y105&lt;&gt;"",الموظفون!$Y105,IF(الموظفون!$E105="غير سعودي",cfg_WP,0))))</f>
        <v/>
      </c>
      <c r="P105" s="101" t="str">
        <f aca="false">IF($B105="","",IF(F105="✖ منتهي الخدمة",0,IF(الموظفون!$Z105&lt;&gt;"",الموظفون!$Z105,cfg_MED)))</f>
        <v/>
      </c>
      <c r="Q105" s="101" t="str">
        <f aca="false">IF($B105="","",IF(F105="✖ منتهي الخدمة",0,N(الموظفون!$AA105)))</f>
        <v/>
      </c>
      <c r="R105" s="101" t="str">
        <f aca="false">IF($B105="","",SUM(N105:Q105))</f>
        <v/>
      </c>
      <c r="S105" s="101" t="str">
        <f aca="false">IF($B105="","",R105/12)</f>
        <v/>
      </c>
      <c r="T105" s="101" t="str">
        <f aca="false">IF($B105="","",IF(1&lt;=cfg_VAL_M,'مسير يناير'!AD105+'مسير يناير'!AE105+'مسير يناير'!AF105,0)+IF(2&lt;=cfg_VAL_M,'مسير فبراير'!AD105+'مسير فبراير'!AE105+'مسير فبراير'!AF105,0)+IF(3&lt;=cfg_VAL_M,'مسير مارس'!AD105+'مسير مارس'!AE105+'مسير مارس'!AF105,0)+IF(4&lt;=cfg_VAL_M,'مسير أبريل'!AD105+'مسير أبريل'!AE105+'مسير أبريل'!AF105,0)+IF(5&lt;=cfg_VAL_M,'مسير مايو'!AD105+'مسير مايو'!AE105+'مسير مايو'!AF105,0)+IF(6&lt;=cfg_VAL_M,'مسير يونيو'!AD105+'مسير يونيو'!AE105+'مسير يونيو'!AF105,0)+IF(7&lt;=cfg_VAL_M,'مسير يوليو'!AD105+'مسير يوليو'!AE105+'مسير يوليو'!AF105,0)+IF(8&lt;=cfg_VAL_M,'مسير أغسطس'!AD105+'مسير أغسطس'!AE105+'مسير أغسطس'!AF105,0)+IF(9&lt;=cfg_VAL_M,'مسير سبتمبر'!AD105+'مسير سبتمبر'!AE105+'مسير سبتمبر'!AF105,0)+IF(10&lt;=cfg_VAL_M,'مسير أكتوبر'!AD105+'مسير أكتوبر'!AE105+'مسير أكتوبر'!AF105,0)+IF(11&lt;=cfg_VAL_M,'مسير نوفمبر'!AD105+'مسير نوفمبر'!AE105+'مسير نوفمبر'!AF105,0)+IF(12&lt;=cfg_VAL_M,'مسير ديسمبر'!AD105+'مسير ديسمبر'!AE105+'مسير ديسمبر'!AF105,0))</f>
        <v/>
      </c>
      <c r="U105" s="101" t="str">
        <f aca="false">IF(OR($B105="",F105="✖ منتهي الخدمة"),"",IF(AND(ISNUMBER(I105),I105&lt;=cfg_ALERT),N105,0)+IF(AND(ISNUMBER(L105),L105&lt;=cfg_ALERT),O105,0))</f>
        <v/>
      </c>
    </row>
    <row r="106" customFormat="false" ht="24" hidden="false" customHeight="true" outlineLevel="0" collapsed="false">
      <c r="B106" s="103"/>
      <c r="C106" s="103" t="s">
        <v>127</v>
      </c>
      <c r="D106" s="103"/>
      <c r="E106" s="103"/>
      <c r="F106" s="103"/>
      <c r="G106" s="103"/>
      <c r="H106" s="103"/>
      <c r="I106" s="103"/>
      <c r="J106" s="103"/>
      <c r="K106" s="103"/>
      <c r="L106" s="103"/>
      <c r="M106" s="103"/>
      <c r="N106" s="103" t="n">
        <f aca="false">SUM(N6:N105)</f>
        <v>2600</v>
      </c>
      <c r="O106" s="103" t="n">
        <f aca="false">SUM(O6:O105)</f>
        <v>38400</v>
      </c>
      <c r="P106" s="103" t="n">
        <f aca="false">SUM(P6:P105)</f>
        <v>31800</v>
      </c>
      <c r="Q106" s="103" t="n">
        <f aca="false">SUM(Q6:Q105)</f>
        <v>4800</v>
      </c>
      <c r="R106" s="103" t="n">
        <f aca="false">SUM(R6:R105)</f>
        <v>77600</v>
      </c>
      <c r="S106" s="103" t="n">
        <f aca="false">SUM(S6:S105)</f>
        <v>6466.66666666667</v>
      </c>
      <c r="T106" s="103" t="n">
        <f aca="false">SUM(T6:T105)</f>
        <v>63531.6666666667</v>
      </c>
      <c r="U106" s="103" t="n">
        <f aca="false">SUM(U6:U105)</f>
        <v>20500</v>
      </c>
    </row>
    <row r="107" customFormat="false" ht="39.75" hidden="false" customHeight="true" outlineLevel="0" collapsed="false">
      <c r="B107" s="24" t="s">
        <v>504</v>
      </c>
      <c r="C107" s="24"/>
      <c r="D107" s="24"/>
      <c r="E107" s="24"/>
      <c r="F107" s="24"/>
      <c r="G107" s="24"/>
      <c r="H107" s="24"/>
      <c r="I107" s="24"/>
      <c r="J107" s="24"/>
      <c r="K107" s="24"/>
      <c r="L107" s="24"/>
      <c r="M107" s="24"/>
      <c r="N107" s="24"/>
      <c r="O107" s="24"/>
      <c r="P107" s="24"/>
      <c r="Q107" s="24"/>
      <c r="R107" s="24"/>
      <c r="S107" s="24"/>
      <c r="T107" s="24"/>
      <c r="U107" s="24"/>
    </row>
  </sheetData>
  <autoFilter ref="B5:U105"/>
  <mergeCells count="3">
    <mergeCell ref="B1:U1"/>
    <mergeCell ref="B2:U2"/>
    <mergeCell ref="B107:U107"/>
  </mergeCells>
  <conditionalFormatting sqref="J6:J105">
    <cfRule type="expression" priority="2" aboveAverage="0" equalAverage="0" bottom="0" percent="0" rank="0" text="" dxfId="0">
      <formula>ISNUMBER(SEARCH("✔",J6))</formula>
    </cfRule>
    <cfRule type="expression" priority="3" aboveAverage="0" equalAverage="0" bottom="0" percent="0" rank="0" text="" dxfId="1">
      <formula>ISNUMBER(SEARCH("✖",J6))</formula>
    </cfRule>
    <cfRule type="expression" priority="4" aboveAverage="0" equalAverage="0" bottom="0" percent="0" rank="0" text="" dxfId="2">
      <formula>ISNUMBER(SEARCH("⚠",J6))</formula>
    </cfRule>
    <cfRule type="expression" priority="5" aboveAverage="0" equalAverage="0" bottom="0" percent="0" rank="0" text="" dxfId="3">
      <formula>ISNUMBER(SEARCH("✈",J6))</formula>
    </cfRule>
    <cfRule type="expression" priority="6" aboveAverage="0" equalAverage="0" bottom="0" percent="0" rank="0" text="" dxfId="1">
      <formula>ISNUMBER(SEARCH("⛔",J6))</formula>
    </cfRule>
    <cfRule type="expression" priority="7" aboveAverage="0" equalAverage="0" bottom="0" percent="0" rank="0" text="" dxfId="0">
      <formula>ISNUMBER(SEARCH("🌴",J6))</formula>
    </cfRule>
    <cfRule type="expression" priority="8" aboveAverage="0" equalAverage="0" bottom="0" percent="0" rank="0" text="" dxfId="4">
      <formula>ISNUMBER(SEARCH("⏳",J6))</formula>
    </cfRule>
  </conditionalFormatting>
  <conditionalFormatting sqref="M6:M105">
    <cfRule type="expression" priority="9" aboveAverage="0" equalAverage="0" bottom="0" percent="0" rank="0" text="" dxfId="0">
      <formula>ISNUMBER(SEARCH("✔",M6))</formula>
    </cfRule>
    <cfRule type="expression" priority="10" aboveAverage="0" equalAverage="0" bottom="0" percent="0" rank="0" text="" dxfId="1">
      <formula>ISNUMBER(SEARCH("✖",M6))</formula>
    </cfRule>
    <cfRule type="expression" priority="11" aboveAverage="0" equalAverage="0" bottom="0" percent="0" rank="0" text="" dxfId="2">
      <formula>ISNUMBER(SEARCH("⚠",M6))</formula>
    </cfRule>
    <cfRule type="expression" priority="12" aboveAverage="0" equalAverage="0" bottom="0" percent="0" rank="0" text="" dxfId="3">
      <formula>ISNUMBER(SEARCH("✈",M6))</formula>
    </cfRule>
    <cfRule type="expression" priority="13" aboveAverage="0" equalAverage="0" bottom="0" percent="0" rank="0" text="" dxfId="1">
      <formula>ISNUMBER(SEARCH("⛔",M6))</formula>
    </cfRule>
    <cfRule type="expression" priority="14" aboveAverage="0" equalAverage="0" bottom="0" percent="0" rank="0" text="" dxfId="0">
      <formula>ISNUMBER(SEARCH("🌴",M6))</formula>
    </cfRule>
    <cfRule type="expression" priority="15" aboveAverage="0" equalAverage="0" bottom="0" percent="0" rank="0" text="" dxfId="4">
      <formula>ISNUMBER(SEARCH("⏳",M6))</formula>
    </cfRule>
  </conditionalFormatting>
  <conditionalFormatting sqref="F6:F105">
    <cfRule type="expression" priority="16" aboveAverage="0" equalAverage="0" bottom="0" percent="0" rank="0" text="" dxfId="0">
      <formula>ISNUMBER(SEARCH("✔",F6))</formula>
    </cfRule>
    <cfRule type="expression" priority="17" aboveAverage="0" equalAverage="0" bottom="0" percent="0" rank="0" text="" dxfId="1">
      <formula>ISNUMBER(SEARCH("✖",F6))</formula>
    </cfRule>
    <cfRule type="expression" priority="18" aboveAverage="0" equalAverage="0" bottom="0" percent="0" rank="0" text="" dxfId="2">
      <formula>ISNUMBER(SEARCH("⚠",F6))</formula>
    </cfRule>
    <cfRule type="expression" priority="19" aboveAverage="0" equalAverage="0" bottom="0" percent="0" rank="0" text="" dxfId="3">
      <formula>ISNUMBER(SEARCH("✈",F6))</formula>
    </cfRule>
    <cfRule type="expression" priority="20" aboveAverage="0" equalAverage="0" bottom="0" percent="0" rank="0" text="" dxfId="1">
      <formula>ISNUMBER(SEARCH("⛔",F6))</formula>
    </cfRule>
    <cfRule type="expression" priority="21" aboveAverage="0" equalAverage="0" bottom="0" percent="0" rank="0" text="" dxfId="0">
      <formula>ISNUMBER(SEARCH("🌴",F6))</formula>
    </cfRule>
    <cfRule type="expression" priority="22" aboveAverage="0" equalAverage="0" bottom="0" percent="0" rank="0" text="" dxfId="4">
      <formula>ISNUMBER(SEARCH("⏳",F6))</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ملخص الشهري'!A1" display="📅 الملخص الشهري"/>
    <hyperlink ref="I3" location="'قيود الرواتب'!A1" display="🧾 القيود"/>
    <hyperlink ref="J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B00"/>
    <pageSetUpPr fitToPage="true"/>
  </sheetPr>
  <dimension ref="B1:T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9"/>
    <col collapsed="false" customWidth="true" hidden="false" outlineLevel="0" max="3" min="3" style="0" width="24"/>
    <col collapsed="false" customWidth="true" hidden="false" outlineLevel="0" max="5" min="4" style="0" width="12"/>
    <col collapsed="false" customWidth="true" hidden="false" outlineLevel="0" max="6" min="6" style="0" width="2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1" min="10" style="0" width="13"/>
    <col collapsed="false" customWidth="true" hidden="false" outlineLevel="0" max="12" min="12" style="0" width="14"/>
    <col collapsed="false" customWidth="true" hidden="false" outlineLevel="0" max="13" min="13" style="0" width="17"/>
    <col collapsed="false" customWidth="true" hidden="false" outlineLevel="0" max="14" min="14" style="0" width="11"/>
    <col collapsed="false" customWidth="true" hidden="false" outlineLevel="0" max="15" min="15" style="0" width="15"/>
    <col collapsed="false" customWidth="true" hidden="false" outlineLevel="0" max="17" min="16" style="0" width="13"/>
    <col collapsed="false" customWidth="true" hidden="false" outlineLevel="0" max="18" min="18" style="0" width="12"/>
    <col collapsed="false" customWidth="true" hidden="false" outlineLevel="0" max="19" min="19" style="0" width="14"/>
    <col collapsed="false" customWidth="true" hidden="false" outlineLevel="0" max="20" min="20" style="0" width="18"/>
  </cols>
  <sheetData>
    <row r="1" customFormat="false" ht="37.5" hidden="false" customHeight="true" outlineLevel="0" collapsed="false">
      <c r="B1" s="1" t="str">
        <f aca="false">"🎁 مخصص مكافأة نهاية الخدمة كما في "&amp;TEXT(cfg_VAL_DATE,"yyyy/mm/dd")</f>
        <v>🎁 مخصص مكافأة نهاية الخدمة كما في 2026/09/30</v>
      </c>
      <c r="C1" s="1"/>
      <c r="D1" s="1"/>
      <c r="E1" s="1"/>
      <c r="F1" s="1"/>
      <c r="G1" s="1"/>
      <c r="H1" s="1"/>
      <c r="I1" s="1"/>
      <c r="J1" s="1"/>
      <c r="K1" s="1"/>
      <c r="L1" s="1"/>
      <c r="M1" s="1"/>
      <c r="N1" s="1"/>
      <c r="O1" s="1"/>
      <c r="P1" s="1"/>
      <c r="Q1" s="1"/>
      <c r="R1" s="1"/>
      <c r="S1" s="1"/>
      <c r="T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c r="T2" s="2"/>
    </row>
    <row r="3" customFormat="false" ht="25.5" hidden="false" customHeight="true" outlineLevel="0" collapsed="false">
      <c r="B3" s="25" t="s">
        <v>80</v>
      </c>
      <c r="C3" s="12" t="s">
        <v>138</v>
      </c>
      <c r="D3" s="26" t="s">
        <v>81</v>
      </c>
      <c r="E3" s="26" t="s">
        <v>82</v>
      </c>
      <c r="F3" s="27" t="s">
        <v>83</v>
      </c>
      <c r="G3" s="26" t="s">
        <v>84</v>
      </c>
      <c r="H3" s="28" t="s">
        <v>85</v>
      </c>
      <c r="I3" s="26" t="s">
        <v>39</v>
      </c>
      <c r="J3" s="26" t="s">
        <v>139</v>
      </c>
    </row>
    <row r="4" customFormat="false" ht="7.5" hidden="false" customHeight="true" outlineLevel="0" collapsed="false"/>
    <row r="5" customFormat="false" ht="57.75" hidden="false" customHeight="true" outlineLevel="0" collapsed="false">
      <c r="B5" s="149" t="s">
        <v>486</v>
      </c>
      <c r="C5" s="149" t="s">
        <v>274</v>
      </c>
      <c r="D5" s="149" t="s">
        <v>277</v>
      </c>
      <c r="E5" s="149" t="s">
        <v>505</v>
      </c>
      <c r="F5" s="149" t="s">
        <v>506</v>
      </c>
      <c r="G5" s="149" t="s">
        <v>507</v>
      </c>
      <c r="H5" s="149" t="s">
        <v>508</v>
      </c>
      <c r="I5" s="149" t="s">
        <v>509</v>
      </c>
      <c r="J5" s="149" t="s">
        <v>510</v>
      </c>
      <c r="K5" s="149" t="s">
        <v>511</v>
      </c>
      <c r="L5" s="149" t="s">
        <v>512</v>
      </c>
      <c r="M5" s="149" t="s">
        <v>513</v>
      </c>
      <c r="N5" s="149" t="s">
        <v>514</v>
      </c>
      <c r="O5" s="149" t="s">
        <v>515</v>
      </c>
      <c r="P5" s="149" t="s">
        <v>516</v>
      </c>
      <c r="Q5" s="149" t="s">
        <v>517</v>
      </c>
      <c r="R5" s="149" t="s">
        <v>518</v>
      </c>
      <c r="S5" s="149" t="s">
        <v>519</v>
      </c>
      <c r="T5" s="149" t="s">
        <v>520</v>
      </c>
    </row>
    <row r="6" customFormat="false" ht="15" hidden="false" customHeight="false" outlineLevel="0" collapsed="false">
      <c r="B6" s="80" t="str">
        <f aca="false">IF(الموظفون!$B6="","",الموظفون!$B6)</f>
        <v>E001</v>
      </c>
      <c r="C6" s="80" t="str">
        <f aca="false">IF($B6="","",الموظفون!$C6)</f>
        <v>عبدالله محمد العتيبي</v>
      </c>
      <c r="D6" s="147" t="n">
        <f aca="false">IF($B6="","",الموظفون!$H6)</f>
        <v>40923</v>
      </c>
      <c r="E6" s="147" t="n">
        <f aca="false">IF($B6="","",IF(OR(الموظفون!$AE6="",الموظفون!$AE6&gt;cfg_VAL_DATE),cfg_VAL_DATE,الموظفون!$AE6))</f>
        <v>46295</v>
      </c>
      <c r="F6" s="80" t="str">
        <f aca="false">IF($B6="","",IF(E6&lt;D6,"لم يباشر",DATEDIF(D6,E6+1,"y")&amp;" سنة "&amp;DATEDIF(D6,E6+1,"ym")&amp;" شهر "&amp;DATEDIF(D6,E6+1,"md")&amp;" يوم"))</f>
        <v>14 سنة 8 شهر 16 يوم</v>
      </c>
      <c r="G6" s="57" t="n">
        <f aca="false">IF($B6="","",SUMIFS('سجل الإجازات والحالات'!$S$6:$S$505,'سجل الإجازات والحالات'!$B$6:$B$505,$B6))</f>
        <v>0</v>
      </c>
      <c r="H6" s="130" t="n">
        <f aca="false">IF($B6="","",MAX(0,E6-D6+1-G6)/cfg_DAYS_Y)</f>
        <v>14.7205479452055</v>
      </c>
      <c r="I6" s="97" t="n">
        <f aca="false">IF($B6="","",الموظفون!$Q6)</f>
        <v>37800</v>
      </c>
      <c r="J6" s="97" t="n">
        <f aca="false">IF($B6="","",I6*cfg_EOS_R1*MIN(H6,cfg_EOS_TH))</f>
        <v>94500</v>
      </c>
      <c r="K6" s="97" t="n">
        <f aca="false">IF($B6="","",I6*cfg_EOS_R2*MAX(H6-cfg_EOS_TH,0))</f>
        <v>367436.712328767</v>
      </c>
      <c r="L6" s="97" t="n">
        <f aca="false">IF($B6="","",J6+K6)</f>
        <v>461936.712328767</v>
      </c>
      <c r="M6" s="80" t="str">
        <f aca="false">IF($B6="","",IF(AND(الموظفون!$AE6&lt;&gt;"",الموظفون!$AE6&lt;=cfg_VAL_DATE),IF(الموظفون!$AF6="","⚠ حدد السبب",الموظفون!$AF6),"على رأس العمل"))</f>
        <v>على رأس العمل</v>
      </c>
      <c r="N6" s="58" t="n">
        <f aca="false">IF($B6="","",VLOOKUP(H6,cfg_RES,2,TRUE()))</f>
        <v>1</v>
      </c>
      <c r="O6" s="97" t="n">
        <f aca="false">IF($B6="","",IF(M6="استقالة",L6*N6,L6))</f>
        <v>461936.712328767</v>
      </c>
      <c r="P6" s="97" t="n">
        <f aca="false">IF($B6="","",I6*(cfg_EOS_R1*MIN((MAX(0,IF(OR(الموظفون!$AE6="",الموظفون!$AE6&gt;=cfg_Y_START),cfg_Y_START-1,الموظفون!$AE6)-D6+1-SUMIFS('سجل الإجازات والحالات'!$R$6:$R$505,'سجل الإجازات والحالات'!$B$6:$B$505,$B6))/cfg_DAYS_Y),cfg_EOS_TH)+cfg_EOS_R2*MAX((MAX(0,IF(OR(الموظفون!$AE6="",الموظفون!$AE6&gt;=cfg_Y_START),cfg_Y_START-1,الموظفون!$AE6)-D6+1-SUMIFS('سجل الإجازات والحالات'!$R$6:$R$505,'سجل الإجازات والحالات'!$B$6:$B$505,$B6))/cfg_DAYS_Y)-cfg_EOS_TH,0)))</f>
        <v>433664.383561644</v>
      </c>
      <c r="Q6" s="97" t="n">
        <f aca="false">IF($B6="","",O6-P6)</f>
        <v>28272.3287671232</v>
      </c>
      <c r="R6" s="97" t="n">
        <f aca="false">IF($B6="","",SUMIFS('الحركات الشهرية'!$N$6:$N$1005,'الحركات الشهرية'!$B$6:$B$1005,B6,'الحركات الشهرية'!$A$6:$A$1005,"&lt;="&amp;cfg_VAL_M))</f>
        <v>0</v>
      </c>
      <c r="S6" s="150" t="n">
        <f aca="false">IF($B6="","",P6+Q6-R6)</f>
        <v>461936.712328767</v>
      </c>
      <c r="T6" s="80" t="str">
        <f aca="false">IF($B6="","",IF(S6&lt;-0.01,"✖ صرف أكثر من المستحق",IF(AND(M6&lt;&gt;"على رأس العمل",S6&gt;0.01),"⚠ مستحق لم يُصرف","✔ سليم")))</f>
        <v>✔ سليم</v>
      </c>
    </row>
    <row r="7" customFormat="false" ht="15" hidden="false" customHeight="false" outlineLevel="0" collapsed="false">
      <c r="B7" s="102" t="str">
        <f aca="false">IF(الموظفون!$B7="","",الموظفون!$B7)</f>
        <v>E002</v>
      </c>
      <c r="C7" s="102" t="str">
        <f aca="false">IF($B7="","",الموظفون!$C7)</f>
        <v>أحمد سعيد القحطاني</v>
      </c>
      <c r="D7" s="148" t="n">
        <f aca="false">IF($B7="","",الموظفون!$H7)</f>
        <v>42522</v>
      </c>
      <c r="E7" s="148" t="n">
        <f aca="false">IF($B7="","",IF(OR(الموظفون!$AE7="",الموظفون!$AE7&gt;cfg_VAL_DATE),cfg_VAL_DATE,الموظفون!$AE7))</f>
        <v>46295</v>
      </c>
      <c r="F7" s="102" t="str">
        <f aca="false">IF($B7="","",IF(E7&lt;D7,"لم يباشر",DATEDIF(D7,E7+1,"y")&amp;" سنة "&amp;DATEDIF(D7,E7+1,"ym")&amp;" شهر "&amp;DATEDIF(D7,E7+1,"md")&amp;" يوم"))</f>
        <v>10 سنة 4 شهر 0 يوم</v>
      </c>
      <c r="G7" s="110" t="n">
        <f aca="false">IF($B7="","",SUMIFS('سجل الإجازات والحالات'!$S$6:$S$505,'سجل الإجازات والحالات'!$B$6:$B$505,$B7))</f>
        <v>0</v>
      </c>
      <c r="H7" s="135" t="n">
        <f aca="false">IF($B7="","",MAX(0,E7-D7+1-G7)/cfg_DAYS_Y)</f>
        <v>10.3397260273973</v>
      </c>
      <c r="I7" s="101" t="n">
        <f aca="false">IF($B7="","",الموظفون!$Q7)</f>
        <v>24300</v>
      </c>
      <c r="J7" s="101" t="n">
        <f aca="false">IF($B7="","",I7*cfg_EOS_R1*MIN(H7,cfg_EOS_TH))</f>
        <v>60750</v>
      </c>
      <c r="K7" s="101" t="n">
        <f aca="false">IF($B7="","",I7*cfg_EOS_R2*MAX(H7-cfg_EOS_TH,0))</f>
        <v>129755.342465753</v>
      </c>
      <c r="L7" s="101" t="n">
        <f aca="false">IF($B7="","",J7+K7)</f>
        <v>190505.342465753</v>
      </c>
      <c r="M7" s="102" t="str">
        <f aca="false">IF($B7="","",IF(AND(الموظفون!$AE7&lt;&gt;"",الموظفون!$AE7&lt;=cfg_VAL_DATE),IF(الموظفون!$AF7="","⚠ حدد السبب",الموظفون!$AF7),"على رأس العمل"))</f>
        <v>على رأس العمل</v>
      </c>
      <c r="N7" s="111" t="n">
        <f aca="false">IF($B7="","",VLOOKUP(H7,cfg_RES,2,TRUE()))</f>
        <v>1</v>
      </c>
      <c r="O7" s="101" t="n">
        <f aca="false">IF($B7="","",IF(M7="استقالة",L7*N7,L7))</f>
        <v>190505.342465753</v>
      </c>
      <c r="P7" s="101" t="n">
        <f aca="false">IF($B7="","",I7*(cfg_EOS_R1*MIN((MAX(0,IF(OR(الموظفون!$AE7="",الموظفون!$AE7&gt;=cfg_Y_START),cfg_Y_START-1,الموظفون!$AE7)-D7+1-SUMIFS('سجل الإجازات والحالات'!$R$6:$R$505,'سجل الإجازات والحالات'!$B$6:$B$505,$B7))/cfg_DAYS_Y),cfg_EOS_TH)+cfg_EOS_R2*MAX((MAX(0,IF(OR(الموظفون!$AE7="",الموظفون!$AE7&gt;=cfg_Y_START),cfg_Y_START-1,الموظفون!$AE7)-D7+1-SUMIFS('سجل الإجازات والحالات'!$R$6:$R$505,'سجل الإجازات والحالات'!$B$6:$B$505,$B7))/cfg_DAYS_Y)-cfg_EOS_TH,0)))</f>
        <v>172330.273972603</v>
      </c>
      <c r="Q7" s="101" t="n">
        <f aca="false">IF($B7="","",O7-P7)</f>
        <v>18175.0684931507</v>
      </c>
      <c r="R7" s="101" t="n">
        <f aca="false">IF($B7="","",SUMIFS('الحركات الشهرية'!$N$6:$N$1005,'الحركات الشهرية'!$B$6:$B$1005,B7,'الحركات الشهرية'!$A$6:$A$1005,"&lt;="&amp;cfg_VAL_M))</f>
        <v>0</v>
      </c>
      <c r="S7" s="151" t="n">
        <f aca="false">IF($B7="","",P7+Q7-R7)</f>
        <v>190505.342465753</v>
      </c>
      <c r="T7" s="102" t="str">
        <f aca="false">IF($B7="","",IF(S7&lt;-0.01,"✖ صرف أكثر من المستحق",IF(AND(M7&lt;&gt;"على رأس العمل",S7&gt;0.01),"⚠ مستحق لم يُصرف","✔ سليم")))</f>
        <v>✔ سليم</v>
      </c>
    </row>
    <row r="8" customFormat="false" ht="15" hidden="false" customHeight="false" outlineLevel="0" collapsed="false">
      <c r="B8" s="80" t="str">
        <f aca="false">IF(الموظفون!$B8="","",الموظفون!$B8)</f>
        <v>E003</v>
      </c>
      <c r="C8" s="80" t="str">
        <f aca="false">IF($B8="","",الموظفون!$C8)</f>
        <v>محمد علي حسن</v>
      </c>
      <c r="D8" s="147" t="n">
        <f aca="false">IF($B8="","",الموظفون!$H8)</f>
        <v>43353</v>
      </c>
      <c r="E8" s="147" t="n">
        <f aca="false">IF($B8="","",IF(OR(الموظفون!$AE8="",الموظفون!$AE8&gt;cfg_VAL_DATE),cfg_VAL_DATE,الموظفون!$AE8))</f>
        <v>46295</v>
      </c>
      <c r="F8" s="80" t="str">
        <f aca="false">IF($B8="","",IF(E8&lt;D8,"لم يباشر",DATEDIF(D8,E8+1,"y")&amp;" سنة "&amp;DATEDIF(D8,E8+1,"ym")&amp;" شهر "&amp;DATEDIF(D8,E8+1,"md")&amp;" يوم"))</f>
        <v>8 سنة 0 شهر 21 يوم</v>
      </c>
      <c r="G8" s="57" t="n">
        <f aca="false">IF($B8="","",SUMIFS('سجل الإجازات والحالات'!$S$6:$S$505,'سجل الإجازات والحالات'!$B$6:$B$505,$B8))</f>
        <v>0</v>
      </c>
      <c r="H8" s="130" t="n">
        <f aca="false">IF($B8="","",MAX(0,E8-D8+1-G8)/cfg_DAYS_Y)</f>
        <v>8.06301369863014</v>
      </c>
      <c r="I8" s="97" t="n">
        <f aca="false">IF($B8="","",الموظفون!$Q8)</f>
        <v>11475</v>
      </c>
      <c r="J8" s="97" t="n">
        <f aca="false">IF($B8="","",I8*cfg_EOS_R1*MIN(H8,cfg_EOS_TH))</f>
        <v>28687.5</v>
      </c>
      <c r="K8" s="97" t="n">
        <f aca="false">IF($B8="","",I8*cfg_EOS_R2*MAX(H8-cfg_EOS_TH,0))</f>
        <v>35148.0821917808</v>
      </c>
      <c r="L8" s="97" t="n">
        <f aca="false">IF($B8="","",J8+K8)</f>
        <v>63835.5821917808</v>
      </c>
      <c r="M8" s="80" t="str">
        <f aca="false">IF($B8="","",IF(AND(الموظفون!$AE8&lt;&gt;"",الموظفون!$AE8&lt;=cfg_VAL_DATE),IF(الموظفون!$AF8="","⚠ حدد السبب",الموظفون!$AF8),"على رأس العمل"))</f>
        <v>على رأس العمل</v>
      </c>
      <c r="N8" s="58" t="n">
        <f aca="false">IF($B8="","",VLOOKUP(H8,cfg_RES,2,TRUE()))</f>
        <v>0.666666666666667</v>
      </c>
      <c r="O8" s="97" t="n">
        <f aca="false">IF($B8="","",IF(M8="استقالة",L8*N8,L8))</f>
        <v>63835.5821917808</v>
      </c>
      <c r="P8" s="97" t="n">
        <f aca="false">IF($B8="","",I8*(cfg_EOS_R1*MIN((MAX(0,IF(OR(الموظفون!$AE8="",الموظفون!$AE8&gt;=cfg_Y_START),cfg_Y_START-1,الموظفون!$AE8)-D8+1-SUMIFS('سجل الإجازات والحالات'!$R$6:$R$505,'سجل الإجازات والحالات'!$B$6:$B$505,$B8))/cfg_DAYS_Y),cfg_EOS_TH)+cfg_EOS_R2*MAX((MAX(0,IF(OR(الموظفون!$AE8="",الموظفون!$AE8&gt;=cfg_Y_START),cfg_Y_START-1,الموظفون!$AE8)-D8+1-SUMIFS('سجل الإجازات والحالات'!$R$6:$R$505,'سجل الإجازات والحالات'!$B$6:$B$505,$B8))/cfg_DAYS_Y)-cfg_EOS_TH,0)))</f>
        <v>55252.9109589041</v>
      </c>
      <c r="Q8" s="97" t="n">
        <f aca="false">IF($B8="","",O8-P8)</f>
        <v>8582.67123287671</v>
      </c>
      <c r="R8" s="97" t="n">
        <f aca="false">IF($B8="","",SUMIFS('الحركات الشهرية'!$N$6:$N$1005,'الحركات الشهرية'!$B$6:$B$1005,B8,'الحركات الشهرية'!$A$6:$A$1005,"&lt;="&amp;cfg_VAL_M))</f>
        <v>0</v>
      </c>
      <c r="S8" s="150" t="n">
        <f aca="false">IF($B8="","",P8+Q8-R8)</f>
        <v>63835.5821917808</v>
      </c>
      <c r="T8" s="80" t="str">
        <f aca="false">IF($B8="","",IF(S8&lt;-0.01,"✖ صرف أكثر من المستحق",IF(AND(M8&lt;&gt;"على رأس العمل",S8&gt;0.01),"⚠ مستحق لم يُصرف","✔ سليم")))</f>
        <v>✔ سليم</v>
      </c>
    </row>
    <row r="9" customFormat="false" ht="15" hidden="false" customHeight="false" outlineLevel="0" collapsed="false">
      <c r="B9" s="102" t="str">
        <f aca="false">IF(الموظفون!$B9="","",الموظفون!$B9)</f>
        <v>E004</v>
      </c>
      <c r="C9" s="102" t="str">
        <f aca="false">IF($B9="","",الموظفون!$C9)</f>
        <v>نورة خالد الدوسري</v>
      </c>
      <c r="D9" s="148" t="n">
        <f aca="false">IF($B9="","",الموظفون!$H9)</f>
        <v>43497</v>
      </c>
      <c r="E9" s="148" t="n">
        <f aca="false">IF($B9="","",IF(OR(الموظفون!$AE9="",الموظفون!$AE9&gt;cfg_VAL_DATE),cfg_VAL_DATE,الموظفون!$AE9))</f>
        <v>46295</v>
      </c>
      <c r="F9" s="102" t="str">
        <f aca="false">IF($B9="","",IF(E9&lt;D9,"لم يباشر",DATEDIF(D9,E9+1,"y")&amp;" سنة "&amp;DATEDIF(D9,E9+1,"ym")&amp;" شهر "&amp;DATEDIF(D9,E9+1,"md")&amp;" يوم"))</f>
        <v>7 سنة 8 شهر 0 يوم</v>
      </c>
      <c r="G9" s="110" t="n">
        <f aca="false">IF($B9="","",SUMIFS('سجل الإجازات والحالات'!$S$6:$S$505,'سجل الإجازات والحالات'!$B$6:$B$505,$B9))</f>
        <v>0</v>
      </c>
      <c r="H9" s="135" t="n">
        <f aca="false">IF($B9="","",MAX(0,E9-D9+1-G9)/cfg_DAYS_Y)</f>
        <v>7.66849315068493</v>
      </c>
      <c r="I9" s="101" t="n">
        <f aca="false">IF($B9="","",الموظفون!$Q9)</f>
        <v>18900</v>
      </c>
      <c r="J9" s="101" t="n">
        <f aca="false">IF($B9="","",I9*cfg_EOS_R1*MIN(H9,cfg_EOS_TH))</f>
        <v>47250</v>
      </c>
      <c r="K9" s="101" t="n">
        <f aca="false">IF($B9="","",I9*cfg_EOS_R2*MAX(H9-cfg_EOS_TH,0))</f>
        <v>50434.5205479452</v>
      </c>
      <c r="L9" s="101" t="n">
        <f aca="false">IF($B9="","",J9+K9)</f>
        <v>97684.5205479452</v>
      </c>
      <c r="M9" s="102" t="str">
        <f aca="false">IF($B9="","",IF(AND(الموظفون!$AE9&lt;&gt;"",الموظفون!$AE9&lt;=cfg_VAL_DATE),IF(الموظفون!$AF9="","⚠ حدد السبب",الموظفون!$AF9),"على رأس العمل"))</f>
        <v>على رأس العمل</v>
      </c>
      <c r="N9" s="111" t="n">
        <f aca="false">IF($B9="","",VLOOKUP(H9,cfg_RES,2,TRUE()))</f>
        <v>0.666666666666667</v>
      </c>
      <c r="O9" s="101" t="n">
        <f aca="false">IF($B9="","",IF(M9="استقالة",L9*N9,L9))</f>
        <v>97684.5205479452</v>
      </c>
      <c r="P9" s="101" t="n">
        <f aca="false">IF($B9="","",I9*(cfg_EOS_R1*MIN((MAX(0,IF(OR(الموظفون!$AE9="",الموظفون!$AE9&gt;=cfg_Y_START),cfg_Y_START-1,الموظفون!$AE9)-D9+1-SUMIFS('سجل الإجازات والحالات'!$R$6:$R$505,'سجل الإجازات والحالات'!$B$6:$B$505,$B9))/cfg_DAYS_Y),cfg_EOS_TH)+cfg_EOS_R2*MAX((MAX(0,IF(OR(الموظفون!$AE9="",الموظفون!$AE9&gt;=cfg_Y_START),cfg_Y_START-1,الموظفون!$AE9)-D9+1-SUMIFS('سجل الإجازات والحالات'!$R$6:$R$505,'سجل الإجازات والحالات'!$B$6:$B$505,$B9))/cfg_DAYS_Y)-cfg_EOS_TH,0)))</f>
        <v>83548.3561643836</v>
      </c>
      <c r="Q9" s="101" t="n">
        <f aca="false">IF($B9="","",O9-P9)</f>
        <v>14136.1643835617</v>
      </c>
      <c r="R9" s="101" t="n">
        <f aca="false">IF($B9="","",SUMIFS('الحركات الشهرية'!$N$6:$N$1005,'الحركات الشهرية'!$B$6:$B$1005,B9,'الحركات الشهرية'!$A$6:$A$1005,"&lt;="&amp;cfg_VAL_M))</f>
        <v>0</v>
      </c>
      <c r="S9" s="151" t="n">
        <f aca="false">IF($B9="","",P9+Q9-R9)</f>
        <v>97684.5205479452</v>
      </c>
      <c r="T9" s="102" t="str">
        <f aca="false">IF($B9="","",IF(S9&lt;-0.01,"✖ صرف أكثر من المستحق",IF(AND(M9&lt;&gt;"على رأس العمل",S9&gt;0.01),"⚠ مستحق لم يُصرف","✔ سليم")))</f>
        <v>✔ سليم</v>
      </c>
    </row>
    <row r="10" customFormat="false" ht="15" hidden="false" customHeight="false" outlineLevel="0" collapsed="false">
      <c r="B10" s="80" t="str">
        <f aca="false">IF(الموظفون!$B10="","",الموظفون!$B10)</f>
        <v>E005</v>
      </c>
      <c r="C10" s="80" t="str">
        <f aca="false">IF($B10="","",الموظفون!$C10)</f>
        <v>راجيش كومار</v>
      </c>
      <c r="D10" s="147" t="n">
        <f aca="false">IF($B10="","",الموظفون!$H10)</f>
        <v>43933</v>
      </c>
      <c r="E10" s="147" t="n">
        <f aca="false">IF($B10="","",IF(OR(الموظفون!$AE10="",الموظفون!$AE10&gt;cfg_VAL_DATE),cfg_VAL_DATE,الموظفون!$AE10))</f>
        <v>46295</v>
      </c>
      <c r="F10" s="80" t="str">
        <f aca="false">IF($B10="","",IF(E10&lt;D10,"لم يباشر",DATEDIF(D10,E10+1,"y")&amp;" سنة "&amp;DATEDIF(D10,E10+1,"ym")&amp;" شهر "&amp;DATEDIF(D10,E10+1,"md")&amp;" يوم"))</f>
        <v>6 سنة 5 شهر 19 يوم</v>
      </c>
      <c r="G10" s="57" t="n">
        <f aca="false">IF($B10="","",SUMIFS('سجل الإجازات والحالات'!$S$6:$S$505,'سجل الإجازات والحالات'!$B$6:$B$505,$B10))</f>
        <v>0</v>
      </c>
      <c r="H10" s="130" t="n">
        <f aca="false">IF($B10="","",MAX(0,E10-D10+1-G10)/cfg_DAYS_Y)</f>
        <v>6.47397260273973</v>
      </c>
      <c r="I10" s="97" t="n">
        <f aca="false">IF($B10="","",الموظفون!$Q10)</f>
        <v>12150</v>
      </c>
      <c r="J10" s="97" t="n">
        <f aca="false">IF($B10="","",I10*cfg_EOS_R1*MIN(H10,cfg_EOS_TH))</f>
        <v>30375</v>
      </c>
      <c r="K10" s="97" t="n">
        <f aca="false">IF($B10="","",I10*cfg_EOS_R2*MAX(H10-cfg_EOS_TH,0))</f>
        <v>17908.7671232877</v>
      </c>
      <c r="L10" s="97" t="n">
        <f aca="false">IF($B10="","",J10+K10)</f>
        <v>48283.7671232877</v>
      </c>
      <c r="M10" s="80" t="str">
        <f aca="false">IF($B10="","",IF(AND(الموظفون!$AE10&lt;&gt;"",الموظفون!$AE10&lt;=cfg_VAL_DATE),IF(الموظفون!$AF10="","⚠ حدد السبب",الموظفون!$AF10),"على رأس العمل"))</f>
        <v>على رأس العمل</v>
      </c>
      <c r="N10" s="58" t="n">
        <f aca="false">IF($B10="","",VLOOKUP(H10,cfg_RES,2,TRUE()))</f>
        <v>0.666666666666667</v>
      </c>
      <c r="O10" s="97" t="n">
        <f aca="false">IF($B10="","",IF(M10="استقالة",L10*N10,L10))</f>
        <v>48283.7671232877</v>
      </c>
      <c r="P10" s="97" t="n">
        <f aca="false">IF($B10="","",I10*(cfg_EOS_R1*MIN((MAX(0,IF(OR(الموظفون!$AE10="",الموظفون!$AE10&gt;=cfg_Y_START),cfg_Y_START-1,الموظفون!$AE10)-D10+1-SUMIFS('سجل الإجازات والحالات'!$R$6:$R$505,'سجل الإجازات والحالات'!$B$6:$B$505,$B10))/cfg_DAYS_Y),cfg_EOS_TH)+cfg_EOS_R2*MAX((MAX(0,IF(OR(الموظفون!$AE10="",الموظفون!$AE10&gt;=cfg_Y_START),cfg_Y_START-1,الموظفون!$AE10)-D10+1-SUMIFS('سجل الإجازات والحالات'!$R$6:$R$505,'سجل الإجازات والحالات'!$B$6:$B$505,$B10))/cfg_DAYS_Y)-cfg_EOS_TH,0)))</f>
        <v>39196.2328767123</v>
      </c>
      <c r="Q10" s="97" t="n">
        <f aca="false">IF($B10="","",O10-P10)</f>
        <v>9087.53424657535</v>
      </c>
      <c r="R10" s="97" t="n">
        <f aca="false">IF($B10="","",SUMIFS('الحركات الشهرية'!$N$6:$N$1005,'الحركات الشهرية'!$B$6:$B$1005,B10,'الحركات الشهرية'!$A$6:$A$1005,"&lt;="&amp;cfg_VAL_M))</f>
        <v>0</v>
      </c>
      <c r="S10" s="150" t="n">
        <f aca="false">IF($B10="","",P10+Q10-R10)</f>
        <v>48283.7671232877</v>
      </c>
      <c r="T10" s="80" t="str">
        <f aca="false">IF($B10="","",IF(S10&lt;-0.01,"✖ صرف أكثر من المستحق",IF(AND(M10&lt;&gt;"على رأس العمل",S10&gt;0.01),"⚠ مستحق لم يُصرف","✔ سليم")))</f>
        <v>✔ سليم</v>
      </c>
    </row>
    <row r="11" customFormat="false" ht="15" hidden="false" customHeight="false" outlineLevel="0" collapsed="false">
      <c r="B11" s="102" t="str">
        <f aca="false">IF(الموظفون!$B11="","",الموظفون!$B11)</f>
        <v>E006</v>
      </c>
      <c r="C11" s="102" t="str">
        <f aca="false">IF($B11="","",الموظفون!$C11)</f>
        <v>فهد ناصر الشمري</v>
      </c>
      <c r="D11" s="148" t="n">
        <f aca="false">IF($B11="","",الموظفون!$H11)</f>
        <v>43044</v>
      </c>
      <c r="E11" s="148" t="n">
        <f aca="false">IF($B11="","",IF(OR(الموظفون!$AE11="",الموظفون!$AE11&gt;cfg_VAL_DATE),cfg_VAL_DATE,الموظفون!$AE11))</f>
        <v>46295</v>
      </c>
      <c r="F11" s="102" t="str">
        <f aca="false">IF($B11="","",IF(E11&lt;D11,"لم يباشر",DATEDIF(D11,E11+1,"y")&amp;" سنة "&amp;DATEDIF(D11,E11+1,"ym")&amp;" شهر "&amp;DATEDIF(D11,E11+1,"md")&amp;" يوم"))</f>
        <v>8 سنة 10 شهر 26 يوم</v>
      </c>
      <c r="G11" s="110" t="n">
        <f aca="false">IF($B11="","",SUMIFS('سجل الإجازات والحالات'!$S$6:$S$505,'سجل الإجازات والحالات'!$B$6:$B$505,$B11))</f>
        <v>11</v>
      </c>
      <c r="H11" s="135" t="n">
        <f aca="false">IF($B11="","",MAX(0,E11-D11+1-G11)/cfg_DAYS_Y)</f>
        <v>8.87945205479452</v>
      </c>
      <c r="I11" s="101" t="n">
        <f aca="false">IF($B11="","",الموظفون!$Q11)</f>
        <v>17550</v>
      </c>
      <c r="J11" s="101" t="n">
        <f aca="false">IF($B11="","",I11*cfg_EOS_R1*MIN(H11,cfg_EOS_TH))</f>
        <v>43875</v>
      </c>
      <c r="K11" s="101" t="n">
        <f aca="false">IF($B11="","",I11*cfg_EOS_R2*MAX(H11-cfg_EOS_TH,0))</f>
        <v>68084.3835616438</v>
      </c>
      <c r="L11" s="101" t="n">
        <f aca="false">IF($B11="","",J11+K11)</f>
        <v>111959.383561644</v>
      </c>
      <c r="M11" s="102" t="str">
        <f aca="false">IF($B11="","",IF(AND(الموظفون!$AE11&lt;&gt;"",الموظفون!$AE11&lt;=cfg_VAL_DATE),IF(الموظفون!$AF11="","⚠ حدد السبب",الموظفون!$AF11),"على رأس العمل"))</f>
        <v>على رأس العمل</v>
      </c>
      <c r="N11" s="111" t="n">
        <f aca="false">IF($B11="","",VLOOKUP(H11,cfg_RES,2,TRUE()))</f>
        <v>0.666666666666667</v>
      </c>
      <c r="O11" s="101" t="n">
        <f aca="false">IF($B11="","",IF(M11="استقالة",L11*N11,L11))</f>
        <v>111959.383561644</v>
      </c>
      <c r="P11" s="101" t="n">
        <f aca="false">IF($B11="","",I11*(cfg_EOS_R1*MIN((MAX(0,IF(OR(الموظفون!$AE11="",الموظفون!$AE11&gt;=cfg_Y_START),cfg_Y_START-1,الموظفون!$AE11)-D11+1-SUMIFS('سجل الإجازات والحالات'!$R$6:$R$505,'سجل الإجازات والحالات'!$B$6:$B$505,$B11))/cfg_DAYS_Y),cfg_EOS_TH)+cfg_EOS_R2*MAX((MAX(0,IF(OR(الموظفون!$AE11="",الموظفون!$AE11&gt;=cfg_Y_START),cfg_Y_START-1,الموظفون!$AE11)-D11+1-SUMIFS('سجل الإجازات والحالات'!$R$6:$R$505,'سجل الإجازات والحالات'!$B$6:$B$505,$B11))/cfg_DAYS_Y)-cfg_EOS_TH,0)))</f>
        <v>99361.8493150685</v>
      </c>
      <c r="Q11" s="101" t="n">
        <f aca="false">IF($B11="","",O11-P11)</f>
        <v>12597.5342465753</v>
      </c>
      <c r="R11" s="101" t="n">
        <f aca="false">IF($B11="","",SUMIFS('الحركات الشهرية'!$N$6:$N$1005,'الحركات الشهرية'!$B$6:$B$1005,B11,'الحركات الشهرية'!$A$6:$A$1005,"&lt;="&amp;cfg_VAL_M))</f>
        <v>0</v>
      </c>
      <c r="S11" s="151" t="n">
        <f aca="false">IF($B11="","",P11+Q11-R11)</f>
        <v>111959.383561644</v>
      </c>
      <c r="T11" s="102" t="str">
        <f aca="false">IF($B11="","",IF(S11&lt;-0.01,"✖ صرف أكثر من المستحق",IF(AND(M11&lt;&gt;"على رأس العمل",S11&gt;0.01),"⚠ مستحق لم يُصرف","✔ سليم")))</f>
        <v>✔ سليم</v>
      </c>
    </row>
    <row r="12" customFormat="false" ht="15" hidden="false" customHeight="false" outlineLevel="0" collapsed="false">
      <c r="B12" s="80" t="str">
        <f aca="false">IF(الموظفون!$B12="","",الموظفون!$B12)</f>
        <v>E007</v>
      </c>
      <c r="C12" s="80" t="str">
        <f aca="false">IF($B12="","",الموظفون!$C12)</f>
        <v>خالد يوسف الأحمد</v>
      </c>
      <c r="D12" s="147" t="n">
        <f aca="false">IF($B12="","",الموظفون!$H12)</f>
        <v>44216</v>
      </c>
      <c r="E12" s="147" t="n">
        <f aca="false">IF($B12="","",IF(OR(الموظفون!$AE12="",الموظفون!$AE12&gt;cfg_VAL_DATE),cfg_VAL_DATE,الموظفون!$AE12))</f>
        <v>46295</v>
      </c>
      <c r="F12" s="80" t="str">
        <f aca="false">IF($B12="","",IF(E12&lt;D12,"لم يباشر",DATEDIF(D12,E12+1,"y")&amp;" سنة "&amp;DATEDIF(D12,E12+1,"ym")&amp;" شهر "&amp;DATEDIF(D12,E12+1,"md")&amp;" يوم"))</f>
        <v>5 سنة 8 شهر 11 يوم</v>
      </c>
      <c r="G12" s="57" t="n">
        <f aca="false">IF($B12="","",SUMIFS('سجل الإجازات والحالات'!$S$6:$S$505,'سجل الإجازات والحالات'!$B$6:$B$505,$B12))</f>
        <v>0</v>
      </c>
      <c r="H12" s="130" t="n">
        <f aca="false">IF($B12="","",MAX(0,E12-D12+1-G12)/cfg_DAYS_Y)</f>
        <v>5.6986301369863</v>
      </c>
      <c r="I12" s="97" t="n">
        <f aca="false">IF($B12="","",الموظفون!$Q12)</f>
        <v>14850</v>
      </c>
      <c r="J12" s="97" t="n">
        <f aca="false">IF($B12="","",I12*cfg_EOS_R1*MIN(H12,cfg_EOS_TH))</f>
        <v>37125</v>
      </c>
      <c r="K12" s="97" t="n">
        <f aca="false">IF($B12="","",I12*cfg_EOS_R2*MAX(H12-cfg_EOS_TH,0))</f>
        <v>10374.6575342466</v>
      </c>
      <c r="L12" s="97" t="n">
        <f aca="false">IF($B12="","",J12+K12)</f>
        <v>47499.6575342466</v>
      </c>
      <c r="M12" s="80" t="str">
        <f aca="false">IF($B12="","",IF(AND(الموظفون!$AE12&lt;&gt;"",الموظفون!$AE12&lt;=cfg_VAL_DATE),IF(الموظفون!$AF12="","⚠ حدد السبب",الموظفون!$AF12),"على رأس العمل"))</f>
        <v>على رأس العمل</v>
      </c>
      <c r="N12" s="58" t="n">
        <f aca="false">IF($B12="","",VLOOKUP(H12,cfg_RES,2,TRUE()))</f>
        <v>0.666666666666667</v>
      </c>
      <c r="O12" s="97" t="n">
        <f aca="false">IF($B12="","",IF(M12="استقالة",L12*N12,L12))</f>
        <v>47499.6575342466</v>
      </c>
      <c r="P12" s="97" t="n">
        <f aca="false">IF($B12="","",I12*(cfg_EOS_R1*MIN((MAX(0,IF(OR(الموظفون!$AE12="",الموظفون!$AE12&gt;=cfg_Y_START),cfg_Y_START-1,الموظفون!$AE12)-D12+1-SUMIFS('سجل الإجازات والحالات'!$R$6:$R$505,'سجل الإجازات والحالات'!$B$6:$B$505,$B12))/cfg_DAYS_Y),cfg_EOS_TH)+cfg_EOS_R2*MAX((MAX(0,IF(OR(الموظفون!$AE12="",الموظفون!$AE12&gt;=cfg_Y_START),cfg_Y_START-1,الموظفون!$AE12)-D12+1-SUMIFS('سجل الإجازات والحالات'!$R$6:$R$505,'سجل الإجازات والحالات'!$B$6:$B$505,$B12))/cfg_DAYS_Y)-cfg_EOS_TH,0)))</f>
        <v>36758.8356164384</v>
      </c>
      <c r="Q12" s="97" t="n">
        <f aca="false">IF($B12="","",O12-P12)</f>
        <v>10740.8219178082</v>
      </c>
      <c r="R12" s="97" t="n">
        <f aca="false">IF($B12="","",SUMIFS('الحركات الشهرية'!$N$6:$N$1005,'الحركات الشهرية'!$B$6:$B$1005,B12,'الحركات الشهرية'!$A$6:$A$1005,"&lt;="&amp;cfg_VAL_M))</f>
        <v>0</v>
      </c>
      <c r="S12" s="150" t="n">
        <f aca="false">IF($B12="","",P12+Q12-R12)</f>
        <v>47499.6575342466</v>
      </c>
      <c r="T12" s="80" t="str">
        <f aca="false">IF($B12="","",IF(S12&lt;-0.01,"✖ صرف أكثر من المستحق",IF(AND(M12&lt;&gt;"على رأس العمل",S12&gt;0.01),"⚠ مستحق لم يُصرف","✔ سليم")))</f>
        <v>✔ سليم</v>
      </c>
    </row>
    <row r="13" customFormat="false" ht="15" hidden="false" customHeight="false" outlineLevel="0" collapsed="false">
      <c r="B13" s="102" t="str">
        <f aca="false">IF(الموظفون!$B13="","",الموظفون!$B13)</f>
        <v>E008</v>
      </c>
      <c r="C13" s="102" t="str">
        <f aca="false">IF($B13="","",الموظفون!$C13)</f>
        <v>سارة عبدالرحمن الزهراني</v>
      </c>
      <c r="D13" s="148" t="n">
        <f aca="false">IF($B13="","",الموظفون!$H13)</f>
        <v>44986</v>
      </c>
      <c r="E13" s="148" t="n">
        <f aca="false">IF($B13="","",IF(OR(الموظفون!$AE13="",الموظفون!$AE13&gt;cfg_VAL_DATE),cfg_VAL_DATE,الموظفون!$AE13))</f>
        <v>46295</v>
      </c>
      <c r="F13" s="102" t="str">
        <f aca="false">IF($B13="","",IF(E13&lt;D13,"لم يباشر",DATEDIF(D13,E13+1,"y")&amp;" سنة "&amp;DATEDIF(D13,E13+1,"ym")&amp;" شهر "&amp;DATEDIF(D13,E13+1,"md")&amp;" يوم"))</f>
        <v>3 سنة 7 شهر 0 يوم</v>
      </c>
      <c r="G13" s="110" t="n">
        <f aca="false">IF($B13="","",SUMIFS('سجل الإجازات والحالات'!$S$6:$S$505,'سجل الإجازات والحالات'!$B$6:$B$505,$B13))</f>
        <v>3</v>
      </c>
      <c r="H13" s="135" t="n">
        <f aca="false">IF($B13="","",MAX(0,E13-D13+1-G13)/cfg_DAYS_Y)</f>
        <v>3.58082191780822</v>
      </c>
      <c r="I13" s="101" t="n">
        <f aca="false">IF($B13="","",الموظفون!$Q13)</f>
        <v>10125</v>
      </c>
      <c r="J13" s="101" t="n">
        <f aca="false">IF($B13="","",I13*cfg_EOS_R1*MIN(H13,cfg_EOS_TH))</f>
        <v>18127.9109589041</v>
      </c>
      <c r="K13" s="101" t="n">
        <f aca="false">IF($B13="","",I13*cfg_EOS_R2*MAX(H13-cfg_EOS_TH,0))</f>
        <v>0</v>
      </c>
      <c r="L13" s="101" t="n">
        <f aca="false">IF($B13="","",J13+K13)</f>
        <v>18127.9109589041</v>
      </c>
      <c r="M13" s="102" t="str">
        <f aca="false">IF($B13="","",IF(AND(الموظفون!$AE13&lt;&gt;"",الموظفون!$AE13&lt;=cfg_VAL_DATE),IF(الموظفون!$AF13="","⚠ حدد السبب",الموظفون!$AF13),"على رأس العمل"))</f>
        <v>على رأس العمل</v>
      </c>
      <c r="N13" s="111" t="n">
        <f aca="false">IF($B13="","",VLOOKUP(H13,cfg_RES,2,TRUE()))</f>
        <v>0.333333333333333</v>
      </c>
      <c r="O13" s="101" t="n">
        <f aca="false">IF($B13="","",IF(M13="استقالة",L13*N13,L13))</f>
        <v>18127.9109589041</v>
      </c>
      <c r="P13" s="101" t="n">
        <f aca="false">IF($B13="","",I13*(cfg_EOS_R1*MIN((MAX(0,IF(OR(الموظفون!$AE13="",الموظفون!$AE13&gt;=cfg_Y_START),cfg_Y_START-1,الموظفون!$AE13)-D13+1-SUMIFS('سجل الإجازات والحالات'!$R$6:$R$505,'سجل الإجازات والحالات'!$B$6:$B$505,$B13))/cfg_DAYS_Y),cfg_EOS_TH)+cfg_EOS_R2*MAX((MAX(0,IF(OR(الموظفون!$AE13="",الموظفون!$AE13&gt;=cfg_Y_START),cfg_Y_START-1,الموظفون!$AE13)-D13+1-SUMIFS('سجل الإجازات والحالات'!$R$6:$R$505,'سجل الإجازات والحالات'!$B$6:$B$505,$B13))/cfg_DAYS_Y)-cfg_EOS_TH,0)))</f>
        <v>14383.0479452055</v>
      </c>
      <c r="Q13" s="101" t="n">
        <f aca="false">IF($B13="","",O13-P13)</f>
        <v>3744.86301369863</v>
      </c>
      <c r="R13" s="101" t="n">
        <f aca="false">IF($B13="","",SUMIFS('الحركات الشهرية'!$N$6:$N$1005,'الحركات الشهرية'!$B$6:$B$1005,B13,'الحركات الشهرية'!$A$6:$A$1005,"&lt;="&amp;cfg_VAL_M))</f>
        <v>0</v>
      </c>
      <c r="S13" s="151" t="n">
        <f aca="false">IF($B13="","",P13+Q13-R13)</f>
        <v>18127.9109589041</v>
      </c>
      <c r="T13" s="102" t="str">
        <f aca="false">IF($B13="","",IF(S13&lt;-0.01,"✖ صرف أكثر من المستحق",IF(AND(M13&lt;&gt;"على رأس العمل",S13&gt;0.01),"⚠ مستحق لم يُصرف","✔ سليم")))</f>
        <v>✔ سليم</v>
      </c>
    </row>
    <row r="14" customFormat="false" ht="15" hidden="false" customHeight="false" outlineLevel="0" collapsed="false">
      <c r="B14" s="80" t="str">
        <f aca="false">IF(الموظفون!$B14="","",الموظفون!$B14)</f>
        <v>E009</v>
      </c>
      <c r="C14" s="80" t="str">
        <f aca="false">IF($B14="","",الموظفون!$C14)</f>
        <v>محمد رفيق</v>
      </c>
      <c r="D14" s="147" t="n">
        <f aca="false">IF($B14="","",الموظفون!$H14)</f>
        <v>41869</v>
      </c>
      <c r="E14" s="147" t="n">
        <f aca="false">IF($B14="","",IF(OR(الموظفون!$AE14="",الموظفون!$AE14&gt;cfg_VAL_DATE),cfg_VAL_DATE,الموظفون!$AE14))</f>
        <v>46295</v>
      </c>
      <c r="F14" s="80" t="str">
        <f aca="false">IF($B14="","",IF(E14&lt;D14,"لم يباشر",DATEDIF(D14,E14+1,"y")&amp;" سنة "&amp;DATEDIF(D14,E14+1,"ym")&amp;" شهر "&amp;DATEDIF(D14,E14+1,"md")&amp;" يوم"))</f>
        <v>12 سنة 1 شهر 13 يوم</v>
      </c>
      <c r="G14" s="57" t="n">
        <f aca="false">IF($B14="","",SUMIFS('سجل الإجازات والحالات'!$S$6:$S$505,'سجل الإجازات والحالات'!$B$6:$B$505,$B14))</f>
        <v>0</v>
      </c>
      <c r="H14" s="130" t="n">
        <f aca="false">IF($B14="","",MAX(0,E14-D14+1-G14)/cfg_DAYS_Y)</f>
        <v>12.1287671232877</v>
      </c>
      <c r="I14" s="97" t="n">
        <f aca="false">IF($B14="","",الموظفون!$Q14)</f>
        <v>8775</v>
      </c>
      <c r="J14" s="97" t="n">
        <f aca="false">IF($B14="","",I14*cfg_EOS_R1*MIN(H14,cfg_EOS_TH))</f>
        <v>21937.5</v>
      </c>
      <c r="K14" s="97" t="n">
        <f aca="false">IF($B14="","",I14*cfg_EOS_R2*MAX(H14-cfg_EOS_TH,0))</f>
        <v>62554.9315068493</v>
      </c>
      <c r="L14" s="97" t="n">
        <f aca="false">IF($B14="","",J14+K14)</f>
        <v>84492.4315068493</v>
      </c>
      <c r="M14" s="80" t="str">
        <f aca="false">IF($B14="","",IF(AND(الموظفون!$AE14&lt;&gt;"",الموظفون!$AE14&lt;=cfg_VAL_DATE),IF(الموظفون!$AF14="","⚠ حدد السبب",الموظفون!$AF14),"على رأس العمل"))</f>
        <v>على رأس العمل</v>
      </c>
      <c r="N14" s="58" t="n">
        <f aca="false">IF($B14="","",VLOOKUP(H14,cfg_RES,2,TRUE()))</f>
        <v>1</v>
      </c>
      <c r="O14" s="97" t="n">
        <f aca="false">IF($B14="","",IF(M14="استقالة",L14*N14,L14))</f>
        <v>84492.4315068493</v>
      </c>
      <c r="P14" s="97" t="n">
        <f aca="false">IF($B14="","",I14*(cfg_EOS_R1*MIN((MAX(0,IF(OR(الموظفون!$AE14="",الموظفون!$AE14&gt;=cfg_Y_START),cfg_Y_START-1,الموظفون!$AE14)-D14+1-SUMIFS('سجل الإجازات والحالات'!$R$6:$R$505,'سجل الإجازات والحالات'!$B$6:$B$505,$B14))/cfg_DAYS_Y),cfg_EOS_TH)+cfg_EOS_R2*MAX((MAX(0,IF(OR(الموظفون!$AE14="",الموظفون!$AE14&gt;=cfg_Y_START),cfg_Y_START-1,الموظفون!$AE14)-D14+1-SUMIFS('سجل الإجازات والحالات'!$R$6:$R$505,'سجل الإجازات والحالات'!$B$6:$B$505,$B14))/cfg_DAYS_Y)-cfg_EOS_TH,0)))</f>
        <v>77929.2123287671</v>
      </c>
      <c r="Q14" s="97" t="n">
        <f aca="false">IF($B14="","",O14-P14)</f>
        <v>6563.21917808219</v>
      </c>
      <c r="R14" s="97" t="n">
        <f aca="false">IF($B14="","",SUMIFS('الحركات الشهرية'!$N$6:$N$1005,'الحركات الشهرية'!$B$6:$B$1005,B14,'الحركات الشهرية'!$A$6:$A$1005,"&lt;="&amp;cfg_VAL_M))</f>
        <v>0</v>
      </c>
      <c r="S14" s="150" t="n">
        <f aca="false">IF($B14="","",P14+Q14-R14)</f>
        <v>84492.4315068493</v>
      </c>
      <c r="T14" s="80" t="str">
        <f aca="false">IF($B14="","",IF(S14&lt;-0.01,"✖ صرف أكثر من المستحق",IF(AND(M14&lt;&gt;"على رأس العمل",S14&gt;0.01),"⚠ مستحق لم يُصرف","✔ سليم")))</f>
        <v>✔ سليم</v>
      </c>
    </row>
    <row r="15" customFormat="false" ht="15" hidden="false" customHeight="false" outlineLevel="0" collapsed="false">
      <c r="B15" s="102" t="str">
        <f aca="false">IF(الموظفون!$B15="","",الموظفون!$B15)</f>
        <v>E010</v>
      </c>
      <c r="C15" s="102" t="str">
        <f aca="false">IF($B15="","",الموظفون!$C15)</f>
        <v>ريم سلطان المطيري</v>
      </c>
      <c r="D15" s="148" t="n">
        <f aca="false">IF($B15="","",الموظفون!$H15)</f>
        <v>46127</v>
      </c>
      <c r="E15" s="148" t="n">
        <f aca="false">IF($B15="","",IF(OR(الموظفون!$AE15="",الموظفون!$AE15&gt;cfg_VAL_DATE),cfg_VAL_DATE,الموظفون!$AE15))</f>
        <v>46295</v>
      </c>
      <c r="F15" s="102" t="str">
        <f aca="false">IF($B15="","",IF(E15&lt;D15,"لم يباشر",DATEDIF(D15,E15+1,"y")&amp;" سنة "&amp;DATEDIF(D15,E15+1,"ym")&amp;" شهر "&amp;DATEDIF(D15,E15+1,"md")&amp;" يوم"))</f>
        <v>0 سنة 5 شهر 16 يوم</v>
      </c>
      <c r="G15" s="110" t="n">
        <f aca="false">IF($B15="","",SUMIFS('سجل الإجازات والحالات'!$S$6:$S$505,'سجل الإجازات والحالات'!$B$6:$B$505,$B15))</f>
        <v>0</v>
      </c>
      <c r="H15" s="135" t="n">
        <f aca="false">IF($B15="","",MAX(0,E15-D15+1-G15)/cfg_DAYS_Y)</f>
        <v>0.463013698630137</v>
      </c>
      <c r="I15" s="101" t="n">
        <f aca="false">IF($B15="","",الموظفون!$Q15)</f>
        <v>12150</v>
      </c>
      <c r="J15" s="101" t="n">
        <f aca="false">IF($B15="","",I15*cfg_EOS_R1*MIN(H15,cfg_EOS_TH))</f>
        <v>2812.80821917808</v>
      </c>
      <c r="K15" s="101" t="n">
        <f aca="false">IF($B15="","",I15*cfg_EOS_R2*MAX(H15-cfg_EOS_TH,0))</f>
        <v>0</v>
      </c>
      <c r="L15" s="101" t="n">
        <f aca="false">IF($B15="","",J15+K15)</f>
        <v>2812.80821917808</v>
      </c>
      <c r="M15" s="102" t="str">
        <f aca="false">IF($B15="","",IF(AND(الموظفون!$AE15&lt;&gt;"",الموظفون!$AE15&lt;=cfg_VAL_DATE),IF(الموظفون!$AF15="","⚠ حدد السبب",الموظفون!$AF15),"على رأس العمل"))</f>
        <v>على رأس العمل</v>
      </c>
      <c r="N15" s="111" t="n">
        <f aca="false">IF($B15="","",VLOOKUP(H15,cfg_RES,2,TRUE()))</f>
        <v>0</v>
      </c>
      <c r="O15" s="101" t="n">
        <f aca="false">IF($B15="","",IF(M15="استقالة",L15*N15,L15))</f>
        <v>2812.80821917808</v>
      </c>
      <c r="P15" s="101" t="n">
        <f aca="false">IF($B15="","",I15*(cfg_EOS_R1*MIN((MAX(0,IF(OR(الموظفون!$AE15="",الموظفون!$AE15&gt;=cfg_Y_START),cfg_Y_START-1,الموظفون!$AE15)-D15+1-SUMIFS('سجل الإجازات والحالات'!$R$6:$R$505,'سجل الإجازات والحالات'!$B$6:$B$505,$B15))/cfg_DAYS_Y),cfg_EOS_TH)+cfg_EOS_R2*MAX((MAX(0,IF(OR(الموظفون!$AE15="",الموظفون!$AE15&gt;=cfg_Y_START),cfg_Y_START-1,الموظفون!$AE15)-D15+1-SUMIFS('سجل الإجازات والحالات'!$R$6:$R$505,'سجل الإجازات والحالات'!$B$6:$B$505,$B15))/cfg_DAYS_Y)-cfg_EOS_TH,0)))</f>
        <v>0</v>
      </c>
      <c r="Q15" s="101" t="n">
        <f aca="false">IF($B15="","",O15-P15)</f>
        <v>2812.80821917808</v>
      </c>
      <c r="R15" s="101" t="n">
        <f aca="false">IF($B15="","",SUMIFS('الحركات الشهرية'!$N$6:$N$1005,'الحركات الشهرية'!$B$6:$B$1005,B15,'الحركات الشهرية'!$A$6:$A$1005,"&lt;="&amp;cfg_VAL_M))</f>
        <v>0</v>
      </c>
      <c r="S15" s="151" t="n">
        <f aca="false">IF($B15="","",P15+Q15-R15)</f>
        <v>2812.80821917808</v>
      </c>
      <c r="T15" s="102" t="str">
        <f aca="false">IF($B15="","",IF(S15&lt;-0.01,"✖ صرف أكثر من المستحق",IF(AND(M15&lt;&gt;"على رأس العمل",S15&gt;0.01),"⚠ مستحق لم يُصرف","✔ سليم")))</f>
        <v>✔ سليم</v>
      </c>
    </row>
    <row r="16" customFormat="false" ht="15" hidden="false" customHeight="false" outlineLevel="0" collapsed="false">
      <c r="B16" s="80" t="str">
        <f aca="false">IF(الموظفون!$B16="","",الموظفون!$B16)</f>
        <v>E011</v>
      </c>
      <c r="C16" s="80" t="str">
        <f aca="false">IF($B16="","",الموظفون!$C16)</f>
        <v>جون ماتيو</v>
      </c>
      <c r="D16" s="147" t="n">
        <f aca="false">IF($B16="","",الموظفون!$H16)</f>
        <v>43525</v>
      </c>
      <c r="E16" s="147" t="n">
        <f aca="false">IF($B16="","",IF(OR(الموظفون!$AE16="",الموظفون!$AE16&gt;cfg_VAL_DATE),cfg_VAL_DATE,الموظفون!$AE16))</f>
        <v>46203</v>
      </c>
      <c r="F16" s="80" t="str">
        <f aca="false">IF($B16="","",IF(E16&lt;D16,"لم يباشر",DATEDIF(D16,E16+1,"y")&amp;" سنة "&amp;DATEDIF(D16,E16+1,"ym")&amp;" شهر "&amp;DATEDIF(D16,E16+1,"md")&amp;" يوم"))</f>
        <v>7 سنة 4 شهر 0 يوم</v>
      </c>
      <c r="G16" s="57" t="n">
        <f aca="false">IF($B16="","",SUMIFS('سجل الإجازات والحالات'!$S$6:$S$505,'سجل الإجازات والحالات'!$B$6:$B$505,$B16))</f>
        <v>0</v>
      </c>
      <c r="H16" s="130" t="n">
        <f aca="false">IF($B16="","",MAX(0,E16-D16+1-G16)/cfg_DAYS_Y)</f>
        <v>7.33972602739726</v>
      </c>
      <c r="I16" s="97" t="n">
        <f aca="false">IF($B16="","",الموظفون!$Q16)</f>
        <v>6750</v>
      </c>
      <c r="J16" s="97" t="n">
        <f aca="false">IF($B16="","",I16*cfg_EOS_R1*MIN(H16,cfg_EOS_TH))</f>
        <v>16875</v>
      </c>
      <c r="K16" s="97" t="n">
        <f aca="false">IF($B16="","",I16*cfg_EOS_R2*MAX(H16-cfg_EOS_TH,0))</f>
        <v>15793.1506849315</v>
      </c>
      <c r="L16" s="97" t="n">
        <f aca="false">IF($B16="","",J16+K16)</f>
        <v>32668.1506849315</v>
      </c>
      <c r="M16" s="80" t="str">
        <f aca="false">IF($B16="","",IF(AND(الموظفون!$AE16&lt;&gt;"",الموظفون!$AE16&lt;=cfg_VAL_DATE),IF(الموظفون!$AF16="","⚠ حدد السبب",الموظفون!$AF16),"على رأس العمل"))</f>
        <v>استقالة</v>
      </c>
      <c r="N16" s="58" t="n">
        <f aca="false">IF($B16="","",VLOOKUP(H16,cfg_RES,2,TRUE()))</f>
        <v>0.666666666666667</v>
      </c>
      <c r="O16" s="97" t="n">
        <f aca="false">IF($B16="","",IF(M16="استقالة",L16*N16,L16))</f>
        <v>21778.7671232877</v>
      </c>
      <c r="P16" s="97" t="n">
        <f aca="false">IF($B16="","",I16*(cfg_EOS_R1*MIN((MAX(0,IF(OR(الموظفون!$AE16="",الموظفون!$AE16&gt;=cfg_Y_START),cfg_Y_START-1,الموظفون!$AE16)-D16+1-SUMIFS('سجل الإجازات والحالات'!$R$6:$R$505,'سجل الإجازات والحالات'!$B$6:$B$505,$B16))/cfg_DAYS_Y),cfg_EOS_TH)+cfg_EOS_R2*MAX((MAX(0,IF(OR(الموظفون!$AE16="",الموظفون!$AE16&gt;=cfg_Y_START),cfg_Y_START-1,الموظفون!$AE16)-D16+1-SUMIFS('سجل الإجازات والحالات'!$R$6:$R$505,'سجل الإجازات والحالات'!$B$6:$B$505,$B16))/cfg_DAYS_Y)-cfg_EOS_TH,0)))</f>
        <v>29320.8904109589</v>
      </c>
      <c r="Q16" s="97" t="n">
        <f aca="false">IF($B16="","",O16-P16)</f>
        <v>-7542.12328767124</v>
      </c>
      <c r="R16" s="97" t="n">
        <f aca="false">IF($B16="","",SUMIFS('الحركات الشهرية'!$N$6:$N$1005,'الحركات الشهرية'!$B$6:$B$1005,B16,'الحركات الشهرية'!$A$6:$A$1005,"&lt;="&amp;cfg_VAL_M))</f>
        <v>21778.7671232877</v>
      </c>
      <c r="S16" s="150" t="n">
        <f aca="false">IF($B16="","",P16+Q16-R16)</f>
        <v>0</v>
      </c>
      <c r="T16" s="80" t="str">
        <f aca="false">IF($B16="","",IF(S16&lt;-0.01,"✖ صرف أكثر من المستحق",IF(AND(M16&lt;&gt;"على رأس العمل",S16&gt;0.01),"⚠ مستحق لم يُصرف","✔ سليم")))</f>
        <v>✔ سليم</v>
      </c>
    </row>
    <row r="17" customFormat="false" ht="15" hidden="false" customHeight="false" outlineLevel="0" collapsed="false">
      <c r="B17" s="102" t="str">
        <f aca="false">IF(الموظفون!$B17="","",الموظفون!$B17)</f>
        <v>E012</v>
      </c>
      <c r="C17" s="102" t="str">
        <f aca="false">IF($B17="","",الموظفون!$C17)</f>
        <v>عمر حسين البيشي</v>
      </c>
      <c r="D17" s="148" t="n">
        <f aca="false">IF($B17="","",الموظفون!$H17)</f>
        <v>44752</v>
      </c>
      <c r="E17" s="148" t="n">
        <f aca="false">IF($B17="","",IF(OR(الموظفون!$AE17="",الموظفون!$AE17&gt;cfg_VAL_DATE),cfg_VAL_DATE,الموظفون!$AE17))</f>
        <v>46295</v>
      </c>
      <c r="F17" s="102" t="str">
        <f aca="false">IF($B17="","",IF(E17&lt;D17,"لم يباشر",DATEDIF(D17,E17+1,"y")&amp;" سنة "&amp;DATEDIF(D17,E17+1,"ym")&amp;" شهر "&amp;DATEDIF(D17,E17+1,"md")&amp;" يوم"))</f>
        <v>4 سنة 2 شهر 21 يوم</v>
      </c>
      <c r="G17" s="110" t="n">
        <f aca="false">IF($B17="","",SUMIFS('سجل الإجازات والحالات'!$S$6:$S$505,'سجل الإجازات والحالات'!$B$6:$B$505,$B17))</f>
        <v>0</v>
      </c>
      <c r="H17" s="135" t="n">
        <f aca="false">IF($B17="","",MAX(0,E17-D17+1-G17)/cfg_DAYS_Y)</f>
        <v>4.23013698630137</v>
      </c>
      <c r="I17" s="101" t="n">
        <f aca="false">IF($B17="","",الموظفون!$Q17)</f>
        <v>16200</v>
      </c>
      <c r="J17" s="101" t="n">
        <f aca="false">IF($B17="","",I17*cfg_EOS_R1*MIN(H17,cfg_EOS_TH))</f>
        <v>34264.1095890411</v>
      </c>
      <c r="K17" s="101" t="n">
        <f aca="false">IF($B17="","",I17*cfg_EOS_R2*MAX(H17-cfg_EOS_TH,0))</f>
        <v>0</v>
      </c>
      <c r="L17" s="101" t="n">
        <f aca="false">IF($B17="","",J17+K17)</f>
        <v>34264.1095890411</v>
      </c>
      <c r="M17" s="102" t="str">
        <f aca="false">IF($B17="","",IF(AND(الموظفون!$AE17&lt;&gt;"",الموظفون!$AE17&lt;=cfg_VAL_DATE),IF(الموظفون!$AF17="","⚠ حدد السبب",الموظفون!$AF17),"على رأس العمل"))</f>
        <v>على رأس العمل</v>
      </c>
      <c r="N17" s="111" t="n">
        <f aca="false">IF($B17="","",VLOOKUP(H17,cfg_RES,2,TRUE()))</f>
        <v>0.333333333333333</v>
      </c>
      <c r="O17" s="101" t="n">
        <f aca="false">IF($B17="","",IF(M17="استقالة",L17*N17,L17))</f>
        <v>34264.1095890411</v>
      </c>
      <c r="P17" s="101" t="n">
        <f aca="false">IF($B17="","",I17*(cfg_EOS_R1*MIN((MAX(0,IF(OR(الموظفون!$AE17="",الموظفون!$AE17&gt;=cfg_Y_START),cfg_Y_START-1,الموظفون!$AE17)-D17+1-SUMIFS('سجل الإجازات والحالات'!$R$6:$R$505,'سجل الإجازات والحالات'!$B$6:$B$505,$B17))/cfg_DAYS_Y),cfg_EOS_TH)+cfg_EOS_R2*MAX((MAX(0,IF(OR(الموظفون!$AE17="",الموظفون!$AE17&gt;=cfg_Y_START),cfg_Y_START-1,الموظفون!$AE17)-D17+1-SUMIFS('سجل الإجازات والحالات'!$R$6:$R$505,'سجل الإجازات والحالات'!$B$6:$B$505,$B17))/cfg_DAYS_Y)-cfg_EOS_TH,0)))</f>
        <v>28205.7534246575</v>
      </c>
      <c r="Q17" s="101" t="n">
        <f aca="false">IF($B17="","",O17-P17)</f>
        <v>6058.35616438357</v>
      </c>
      <c r="R17" s="101" t="n">
        <f aca="false">IF($B17="","",SUMIFS('الحركات الشهرية'!$N$6:$N$1005,'الحركات الشهرية'!$B$6:$B$1005,B17,'الحركات الشهرية'!$A$6:$A$1005,"&lt;="&amp;cfg_VAL_M))</f>
        <v>0</v>
      </c>
      <c r="S17" s="151" t="n">
        <f aca="false">IF($B17="","",P17+Q17-R17)</f>
        <v>34264.1095890411</v>
      </c>
      <c r="T17" s="102" t="str">
        <f aca="false">IF($B17="","",IF(S17&lt;-0.01,"✖ صرف أكثر من المستحق",IF(AND(M17&lt;&gt;"على رأس العمل",S17&gt;0.01),"⚠ مستحق لم يُصرف","✔ سليم")))</f>
        <v>✔ سليم</v>
      </c>
    </row>
    <row r="18" customFormat="false" ht="15" hidden="false" customHeight="false" outlineLevel="0" collapsed="false">
      <c r="B18" s="80" t="str">
        <f aca="false">IF(الموظفون!$B18="","",الموظفون!$B18)</f>
        <v/>
      </c>
      <c r="C18" s="80" t="str">
        <f aca="false">IF($B18="","",الموظفون!$C18)</f>
        <v/>
      </c>
      <c r="D18" s="147" t="str">
        <f aca="false">IF($B18="","",الموظفون!$H18)</f>
        <v/>
      </c>
      <c r="E18" s="147" t="str">
        <f aca="false">IF($B18="","",IF(OR(الموظفون!$AE18="",الموظفون!$AE18&gt;cfg_VAL_DATE),cfg_VAL_DATE,الموظفون!$AE18))</f>
        <v/>
      </c>
      <c r="F18" s="80" t="str">
        <f aca="false">IF($B18="","",IF(E18&lt;D18,"لم يباشر",DATEDIF(D18,E18+1,"y")&amp;" سنة "&amp;DATEDIF(D18,E18+1,"ym")&amp;" شهر "&amp;DATEDIF(D18,E18+1,"md")&amp;" يوم"))</f>
        <v/>
      </c>
      <c r="G18" s="57" t="str">
        <f aca="false">IF($B18="","",SUMIFS('سجل الإجازات والحالات'!$S$6:$S$505,'سجل الإجازات والحالات'!$B$6:$B$505,$B18))</f>
        <v/>
      </c>
      <c r="H18" s="130" t="str">
        <f aca="false">IF($B18="","",MAX(0,E18-D18+1-G18)/cfg_DAYS_Y)</f>
        <v/>
      </c>
      <c r="I18" s="97" t="str">
        <f aca="false">IF($B18="","",الموظفون!$Q18)</f>
        <v/>
      </c>
      <c r="J18" s="97" t="str">
        <f aca="false">IF($B18="","",I18*cfg_EOS_R1*MIN(H18,cfg_EOS_TH))</f>
        <v/>
      </c>
      <c r="K18" s="97" t="str">
        <f aca="false">IF($B18="","",I18*cfg_EOS_R2*MAX(H18-cfg_EOS_TH,0))</f>
        <v/>
      </c>
      <c r="L18" s="97" t="str">
        <f aca="false">IF($B18="","",J18+K18)</f>
        <v/>
      </c>
      <c r="M18" s="80" t="str">
        <f aca="false">IF($B18="","",IF(AND(الموظفون!$AE18&lt;&gt;"",الموظفون!$AE18&lt;=cfg_VAL_DATE),IF(الموظفون!$AF18="","⚠ حدد السبب",الموظفون!$AF18),"على رأس العمل"))</f>
        <v/>
      </c>
      <c r="N18" s="58" t="str">
        <f aca="false">IF($B18="","",VLOOKUP(H18,cfg_RES,2,TRUE()))</f>
        <v/>
      </c>
      <c r="O18" s="97" t="str">
        <f aca="false">IF($B18="","",IF(M18="استقالة",L18*N18,L18))</f>
        <v/>
      </c>
      <c r="P18" s="97" t="str">
        <f aca="false">IF($B18="","",I18*(cfg_EOS_R1*MIN((MAX(0,IF(OR(الموظفون!$AE18="",الموظفون!$AE18&gt;=cfg_Y_START),cfg_Y_START-1,الموظفون!$AE18)-D18+1-SUMIFS('سجل الإجازات والحالات'!$R$6:$R$505,'سجل الإجازات والحالات'!$B$6:$B$505,$B18))/cfg_DAYS_Y),cfg_EOS_TH)+cfg_EOS_R2*MAX((MAX(0,IF(OR(الموظفون!$AE18="",الموظفون!$AE18&gt;=cfg_Y_START),cfg_Y_START-1,الموظفون!$AE18)-D18+1-SUMIFS('سجل الإجازات والحالات'!$R$6:$R$505,'سجل الإجازات والحالات'!$B$6:$B$505,$B18))/cfg_DAYS_Y)-cfg_EOS_TH,0)))</f>
        <v/>
      </c>
      <c r="Q18" s="97" t="str">
        <f aca="false">IF($B18="","",O18-P18)</f>
        <v/>
      </c>
      <c r="R18" s="97" t="str">
        <f aca="false">IF($B18="","",SUMIFS('الحركات الشهرية'!$N$6:$N$1005,'الحركات الشهرية'!$B$6:$B$1005,B18,'الحركات الشهرية'!$A$6:$A$1005,"&lt;="&amp;cfg_VAL_M))</f>
        <v/>
      </c>
      <c r="S18" s="150" t="str">
        <f aca="false">IF($B18="","",P18+Q18-R18)</f>
        <v/>
      </c>
      <c r="T18" s="80" t="str">
        <f aca="false">IF($B18="","",IF(S18&lt;-0.01,"✖ صرف أكثر من المستحق",IF(AND(M18&lt;&gt;"على رأس العمل",S18&gt;0.01),"⚠ مستحق لم يُصرف","✔ سليم")))</f>
        <v/>
      </c>
    </row>
    <row r="19" customFormat="false" ht="15" hidden="false" customHeight="false" outlineLevel="0" collapsed="false">
      <c r="B19" s="102" t="str">
        <f aca="false">IF(الموظفون!$B19="","",الموظفون!$B19)</f>
        <v/>
      </c>
      <c r="C19" s="102" t="str">
        <f aca="false">IF($B19="","",الموظفون!$C19)</f>
        <v/>
      </c>
      <c r="D19" s="148" t="str">
        <f aca="false">IF($B19="","",الموظفون!$H19)</f>
        <v/>
      </c>
      <c r="E19" s="148" t="str">
        <f aca="false">IF($B19="","",IF(OR(الموظفون!$AE19="",الموظفون!$AE19&gt;cfg_VAL_DATE),cfg_VAL_DATE,الموظفون!$AE19))</f>
        <v/>
      </c>
      <c r="F19" s="102" t="str">
        <f aca="false">IF($B19="","",IF(E19&lt;D19,"لم يباشر",DATEDIF(D19,E19+1,"y")&amp;" سنة "&amp;DATEDIF(D19,E19+1,"ym")&amp;" شهر "&amp;DATEDIF(D19,E19+1,"md")&amp;" يوم"))</f>
        <v/>
      </c>
      <c r="G19" s="110" t="str">
        <f aca="false">IF($B19="","",SUMIFS('سجل الإجازات والحالات'!$S$6:$S$505,'سجل الإجازات والحالات'!$B$6:$B$505,$B19))</f>
        <v/>
      </c>
      <c r="H19" s="135" t="str">
        <f aca="false">IF($B19="","",MAX(0,E19-D19+1-G19)/cfg_DAYS_Y)</f>
        <v/>
      </c>
      <c r="I19" s="101" t="str">
        <f aca="false">IF($B19="","",الموظفون!$Q19)</f>
        <v/>
      </c>
      <c r="J19" s="101" t="str">
        <f aca="false">IF($B19="","",I19*cfg_EOS_R1*MIN(H19,cfg_EOS_TH))</f>
        <v/>
      </c>
      <c r="K19" s="101" t="str">
        <f aca="false">IF($B19="","",I19*cfg_EOS_R2*MAX(H19-cfg_EOS_TH,0))</f>
        <v/>
      </c>
      <c r="L19" s="101" t="str">
        <f aca="false">IF($B19="","",J19+K19)</f>
        <v/>
      </c>
      <c r="M19" s="102" t="str">
        <f aca="false">IF($B19="","",IF(AND(الموظفون!$AE19&lt;&gt;"",الموظفون!$AE19&lt;=cfg_VAL_DATE),IF(الموظفون!$AF19="","⚠ حدد السبب",الموظفون!$AF19),"على رأس العمل"))</f>
        <v/>
      </c>
      <c r="N19" s="111" t="str">
        <f aca="false">IF($B19="","",VLOOKUP(H19,cfg_RES,2,TRUE()))</f>
        <v/>
      </c>
      <c r="O19" s="101" t="str">
        <f aca="false">IF($B19="","",IF(M19="استقالة",L19*N19,L19))</f>
        <v/>
      </c>
      <c r="P19" s="101" t="str">
        <f aca="false">IF($B19="","",I19*(cfg_EOS_R1*MIN((MAX(0,IF(OR(الموظفون!$AE19="",الموظفون!$AE19&gt;=cfg_Y_START),cfg_Y_START-1,الموظفون!$AE19)-D19+1-SUMIFS('سجل الإجازات والحالات'!$R$6:$R$505,'سجل الإجازات والحالات'!$B$6:$B$505,$B19))/cfg_DAYS_Y),cfg_EOS_TH)+cfg_EOS_R2*MAX((MAX(0,IF(OR(الموظفون!$AE19="",الموظفون!$AE19&gt;=cfg_Y_START),cfg_Y_START-1,الموظفون!$AE19)-D19+1-SUMIFS('سجل الإجازات والحالات'!$R$6:$R$505,'سجل الإجازات والحالات'!$B$6:$B$505,$B19))/cfg_DAYS_Y)-cfg_EOS_TH,0)))</f>
        <v/>
      </c>
      <c r="Q19" s="101" t="str">
        <f aca="false">IF($B19="","",O19-P19)</f>
        <v/>
      </c>
      <c r="R19" s="101" t="str">
        <f aca="false">IF($B19="","",SUMIFS('الحركات الشهرية'!$N$6:$N$1005,'الحركات الشهرية'!$B$6:$B$1005,B19,'الحركات الشهرية'!$A$6:$A$1005,"&lt;="&amp;cfg_VAL_M))</f>
        <v/>
      </c>
      <c r="S19" s="151" t="str">
        <f aca="false">IF($B19="","",P19+Q19-R19)</f>
        <v/>
      </c>
      <c r="T19" s="102" t="str">
        <f aca="false">IF($B19="","",IF(S19&lt;-0.01,"✖ صرف أكثر من المستحق",IF(AND(M19&lt;&gt;"على رأس العمل",S19&gt;0.01),"⚠ مستحق لم يُصرف","✔ سليم")))</f>
        <v/>
      </c>
    </row>
    <row r="20" customFormat="false" ht="15" hidden="false" customHeight="false" outlineLevel="0" collapsed="false">
      <c r="B20" s="80" t="str">
        <f aca="false">IF(الموظفون!$B20="","",الموظفون!$B20)</f>
        <v/>
      </c>
      <c r="C20" s="80" t="str">
        <f aca="false">IF($B20="","",الموظفون!$C20)</f>
        <v/>
      </c>
      <c r="D20" s="147" t="str">
        <f aca="false">IF($B20="","",الموظفون!$H20)</f>
        <v/>
      </c>
      <c r="E20" s="147" t="str">
        <f aca="false">IF($B20="","",IF(OR(الموظفون!$AE20="",الموظفون!$AE20&gt;cfg_VAL_DATE),cfg_VAL_DATE,الموظفون!$AE20))</f>
        <v/>
      </c>
      <c r="F20" s="80" t="str">
        <f aca="false">IF($B20="","",IF(E20&lt;D20,"لم يباشر",DATEDIF(D20,E20+1,"y")&amp;" سنة "&amp;DATEDIF(D20,E20+1,"ym")&amp;" شهر "&amp;DATEDIF(D20,E20+1,"md")&amp;" يوم"))</f>
        <v/>
      </c>
      <c r="G20" s="57" t="str">
        <f aca="false">IF($B20="","",SUMIFS('سجل الإجازات والحالات'!$S$6:$S$505,'سجل الإجازات والحالات'!$B$6:$B$505,$B20))</f>
        <v/>
      </c>
      <c r="H20" s="130" t="str">
        <f aca="false">IF($B20="","",MAX(0,E20-D20+1-G20)/cfg_DAYS_Y)</f>
        <v/>
      </c>
      <c r="I20" s="97" t="str">
        <f aca="false">IF($B20="","",الموظفون!$Q20)</f>
        <v/>
      </c>
      <c r="J20" s="97" t="str">
        <f aca="false">IF($B20="","",I20*cfg_EOS_R1*MIN(H20,cfg_EOS_TH))</f>
        <v/>
      </c>
      <c r="K20" s="97" t="str">
        <f aca="false">IF($B20="","",I20*cfg_EOS_R2*MAX(H20-cfg_EOS_TH,0))</f>
        <v/>
      </c>
      <c r="L20" s="97" t="str">
        <f aca="false">IF($B20="","",J20+K20)</f>
        <v/>
      </c>
      <c r="M20" s="80" t="str">
        <f aca="false">IF($B20="","",IF(AND(الموظفون!$AE20&lt;&gt;"",الموظفون!$AE20&lt;=cfg_VAL_DATE),IF(الموظفون!$AF20="","⚠ حدد السبب",الموظفون!$AF20),"على رأس العمل"))</f>
        <v/>
      </c>
      <c r="N20" s="58" t="str">
        <f aca="false">IF($B20="","",VLOOKUP(H20,cfg_RES,2,TRUE()))</f>
        <v/>
      </c>
      <c r="O20" s="97" t="str">
        <f aca="false">IF($B20="","",IF(M20="استقالة",L20*N20,L20))</f>
        <v/>
      </c>
      <c r="P20" s="97" t="str">
        <f aca="false">IF($B20="","",I20*(cfg_EOS_R1*MIN((MAX(0,IF(OR(الموظفون!$AE20="",الموظفون!$AE20&gt;=cfg_Y_START),cfg_Y_START-1,الموظفون!$AE20)-D20+1-SUMIFS('سجل الإجازات والحالات'!$R$6:$R$505,'سجل الإجازات والحالات'!$B$6:$B$505,$B20))/cfg_DAYS_Y),cfg_EOS_TH)+cfg_EOS_R2*MAX((MAX(0,IF(OR(الموظفون!$AE20="",الموظفون!$AE20&gt;=cfg_Y_START),cfg_Y_START-1,الموظفون!$AE20)-D20+1-SUMIFS('سجل الإجازات والحالات'!$R$6:$R$505,'سجل الإجازات والحالات'!$B$6:$B$505,$B20))/cfg_DAYS_Y)-cfg_EOS_TH,0)))</f>
        <v/>
      </c>
      <c r="Q20" s="97" t="str">
        <f aca="false">IF($B20="","",O20-P20)</f>
        <v/>
      </c>
      <c r="R20" s="97" t="str">
        <f aca="false">IF($B20="","",SUMIFS('الحركات الشهرية'!$N$6:$N$1005,'الحركات الشهرية'!$B$6:$B$1005,B20,'الحركات الشهرية'!$A$6:$A$1005,"&lt;="&amp;cfg_VAL_M))</f>
        <v/>
      </c>
      <c r="S20" s="150" t="str">
        <f aca="false">IF($B20="","",P20+Q20-R20)</f>
        <v/>
      </c>
      <c r="T20" s="80" t="str">
        <f aca="false">IF($B20="","",IF(S20&lt;-0.01,"✖ صرف أكثر من المستحق",IF(AND(M20&lt;&gt;"على رأس العمل",S20&gt;0.01),"⚠ مستحق لم يُصرف","✔ سليم")))</f>
        <v/>
      </c>
    </row>
    <row r="21" customFormat="false" ht="15" hidden="false" customHeight="false" outlineLevel="0" collapsed="false">
      <c r="B21" s="102" t="str">
        <f aca="false">IF(الموظفون!$B21="","",الموظفون!$B21)</f>
        <v/>
      </c>
      <c r="C21" s="102" t="str">
        <f aca="false">IF($B21="","",الموظفون!$C21)</f>
        <v/>
      </c>
      <c r="D21" s="148" t="str">
        <f aca="false">IF($B21="","",الموظفون!$H21)</f>
        <v/>
      </c>
      <c r="E21" s="148" t="str">
        <f aca="false">IF($B21="","",IF(OR(الموظفون!$AE21="",الموظفون!$AE21&gt;cfg_VAL_DATE),cfg_VAL_DATE,الموظفون!$AE21))</f>
        <v/>
      </c>
      <c r="F21" s="102" t="str">
        <f aca="false">IF($B21="","",IF(E21&lt;D21,"لم يباشر",DATEDIF(D21,E21+1,"y")&amp;" سنة "&amp;DATEDIF(D21,E21+1,"ym")&amp;" شهر "&amp;DATEDIF(D21,E21+1,"md")&amp;" يوم"))</f>
        <v/>
      </c>
      <c r="G21" s="110" t="str">
        <f aca="false">IF($B21="","",SUMIFS('سجل الإجازات والحالات'!$S$6:$S$505,'سجل الإجازات والحالات'!$B$6:$B$505,$B21))</f>
        <v/>
      </c>
      <c r="H21" s="135" t="str">
        <f aca="false">IF($B21="","",MAX(0,E21-D21+1-G21)/cfg_DAYS_Y)</f>
        <v/>
      </c>
      <c r="I21" s="101" t="str">
        <f aca="false">IF($B21="","",الموظفون!$Q21)</f>
        <v/>
      </c>
      <c r="J21" s="101" t="str">
        <f aca="false">IF($B21="","",I21*cfg_EOS_R1*MIN(H21,cfg_EOS_TH))</f>
        <v/>
      </c>
      <c r="K21" s="101" t="str">
        <f aca="false">IF($B21="","",I21*cfg_EOS_R2*MAX(H21-cfg_EOS_TH,0))</f>
        <v/>
      </c>
      <c r="L21" s="101" t="str">
        <f aca="false">IF($B21="","",J21+K21)</f>
        <v/>
      </c>
      <c r="M21" s="102" t="str">
        <f aca="false">IF($B21="","",IF(AND(الموظفون!$AE21&lt;&gt;"",الموظفون!$AE21&lt;=cfg_VAL_DATE),IF(الموظفون!$AF21="","⚠ حدد السبب",الموظفون!$AF21),"على رأس العمل"))</f>
        <v/>
      </c>
      <c r="N21" s="111" t="str">
        <f aca="false">IF($B21="","",VLOOKUP(H21,cfg_RES,2,TRUE()))</f>
        <v/>
      </c>
      <c r="O21" s="101" t="str">
        <f aca="false">IF($B21="","",IF(M21="استقالة",L21*N21,L21))</f>
        <v/>
      </c>
      <c r="P21" s="101" t="str">
        <f aca="false">IF($B21="","",I21*(cfg_EOS_R1*MIN((MAX(0,IF(OR(الموظفون!$AE21="",الموظفون!$AE21&gt;=cfg_Y_START),cfg_Y_START-1,الموظفون!$AE21)-D21+1-SUMIFS('سجل الإجازات والحالات'!$R$6:$R$505,'سجل الإجازات والحالات'!$B$6:$B$505,$B21))/cfg_DAYS_Y),cfg_EOS_TH)+cfg_EOS_R2*MAX((MAX(0,IF(OR(الموظفون!$AE21="",الموظفون!$AE21&gt;=cfg_Y_START),cfg_Y_START-1,الموظفون!$AE21)-D21+1-SUMIFS('سجل الإجازات والحالات'!$R$6:$R$505,'سجل الإجازات والحالات'!$B$6:$B$505,$B21))/cfg_DAYS_Y)-cfg_EOS_TH,0)))</f>
        <v/>
      </c>
      <c r="Q21" s="101" t="str">
        <f aca="false">IF($B21="","",O21-P21)</f>
        <v/>
      </c>
      <c r="R21" s="101" t="str">
        <f aca="false">IF($B21="","",SUMIFS('الحركات الشهرية'!$N$6:$N$1005,'الحركات الشهرية'!$B$6:$B$1005,B21,'الحركات الشهرية'!$A$6:$A$1005,"&lt;="&amp;cfg_VAL_M))</f>
        <v/>
      </c>
      <c r="S21" s="151" t="str">
        <f aca="false">IF($B21="","",P21+Q21-R21)</f>
        <v/>
      </c>
      <c r="T21" s="102" t="str">
        <f aca="false">IF($B21="","",IF(S21&lt;-0.01,"✖ صرف أكثر من المستحق",IF(AND(M21&lt;&gt;"على رأس العمل",S21&gt;0.01),"⚠ مستحق لم يُصرف","✔ سليم")))</f>
        <v/>
      </c>
    </row>
    <row r="22" customFormat="false" ht="15" hidden="false" customHeight="false" outlineLevel="0" collapsed="false">
      <c r="B22" s="80" t="str">
        <f aca="false">IF(الموظفون!$B22="","",الموظفون!$B22)</f>
        <v/>
      </c>
      <c r="C22" s="80" t="str">
        <f aca="false">IF($B22="","",الموظفون!$C22)</f>
        <v/>
      </c>
      <c r="D22" s="147" t="str">
        <f aca="false">IF($B22="","",الموظفون!$H22)</f>
        <v/>
      </c>
      <c r="E22" s="147" t="str">
        <f aca="false">IF($B22="","",IF(OR(الموظفون!$AE22="",الموظفون!$AE22&gt;cfg_VAL_DATE),cfg_VAL_DATE,الموظفون!$AE22))</f>
        <v/>
      </c>
      <c r="F22" s="80" t="str">
        <f aca="false">IF($B22="","",IF(E22&lt;D22,"لم يباشر",DATEDIF(D22,E22+1,"y")&amp;" سنة "&amp;DATEDIF(D22,E22+1,"ym")&amp;" شهر "&amp;DATEDIF(D22,E22+1,"md")&amp;" يوم"))</f>
        <v/>
      </c>
      <c r="G22" s="57" t="str">
        <f aca="false">IF($B22="","",SUMIFS('سجل الإجازات والحالات'!$S$6:$S$505,'سجل الإجازات والحالات'!$B$6:$B$505,$B22))</f>
        <v/>
      </c>
      <c r="H22" s="130" t="str">
        <f aca="false">IF($B22="","",MAX(0,E22-D22+1-G22)/cfg_DAYS_Y)</f>
        <v/>
      </c>
      <c r="I22" s="97" t="str">
        <f aca="false">IF($B22="","",الموظفون!$Q22)</f>
        <v/>
      </c>
      <c r="J22" s="97" t="str">
        <f aca="false">IF($B22="","",I22*cfg_EOS_R1*MIN(H22,cfg_EOS_TH))</f>
        <v/>
      </c>
      <c r="K22" s="97" t="str">
        <f aca="false">IF($B22="","",I22*cfg_EOS_R2*MAX(H22-cfg_EOS_TH,0))</f>
        <v/>
      </c>
      <c r="L22" s="97" t="str">
        <f aca="false">IF($B22="","",J22+K22)</f>
        <v/>
      </c>
      <c r="M22" s="80" t="str">
        <f aca="false">IF($B22="","",IF(AND(الموظفون!$AE22&lt;&gt;"",الموظفون!$AE22&lt;=cfg_VAL_DATE),IF(الموظفون!$AF22="","⚠ حدد السبب",الموظفون!$AF22),"على رأس العمل"))</f>
        <v/>
      </c>
      <c r="N22" s="58" t="str">
        <f aca="false">IF($B22="","",VLOOKUP(H22,cfg_RES,2,TRUE()))</f>
        <v/>
      </c>
      <c r="O22" s="97" t="str">
        <f aca="false">IF($B22="","",IF(M22="استقالة",L22*N22,L22))</f>
        <v/>
      </c>
      <c r="P22" s="97" t="str">
        <f aca="false">IF($B22="","",I22*(cfg_EOS_R1*MIN((MAX(0,IF(OR(الموظفون!$AE22="",الموظفون!$AE22&gt;=cfg_Y_START),cfg_Y_START-1,الموظفون!$AE22)-D22+1-SUMIFS('سجل الإجازات والحالات'!$R$6:$R$505,'سجل الإجازات والحالات'!$B$6:$B$505,$B22))/cfg_DAYS_Y),cfg_EOS_TH)+cfg_EOS_R2*MAX((MAX(0,IF(OR(الموظفون!$AE22="",الموظفون!$AE22&gt;=cfg_Y_START),cfg_Y_START-1,الموظفون!$AE22)-D22+1-SUMIFS('سجل الإجازات والحالات'!$R$6:$R$505,'سجل الإجازات والحالات'!$B$6:$B$505,$B22))/cfg_DAYS_Y)-cfg_EOS_TH,0)))</f>
        <v/>
      </c>
      <c r="Q22" s="97" t="str">
        <f aca="false">IF($B22="","",O22-P22)</f>
        <v/>
      </c>
      <c r="R22" s="97" t="str">
        <f aca="false">IF($B22="","",SUMIFS('الحركات الشهرية'!$N$6:$N$1005,'الحركات الشهرية'!$B$6:$B$1005,B22,'الحركات الشهرية'!$A$6:$A$1005,"&lt;="&amp;cfg_VAL_M))</f>
        <v/>
      </c>
      <c r="S22" s="150" t="str">
        <f aca="false">IF($B22="","",P22+Q22-R22)</f>
        <v/>
      </c>
      <c r="T22" s="80" t="str">
        <f aca="false">IF($B22="","",IF(S22&lt;-0.01,"✖ صرف أكثر من المستحق",IF(AND(M22&lt;&gt;"على رأس العمل",S22&gt;0.01),"⚠ مستحق لم يُصرف","✔ سليم")))</f>
        <v/>
      </c>
    </row>
    <row r="23" customFormat="false" ht="15" hidden="false" customHeight="false" outlineLevel="0" collapsed="false">
      <c r="B23" s="102" t="str">
        <f aca="false">IF(الموظفون!$B23="","",الموظفون!$B23)</f>
        <v/>
      </c>
      <c r="C23" s="102" t="str">
        <f aca="false">IF($B23="","",الموظفون!$C23)</f>
        <v/>
      </c>
      <c r="D23" s="148" t="str">
        <f aca="false">IF($B23="","",الموظفون!$H23)</f>
        <v/>
      </c>
      <c r="E23" s="148" t="str">
        <f aca="false">IF($B23="","",IF(OR(الموظفون!$AE23="",الموظفون!$AE23&gt;cfg_VAL_DATE),cfg_VAL_DATE,الموظفون!$AE23))</f>
        <v/>
      </c>
      <c r="F23" s="102" t="str">
        <f aca="false">IF($B23="","",IF(E23&lt;D23,"لم يباشر",DATEDIF(D23,E23+1,"y")&amp;" سنة "&amp;DATEDIF(D23,E23+1,"ym")&amp;" شهر "&amp;DATEDIF(D23,E23+1,"md")&amp;" يوم"))</f>
        <v/>
      </c>
      <c r="G23" s="110" t="str">
        <f aca="false">IF($B23="","",SUMIFS('سجل الإجازات والحالات'!$S$6:$S$505,'سجل الإجازات والحالات'!$B$6:$B$505,$B23))</f>
        <v/>
      </c>
      <c r="H23" s="135" t="str">
        <f aca="false">IF($B23="","",MAX(0,E23-D23+1-G23)/cfg_DAYS_Y)</f>
        <v/>
      </c>
      <c r="I23" s="101" t="str">
        <f aca="false">IF($B23="","",الموظفون!$Q23)</f>
        <v/>
      </c>
      <c r="J23" s="101" t="str">
        <f aca="false">IF($B23="","",I23*cfg_EOS_R1*MIN(H23,cfg_EOS_TH))</f>
        <v/>
      </c>
      <c r="K23" s="101" t="str">
        <f aca="false">IF($B23="","",I23*cfg_EOS_R2*MAX(H23-cfg_EOS_TH,0))</f>
        <v/>
      </c>
      <c r="L23" s="101" t="str">
        <f aca="false">IF($B23="","",J23+K23)</f>
        <v/>
      </c>
      <c r="M23" s="102" t="str">
        <f aca="false">IF($B23="","",IF(AND(الموظفون!$AE23&lt;&gt;"",الموظفون!$AE23&lt;=cfg_VAL_DATE),IF(الموظفون!$AF23="","⚠ حدد السبب",الموظفون!$AF23),"على رأس العمل"))</f>
        <v/>
      </c>
      <c r="N23" s="111" t="str">
        <f aca="false">IF($B23="","",VLOOKUP(H23,cfg_RES,2,TRUE()))</f>
        <v/>
      </c>
      <c r="O23" s="101" t="str">
        <f aca="false">IF($B23="","",IF(M23="استقالة",L23*N23,L23))</f>
        <v/>
      </c>
      <c r="P23" s="101" t="str">
        <f aca="false">IF($B23="","",I23*(cfg_EOS_R1*MIN((MAX(0,IF(OR(الموظفون!$AE23="",الموظفون!$AE23&gt;=cfg_Y_START),cfg_Y_START-1,الموظفون!$AE23)-D23+1-SUMIFS('سجل الإجازات والحالات'!$R$6:$R$505,'سجل الإجازات والحالات'!$B$6:$B$505,$B23))/cfg_DAYS_Y),cfg_EOS_TH)+cfg_EOS_R2*MAX((MAX(0,IF(OR(الموظفون!$AE23="",الموظفون!$AE23&gt;=cfg_Y_START),cfg_Y_START-1,الموظفون!$AE23)-D23+1-SUMIFS('سجل الإجازات والحالات'!$R$6:$R$505,'سجل الإجازات والحالات'!$B$6:$B$505,$B23))/cfg_DAYS_Y)-cfg_EOS_TH,0)))</f>
        <v/>
      </c>
      <c r="Q23" s="101" t="str">
        <f aca="false">IF($B23="","",O23-P23)</f>
        <v/>
      </c>
      <c r="R23" s="101" t="str">
        <f aca="false">IF($B23="","",SUMIFS('الحركات الشهرية'!$N$6:$N$1005,'الحركات الشهرية'!$B$6:$B$1005,B23,'الحركات الشهرية'!$A$6:$A$1005,"&lt;="&amp;cfg_VAL_M))</f>
        <v/>
      </c>
      <c r="S23" s="151" t="str">
        <f aca="false">IF($B23="","",P23+Q23-R23)</f>
        <v/>
      </c>
      <c r="T23" s="102" t="str">
        <f aca="false">IF($B23="","",IF(S23&lt;-0.01,"✖ صرف أكثر من المستحق",IF(AND(M23&lt;&gt;"على رأس العمل",S23&gt;0.01),"⚠ مستحق لم يُصرف","✔ سليم")))</f>
        <v/>
      </c>
    </row>
    <row r="24" customFormat="false" ht="15" hidden="false" customHeight="false" outlineLevel="0" collapsed="false">
      <c r="B24" s="80" t="str">
        <f aca="false">IF(الموظفون!$B24="","",الموظفون!$B24)</f>
        <v/>
      </c>
      <c r="C24" s="80" t="str">
        <f aca="false">IF($B24="","",الموظفون!$C24)</f>
        <v/>
      </c>
      <c r="D24" s="147" t="str">
        <f aca="false">IF($B24="","",الموظفون!$H24)</f>
        <v/>
      </c>
      <c r="E24" s="147" t="str">
        <f aca="false">IF($B24="","",IF(OR(الموظفون!$AE24="",الموظفون!$AE24&gt;cfg_VAL_DATE),cfg_VAL_DATE,الموظفون!$AE24))</f>
        <v/>
      </c>
      <c r="F24" s="80" t="str">
        <f aca="false">IF($B24="","",IF(E24&lt;D24,"لم يباشر",DATEDIF(D24,E24+1,"y")&amp;" سنة "&amp;DATEDIF(D24,E24+1,"ym")&amp;" شهر "&amp;DATEDIF(D24,E24+1,"md")&amp;" يوم"))</f>
        <v/>
      </c>
      <c r="G24" s="57" t="str">
        <f aca="false">IF($B24="","",SUMIFS('سجل الإجازات والحالات'!$S$6:$S$505,'سجل الإجازات والحالات'!$B$6:$B$505,$B24))</f>
        <v/>
      </c>
      <c r="H24" s="130" t="str">
        <f aca="false">IF($B24="","",MAX(0,E24-D24+1-G24)/cfg_DAYS_Y)</f>
        <v/>
      </c>
      <c r="I24" s="97" t="str">
        <f aca="false">IF($B24="","",الموظفون!$Q24)</f>
        <v/>
      </c>
      <c r="J24" s="97" t="str">
        <f aca="false">IF($B24="","",I24*cfg_EOS_R1*MIN(H24,cfg_EOS_TH))</f>
        <v/>
      </c>
      <c r="K24" s="97" t="str">
        <f aca="false">IF($B24="","",I24*cfg_EOS_R2*MAX(H24-cfg_EOS_TH,0))</f>
        <v/>
      </c>
      <c r="L24" s="97" t="str">
        <f aca="false">IF($B24="","",J24+K24)</f>
        <v/>
      </c>
      <c r="M24" s="80" t="str">
        <f aca="false">IF($B24="","",IF(AND(الموظفون!$AE24&lt;&gt;"",الموظفون!$AE24&lt;=cfg_VAL_DATE),IF(الموظفون!$AF24="","⚠ حدد السبب",الموظفون!$AF24),"على رأس العمل"))</f>
        <v/>
      </c>
      <c r="N24" s="58" t="str">
        <f aca="false">IF($B24="","",VLOOKUP(H24,cfg_RES,2,TRUE()))</f>
        <v/>
      </c>
      <c r="O24" s="97" t="str">
        <f aca="false">IF($B24="","",IF(M24="استقالة",L24*N24,L24))</f>
        <v/>
      </c>
      <c r="P24" s="97" t="str">
        <f aca="false">IF($B24="","",I24*(cfg_EOS_R1*MIN((MAX(0,IF(OR(الموظفون!$AE24="",الموظفون!$AE24&gt;=cfg_Y_START),cfg_Y_START-1,الموظفون!$AE24)-D24+1-SUMIFS('سجل الإجازات والحالات'!$R$6:$R$505,'سجل الإجازات والحالات'!$B$6:$B$505,$B24))/cfg_DAYS_Y),cfg_EOS_TH)+cfg_EOS_R2*MAX((MAX(0,IF(OR(الموظفون!$AE24="",الموظفون!$AE24&gt;=cfg_Y_START),cfg_Y_START-1,الموظفون!$AE24)-D24+1-SUMIFS('سجل الإجازات والحالات'!$R$6:$R$505,'سجل الإجازات والحالات'!$B$6:$B$505,$B24))/cfg_DAYS_Y)-cfg_EOS_TH,0)))</f>
        <v/>
      </c>
      <c r="Q24" s="97" t="str">
        <f aca="false">IF($B24="","",O24-P24)</f>
        <v/>
      </c>
      <c r="R24" s="97" t="str">
        <f aca="false">IF($B24="","",SUMIFS('الحركات الشهرية'!$N$6:$N$1005,'الحركات الشهرية'!$B$6:$B$1005,B24,'الحركات الشهرية'!$A$6:$A$1005,"&lt;="&amp;cfg_VAL_M))</f>
        <v/>
      </c>
      <c r="S24" s="150" t="str">
        <f aca="false">IF($B24="","",P24+Q24-R24)</f>
        <v/>
      </c>
      <c r="T24" s="80" t="str">
        <f aca="false">IF($B24="","",IF(S24&lt;-0.01,"✖ صرف أكثر من المستحق",IF(AND(M24&lt;&gt;"على رأس العمل",S24&gt;0.01),"⚠ مستحق لم يُصرف","✔ سليم")))</f>
        <v/>
      </c>
    </row>
    <row r="25" customFormat="false" ht="15" hidden="false" customHeight="false" outlineLevel="0" collapsed="false">
      <c r="B25" s="102" t="str">
        <f aca="false">IF(الموظفون!$B25="","",الموظفون!$B25)</f>
        <v/>
      </c>
      <c r="C25" s="102" t="str">
        <f aca="false">IF($B25="","",الموظفون!$C25)</f>
        <v/>
      </c>
      <c r="D25" s="148" t="str">
        <f aca="false">IF($B25="","",الموظفون!$H25)</f>
        <v/>
      </c>
      <c r="E25" s="148" t="str">
        <f aca="false">IF($B25="","",IF(OR(الموظفون!$AE25="",الموظفون!$AE25&gt;cfg_VAL_DATE),cfg_VAL_DATE,الموظفون!$AE25))</f>
        <v/>
      </c>
      <c r="F25" s="102" t="str">
        <f aca="false">IF($B25="","",IF(E25&lt;D25,"لم يباشر",DATEDIF(D25,E25+1,"y")&amp;" سنة "&amp;DATEDIF(D25,E25+1,"ym")&amp;" شهر "&amp;DATEDIF(D25,E25+1,"md")&amp;" يوم"))</f>
        <v/>
      </c>
      <c r="G25" s="110" t="str">
        <f aca="false">IF($B25="","",SUMIFS('سجل الإجازات والحالات'!$S$6:$S$505,'سجل الإجازات والحالات'!$B$6:$B$505,$B25))</f>
        <v/>
      </c>
      <c r="H25" s="135" t="str">
        <f aca="false">IF($B25="","",MAX(0,E25-D25+1-G25)/cfg_DAYS_Y)</f>
        <v/>
      </c>
      <c r="I25" s="101" t="str">
        <f aca="false">IF($B25="","",الموظفون!$Q25)</f>
        <v/>
      </c>
      <c r="J25" s="101" t="str">
        <f aca="false">IF($B25="","",I25*cfg_EOS_R1*MIN(H25,cfg_EOS_TH))</f>
        <v/>
      </c>
      <c r="K25" s="101" t="str">
        <f aca="false">IF($B25="","",I25*cfg_EOS_R2*MAX(H25-cfg_EOS_TH,0))</f>
        <v/>
      </c>
      <c r="L25" s="101" t="str">
        <f aca="false">IF($B25="","",J25+K25)</f>
        <v/>
      </c>
      <c r="M25" s="102" t="str">
        <f aca="false">IF($B25="","",IF(AND(الموظفون!$AE25&lt;&gt;"",الموظفون!$AE25&lt;=cfg_VAL_DATE),IF(الموظفون!$AF25="","⚠ حدد السبب",الموظفون!$AF25),"على رأس العمل"))</f>
        <v/>
      </c>
      <c r="N25" s="111" t="str">
        <f aca="false">IF($B25="","",VLOOKUP(H25,cfg_RES,2,TRUE()))</f>
        <v/>
      </c>
      <c r="O25" s="101" t="str">
        <f aca="false">IF($B25="","",IF(M25="استقالة",L25*N25,L25))</f>
        <v/>
      </c>
      <c r="P25" s="101" t="str">
        <f aca="false">IF($B25="","",I25*(cfg_EOS_R1*MIN((MAX(0,IF(OR(الموظفون!$AE25="",الموظفون!$AE25&gt;=cfg_Y_START),cfg_Y_START-1,الموظفون!$AE25)-D25+1-SUMIFS('سجل الإجازات والحالات'!$R$6:$R$505,'سجل الإجازات والحالات'!$B$6:$B$505,$B25))/cfg_DAYS_Y),cfg_EOS_TH)+cfg_EOS_R2*MAX((MAX(0,IF(OR(الموظفون!$AE25="",الموظفون!$AE25&gt;=cfg_Y_START),cfg_Y_START-1,الموظفون!$AE25)-D25+1-SUMIFS('سجل الإجازات والحالات'!$R$6:$R$505,'سجل الإجازات والحالات'!$B$6:$B$505,$B25))/cfg_DAYS_Y)-cfg_EOS_TH,0)))</f>
        <v/>
      </c>
      <c r="Q25" s="101" t="str">
        <f aca="false">IF($B25="","",O25-P25)</f>
        <v/>
      </c>
      <c r="R25" s="101" t="str">
        <f aca="false">IF($B25="","",SUMIFS('الحركات الشهرية'!$N$6:$N$1005,'الحركات الشهرية'!$B$6:$B$1005,B25,'الحركات الشهرية'!$A$6:$A$1005,"&lt;="&amp;cfg_VAL_M))</f>
        <v/>
      </c>
      <c r="S25" s="151" t="str">
        <f aca="false">IF($B25="","",P25+Q25-R25)</f>
        <v/>
      </c>
      <c r="T25" s="102" t="str">
        <f aca="false">IF($B25="","",IF(S25&lt;-0.01,"✖ صرف أكثر من المستحق",IF(AND(M25&lt;&gt;"على رأس العمل",S25&gt;0.01),"⚠ مستحق لم يُصرف","✔ سليم")))</f>
        <v/>
      </c>
    </row>
    <row r="26" customFormat="false" ht="15" hidden="false" customHeight="false" outlineLevel="0" collapsed="false">
      <c r="B26" s="80" t="str">
        <f aca="false">IF(الموظفون!$B26="","",الموظفون!$B26)</f>
        <v/>
      </c>
      <c r="C26" s="80" t="str">
        <f aca="false">IF($B26="","",الموظفون!$C26)</f>
        <v/>
      </c>
      <c r="D26" s="147" t="str">
        <f aca="false">IF($B26="","",الموظفون!$H26)</f>
        <v/>
      </c>
      <c r="E26" s="147" t="str">
        <f aca="false">IF($B26="","",IF(OR(الموظفون!$AE26="",الموظفون!$AE26&gt;cfg_VAL_DATE),cfg_VAL_DATE,الموظفون!$AE26))</f>
        <v/>
      </c>
      <c r="F26" s="80" t="str">
        <f aca="false">IF($B26="","",IF(E26&lt;D26,"لم يباشر",DATEDIF(D26,E26+1,"y")&amp;" سنة "&amp;DATEDIF(D26,E26+1,"ym")&amp;" شهر "&amp;DATEDIF(D26,E26+1,"md")&amp;" يوم"))</f>
        <v/>
      </c>
      <c r="G26" s="57" t="str">
        <f aca="false">IF($B26="","",SUMIFS('سجل الإجازات والحالات'!$S$6:$S$505,'سجل الإجازات والحالات'!$B$6:$B$505,$B26))</f>
        <v/>
      </c>
      <c r="H26" s="130" t="str">
        <f aca="false">IF($B26="","",MAX(0,E26-D26+1-G26)/cfg_DAYS_Y)</f>
        <v/>
      </c>
      <c r="I26" s="97" t="str">
        <f aca="false">IF($B26="","",الموظفون!$Q26)</f>
        <v/>
      </c>
      <c r="J26" s="97" t="str">
        <f aca="false">IF($B26="","",I26*cfg_EOS_R1*MIN(H26,cfg_EOS_TH))</f>
        <v/>
      </c>
      <c r="K26" s="97" t="str">
        <f aca="false">IF($B26="","",I26*cfg_EOS_R2*MAX(H26-cfg_EOS_TH,0))</f>
        <v/>
      </c>
      <c r="L26" s="97" t="str">
        <f aca="false">IF($B26="","",J26+K26)</f>
        <v/>
      </c>
      <c r="M26" s="80" t="str">
        <f aca="false">IF($B26="","",IF(AND(الموظفون!$AE26&lt;&gt;"",الموظفون!$AE26&lt;=cfg_VAL_DATE),IF(الموظفون!$AF26="","⚠ حدد السبب",الموظفون!$AF26),"على رأس العمل"))</f>
        <v/>
      </c>
      <c r="N26" s="58" t="str">
        <f aca="false">IF($B26="","",VLOOKUP(H26,cfg_RES,2,TRUE()))</f>
        <v/>
      </c>
      <c r="O26" s="97" t="str">
        <f aca="false">IF($B26="","",IF(M26="استقالة",L26*N26,L26))</f>
        <v/>
      </c>
      <c r="P26" s="97" t="str">
        <f aca="false">IF($B26="","",I26*(cfg_EOS_R1*MIN((MAX(0,IF(OR(الموظفون!$AE26="",الموظفون!$AE26&gt;=cfg_Y_START),cfg_Y_START-1,الموظفون!$AE26)-D26+1-SUMIFS('سجل الإجازات والحالات'!$R$6:$R$505,'سجل الإجازات والحالات'!$B$6:$B$505,$B26))/cfg_DAYS_Y),cfg_EOS_TH)+cfg_EOS_R2*MAX((MAX(0,IF(OR(الموظفون!$AE26="",الموظفون!$AE26&gt;=cfg_Y_START),cfg_Y_START-1,الموظفون!$AE26)-D26+1-SUMIFS('سجل الإجازات والحالات'!$R$6:$R$505,'سجل الإجازات والحالات'!$B$6:$B$505,$B26))/cfg_DAYS_Y)-cfg_EOS_TH,0)))</f>
        <v/>
      </c>
      <c r="Q26" s="97" t="str">
        <f aca="false">IF($B26="","",O26-P26)</f>
        <v/>
      </c>
      <c r="R26" s="97" t="str">
        <f aca="false">IF($B26="","",SUMIFS('الحركات الشهرية'!$N$6:$N$1005,'الحركات الشهرية'!$B$6:$B$1005,B26,'الحركات الشهرية'!$A$6:$A$1005,"&lt;="&amp;cfg_VAL_M))</f>
        <v/>
      </c>
      <c r="S26" s="150" t="str">
        <f aca="false">IF($B26="","",P26+Q26-R26)</f>
        <v/>
      </c>
      <c r="T26" s="80" t="str">
        <f aca="false">IF($B26="","",IF(S26&lt;-0.01,"✖ صرف أكثر من المستحق",IF(AND(M26&lt;&gt;"على رأس العمل",S26&gt;0.01),"⚠ مستحق لم يُصرف","✔ سليم")))</f>
        <v/>
      </c>
    </row>
    <row r="27" customFormat="false" ht="15" hidden="false" customHeight="false" outlineLevel="0" collapsed="false">
      <c r="B27" s="102" t="str">
        <f aca="false">IF(الموظفون!$B27="","",الموظفون!$B27)</f>
        <v/>
      </c>
      <c r="C27" s="102" t="str">
        <f aca="false">IF($B27="","",الموظفون!$C27)</f>
        <v/>
      </c>
      <c r="D27" s="148" t="str">
        <f aca="false">IF($B27="","",الموظفون!$H27)</f>
        <v/>
      </c>
      <c r="E27" s="148" t="str">
        <f aca="false">IF($B27="","",IF(OR(الموظفون!$AE27="",الموظفون!$AE27&gt;cfg_VAL_DATE),cfg_VAL_DATE,الموظفون!$AE27))</f>
        <v/>
      </c>
      <c r="F27" s="102" t="str">
        <f aca="false">IF($B27="","",IF(E27&lt;D27,"لم يباشر",DATEDIF(D27,E27+1,"y")&amp;" سنة "&amp;DATEDIF(D27,E27+1,"ym")&amp;" شهر "&amp;DATEDIF(D27,E27+1,"md")&amp;" يوم"))</f>
        <v/>
      </c>
      <c r="G27" s="110" t="str">
        <f aca="false">IF($B27="","",SUMIFS('سجل الإجازات والحالات'!$S$6:$S$505,'سجل الإجازات والحالات'!$B$6:$B$505,$B27))</f>
        <v/>
      </c>
      <c r="H27" s="135" t="str">
        <f aca="false">IF($B27="","",MAX(0,E27-D27+1-G27)/cfg_DAYS_Y)</f>
        <v/>
      </c>
      <c r="I27" s="101" t="str">
        <f aca="false">IF($B27="","",الموظفون!$Q27)</f>
        <v/>
      </c>
      <c r="J27" s="101" t="str">
        <f aca="false">IF($B27="","",I27*cfg_EOS_R1*MIN(H27,cfg_EOS_TH))</f>
        <v/>
      </c>
      <c r="K27" s="101" t="str">
        <f aca="false">IF($B27="","",I27*cfg_EOS_R2*MAX(H27-cfg_EOS_TH,0))</f>
        <v/>
      </c>
      <c r="L27" s="101" t="str">
        <f aca="false">IF($B27="","",J27+K27)</f>
        <v/>
      </c>
      <c r="M27" s="102" t="str">
        <f aca="false">IF($B27="","",IF(AND(الموظفون!$AE27&lt;&gt;"",الموظفون!$AE27&lt;=cfg_VAL_DATE),IF(الموظفون!$AF27="","⚠ حدد السبب",الموظفون!$AF27),"على رأس العمل"))</f>
        <v/>
      </c>
      <c r="N27" s="111" t="str">
        <f aca="false">IF($B27="","",VLOOKUP(H27,cfg_RES,2,TRUE()))</f>
        <v/>
      </c>
      <c r="O27" s="101" t="str">
        <f aca="false">IF($B27="","",IF(M27="استقالة",L27*N27,L27))</f>
        <v/>
      </c>
      <c r="P27" s="101" t="str">
        <f aca="false">IF($B27="","",I27*(cfg_EOS_R1*MIN((MAX(0,IF(OR(الموظفون!$AE27="",الموظفون!$AE27&gt;=cfg_Y_START),cfg_Y_START-1,الموظفون!$AE27)-D27+1-SUMIFS('سجل الإجازات والحالات'!$R$6:$R$505,'سجل الإجازات والحالات'!$B$6:$B$505,$B27))/cfg_DAYS_Y),cfg_EOS_TH)+cfg_EOS_R2*MAX((MAX(0,IF(OR(الموظفون!$AE27="",الموظفون!$AE27&gt;=cfg_Y_START),cfg_Y_START-1,الموظفون!$AE27)-D27+1-SUMIFS('سجل الإجازات والحالات'!$R$6:$R$505,'سجل الإجازات والحالات'!$B$6:$B$505,$B27))/cfg_DAYS_Y)-cfg_EOS_TH,0)))</f>
        <v/>
      </c>
      <c r="Q27" s="101" t="str">
        <f aca="false">IF($B27="","",O27-P27)</f>
        <v/>
      </c>
      <c r="R27" s="101" t="str">
        <f aca="false">IF($B27="","",SUMIFS('الحركات الشهرية'!$N$6:$N$1005,'الحركات الشهرية'!$B$6:$B$1005,B27,'الحركات الشهرية'!$A$6:$A$1005,"&lt;="&amp;cfg_VAL_M))</f>
        <v/>
      </c>
      <c r="S27" s="151" t="str">
        <f aca="false">IF($B27="","",P27+Q27-R27)</f>
        <v/>
      </c>
      <c r="T27" s="102" t="str">
        <f aca="false">IF($B27="","",IF(S27&lt;-0.01,"✖ صرف أكثر من المستحق",IF(AND(M27&lt;&gt;"على رأس العمل",S27&gt;0.01),"⚠ مستحق لم يُصرف","✔ سليم")))</f>
        <v/>
      </c>
    </row>
    <row r="28" customFormat="false" ht="15" hidden="false" customHeight="false" outlineLevel="0" collapsed="false">
      <c r="B28" s="80" t="str">
        <f aca="false">IF(الموظفون!$B28="","",الموظفون!$B28)</f>
        <v/>
      </c>
      <c r="C28" s="80" t="str">
        <f aca="false">IF($B28="","",الموظفون!$C28)</f>
        <v/>
      </c>
      <c r="D28" s="147" t="str">
        <f aca="false">IF($B28="","",الموظفون!$H28)</f>
        <v/>
      </c>
      <c r="E28" s="147" t="str">
        <f aca="false">IF($B28="","",IF(OR(الموظفون!$AE28="",الموظفون!$AE28&gt;cfg_VAL_DATE),cfg_VAL_DATE,الموظفون!$AE28))</f>
        <v/>
      </c>
      <c r="F28" s="80" t="str">
        <f aca="false">IF($B28="","",IF(E28&lt;D28,"لم يباشر",DATEDIF(D28,E28+1,"y")&amp;" سنة "&amp;DATEDIF(D28,E28+1,"ym")&amp;" شهر "&amp;DATEDIF(D28,E28+1,"md")&amp;" يوم"))</f>
        <v/>
      </c>
      <c r="G28" s="57" t="str">
        <f aca="false">IF($B28="","",SUMIFS('سجل الإجازات والحالات'!$S$6:$S$505,'سجل الإجازات والحالات'!$B$6:$B$505,$B28))</f>
        <v/>
      </c>
      <c r="H28" s="130" t="str">
        <f aca="false">IF($B28="","",MAX(0,E28-D28+1-G28)/cfg_DAYS_Y)</f>
        <v/>
      </c>
      <c r="I28" s="97" t="str">
        <f aca="false">IF($B28="","",الموظفون!$Q28)</f>
        <v/>
      </c>
      <c r="J28" s="97" t="str">
        <f aca="false">IF($B28="","",I28*cfg_EOS_R1*MIN(H28,cfg_EOS_TH))</f>
        <v/>
      </c>
      <c r="K28" s="97" t="str">
        <f aca="false">IF($B28="","",I28*cfg_EOS_R2*MAX(H28-cfg_EOS_TH,0))</f>
        <v/>
      </c>
      <c r="L28" s="97" t="str">
        <f aca="false">IF($B28="","",J28+K28)</f>
        <v/>
      </c>
      <c r="M28" s="80" t="str">
        <f aca="false">IF($B28="","",IF(AND(الموظفون!$AE28&lt;&gt;"",الموظفون!$AE28&lt;=cfg_VAL_DATE),IF(الموظفون!$AF28="","⚠ حدد السبب",الموظفون!$AF28),"على رأس العمل"))</f>
        <v/>
      </c>
      <c r="N28" s="58" t="str">
        <f aca="false">IF($B28="","",VLOOKUP(H28,cfg_RES,2,TRUE()))</f>
        <v/>
      </c>
      <c r="O28" s="97" t="str">
        <f aca="false">IF($B28="","",IF(M28="استقالة",L28*N28,L28))</f>
        <v/>
      </c>
      <c r="P28" s="97" t="str">
        <f aca="false">IF($B28="","",I28*(cfg_EOS_R1*MIN((MAX(0,IF(OR(الموظفون!$AE28="",الموظفون!$AE28&gt;=cfg_Y_START),cfg_Y_START-1,الموظفون!$AE28)-D28+1-SUMIFS('سجل الإجازات والحالات'!$R$6:$R$505,'سجل الإجازات والحالات'!$B$6:$B$505,$B28))/cfg_DAYS_Y),cfg_EOS_TH)+cfg_EOS_R2*MAX((MAX(0,IF(OR(الموظفون!$AE28="",الموظفون!$AE28&gt;=cfg_Y_START),cfg_Y_START-1,الموظفون!$AE28)-D28+1-SUMIFS('سجل الإجازات والحالات'!$R$6:$R$505,'سجل الإجازات والحالات'!$B$6:$B$505,$B28))/cfg_DAYS_Y)-cfg_EOS_TH,0)))</f>
        <v/>
      </c>
      <c r="Q28" s="97" t="str">
        <f aca="false">IF($B28="","",O28-P28)</f>
        <v/>
      </c>
      <c r="R28" s="97" t="str">
        <f aca="false">IF($B28="","",SUMIFS('الحركات الشهرية'!$N$6:$N$1005,'الحركات الشهرية'!$B$6:$B$1005,B28,'الحركات الشهرية'!$A$6:$A$1005,"&lt;="&amp;cfg_VAL_M))</f>
        <v/>
      </c>
      <c r="S28" s="150" t="str">
        <f aca="false">IF($B28="","",P28+Q28-R28)</f>
        <v/>
      </c>
      <c r="T28" s="80" t="str">
        <f aca="false">IF($B28="","",IF(S28&lt;-0.01,"✖ صرف أكثر من المستحق",IF(AND(M28&lt;&gt;"على رأس العمل",S28&gt;0.01),"⚠ مستحق لم يُصرف","✔ سليم")))</f>
        <v/>
      </c>
    </row>
    <row r="29" customFormat="false" ht="15" hidden="false" customHeight="false" outlineLevel="0" collapsed="false">
      <c r="B29" s="102" t="str">
        <f aca="false">IF(الموظفون!$B29="","",الموظفون!$B29)</f>
        <v/>
      </c>
      <c r="C29" s="102" t="str">
        <f aca="false">IF($B29="","",الموظفون!$C29)</f>
        <v/>
      </c>
      <c r="D29" s="148" t="str">
        <f aca="false">IF($B29="","",الموظفون!$H29)</f>
        <v/>
      </c>
      <c r="E29" s="148" t="str">
        <f aca="false">IF($B29="","",IF(OR(الموظفون!$AE29="",الموظفون!$AE29&gt;cfg_VAL_DATE),cfg_VAL_DATE,الموظفون!$AE29))</f>
        <v/>
      </c>
      <c r="F29" s="102" t="str">
        <f aca="false">IF($B29="","",IF(E29&lt;D29,"لم يباشر",DATEDIF(D29,E29+1,"y")&amp;" سنة "&amp;DATEDIF(D29,E29+1,"ym")&amp;" شهر "&amp;DATEDIF(D29,E29+1,"md")&amp;" يوم"))</f>
        <v/>
      </c>
      <c r="G29" s="110" t="str">
        <f aca="false">IF($B29="","",SUMIFS('سجل الإجازات والحالات'!$S$6:$S$505,'سجل الإجازات والحالات'!$B$6:$B$505,$B29))</f>
        <v/>
      </c>
      <c r="H29" s="135" t="str">
        <f aca="false">IF($B29="","",MAX(0,E29-D29+1-G29)/cfg_DAYS_Y)</f>
        <v/>
      </c>
      <c r="I29" s="101" t="str">
        <f aca="false">IF($B29="","",الموظفون!$Q29)</f>
        <v/>
      </c>
      <c r="J29" s="101" t="str">
        <f aca="false">IF($B29="","",I29*cfg_EOS_R1*MIN(H29,cfg_EOS_TH))</f>
        <v/>
      </c>
      <c r="K29" s="101" t="str">
        <f aca="false">IF($B29="","",I29*cfg_EOS_R2*MAX(H29-cfg_EOS_TH,0))</f>
        <v/>
      </c>
      <c r="L29" s="101" t="str">
        <f aca="false">IF($B29="","",J29+K29)</f>
        <v/>
      </c>
      <c r="M29" s="102" t="str">
        <f aca="false">IF($B29="","",IF(AND(الموظفون!$AE29&lt;&gt;"",الموظفون!$AE29&lt;=cfg_VAL_DATE),IF(الموظفون!$AF29="","⚠ حدد السبب",الموظفون!$AF29),"على رأس العمل"))</f>
        <v/>
      </c>
      <c r="N29" s="111" t="str">
        <f aca="false">IF($B29="","",VLOOKUP(H29,cfg_RES,2,TRUE()))</f>
        <v/>
      </c>
      <c r="O29" s="101" t="str">
        <f aca="false">IF($B29="","",IF(M29="استقالة",L29*N29,L29))</f>
        <v/>
      </c>
      <c r="P29" s="101" t="str">
        <f aca="false">IF($B29="","",I29*(cfg_EOS_R1*MIN((MAX(0,IF(OR(الموظفون!$AE29="",الموظفون!$AE29&gt;=cfg_Y_START),cfg_Y_START-1,الموظفون!$AE29)-D29+1-SUMIFS('سجل الإجازات والحالات'!$R$6:$R$505,'سجل الإجازات والحالات'!$B$6:$B$505,$B29))/cfg_DAYS_Y),cfg_EOS_TH)+cfg_EOS_R2*MAX((MAX(0,IF(OR(الموظفون!$AE29="",الموظفون!$AE29&gt;=cfg_Y_START),cfg_Y_START-1,الموظفون!$AE29)-D29+1-SUMIFS('سجل الإجازات والحالات'!$R$6:$R$505,'سجل الإجازات والحالات'!$B$6:$B$505,$B29))/cfg_DAYS_Y)-cfg_EOS_TH,0)))</f>
        <v/>
      </c>
      <c r="Q29" s="101" t="str">
        <f aca="false">IF($B29="","",O29-P29)</f>
        <v/>
      </c>
      <c r="R29" s="101" t="str">
        <f aca="false">IF($B29="","",SUMIFS('الحركات الشهرية'!$N$6:$N$1005,'الحركات الشهرية'!$B$6:$B$1005,B29,'الحركات الشهرية'!$A$6:$A$1005,"&lt;="&amp;cfg_VAL_M))</f>
        <v/>
      </c>
      <c r="S29" s="151" t="str">
        <f aca="false">IF($B29="","",P29+Q29-R29)</f>
        <v/>
      </c>
      <c r="T29" s="102" t="str">
        <f aca="false">IF($B29="","",IF(S29&lt;-0.01,"✖ صرف أكثر من المستحق",IF(AND(M29&lt;&gt;"على رأس العمل",S29&gt;0.01),"⚠ مستحق لم يُصرف","✔ سليم")))</f>
        <v/>
      </c>
    </row>
    <row r="30" customFormat="false" ht="15" hidden="false" customHeight="false" outlineLevel="0" collapsed="false">
      <c r="B30" s="80" t="str">
        <f aca="false">IF(الموظفون!$B30="","",الموظفون!$B30)</f>
        <v/>
      </c>
      <c r="C30" s="80" t="str">
        <f aca="false">IF($B30="","",الموظفون!$C30)</f>
        <v/>
      </c>
      <c r="D30" s="147" t="str">
        <f aca="false">IF($B30="","",الموظفون!$H30)</f>
        <v/>
      </c>
      <c r="E30" s="147" t="str">
        <f aca="false">IF($B30="","",IF(OR(الموظفون!$AE30="",الموظفون!$AE30&gt;cfg_VAL_DATE),cfg_VAL_DATE,الموظفون!$AE30))</f>
        <v/>
      </c>
      <c r="F30" s="80" t="str">
        <f aca="false">IF($B30="","",IF(E30&lt;D30,"لم يباشر",DATEDIF(D30,E30+1,"y")&amp;" سنة "&amp;DATEDIF(D30,E30+1,"ym")&amp;" شهر "&amp;DATEDIF(D30,E30+1,"md")&amp;" يوم"))</f>
        <v/>
      </c>
      <c r="G30" s="57" t="str">
        <f aca="false">IF($B30="","",SUMIFS('سجل الإجازات والحالات'!$S$6:$S$505,'سجل الإجازات والحالات'!$B$6:$B$505,$B30))</f>
        <v/>
      </c>
      <c r="H30" s="130" t="str">
        <f aca="false">IF($B30="","",MAX(0,E30-D30+1-G30)/cfg_DAYS_Y)</f>
        <v/>
      </c>
      <c r="I30" s="97" t="str">
        <f aca="false">IF($B30="","",الموظفون!$Q30)</f>
        <v/>
      </c>
      <c r="J30" s="97" t="str">
        <f aca="false">IF($B30="","",I30*cfg_EOS_R1*MIN(H30,cfg_EOS_TH))</f>
        <v/>
      </c>
      <c r="K30" s="97" t="str">
        <f aca="false">IF($B30="","",I30*cfg_EOS_R2*MAX(H30-cfg_EOS_TH,0))</f>
        <v/>
      </c>
      <c r="L30" s="97" t="str">
        <f aca="false">IF($B30="","",J30+K30)</f>
        <v/>
      </c>
      <c r="M30" s="80" t="str">
        <f aca="false">IF($B30="","",IF(AND(الموظفون!$AE30&lt;&gt;"",الموظفون!$AE30&lt;=cfg_VAL_DATE),IF(الموظفون!$AF30="","⚠ حدد السبب",الموظفون!$AF30),"على رأس العمل"))</f>
        <v/>
      </c>
      <c r="N30" s="58" t="str">
        <f aca="false">IF($B30="","",VLOOKUP(H30,cfg_RES,2,TRUE()))</f>
        <v/>
      </c>
      <c r="O30" s="97" t="str">
        <f aca="false">IF($B30="","",IF(M30="استقالة",L30*N30,L30))</f>
        <v/>
      </c>
      <c r="P30" s="97" t="str">
        <f aca="false">IF($B30="","",I30*(cfg_EOS_R1*MIN((MAX(0,IF(OR(الموظفون!$AE30="",الموظفون!$AE30&gt;=cfg_Y_START),cfg_Y_START-1,الموظفون!$AE30)-D30+1-SUMIFS('سجل الإجازات والحالات'!$R$6:$R$505,'سجل الإجازات والحالات'!$B$6:$B$505,$B30))/cfg_DAYS_Y),cfg_EOS_TH)+cfg_EOS_R2*MAX((MAX(0,IF(OR(الموظفون!$AE30="",الموظفون!$AE30&gt;=cfg_Y_START),cfg_Y_START-1,الموظفون!$AE30)-D30+1-SUMIFS('سجل الإجازات والحالات'!$R$6:$R$505,'سجل الإجازات والحالات'!$B$6:$B$505,$B30))/cfg_DAYS_Y)-cfg_EOS_TH,0)))</f>
        <v/>
      </c>
      <c r="Q30" s="97" t="str">
        <f aca="false">IF($B30="","",O30-P30)</f>
        <v/>
      </c>
      <c r="R30" s="97" t="str">
        <f aca="false">IF($B30="","",SUMIFS('الحركات الشهرية'!$N$6:$N$1005,'الحركات الشهرية'!$B$6:$B$1005,B30,'الحركات الشهرية'!$A$6:$A$1005,"&lt;="&amp;cfg_VAL_M))</f>
        <v/>
      </c>
      <c r="S30" s="150" t="str">
        <f aca="false">IF($B30="","",P30+Q30-R30)</f>
        <v/>
      </c>
      <c r="T30" s="80" t="str">
        <f aca="false">IF($B30="","",IF(S30&lt;-0.01,"✖ صرف أكثر من المستحق",IF(AND(M30&lt;&gt;"على رأس العمل",S30&gt;0.01),"⚠ مستحق لم يُصرف","✔ سليم")))</f>
        <v/>
      </c>
    </row>
    <row r="31" customFormat="false" ht="15" hidden="false" customHeight="false" outlineLevel="0" collapsed="false">
      <c r="B31" s="102" t="str">
        <f aca="false">IF(الموظفون!$B31="","",الموظفون!$B31)</f>
        <v/>
      </c>
      <c r="C31" s="102" t="str">
        <f aca="false">IF($B31="","",الموظفون!$C31)</f>
        <v/>
      </c>
      <c r="D31" s="148" t="str">
        <f aca="false">IF($B31="","",الموظفون!$H31)</f>
        <v/>
      </c>
      <c r="E31" s="148" t="str">
        <f aca="false">IF($B31="","",IF(OR(الموظفون!$AE31="",الموظفون!$AE31&gt;cfg_VAL_DATE),cfg_VAL_DATE,الموظفون!$AE31))</f>
        <v/>
      </c>
      <c r="F31" s="102" t="str">
        <f aca="false">IF($B31="","",IF(E31&lt;D31,"لم يباشر",DATEDIF(D31,E31+1,"y")&amp;" سنة "&amp;DATEDIF(D31,E31+1,"ym")&amp;" شهر "&amp;DATEDIF(D31,E31+1,"md")&amp;" يوم"))</f>
        <v/>
      </c>
      <c r="G31" s="110" t="str">
        <f aca="false">IF($B31="","",SUMIFS('سجل الإجازات والحالات'!$S$6:$S$505,'سجل الإجازات والحالات'!$B$6:$B$505,$B31))</f>
        <v/>
      </c>
      <c r="H31" s="135" t="str">
        <f aca="false">IF($B31="","",MAX(0,E31-D31+1-G31)/cfg_DAYS_Y)</f>
        <v/>
      </c>
      <c r="I31" s="101" t="str">
        <f aca="false">IF($B31="","",الموظفون!$Q31)</f>
        <v/>
      </c>
      <c r="J31" s="101" t="str">
        <f aca="false">IF($B31="","",I31*cfg_EOS_R1*MIN(H31,cfg_EOS_TH))</f>
        <v/>
      </c>
      <c r="K31" s="101" t="str">
        <f aca="false">IF($B31="","",I31*cfg_EOS_R2*MAX(H31-cfg_EOS_TH,0))</f>
        <v/>
      </c>
      <c r="L31" s="101" t="str">
        <f aca="false">IF($B31="","",J31+K31)</f>
        <v/>
      </c>
      <c r="M31" s="102" t="str">
        <f aca="false">IF($B31="","",IF(AND(الموظفون!$AE31&lt;&gt;"",الموظفون!$AE31&lt;=cfg_VAL_DATE),IF(الموظفون!$AF31="","⚠ حدد السبب",الموظفون!$AF31),"على رأس العمل"))</f>
        <v/>
      </c>
      <c r="N31" s="111" t="str">
        <f aca="false">IF($B31="","",VLOOKUP(H31,cfg_RES,2,TRUE()))</f>
        <v/>
      </c>
      <c r="O31" s="101" t="str">
        <f aca="false">IF($B31="","",IF(M31="استقالة",L31*N31,L31))</f>
        <v/>
      </c>
      <c r="P31" s="101" t="str">
        <f aca="false">IF($B31="","",I31*(cfg_EOS_R1*MIN((MAX(0,IF(OR(الموظفون!$AE31="",الموظفون!$AE31&gt;=cfg_Y_START),cfg_Y_START-1,الموظفون!$AE31)-D31+1-SUMIFS('سجل الإجازات والحالات'!$R$6:$R$505,'سجل الإجازات والحالات'!$B$6:$B$505,$B31))/cfg_DAYS_Y),cfg_EOS_TH)+cfg_EOS_R2*MAX((MAX(0,IF(OR(الموظفون!$AE31="",الموظفون!$AE31&gt;=cfg_Y_START),cfg_Y_START-1,الموظفون!$AE31)-D31+1-SUMIFS('سجل الإجازات والحالات'!$R$6:$R$505,'سجل الإجازات والحالات'!$B$6:$B$505,$B31))/cfg_DAYS_Y)-cfg_EOS_TH,0)))</f>
        <v/>
      </c>
      <c r="Q31" s="101" t="str">
        <f aca="false">IF($B31="","",O31-P31)</f>
        <v/>
      </c>
      <c r="R31" s="101" t="str">
        <f aca="false">IF($B31="","",SUMIFS('الحركات الشهرية'!$N$6:$N$1005,'الحركات الشهرية'!$B$6:$B$1005,B31,'الحركات الشهرية'!$A$6:$A$1005,"&lt;="&amp;cfg_VAL_M))</f>
        <v/>
      </c>
      <c r="S31" s="151" t="str">
        <f aca="false">IF($B31="","",P31+Q31-R31)</f>
        <v/>
      </c>
      <c r="T31" s="102" t="str">
        <f aca="false">IF($B31="","",IF(S31&lt;-0.01,"✖ صرف أكثر من المستحق",IF(AND(M31&lt;&gt;"على رأس العمل",S31&gt;0.01),"⚠ مستحق لم يُصرف","✔ سليم")))</f>
        <v/>
      </c>
    </row>
    <row r="32" customFormat="false" ht="15" hidden="false" customHeight="false" outlineLevel="0" collapsed="false">
      <c r="B32" s="80" t="str">
        <f aca="false">IF(الموظفون!$B32="","",الموظفون!$B32)</f>
        <v/>
      </c>
      <c r="C32" s="80" t="str">
        <f aca="false">IF($B32="","",الموظفون!$C32)</f>
        <v/>
      </c>
      <c r="D32" s="147" t="str">
        <f aca="false">IF($B32="","",الموظفون!$H32)</f>
        <v/>
      </c>
      <c r="E32" s="147" t="str">
        <f aca="false">IF($B32="","",IF(OR(الموظفون!$AE32="",الموظفون!$AE32&gt;cfg_VAL_DATE),cfg_VAL_DATE,الموظفون!$AE32))</f>
        <v/>
      </c>
      <c r="F32" s="80" t="str">
        <f aca="false">IF($B32="","",IF(E32&lt;D32,"لم يباشر",DATEDIF(D32,E32+1,"y")&amp;" سنة "&amp;DATEDIF(D32,E32+1,"ym")&amp;" شهر "&amp;DATEDIF(D32,E32+1,"md")&amp;" يوم"))</f>
        <v/>
      </c>
      <c r="G32" s="57" t="str">
        <f aca="false">IF($B32="","",SUMIFS('سجل الإجازات والحالات'!$S$6:$S$505,'سجل الإجازات والحالات'!$B$6:$B$505,$B32))</f>
        <v/>
      </c>
      <c r="H32" s="130" t="str">
        <f aca="false">IF($B32="","",MAX(0,E32-D32+1-G32)/cfg_DAYS_Y)</f>
        <v/>
      </c>
      <c r="I32" s="97" t="str">
        <f aca="false">IF($B32="","",الموظفون!$Q32)</f>
        <v/>
      </c>
      <c r="J32" s="97" t="str">
        <f aca="false">IF($B32="","",I32*cfg_EOS_R1*MIN(H32,cfg_EOS_TH))</f>
        <v/>
      </c>
      <c r="K32" s="97" t="str">
        <f aca="false">IF($B32="","",I32*cfg_EOS_R2*MAX(H32-cfg_EOS_TH,0))</f>
        <v/>
      </c>
      <c r="L32" s="97" t="str">
        <f aca="false">IF($B32="","",J32+K32)</f>
        <v/>
      </c>
      <c r="M32" s="80" t="str">
        <f aca="false">IF($B32="","",IF(AND(الموظفون!$AE32&lt;&gt;"",الموظفون!$AE32&lt;=cfg_VAL_DATE),IF(الموظفون!$AF32="","⚠ حدد السبب",الموظفون!$AF32),"على رأس العمل"))</f>
        <v/>
      </c>
      <c r="N32" s="58" t="str">
        <f aca="false">IF($B32="","",VLOOKUP(H32,cfg_RES,2,TRUE()))</f>
        <v/>
      </c>
      <c r="O32" s="97" t="str">
        <f aca="false">IF($B32="","",IF(M32="استقالة",L32*N32,L32))</f>
        <v/>
      </c>
      <c r="P32" s="97" t="str">
        <f aca="false">IF($B32="","",I32*(cfg_EOS_R1*MIN((MAX(0,IF(OR(الموظفون!$AE32="",الموظفون!$AE32&gt;=cfg_Y_START),cfg_Y_START-1,الموظفون!$AE32)-D32+1-SUMIFS('سجل الإجازات والحالات'!$R$6:$R$505,'سجل الإجازات والحالات'!$B$6:$B$505,$B32))/cfg_DAYS_Y),cfg_EOS_TH)+cfg_EOS_R2*MAX((MAX(0,IF(OR(الموظفون!$AE32="",الموظفون!$AE32&gt;=cfg_Y_START),cfg_Y_START-1,الموظفون!$AE32)-D32+1-SUMIFS('سجل الإجازات والحالات'!$R$6:$R$505,'سجل الإجازات والحالات'!$B$6:$B$505,$B32))/cfg_DAYS_Y)-cfg_EOS_TH,0)))</f>
        <v/>
      </c>
      <c r="Q32" s="97" t="str">
        <f aca="false">IF($B32="","",O32-P32)</f>
        <v/>
      </c>
      <c r="R32" s="97" t="str">
        <f aca="false">IF($B32="","",SUMIFS('الحركات الشهرية'!$N$6:$N$1005,'الحركات الشهرية'!$B$6:$B$1005,B32,'الحركات الشهرية'!$A$6:$A$1005,"&lt;="&amp;cfg_VAL_M))</f>
        <v/>
      </c>
      <c r="S32" s="150" t="str">
        <f aca="false">IF($B32="","",P32+Q32-R32)</f>
        <v/>
      </c>
      <c r="T32" s="80" t="str">
        <f aca="false">IF($B32="","",IF(S32&lt;-0.01,"✖ صرف أكثر من المستحق",IF(AND(M32&lt;&gt;"على رأس العمل",S32&gt;0.01),"⚠ مستحق لم يُصرف","✔ سليم")))</f>
        <v/>
      </c>
    </row>
    <row r="33" customFormat="false" ht="15" hidden="false" customHeight="false" outlineLevel="0" collapsed="false">
      <c r="B33" s="102" t="str">
        <f aca="false">IF(الموظفون!$B33="","",الموظفون!$B33)</f>
        <v/>
      </c>
      <c r="C33" s="102" t="str">
        <f aca="false">IF($B33="","",الموظفون!$C33)</f>
        <v/>
      </c>
      <c r="D33" s="148" t="str">
        <f aca="false">IF($B33="","",الموظفون!$H33)</f>
        <v/>
      </c>
      <c r="E33" s="148" t="str">
        <f aca="false">IF($B33="","",IF(OR(الموظفون!$AE33="",الموظفون!$AE33&gt;cfg_VAL_DATE),cfg_VAL_DATE,الموظفون!$AE33))</f>
        <v/>
      </c>
      <c r="F33" s="102" t="str">
        <f aca="false">IF($B33="","",IF(E33&lt;D33,"لم يباشر",DATEDIF(D33,E33+1,"y")&amp;" سنة "&amp;DATEDIF(D33,E33+1,"ym")&amp;" شهر "&amp;DATEDIF(D33,E33+1,"md")&amp;" يوم"))</f>
        <v/>
      </c>
      <c r="G33" s="110" t="str">
        <f aca="false">IF($B33="","",SUMIFS('سجل الإجازات والحالات'!$S$6:$S$505,'سجل الإجازات والحالات'!$B$6:$B$505,$B33))</f>
        <v/>
      </c>
      <c r="H33" s="135" t="str">
        <f aca="false">IF($B33="","",MAX(0,E33-D33+1-G33)/cfg_DAYS_Y)</f>
        <v/>
      </c>
      <c r="I33" s="101" t="str">
        <f aca="false">IF($B33="","",الموظفون!$Q33)</f>
        <v/>
      </c>
      <c r="J33" s="101" t="str">
        <f aca="false">IF($B33="","",I33*cfg_EOS_R1*MIN(H33,cfg_EOS_TH))</f>
        <v/>
      </c>
      <c r="K33" s="101" t="str">
        <f aca="false">IF($B33="","",I33*cfg_EOS_R2*MAX(H33-cfg_EOS_TH,0))</f>
        <v/>
      </c>
      <c r="L33" s="101" t="str">
        <f aca="false">IF($B33="","",J33+K33)</f>
        <v/>
      </c>
      <c r="M33" s="102" t="str">
        <f aca="false">IF($B33="","",IF(AND(الموظفون!$AE33&lt;&gt;"",الموظفون!$AE33&lt;=cfg_VAL_DATE),IF(الموظفون!$AF33="","⚠ حدد السبب",الموظفون!$AF33),"على رأس العمل"))</f>
        <v/>
      </c>
      <c r="N33" s="111" t="str">
        <f aca="false">IF($B33="","",VLOOKUP(H33,cfg_RES,2,TRUE()))</f>
        <v/>
      </c>
      <c r="O33" s="101" t="str">
        <f aca="false">IF($B33="","",IF(M33="استقالة",L33*N33,L33))</f>
        <v/>
      </c>
      <c r="P33" s="101" t="str">
        <f aca="false">IF($B33="","",I33*(cfg_EOS_R1*MIN((MAX(0,IF(OR(الموظفون!$AE33="",الموظفون!$AE33&gt;=cfg_Y_START),cfg_Y_START-1,الموظفون!$AE33)-D33+1-SUMIFS('سجل الإجازات والحالات'!$R$6:$R$505,'سجل الإجازات والحالات'!$B$6:$B$505,$B33))/cfg_DAYS_Y),cfg_EOS_TH)+cfg_EOS_R2*MAX((MAX(0,IF(OR(الموظفون!$AE33="",الموظفون!$AE33&gt;=cfg_Y_START),cfg_Y_START-1,الموظفون!$AE33)-D33+1-SUMIFS('سجل الإجازات والحالات'!$R$6:$R$505,'سجل الإجازات والحالات'!$B$6:$B$505,$B33))/cfg_DAYS_Y)-cfg_EOS_TH,0)))</f>
        <v/>
      </c>
      <c r="Q33" s="101" t="str">
        <f aca="false">IF($B33="","",O33-P33)</f>
        <v/>
      </c>
      <c r="R33" s="101" t="str">
        <f aca="false">IF($B33="","",SUMIFS('الحركات الشهرية'!$N$6:$N$1005,'الحركات الشهرية'!$B$6:$B$1005,B33,'الحركات الشهرية'!$A$6:$A$1005,"&lt;="&amp;cfg_VAL_M))</f>
        <v/>
      </c>
      <c r="S33" s="151" t="str">
        <f aca="false">IF($B33="","",P33+Q33-R33)</f>
        <v/>
      </c>
      <c r="T33" s="102" t="str">
        <f aca="false">IF($B33="","",IF(S33&lt;-0.01,"✖ صرف أكثر من المستحق",IF(AND(M33&lt;&gt;"على رأس العمل",S33&gt;0.01),"⚠ مستحق لم يُصرف","✔ سليم")))</f>
        <v/>
      </c>
    </row>
    <row r="34" customFormat="false" ht="15" hidden="false" customHeight="false" outlineLevel="0" collapsed="false">
      <c r="B34" s="80" t="str">
        <f aca="false">IF(الموظفون!$B34="","",الموظفون!$B34)</f>
        <v/>
      </c>
      <c r="C34" s="80" t="str">
        <f aca="false">IF($B34="","",الموظفون!$C34)</f>
        <v/>
      </c>
      <c r="D34" s="147" t="str">
        <f aca="false">IF($B34="","",الموظفون!$H34)</f>
        <v/>
      </c>
      <c r="E34" s="147" t="str">
        <f aca="false">IF($B34="","",IF(OR(الموظفون!$AE34="",الموظفون!$AE34&gt;cfg_VAL_DATE),cfg_VAL_DATE,الموظفون!$AE34))</f>
        <v/>
      </c>
      <c r="F34" s="80" t="str">
        <f aca="false">IF($B34="","",IF(E34&lt;D34,"لم يباشر",DATEDIF(D34,E34+1,"y")&amp;" سنة "&amp;DATEDIF(D34,E34+1,"ym")&amp;" شهر "&amp;DATEDIF(D34,E34+1,"md")&amp;" يوم"))</f>
        <v/>
      </c>
      <c r="G34" s="57" t="str">
        <f aca="false">IF($B34="","",SUMIFS('سجل الإجازات والحالات'!$S$6:$S$505,'سجل الإجازات والحالات'!$B$6:$B$505,$B34))</f>
        <v/>
      </c>
      <c r="H34" s="130" t="str">
        <f aca="false">IF($B34="","",MAX(0,E34-D34+1-G34)/cfg_DAYS_Y)</f>
        <v/>
      </c>
      <c r="I34" s="97" t="str">
        <f aca="false">IF($B34="","",الموظفون!$Q34)</f>
        <v/>
      </c>
      <c r="J34" s="97" t="str">
        <f aca="false">IF($B34="","",I34*cfg_EOS_R1*MIN(H34,cfg_EOS_TH))</f>
        <v/>
      </c>
      <c r="K34" s="97" t="str">
        <f aca="false">IF($B34="","",I34*cfg_EOS_R2*MAX(H34-cfg_EOS_TH,0))</f>
        <v/>
      </c>
      <c r="L34" s="97" t="str">
        <f aca="false">IF($B34="","",J34+K34)</f>
        <v/>
      </c>
      <c r="M34" s="80" t="str">
        <f aca="false">IF($B34="","",IF(AND(الموظفون!$AE34&lt;&gt;"",الموظفون!$AE34&lt;=cfg_VAL_DATE),IF(الموظفون!$AF34="","⚠ حدد السبب",الموظفون!$AF34),"على رأس العمل"))</f>
        <v/>
      </c>
      <c r="N34" s="58" t="str">
        <f aca="false">IF($B34="","",VLOOKUP(H34,cfg_RES,2,TRUE()))</f>
        <v/>
      </c>
      <c r="O34" s="97" t="str">
        <f aca="false">IF($B34="","",IF(M34="استقالة",L34*N34,L34))</f>
        <v/>
      </c>
      <c r="P34" s="97" t="str">
        <f aca="false">IF($B34="","",I34*(cfg_EOS_R1*MIN((MAX(0,IF(OR(الموظفون!$AE34="",الموظفون!$AE34&gt;=cfg_Y_START),cfg_Y_START-1,الموظفون!$AE34)-D34+1-SUMIFS('سجل الإجازات والحالات'!$R$6:$R$505,'سجل الإجازات والحالات'!$B$6:$B$505,$B34))/cfg_DAYS_Y),cfg_EOS_TH)+cfg_EOS_R2*MAX((MAX(0,IF(OR(الموظفون!$AE34="",الموظفون!$AE34&gt;=cfg_Y_START),cfg_Y_START-1,الموظفون!$AE34)-D34+1-SUMIFS('سجل الإجازات والحالات'!$R$6:$R$505,'سجل الإجازات والحالات'!$B$6:$B$505,$B34))/cfg_DAYS_Y)-cfg_EOS_TH,0)))</f>
        <v/>
      </c>
      <c r="Q34" s="97" t="str">
        <f aca="false">IF($B34="","",O34-P34)</f>
        <v/>
      </c>
      <c r="R34" s="97" t="str">
        <f aca="false">IF($B34="","",SUMIFS('الحركات الشهرية'!$N$6:$N$1005,'الحركات الشهرية'!$B$6:$B$1005,B34,'الحركات الشهرية'!$A$6:$A$1005,"&lt;="&amp;cfg_VAL_M))</f>
        <v/>
      </c>
      <c r="S34" s="150" t="str">
        <f aca="false">IF($B34="","",P34+Q34-R34)</f>
        <v/>
      </c>
      <c r="T34" s="80" t="str">
        <f aca="false">IF($B34="","",IF(S34&lt;-0.01,"✖ صرف أكثر من المستحق",IF(AND(M34&lt;&gt;"على رأس العمل",S34&gt;0.01),"⚠ مستحق لم يُصرف","✔ سليم")))</f>
        <v/>
      </c>
    </row>
    <row r="35" customFormat="false" ht="15" hidden="false" customHeight="false" outlineLevel="0" collapsed="false">
      <c r="B35" s="102" t="str">
        <f aca="false">IF(الموظفون!$B35="","",الموظفون!$B35)</f>
        <v/>
      </c>
      <c r="C35" s="102" t="str">
        <f aca="false">IF($B35="","",الموظفون!$C35)</f>
        <v/>
      </c>
      <c r="D35" s="148" t="str">
        <f aca="false">IF($B35="","",الموظفون!$H35)</f>
        <v/>
      </c>
      <c r="E35" s="148" t="str">
        <f aca="false">IF($B35="","",IF(OR(الموظفون!$AE35="",الموظفون!$AE35&gt;cfg_VAL_DATE),cfg_VAL_DATE,الموظفون!$AE35))</f>
        <v/>
      </c>
      <c r="F35" s="102" t="str">
        <f aca="false">IF($B35="","",IF(E35&lt;D35,"لم يباشر",DATEDIF(D35,E35+1,"y")&amp;" سنة "&amp;DATEDIF(D35,E35+1,"ym")&amp;" شهر "&amp;DATEDIF(D35,E35+1,"md")&amp;" يوم"))</f>
        <v/>
      </c>
      <c r="G35" s="110" t="str">
        <f aca="false">IF($B35="","",SUMIFS('سجل الإجازات والحالات'!$S$6:$S$505,'سجل الإجازات والحالات'!$B$6:$B$505,$B35))</f>
        <v/>
      </c>
      <c r="H35" s="135" t="str">
        <f aca="false">IF($B35="","",MAX(0,E35-D35+1-G35)/cfg_DAYS_Y)</f>
        <v/>
      </c>
      <c r="I35" s="101" t="str">
        <f aca="false">IF($B35="","",الموظفون!$Q35)</f>
        <v/>
      </c>
      <c r="J35" s="101" t="str">
        <f aca="false">IF($B35="","",I35*cfg_EOS_R1*MIN(H35,cfg_EOS_TH))</f>
        <v/>
      </c>
      <c r="K35" s="101" t="str">
        <f aca="false">IF($B35="","",I35*cfg_EOS_R2*MAX(H35-cfg_EOS_TH,0))</f>
        <v/>
      </c>
      <c r="L35" s="101" t="str">
        <f aca="false">IF($B35="","",J35+K35)</f>
        <v/>
      </c>
      <c r="M35" s="102" t="str">
        <f aca="false">IF($B35="","",IF(AND(الموظفون!$AE35&lt;&gt;"",الموظفون!$AE35&lt;=cfg_VAL_DATE),IF(الموظفون!$AF35="","⚠ حدد السبب",الموظفون!$AF35),"على رأس العمل"))</f>
        <v/>
      </c>
      <c r="N35" s="111" t="str">
        <f aca="false">IF($B35="","",VLOOKUP(H35,cfg_RES,2,TRUE()))</f>
        <v/>
      </c>
      <c r="O35" s="101" t="str">
        <f aca="false">IF($B35="","",IF(M35="استقالة",L35*N35,L35))</f>
        <v/>
      </c>
      <c r="P35" s="101" t="str">
        <f aca="false">IF($B35="","",I35*(cfg_EOS_R1*MIN((MAX(0,IF(OR(الموظفون!$AE35="",الموظفون!$AE35&gt;=cfg_Y_START),cfg_Y_START-1,الموظفون!$AE35)-D35+1-SUMIFS('سجل الإجازات والحالات'!$R$6:$R$505,'سجل الإجازات والحالات'!$B$6:$B$505,$B35))/cfg_DAYS_Y),cfg_EOS_TH)+cfg_EOS_R2*MAX((MAX(0,IF(OR(الموظفون!$AE35="",الموظفون!$AE35&gt;=cfg_Y_START),cfg_Y_START-1,الموظفون!$AE35)-D35+1-SUMIFS('سجل الإجازات والحالات'!$R$6:$R$505,'سجل الإجازات والحالات'!$B$6:$B$505,$B35))/cfg_DAYS_Y)-cfg_EOS_TH,0)))</f>
        <v/>
      </c>
      <c r="Q35" s="101" t="str">
        <f aca="false">IF($B35="","",O35-P35)</f>
        <v/>
      </c>
      <c r="R35" s="101" t="str">
        <f aca="false">IF($B35="","",SUMIFS('الحركات الشهرية'!$N$6:$N$1005,'الحركات الشهرية'!$B$6:$B$1005,B35,'الحركات الشهرية'!$A$6:$A$1005,"&lt;="&amp;cfg_VAL_M))</f>
        <v/>
      </c>
      <c r="S35" s="151" t="str">
        <f aca="false">IF($B35="","",P35+Q35-R35)</f>
        <v/>
      </c>
      <c r="T35" s="102" t="str">
        <f aca="false">IF($B35="","",IF(S35&lt;-0.01,"✖ صرف أكثر من المستحق",IF(AND(M35&lt;&gt;"على رأس العمل",S35&gt;0.01),"⚠ مستحق لم يُصرف","✔ سليم")))</f>
        <v/>
      </c>
    </row>
    <row r="36" customFormat="false" ht="15" hidden="false" customHeight="false" outlineLevel="0" collapsed="false">
      <c r="B36" s="80" t="str">
        <f aca="false">IF(الموظفون!$B36="","",الموظفون!$B36)</f>
        <v/>
      </c>
      <c r="C36" s="80" t="str">
        <f aca="false">IF($B36="","",الموظفون!$C36)</f>
        <v/>
      </c>
      <c r="D36" s="147" t="str">
        <f aca="false">IF($B36="","",الموظفون!$H36)</f>
        <v/>
      </c>
      <c r="E36" s="147" t="str">
        <f aca="false">IF($B36="","",IF(OR(الموظفون!$AE36="",الموظفون!$AE36&gt;cfg_VAL_DATE),cfg_VAL_DATE,الموظفون!$AE36))</f>
        <v/>
      </c>
      <c r="F36" s="80" t="str">
        <f aca="false">IF($B36="","",IF(E36&lt;D36,"لم يباشر",DATEDIF(D36,E36+1,"y")&amp;" سنة "&amp;DATEDIF(D36,E36+1,"ym")&amp;" شهر "&amp;DATEDIF(D36,E36+1,"md")&amp;" يوم"))</f>
        <v/>
      </c>
      <c r="G36" s="57" t="str">
        <f aca="false">IF($B36="","",SUMIFS('سجل الإجازات والحالات'!$S$6:$S$505,'سجل الإجازات والحالات'!$B$6:$B$505,$B36))</f>
        <v/>
      </c>
      <c r="H36" s="130" t="str">
        <f aca="false">IF($B36="","",MAX(0,E36-D36+1-G36)/cfg_DAYS_Y)</f>
        <v/>
      </c>
      <c r="I36" s="97" t="str">
        <f aca="false">IF($B36="","",الموظفون!$Q36)</f>
        <v/>
      </c>
      <c r="J36" s="97" t="str">
        <f aca="false">IF($B36="","",I36*cfg_EOS_R1*MIN(H36,cfg_EOS_TH))</f>
        <v/>
      </c>
      <c r="K36" s="97" t="str">
        <f aca="false">IF($B36="","",I36*cfg_EOS_R2*MAX(H36-cfg_EOS_TH,0))</f>
        <v/>
      </c>
      <c r="L36" s="97" t="str">
        <f aca="false">IF($B36="","",J36+K36)</f>
        <v/>
      </c>
      <c r="M36" s="80" t="str">
        <f aca="false">IF($B36="","",IF(AND(الموظفون!$AE36&lt;&gt;"",الموظفون!$AE36&lt;=cfg_VAL_DATE),IF(الموظفون!$AF36="","⚠ حدد السبب",الموظفون!$AF36),"على رأس العمل"))</f>
        <v/>
      </c>
      <c r="N36" s="58" t="str">
        <f aca="false">IF($B36="","",VLOOKUP(H36,cfg_RES,2,TRUE()))</f>
        <v/>
      </c>
      <c r="O36" s="97" t="str">
        <f aca="false">IF($B36="","",IF(M36="استقالة",L36*N36,L36))</f>
        <v/>
      </c>
      <c r="P36" s="97" t="str">
        <f aca="false">IF($B36="","",I36*(cfg_EOS_R1*MIN((MAX(0,IF(OR(الموظفون!$AE36="",الموظفون!$AE36&gt;=cfg_Y_START),cfg_Y_START-1,الموظفون!$AE36)-D36+1-SUMIFS('سجل الإجازات والحالات'!$R$6:$R$505,'سجل الإجازات والحالات'!$B$6:$B$505,$B36))/cfg_DAYS_Y),cfg_EOS_TH)+cfg_EOS_R2*MAX((MAX(0,IF(OR(الموظفون!$AE36="",الموظفون!$AE36&gt;=cfg_Y_START),cfg_Y_START-1,الموظفون!$AE36)-D36+1-SUMIFS('سجل الإجازات والحالات'!$R$6:$R$505,'سجل الإجازات والحالات'!$B$6:$B$505,$B36))/cfg_DAYS_Y)-cfg_EOS_TH,0)))</f>
        <v/>
      </c>
      <c r="Q36" s="97" t="str">
        <f aca="false">IF($B36="","",O36-P36)</f>
        <v/>
      </c>
      <c r="R36" s="97" t="str">
        <f aca="false">IF($B36="","",SUMIFS('الحركات الشهرية'!$N$6:$N$1005,'الحركات الشهرية'!$B$6:$B$1005,B36,'الحركات الشهرية'!$A$6:$A$1005,"&lt;="&amp;cfg_VAL_M))</f>
        <v/>
      </c>
      <c r="S36" s="150" t="str">
        <f aca="false">IF($B36="","",P36+Q36-R36)</f>
        <v/>
      </c>
      <c r="T36" s="80" t="str">
        <f aca="false">IF($B36="","",IF(S36&lt;-0.01,"✖ صرف أكثر من المستحق",IF(AND(M36&lt;&gt;"على رأس العمل",S36&gt;0.01),"⚠ مستحق لم يُصرف","✔ سليم")))</f>
        <v/>
      </c>
    </row>
    <row r="37" customFormat="false" ht="15" hidden="false" customHeight="false" outlineLevel="0" collapsed="false">
      <c r="B37" s="102" t="str">
        <f aca="false">IF(الموظفون!$B37="","",الموظفون!$B37)</f>
        <v/>
      </c>
      <c r="C37" s="102" t="str">
        <f aca="false">IF($B37="","",الموظفون!$C37)</f>
        <v/>
      </c>
      <c r="D37" s="148" t="str">
        <f aca="false">IF($B37="","",الموظفون!$H37)</f>
        <v/>
      </c>
      <c r="E37" s="148" t="str">
        <f aca="false">IF($B37="","",IF(OR(الموظفون!$AE37="",الموظفون!$AE37&gt;cfg_VAL_DATE),cfg_VAL_DATE,الموظفون!$AE37))</f>
        <v/>
      </c>
      <c r="F37" s="102" t="str">
        <f aca="false">IF($B37="","",IF(E37&lt;D37,"لم يباشر",DATEDIF(D37,E37+1,"y")&amp;" سنة "&amp;DATEDIF(D37,E37+1,"ym")&amp;" شهر "&amp;DATEDIF(D37,E37+1,"md")&amp;" يوم"))</f>
        <v/>
      </c>
      <c r="G37" s="110" t="str">
        <f aca="false">IF($B37="","",SUMIFS('سجل الإجازات والحالات'!$S$6:$S$505,'سجل الإجازات والحالات'!$B$6:$B$505,$B37))</f>
        <v/>
      </c>
      <c r="H37" s="135" t="str">
        <f aca="false">IF($B37="","",MAX(0,E37-D37+1-G37)/cfg_DAYS_Y)</f>
        <v/>
      </c>
      <c r="I37" s="101" t="str">
        <f aca="false">IF($B37="","",الموظفون!$Q37)</f>
        <v/>
      </c>
      <c r="J37" s="101" t="str">
        <f aca="false">IF($B37="","",I37*cfg_EOS_R1*MIN(H37,cfg_EOS_TH))</f>
        <v/>
      </c>
      <c r="K37" s="101" t="str">
        <f aca="false">IF($B37="","",I37*cfg_EOS_R2*MAX(H37-cfg_EOS_TH,0))</f>
        <v/>
      </c>
      <c r="L37" s="101" t="str">
        <f aca="false">IF($B37="","",J37+K37)</f>
        <v/>
      </c>
      <c r="M37" s="102" t="str">
        <f aca="false">IF($B37="","",IF(AND(الموظفون!$AE37&lt;&gt;"",الموظفون!$AE37&lt;=cfg_VAL_DATE),IF(الموظفون!$AF37="","⚠ حدد السبب",الموظفون!$AF37),"على رأس العمل"))</f>
        <v/>
      </c>
      <c r="N37" s="111" t="str">
        <f aca="false">IF($B37="","",VLOOKUP(H37,cfg_RES,2,TRUE()))</f>
        <v/>
      </c>
      <c r="O37" s="101" t="str">
        <f aca="false">IF($B37="","",IF(M37="استقالة",L37*N37,L37))</f>
        <v/>
      </c>
      <c r="P37" s="101" t="str">
        <f aca="false">IF($B37="","",I37*(cfg_EOS_R1*MIN((MAX(0,IF(OR(الموظفون!$AE37="",الموظفون!$AE37&gt;=cfg_Y_START),cfg_Y_START-1,الموظفون!$AE37)-D37+1-SUMIFS('سجل الإجازات والحالات'!$R$6:$R$505,'سجل الإجازات والحالات'!$B$6:$B$505,$B37))/cfg_DAYS_Y),cfg_EOS_TH)+cfg_EOS_R2*MAX((MAX(0,IF(OR(الموظفون!$AE37="",الموظفون!$AE37&gt;=cfg_Y_START),cfg_Y_START-1,الموظفون!$AE37)-D37+1-SUMIFS('سجل الإجازات والحالات'!$R$6:$R$505,'سجل الإجازات والحالات'!$B$6:$B$505,$B37))/cfg_DAYS_Y)-cfg_EOS_TH,0)))</f>
        <v/>
      </c>
      <c r="Q37" s="101" t="str">
        <f aca="false">IF($B37="","",O37-P37)</f>
        <v/>
      </c>
      <c r="R37" s="101" t="str">
        <f aca="false">IF($B37="","",SUMIFS('الحركات الشهرية'!$N$6:$N$1005,'الحركات الشهرية'!$B$6:$B$1005,B37,'الحركات الشهرية'!$A$6:$A$1005,"&lt;="&amp;cfg_VAL_M))</f>
        <v/>
      </c>
      <c r="S37" s="151" t="str">
        <f aca="false">IF($B37="","",P37+Q37-R37)</f>
        <v/>
      </c>
      <c r="T37" s="102" t="str">
        <f aca="false">IF($B37="","",IF(S37&lt;-0.01,"✖ صرف أكثر من المستحق",IF(AND(M37&lt;&gt;"على رأس العمل",S37&gt;0.01),"⚠ مستحق لم يُصرف","✔ سليم")))</f>
        <v/>
      </c>
    </row>
    <row r="38" customFormat="false" ht="15" hidden="false" customHeight="false" outlineLevel="0" collapsed="false">
      <c r="B38" s="80" t="str">
        <f aca="false">IF(الموظفون!$B38="","",الموظفون!$B38)</f>
        <v/>
      </c>
      <c r="C38" s="80" t="str">
        <f aca="false">IF($B38="","",الموظفون!$C38)</f>
        <v/>
      </c>
      <c r="D38" s="147" t="str">
        <f aca="false">IF($B38="","",الموظفون!$H38)</f>
        <v/>
      </c>
      <c r="E38" s="147" t="str">
        <f aca="false">IF($B38="","",IF(OR(الموظفون!$AE38="",الموظفون!$AE38&gt;cfg_VAL_DATE),cfg_VAL_DATE,الموظفون!$AE38))</f>
        <v/>
      </c>
      <c r="F38" s="80" t="str">
        <f aca="false">IF($B38="","",IF(E38&lt;D38,"لم يباشر",DATEDIF(D38,E38+1,"y")&amp;" سنة "&amp;DATEDIF(D38,E38+1,"ym")&amp;" شهر "&amp;DATEDIF(D38,E38+1,"md")&amp;" يوم"))</f>
        <v/>
      </c>
      <c r="G38" s="57" t="str">
        <f aca="false">IF($B38="","",SUMIFS('سجل الإجازات والحالات'!$S$6:$S$505,'سجل الإجازات والحالات'!$B$6:$B$505,$B38))</f>
        <v/>
      </c>
      <c r="H38" s="130" t="str">
        <f aca="false">IF($B38="","",MAX(0,E38-D38+1-G38)/cfg_DAYS_Y)</f>
        <v/>
      </c>
      <c r="I38" s="97" t="str">
        <f aca="false">IF($B38="","",الموظفون!$Q38)</f>
        <v/>
      </c>
      <c r="J38" s="97" t="str">
        <f aca="false">IF($B38="","",I38*cfg_EOS_R1*MIN(H38,cfg_EOS_TH))</f>
        <v/>
      </c>
      <c r="K38" s="97" t="str">
        <f aca="false">IF($B38="","",I38*cfg_EOS_R2*MAX(H38-cfg_EOS_TH,0))</f>
        <v/>
      </c>
      <c r="L38" s="97" t="str">
        <f aca="false">IF($B38="","",J38+K38)</f>
        <v/>
      </c>
      <c r="M38" s="80" t="str">
        <f aca="false">IF($B38="","",IF(AND(الموظفون!$AE38&lt;&gt;"",الموظفون!$AE38&lt;=cfg_VAL_DATE),IF(الموظفون!$AF38="","⚠ حدد السبب",الموظفون!$AF38),"على رأس العمل"))</f>
        <v/>
      </c>
      <c r="N38" s="58" t="str">
        <f aca="false">IF($B38="","",VLOOKUP(H38,cfg_RES,2,TRUE()))</f>
        <v/>
      </c>
      <c r="O38" s="97" t="str">
        <f aca="false">IF($B38="","",IF(M38="استقالة",L38*N38,L38))</f>
        <v/>
      </c>
      <c r="P38" s="97" t="str">
        <f aca="false">IF($B38="","",I38*(cfg_EOS_R1*MIN((MAX(0,IF(OR(الموظفون!$AE38="",الموظفون!$AE38&gt;=cfg_Y_START),cfg_Y_START-1,الموظفون!$AE38)-D38+1-SUMIFS('سجل الإجازات والحالات'!$R$6:$R$505,'سجل الإجازات والحالات'!$B$6:$B$505,$B38))/cfg_DAYS_Y),cfg_EOS_TH)+cfg_EOS_R2*MAX((MAX(0,IF(OR(الموظفون!$AE38="",الموظفون!$AE38&gt;=cfg_Y_START),cfg_Y_START-1,الموظفون!$AE38)-D38+1-SUMIFS('سجل الإجازات والحالات'!$R$6:$R$505,'سجل الإجازات والحالات'!$B$6:$B$505,$B38))/cfg_DAYS_Y)-cfg_EOS_TH,0)))</f>
        <v/>
      </c>
      <c r="Q38" s="97" t="str">
        <f aca="false">IF($B38="","",O38-P38)</f>
        <v/>
      </c>
      <c r="R38" s="97" t="str">
        <f aca="false">IF($B38="","",SUMIFS('الحركات الشهرية'!$N$6:$N$1005,'الحركات الشهرية'!$B$6:$B$1005,B38,'الحركات الشهرية'!$A$6:$A$1005,"&lt;="&amp;cfg_VAL_M))</f>
        <v/>
      </c>
      <c r="S38" s="150" t="str">
        <f aca="false">IF($B38="","",P38+Q38-R38)</f>
        <v/>
      </c>
      <c r="T38" s="80" t="str">
        <f aca="false">IF($B38="","",IF(S38&lt;-0.01,"✖ صرف أكثر من المستحق",IF(AND(M38&lt;&gt;"على رأس العمل",S38&gt;0.01),"⚠ مستحق لم يُصرف","✔ سليم")))</f>
        <v/>
      </c>
    </row>
    <row r="39" customFormat="false" ht="15" hidden="false" customHeight="false" outlineLevel="0" collapsed="false">
      <c r="B39" s="102" t="str">
        <f aca="false">IF(الموظفون!$B39="","",الموظفون!$B39)</f>
        <v/>
      </c>
      <c r="C39" s="102" t="str">
        <f aca="false">IF($B39="","",الموظفون!$C39)</f>
        <v/>
      </c>
      <c r="D39" s="148" t="str">
        <f aca="false">IF($B39="","",الموظفون!$H39)</f>
        <v/>
      </c>
      <c r="E39" s="148" t="str">
        <f aca="false">IF($B39="","",IF(OR(الموظفون!$AE39="",الموظفون!$AE39&gt;cfg_VAL_DATE),cfg_VAL_DATE,الموظفون!$AE39))</f>
        <v/>
      </c>
      <c r="F39" s="102" t="str">
        <f aca="false">IF($B39="","",IF(E39&lt;D39,"لم يباشر",DATEDIF(D39,E39+1,"y")&amp;" سنة "&amp;DATEDIF(D39,E39+1,"ym")&amp;" شهر "&amp;DATEDIF(D39,E39+1,"md")&amp;" يوم"))</f>
        <v/>
      </c>
      <c r="G39" s="110" t="str">
        <f aca="false">IF($B39="","",SUMIFS('سجل الإجازات والحالات'!$S$6:$S$505,'سجل الإجازات والحالات'!$B$6:$B$505,$B39))</f>
        <v/>
      </c>
      <c r="H39" s="135" t="str">
        <f aca="false">IF($B39="","",MAX(0,E39-D39+1-G39)/cfg_DAYS_Y)</f>
        <v/>
      </c>
      <c r="I39" s="101" t="str">
        <f aca="false">IF($B39="","",الموظفون!$Q39)</f>
        <v/>
      </c>
      <c r="J39" s="101" t="str">
        <f aca="false">IF($B39="","",I39*cfg_EOS_R1*MIN(H39,cfg_EOS_TH))</f>
        <v/>
      </c>
      <c r="K39" s="101" t="str">
        <f aca="false">IF($B39="","",I39*cfg_EOS_R2*MAX(H39-cfg_EOS_TH,0))</f>
        <v/>
      </c>
      <c r="L39" s="101" t="str">
        <f aca="false">IF($B39="","",J39+K39)</f>
        <v/>
      </c>
      <c r="M39" s="102" t="str">
        <f aca="false">IF($B39="","",IF(AND(الموظفون!$AE39&lt;&gt;"",الموظفون!$AE39&lt;=cfg_VAL_DATE),IF(الموظفون!$AF39="","⚠ حدد السبب",الموظفون!$AF39),"على رأس العمل"))</f>
        <v/>
      </c>
      <c r="N39" s="111" t="str">
        <f aca="false">IF($B39="","",VLOOKUP(H39,cfg_RES,2,TRUE()))</f>
        <v/>
      </c>
      <c r="O39" s="101" t="str">
        <f aca="false">IF($B39="","",IF(M39="استقالة",L39*N39,L39))</f>
        <v/>
      </c>
      <c r="P39" s="101" t="str">
        <f aca="false">IF($B39="","",I39*(cfg_EOS_R1*MIN((MAX(0,IF(OR(الموظفون!$AE39="",الموظفون!$AE39&gt;=cfg_Y_START),cfg_Y_START-1,الموظفون!$AE39)-D39+1-SUMIFS('سجل الإجازات والحالات'!$R$6:$R$505,'سجل الإجازات والحالات'!$B$6:$B$505,$B39))/cfg_DAYS_Y),cfg_EOS_TH)+cfg_EOS_R2*MAX((MAX(0,IF(OR(الموظفون!$AE39="",الموظفون!$AE39&gt;=cfg_Y_START),cfg_Y_START-1,الموظفون!$AE39)-D39+1-SUMIFS('سجل الإجازات والحالات'!$R$6:$R$505,'سجل الإجازات والحالات'!$B$6:$B$505,$B39))/cfg_DAYS_Y)-cfg_EOS_TH,0)))</f>
        <v/>
      </c>
      <c r="Q39" s="101" t="str">
        <f aca="false">IF($B39="","",O39-P39)</f>
        <v/>
      </c>
      <c r="R39" s="101" t="str">
        <f aca="false">IF($B39="","",SUMIFS('الحركات الشهرية'!$N$6:$N$1005,'الحركات الشهرية'!$B$6:$B$1005,B39,'الحركات الشهرية'!$A$6:$A$1005,"&lt;="&amp;cfg_VAL_M))</f>
        <v/>
      </c>
      <c r="S39" s="151" t="str">
        <f aca="false">IF($B39="","",P39+Q39-R39)</f>
        <v/>
      </c>
      <c r="T39" s="102" t="str">
        <f aca="false">IF($B39="","",IF(S39&lt;-0.01,"✖ صرف أكثر من المستحق",IF(AND(M39&lt;&gt;"على رأس العمل",S39&gt;0.01),"⚠ مستحق لم يُصرف","✔ سليم")))</f>
        <v/>
      </c>
    </row>
    <row r="40" customFormat="false" ht="15" hidden="false" customHeight="false" outlineLevel="0" collapsed="false">
      <c r="B40" s="80" t="str">
        <f aca="false">IF(الموظفون!$B40="","",الموظفون!$B40)</f>
        <v/>
      </c>
      <c r="C40" s="80" t="str">
        <f aca="false">IF($B40="","",الموظفون!$C40)</f>
        <v/>
      </c>
      <c r="D40" s="147" t="str">
        <f aca="false">IF($B40="","",الموظفون!$H40)</f>
        <v/>
      </c>
      <c r="E40" s="147" t="str">
        <f aca="false">IF($B40="","",IF(OR(الموظفون!$AE40="",الموظفون!$AE40&gt;cfg_VAL_DATE),cfg_VAL_DATE,الموظفون!$AE40))</f>
        <v/>
      </c>
      <c r="F40" s="80" t="str">
        <f aca="false">IF($B40="","",IF(E40&lt;D40,"لم يباشر",DATEDIF(D40,E40+1,"y")&amp;" سنة "&amp;DATEDIF(D40,E40+1,"ym")&amp;" شهر "&amp;DATEDIF(D40,E40+1,"md")&amp;" يوم"))</f>
        <v/>
      </c>
      <c r="G40" s="57" t="str">
        <f aca="false">IF($B40="","",SUMIFS('سجل الإجازات والحالات'!$S$6:$S$505,'سجل الإجازات والحالات'!$B$6:$B$505,$B40))</f>
        <v/>
      </c>
      <c r="H40" s="130" t="str">
        <f aca="false">IF($B40="","",MAX(0,E40-D40+1-G40)/cfg_DAYS_Y)</f>
        <v/>
      </c>
      <c r="I40" s="97" t="str">
        <f aca="false">IF($B40="","",الموظفون!$Q40)</f>
        <v/>
      </c>
      <c r="J40" s="97" t="str">
        <f aca="false">IF($B40="","",I40*cfg_EOS_R1*MIN(H40,cfg_EOS_TH))</f>
        <v/>
      </c>
      <c r="K40" s="97" t="str">
        <f aca="false">IF($B40="","",I40*cfg_EOS_R2*MAX(H40-cfg_EOS_TH,0))</f>
        <v/>
      </c>
      <c r="L40" s="97" t="str">
        <f aca="false">IF($B40="","",J40+K40)</f>
        <v/>
      </c>
      <c r="M40" s="80" t="str">
        <f aca="false">IF($B40="","",IF(AND(الموظفون!$AE40&lt;&gt;"",الموظفون!$AE40&lt;=cfg_VAL_DATE),IF(الموظفون!$AF40="","⚠ حدد السبب",الموظفون!$AF40),"على رأس العمل"))</f>
        <v/>
      </c>
      <c r="N40" s="58" t="str">
        <f aca="false">IF($B40="","",VLOOKUP(H40,cfg_RES,2,TRUE()))</f>
        <v/>
      </c>
      <c r="O40" s="97" t="str">
        <f aca="false">IF($B40="","",IF(M40="استقالة",L40*N40,L40))</f>
        <v/>
      </c>
      <c r="P40" s="97" t="str">
        <f aca="false">IF($B40="","",I40*(cfg_EOS_R1*MIN((MAX(0,IF(OR(الموظفون!$AE40="",الموظفون!$AE40&gt;=cfg_Y_START),cfg_Y_START-1,الموظفون!$AE40)-D40+1-SUMIFS('سجل الإجازات والحالات'!$R$6:$R$505,'سجل الإجازات والحالات'!$B$6:$B$505,$B40))/cfg_DAYS_Y),cfg_EOS_TH)+cfg_EOS_R2*MAX((MAX(0,IF(OR(الموظفون!$AE40="",الموظفون!$AE40&gt;=cfg_Y_START),cfg_Y_START-1,الموظفون!$AE40)-D40+1-SUMIFS('سجل الإجازات والحالات'!$R$6:$R$505,'سجل الإجازات والحالات'!$B$6:$B$505,$B40))/cfg_DAYS_Y)-cfg_EOS_TH,0)))</f>
        <v/>
      </c>
      <c r="Q40" s="97" t="str">
        <f aca="false">IF($B40="","",O40-P40)</f>
        <v/>
      </c>
      <c r="R40" s="97" t="str">
        <f aca="false">IF($B40="","",SUMIFS('الحركات الشهرية'!$N$6:$N$1005,'الحركات الشهرية'!$B$6:$B$1005,B40,'الحركات الشهرية'!$A$6:$A$1005,"&lt;="&amp;cfg_VAL_M))</f>
        <v/>
      </c>
      <c r="S40" s="150" t="str">
        <f aca="false">IF($B40="","",P40+Q40-R40)</f>
        <v/>
      </c>
      <c r="T40" s="80" t="str">
        <f aca="false">IF($B40="","",IF(S40&lt;-0.01,"✖ صرف أكثر من المستحق",IF(AND(M40&lt;&gt;"على رأس العمل",S40&gt;0.01),"⚠ مستحق لم يُصرف","✔ سليم")))</f>
        <v/>
      </c>
    </row>
    <row r="41" customFormat="false" ht="15" hidden="false" customHeight="false" outlineLevel="0" collapsed="false">
      <c r="B41" s="102" t="str">
        <f aca="false">IF(الموظفون!$B41="","",الموظفون!$B41)</f>
        <v/>
      </c>
      <c r="C41" s="102" t="str">
        <f aca="false">IF($B41="","",الموظفون!$C41)</f>
        <v/>
      </c>
      <c r="D41" s="148" t="str">
        <f aca="false">IF($B41="","",الموظفون!$H41)</f>
        <v/>
      </c>
      <c r="E41" s="148" t="str">
        <f aca="false">IF($B41="","",IF(OR(الموظفون!$AE41="",الموظفون!$AE41&gt;cfg_VAL_DATE),cfg_VAL_DATE,الموظفون!$AE41))</f>
        <v/>
      </c>
      <c r="F41" s="102" t="str">
        <f aca="false">IF($B41="","",IF(E41&lt;D41,"لم يباشر",DATEDIF(D41,E41+1,"y")&amp;" سنة "&amp;DATEDIF(D41,E41+1,"ym")&amp;" شهر "&amp;DATEDIF(D41,E41+1,"md")&amp;" يوم"))</f>
        <v/>
      </c>
      <c r="G41" s="110" t="str">
        <f aca="false">IF($B41="","",SUMIFS('سجل الإجازات والحالات'!$S$6:$S$505,'سجل الإجازات والحالات'!$B$6:$B$505,$B41))</f>
        <v/>
      </c>
      <c r="H41" s="135" t="str">
        <f aca="false">IF($B41="","",MAX(0,E41-D41+1-G41)/cfg_DAYS_Y)</f>
        <v/>
      </c>
      <c r="I41" s="101" t="str">
        <f aca="false">IF($B41="","",الموظفون!$Q41)</f>
        <v/>
      </c>
      <c r="J41" s="101" t="str">
        <f aca="false">IF($B41="","",I41*cfg_EOS_R1*MIN(H41,cfg_EOS_TH))</f>
        <v/>
      </c>
      <c r="K41" s="101" t="str">
        <f aca="false">IF($B41="","",I41*cfg_EOS_R2*MAX(H41-cfg_EOS_TH,0))</f>
        <v/>
      </c>
      <c r="L41" s="101" t="str">
        <f aca="false">IF($B41="","",J41+K41)</f>
        <v/>
      </c>
      <c r="M41" s="102" t="str">
        <f aca="false">IF($B41="","",IF(AND(الموظفون!$AE41&lt;&gt;"",الموظفون!$AE41&lt;=cfg_VAL_DATE),IF(الموظفون!$AF41="","⚠ حدد السبب",الموظفون!$AF41),"على رأس العمل"))</f>
        <v/>
      </c>
      <c r="N41" s="111" t="str">
        <f aca="false">IF($B41="","",VLOOKUP(H41,cfg_RES,2,TRUE()))</f>
        <v/>
      </c>
      <c r="O41" s="101" t="str">
        <f aca="false">IF($B41="","",IF(M41="استقالة",L41*N41,L41))</f>
        <v/>
      </c>
      <c r="P41" s="101" t="str">
        <f aca="false">IF($B41="","",I41*(cfg_EOS_R1*MIN((MAX(0,IF(OR(الموظفون!$AE41="",الموظفون!$AE41&gt;=cfg_Y_START),cfg_Y_START-1,الموظفون!$AE41)-D41+1-SUMIFS('سجل الإجازات والحالات'!$R$6:$R$505,'سجل الإجازات والحالات'!$B$6:$B$505,$B41))/cfg_DAYS_Y),cfg_EOS_TH)+cfg_EOS_R2*MAX((MAX(0,IF(OR(الموظفون!$AE41="",الموظفون!$AE41&gt;=cfg_Y_START),cfg_Y_START-1,الموظفون!$AE41)-D41+1-SUMIFS('سجل الإجازات والحالات'!$R$6:$R$505,'سجل الإجازات والحالات'!$B$6:$B$505,$B41))/cfg_DAYS_Y)-cfg_EOS_TH,0)))</f>
        <v/>
      </c>
      <c r="Q41" s="101" t="str">
        <f aca="false">IF($B41="","",O41-P41)</f>
        <v/>
      </c>
      <c r="R41" s="101" t="str">
        <f aca="false">IF($B41="","",SUMIFS('الحركات الشهرية'!$N$6:$N$1005,'الحركات الشهرية'!$B$6:$B$1005,B41,'الحركات الشهرية'!$A$6:$A$1005,"&lt;="&amp;cfg_VAL_M))</f>
        <v/>
      </c>
      <c r="S41" s="151" t="str">
        <f aca="false">IF($B41="","",P41+Q41-R41)</f>
        <v/>
      </c>
      <c r="T41" s="102" t="str">
        <f aca="false">IF($B41="","",IF(S41&lt;-0.01,"✖ صرف أكثر من المستحق",IF(AND(M41&lt;&gt;"على رأس العمل",S41&gt;0.01),"⚠ مستحق لم يُصرف","✔ سليم")))</f>
        <v/>
      </c>
    </row>
    <row r="42" customFormat="false" ht="15" hidden="false" customHeight="false" outlineLevel="0" collapsed="false">
      <c r="B42" s="80" t="str">
        <f aca="false">IF(الموظفون!$B42="","",الموظفون!$B42)</f>
        <v/>
      </c>
      <c r="C42" s="80" t="str">
        <f aca="false">IF($B42="","",الموظفون!$C42)</f>
        <v/>
      </c>
      <c r="D42" s="147" t="str">
        <f aca="false">IF($B42="","",الموظفون!$H42)</f>
        <v/>
      </c>
      <c r="E42" s="147" t="str">
        <f aca="false">IF($B42="","",IF(OR(الموظفون!$AE42="",الموظفون!$AE42&gt;cfg_VAL_DATE),cfg_VAL_DATE,الموظفون!$AE42))</f>
        <v/>
      </c>
      <c r="F42" s="80" t="str">
        <f aca="false">IF($B42="","",IF(E42&lt;D42,"لم يباشر",DATEDIF(D42,E42+1,"y")&amp;" سنة "&amp;DATEDIF(D42,E42+1,"ym")&amp;" شهر "&amp;DATEDIF(D42,E42+1,"md")&amp;" يوم"))</f>
        <v/>
      </c>
      <c r="G42" s="57" t="str">
        <f aca="false">IF($B42="","",SUMIFS('سجل الإجازات والحالات'!$S$6:$S$505,'سجل الإجازات والحالات'!$B$6:$B$505,$B42))</f>
        <v/>
      </c>
      <c r="H42" s="130" t="str">
        <f aca="false">IF($B42="","",MAX(0,E42-D42+1-G42)/cfg_DAYS_Y)</f>
        <v/>
      </c>
      <c r="I42" s="97" t="str">
        <f aca="false">IF($B42="","",الموظفون!$Q42)</f>
        <v/>
      </c>
      <c r="J42" s="97" t="str">
        <f aca="false">IF($B42="","",I42*cfg_EOS_R1*MIN(H42,cfg_EOS_TH))</f>
        <v/>
      </c>
      <c r="K42" s="97" t="str">
        <f aca="false">IF($B42="","",I42*cfg_EOS_R2*MAX(H42-cfg_EOS_TH,0))</f>
        <v/>
      </c>
      <c r="L42" s="97" t="str">
        <f aca="false">IF($B42="","",J42+K42)</f>
        <v/>
      </c>
      <c r="M42" s="80" t="str">
        <f aca="false">IF($B42="","",IF(AND(الموظفون!$AE42&lt;&gt;"",الموظفون!$AE42&lt;=cfg_VAL_DATE),IF(الموظفون!$AF42="","⚠ حدد السبب",الموظفون!$AF42),"على رأس العمل"))</f>
        <v/>
      </c>
      <c r="N42" s="58" t="str">
        <f aca="false">IF($B42="","",VLOOKUP(H42,cfg_RES,2,TRUE()))</f>
        <v/>
      </c>
      <c r="O42" s="97" t="str">
        <f aca="false">IF($B42="","",IF(M42="استقالة",L42*N42,L42))</f>
        <v/>
      </c>
      <c r="P42" s="97" t="str">
        <f aca="false">IF($B42="","",I42*(cfg_EOS_R1*MIN((MAX(0,IF(OR(الموظفون!$AE42="",الموظفون!$AE42&gt;=cfg_Y_START),cfg_Y_START-1,الموظفون!$AE42)-D42+1-SUMIFS('سجل الإجازات والحالات'!$R$6:$R$505,'سجل الإجازات والحالات'!$B$6:$B$505,$B42))/cfg_DAYS_Y),cfg_EOS_TH)+cfg_EOS_R2*MAX((MAX(0,IF(OR(الموظفون!$AE42="",الموظفون!$AE42&gt;=cfg_Y_START),cfg_Y_START-1,الموظفون!$AE42)-D42+1-SUMIFS('سجل الإجازات والحالات'!$R$6:$R$505,'سجل الإجازات والحالات'!$B$6:$B$505,$B42))/cfg_DAYS_Y)-cfg_EOS_TH,0)))</f>
        <v/>
      </c>
      <c r="Q42" s="97" t="str">
        <f aca="false">IF($B42="","",O42-P42)</f>
        <v/>
      </c>
      <c r="R42" s="97" t="str">
        <f aca="false">IF($B42="","",SUMIFS('الحركات الشهرية'!$N$6:$N$1005,'الحركات الشهرية'!$B$6:$B$1005,B42,'الحركات الشهرية'!$A$6:$A$1005,"&lt;="&amp;cfg_VAL_M))</f>
        <v/>
      </c>
      <c r="S42" s="150" t="str">
        <f aca="false">IF($B42="","",P42+Q42-R42)</f>
        <v/>
      </c>
      <c r="T42" s="80" t="str">
        <f aca="false">IF($B42="","",IF(S42&lt;-0.01,"✖ صرف أكثر من المستحق",IF(AND(M42&lt;&gt;"على رأس العمل",S42&gt;0.01),"⚠ مستحق لم يُصرف","✔ سليم")))</f>
        <v/>
      </c>
    </row>
    <row r="43" customFormat="false" ht="15" hidden="false" customHeight="false" outlineLevel="0" collapsed="false">
      <c r="B43" s="102" t="str">
        <f aca="false">IF(الموظفون!$B43="","",الموظفون!$B43)</f>
        <v/>
      </c>
      <c r="C43" s="102" t="str">
        <f aca="false">IF($B43="","",الموظفون!$C43)</f>
        <v/>
      </c>
      <c r="D43" s="148" t="str">
        <f aca="false">IF($B43="","",الموظفون!$H43)</f>
        <v/>
      </c>
      <c r="E43" s="148" t="str">
        <f aca="false">IF($B43="","",IF(OR(الموظفون!$AE43="",الموظفون!$AE43&gt;cfg_VAL_DATE),cfg_VAL_DATE,الموظفون!$AE43))</f>
        <v/>
      </c>
      <c r="F43" s="102" t="str">
        <f aca="false">IF($B43="","",IF(E43&lt;D43,"لم يباشر",DATEDIF(D43,E43+1,"y")&amp;" سنة "&amp;DATEDIF(D43,E43+1,"ym")&amp;" شهر "&amp;DATEDIF(D43,E43+1,"md")&amp;" يوم"))</f>
        <v/>
      </c>
      <c r="G43" s="110" t="str">
        <f aca="false">IF($B43="","",SUMIFS('سجل الإجازات والحالات'!$S$6:$S$505,'سجل الإجازات والحالات'!$B$6:$B$505,$B43))</f>
        <v/>
      </c>
      <c r="H43" s="135" t="str">
        <f aca="false">IF($B43="","",MAX(0,E43-D43+1-G43)/cfg_DAYS_Y)</f>
        <v/>
      </c>
      <c r="I43" s="101" t="str">
        <f aca="false">IF($B43="","",الموظفون!$Q43)</f>
        <v/>
      </c>
      <c r="J43" s="101" t="str">
        <f aca="false">IF($B43="","",I43*cfg_EOS_R1*MIN(H43,cfg_EOS_TH))</f>
        <v/>
      </c>
      <c r="K43" s="101" t="str">
        <f aca="false">IF($B43="","",I43*cfg_EOS_R2*MAX(H43-cfg_EOS_TH,0))</f>
        <v/>
      </c>
      <c r="L43" s="101" t="str">
        <f aca="false">IF($B43="","",J43+K43)</f>
        <v/>
      </c>
      <c r="M43" s="102" t="str">
        <f aca="false">IF($B43="","",IF(AND(الموظفون!$AE43&lt;&gt;"",الموظفون!$AE43&lt;=cfg_VAL_DATE),IF(الموظفون!$AF43="","⚠ حدد السبب",الموظفون!$AF43),"على رأس العمل"))</f>
        <v/>
      </c>
      <c r="N43" s="111" t="str">
        <f aca="false">IF($B43="","",VLOOKUP(H43,cfg_RES,2,TRUE()))</f>
        <v/>
      </c>
      <c r="O43" s="101" t="str">
        <f aca="false">IF($B43="","",IF(M43="استقالة",L43*N43,L43))</f>
        <v/>
      </c>
      <c r="P43" s="101" t="str">
        <f aca="false">IF($B43="","",I43*(cfg_EOS_R1*MIN((MAX(0,IF(OR(الموظفون!$AE43="",الموظفون!$AE43&gt;=cfg_Y_START),cfg_Y_START-1,الموظفون!$AE43)-D43+1-SUMIFS('سجل الإجازات والحالات'!$R$6:$R$505,'سجل الإجازات والحالات'!$B$6:$B$505,$B43))/cfg_DAYS_Y),cfg_EOS_TH)+cfg_EOS_R2*MAX((MAX(0,IF(OR(الموظفون!$AE43="",الموظفون!$AE43&gt;=cfg_Y_START),cfg_Y_START-1,الموظفون!$AE43)-D43+1-SUMIFS('سجل الإجازات والحالات'!$R$6:$R$505,'سجل الإجازات والحالات'!$B$6:$B$505,$B43))/cfg_DAYS_Y)-cfg_EOS_TH,0)))</f>
        <v/>
      </c>
      <c r="Q43" s="101" t="str">
        <f aca="false">IF($B43="","",O43-P43)</f>
        <v/>
      </c>
      <c r="R43" s="101" t="str">
        <f aca="false">IF($B43="","",SUMIFS('الحركات الشهرية'!$N$6:$N$1005,'الحركات الشهرية'!$B$6:$B$1005,B43,'الحركات الشهرية'!$A$6:$A$1005,"&lt;="&amp;cfg_VAL_M))</f>
        <v/>
      </c>
      <c r="S43" s="151" t="str">
        <f aca="false">IF($B43="","",P43+Q43-R43)</f>
        <v/>
      </c>
      <c r="T43" s="102" t="str">
        <f aca="false">IF($B43="","",IF(S43&lt;-0.01,"✖ صرف أكثر من المستحق",IF(AND(M43&lt;&gt;"على رأس العمل",S43&gt;0.01),"⚠ مستحق لم يُصرف","✔ سليم")))</f>
        <v/>
      </c>
    </row>
    <row r="44" customFormat="false" ht="15" hidden="false" customHeight="false" outlineLevel="0" collapsed="false">
      <c r="B44" s="80" t="str">
        <f aca="false">IF(الموظفون!$B44="","",الموظفون!$B44)</f>
        <v/>
      </c>
      <c r="C44" s="80" t="str">
        <f aca="false">IF($B44="","",الموظفون!$C44)</f>
        <v/>
      </c>
      <c r="D44" s="147" t="str">
        <f aca="false">IF($B44="","",الموظفون!$H44)</f>
        <v/>
      </c>
      <c r="E44" s="147" t="str">
        <f aca="false">IF($B44="","",IF(OR(الموظفون!$AE44="",الموظفون!$AE44&gt;cfg_VAL_DATE),cfg_VAL_DATE,الموظفون!$AE44))</f>
        <v/>
      </c>
      <c r="F44" s="80" t="str">
        <f aca="false">IF($B44="","",IF(E44&lt;D44,"لم يباشر",DATEDIF(D44,E44+1,"y")&amp;" سنة "&amp;DATEDIF(D44,E44+1,"ym")&amp;" شهر "&amp;DATEDIF(D44,E44+1,"md")&amp;" يوم"))</f>
        <v/>
      </c>
      <c r="G44" s="57" t="str">
        <f aca="false">IF($B44="","",SUMIFS('سجل الإجازات والحالات'!$S$6:$S$505,'سجل الإجازات والحالات'!$B$6:$B$505,$B44))</f>
        <v/>
      </c>
      <c r="H44" s="130" t="str">
        <f aca="false">IF($B44="","",MAX(0,E44-D44+1-G44)/cfg_DAYS_Y)</f>
        <v/>
      </c>
      <c r="I44" s="97" t="str">
        <f aca="false">IF($B44="","",الموظفون!$Q44)</f>
        <v/>
      </c>
      <c r="J44" s="97" t="str">
        <f aca="false">IF($B44="","",I44*cfg_EOS_R1*MIN(H44,cfg_EOS_TH))</f>
        <v/>
      </c>
      <c r="K44" s="97" t="str">
        <f aca="false">IF($B44="","",I44*cfg_EOS_R2*MAX(H44-cfg_EOS_TH,0))</f>
        <v/>
      </c>
      <c r="L44" s="97" t="str">
        <f aca="false">IF($B44="","",J44+K44)</f>
        <v/>
      </c>
      <c r="M44" s="80" t="str">
        <f aca="false">IF($B44="","",IF(AND(الموظفون!$AE44&lt;&gt;"",الموظفون!$AE44&lt;=cfg_VAL_DATE),IF(الموظفون!$AF44="","⚠ حدد السبب",الموظفون!$AF44),"على رأس العمل"))</f>
        <v/>
      </c>
      <c r="N44" s="58" t="str">
        <f aca="false">IF($B44="","",VLOOKUP(H44,cfg_RES,2,TRUE()))</f>
        <v/>
      </c>
      <c r="O44" s="97" t="str">
        <f aca="false">IF($B44="","",IF(M44="استقالة",L44*N44,L44))</f>
        <v/>
      </c>
      <c r="P44" s="97" t="str">
        <f aca="false">IF($B44="","",I44*(cfg_EOS_R1*MIN((MAX(0,IF(OR(الموظفون!$AE44="",الموظفون!$AE44&gt;=cfg_Y_START),cfg_Y_START-1,الموظفون!$AE44)-D44+1-SUMIFS('سجل الإجازات والحالات'!$R$6:$R$505,'سجل الإجازات والحالات'!$B$6:$B$505,$B44))/cfg_DAYS_Y),cfg_EOS_TH)+cfg_EOS_R2*MAX((MAX(0,IF(OR(الموظفون!$AE44="",الموظفون!$AE44&gt;=cfg_Y_START),cfg_Y_START-1,الموظفون!$AE44)-D44+1-SUMIFS('سجل الإجازات والحالات'!$R$6:$R$505,'سجل الإجازات والحالات'!$B$6:$B$505,$B44))/cfg_DAYS_Y)-cfg_EOS_TH,0)))</f>
        <v/>
      </c>
      <c r="Q44" s="97" t="str">
        <f aca="false">IF($B44="","",O44-P44)</f>
        <v/>
      </c>
      <c r="R44" s="97" t="str">
        <f aca="false">IF($B44="","",SUMIFS('الحركات الشهرية'!$N$6:$N$1005,'الحركات الشهرية'!$B$6:$B$1005,B44,'الحركات الشهرية'!$A$6:$A$1005,"&lt;="&amp;cfg_VAL_M))</f>
        <v/>
      </c>
      <c r="S44" s="150" t="str">
        <f aca="false">IF($B44="","",P44+Q44-R44)</f>
        <v/>
      </c>
      <c r="T44" s="80" t="str">
        <f aca="false">IF($B44="","",IF(S44&lt;-0.01,"✖ صرف أكثر من المستحق",IF(AND(M44&lt;&gt;"على رأس العمل",S44&gt;0.01),"⚠ مستحق لم يُصرف","✔ سليم")))</f>
        <v/>
      </c>
    </row>
    <row r="45" customFormat="false" ht="15" hidden="false" customHeight="false" outlineLevel="0" collapsed="false">
      <c r="B45" s="102" t="str">
        <f aca="false">IF(الموظفون!$B45="","",الموظفون!$B45)</f>
        <v/>
      </c>
      <c r="C45" s="102" t="str">
        <f aca="false">IF($B45="","",الموظفون!$C45)</f>
        <v/>
      </c>
      <c r="D45" s="148" t="str">
        <f aca="false">IF($B45="","",الموظفون!$H45)</f>
        <v/>
      </c>
      <c r="E45" s="148" t="str">
        <f aca="false">IF($B45="","",IF(OR(الموظفون!$AE45="",الموظفون!$AE45&gt;cfg_VAL_DATE),cfg_VAL_DATE,الموظفون!$AE45))</f>
        <v/>
      </c>
      <c r="F45" s="102" t="str">
        <f aca="false">IF($B45="","",IF(E45&lt;D45,"لم يباشر",DATEDIF(D45,E45+1,"y")&amp;" سنة "&amp;DATEDIF(D45,E45+1,"ym")&amp;" شهر "&amp;DATEDIF(D45,E45+1,"md")&amp;" يوم"))</f>
        <v/>
      </c>
      <c r="G45" s="110" t="str">
        <f aca="false">IF($B45="","",SUMIFS('سجل الإجازات والحالات'!$S$6:$S$505,'سجل الإجازات والحالات'!$B$6:$B$505,$B45))</f>
        <v/>
      </c>
      <c r="H45" s="135" t="str">
        <f aca="false">IF($B45="","",MAX(0,E45-D45+1-G45)/cfg_DAYS_Y)</f>
        <v/>
      </c>
      <c r="I45" s="101" t="str">
        <f aca="false">IF($B45="","",الموظفون!$Q45)</f>
        <v/>
      </c>
      <c r="J45" s="101" t="str">
        <f aca="false">IF($B45="","",I45*cfg_EOS_R1*MIN(H45,cfg_EOS_TH))</f>
        <v/>
      </c>
      <c r="K45" s="101" t="str">
        <f aca="false">IF($B45="","",I45*cfg_EOS_R2*MAX(H45-cfg_EOS_TH,0))</f>
        <v/>
      </c>
      <c r="L45" s="101" t="str">
        <f aca="false">IF($B45="","",J45+K45)</f>
        <v/>
      </c>
      <c r="M45" s="102" t="str">
        <f aca="false">IF($B45="","",IF(AND(الموظفون!$AE45&lt;&gt;"",الموظفون!$AE45&lt;=cfg_VAL_DATE),IF(الموظفون!$AF45="","⚠ حدد السبب",الموظفون!$AF45),"على رأس العمل"))</f>
        <v/>
      </c>
      <c r="N45" s="111" t="str">
        <f aca="false">IF($B45="","",VLOOKUP(H45,cfg_RES,2,TRUE()))</f>
        <v/>
      </c>
      <c r="O45" s="101" t="str">
        <f aca="false">IF($B45="","",IF(M45="استقالة",L45*N45,L45))</f>
        <v/>
      </c>
      <c r="P45" s="101" t="str">
        <f aca="false">IF($B45="","",I45*(cfg_EOS_R1*MIN((MAX(0,IF(OR(الموظفون!$AE45="",الموظفون!$AE45&gt;=cfg_Y_START),cfg_Y_START-1,الموظفون!$AE45)-D45+1-SUMIFS('سجل الإجازات والحالات'!$R$6:$R$505,'سجل الإجازات والحالات'!$B$6:$B$505,$B45))/cfg_DAYS_Y),cfg_EOS_TH)+cfg_EOS_R2*MAX((MAX(0,IF(OR(الموظفون!$AE45="",الموظفون!$AE45&gt;=cfg_Y_START),cfg_Y_START-1,الموظفون!$AE45)-D45+1-SUMIFS('سجل الإجازات والحالات'!$R$6:$R$505,'سجل الإجازات والحالات'!$B$6:$B$505,$B45))/cfg_DAYS_Y)-cfg_EOS_TH,0)))</f>
        <v/>
      </c>
      <c r="Q45" s="101" t="str">
        <f aca="false">IF($B45="","",O45-P45)</f>
        <v/>
      </c>
      <c r="R45" s="101" t="str">
        <f aca="false">IF($B45="","",SUMIFS('الحركات الشهرية'!$N$6:$N$1005,'الحركات الشهرية'!$B$6:$B$1005,B45,'الحركات الشهرية'!$A$6:$A$1005,"&lt;="&amp;cfg_VAL_M))</f>
        <v/>
      </c>
      <c r="S45" s="151" t="str">
        <f aca="false">IF($B45="","",P45+Q45-R45)</f>
        <v/>
      </c>
      <c r="T45" s="102" t="str">
        <f aca="false">IF($B45="","",IF(S45&lt;-0.01,"✖ صرف أكثر من المستحق",IF(AND(M45&lt;&gt;"على رأس العمل",S45&gt;0.01),"⚠ مستحق لم يُصرف","✔ سليم")))</f>
        <v/>
      </c>
    </row>
    <row r="46" customFormat="false" ht="15" hidden="false" customHeight="false" outlineLevel="0" collapsed="false">
      <c r="B46" s="80" t="str">
        <f aca="false">IF(الموظفون!$B46="","",الموظفون!$B46)</f>
        <v/>
      </c>
      <c r="C46" s="80" t="str">
        <f aca="false">IF($B46="","",الموظفون!$C46)</f>
        <v/>
      </c>
      <c r="D46" s="147" t="str">
        <f aca="false">IF($B46="","",الموظفون!$H46)</f>
        <v/>
      </c>
      <c r="E46" s="147" t="str">
        <f aca="false">IF($B46="","",IF(OR(الموظفون!$AE46="",الموظفون!$AE46&gt;cfg_VAL_DATE),cfg_VAL_DATE,الموظفون!$AE46))</f>
        <v/>
      </c>
      <c r="F46" s="80" t="str">
        <f aca="false">IF($B46="","",IF(E46&lt;D46,"لم يباشر",DATEDIF(D46,E46+1,"y")&amp;" سنة "&amp;DATEDIF(D46,E46+1,"ym")&amp;" شهر "&amp;DATEDIF(D46,E46+1,"md")&amp;" يوم"))</f>
        <v/>
      </c>
      <c r="G46" s="57" t="str">
        <f aca="false">IF($B46="","",SUMIFS('سجل الإجازات والحالات'!$S$6:$S$505,'سجل الإجازات والحالات'!$B$6:$B$505,$B46))</f>
        <v/>
      </c>
      <c r="H46" s="130" t="str">
        <f aca="false">IF($B46="","",MAX(0,E46-D46+1-G46)/cfg_DAYS_Y)</f>
        <v/>
      </c>
      <c r="I46" s="97" t="str">
        <f aca="false">IF($B46="","",الموظفون!$Q46)</f>
        <v/>
      </c>
      <c r="J46" s="97" t="str">
        <f aca="false">IF($B46="","",I46*cfg_EOS_R1*MIN(H46,cfg_EOS_TH))</f>
        <v/>
      </c>
      <c r="K46" s="97" t="str">
        <f aca="false">IF($B46="","",I46*cfg_EOS_R2*MAX(H46-cfg_EOS_TH,0))</f>
        <v/>
      </c>
      <c r="L46" s="97" t="str">
        <f aca="false">IF($B46="","",J46+K46)</f>
        <v/>
      </c>
      <c r="M46" s="80" t="str">
        <f aca="false">IF($B46="","",IF(AND(الموظفون!$AE46&lt;&gt;"",الموظفون!$AE46&lt;=cfg_VAL_DATE),IF(الموظفون!$AF46="","⚠ حدد السبب",الموظفون!$AF46),"على رأس العمل"))</f>
        <v/>
      </c>
      <c r="N46" s="58" t="str">
        <f aca="false">IF($B46="","",VLOOKUP(H46,cfg_RES,2,TRUE()))</f>
        <v/>
      </c>
      <c r="O46" s="97" t="str">
        <f aca="false">IF($B46="","",IF(M46="استقالة",L46*N46,L46))</f>
        <v/>
      </c>
      <c r="P46" s="97" t="str">
        <f aca="false">IF($B46="","",I46*(cfg_EOS_R1*MIN((MAX(0,IF(OR(الموظفون!$AE46="",الموظفون!$AE46&gt;=cfg_Y_START),cfg_Y_START-1,الموظفون!$AE46)-D46+1-SUMIFS('سجل الإجازات والحالات'!$R$6:$R$505,'سجل الإجازات والحالات'!$B$6:$B$505,$B46))/cfg_DAYS_Y),cfg_EOS_TH)+cfg_EOS_R2*MAX((MAX(0,IF(OR(الموظفون!$AE46="",الموظفون!$AE46&gt;=cfg_Y_START),cfg_Y_START-1,الموظفون!$AE46)-D46+1-SUMIFS('سجل الإجازات والحالات'!$R$6:$R$505,'سجل الإجازات والحالات'!$B$6:$B$505,$B46))/cfg_DAYS_Y)-cfg_EOS_TH,0)))</f>
        <v/>
      </c>
      <c r="Q46" s="97" t="str">
        <f aca="false">IF($B46="","",O46-P46)</f>
        <v/>
      </c>
      <c r="R46" s="97" t="str">
        <f aca="false">IF($B46="","",SUMIFS('الحركات الشهرية'!$N$6:$N$1005,'الحركات الشهرية'!$B$6:$B$1005,B46,'الحركات الشهرية'!$A$6:$A$1005,"&lt;="&amp;cfg_VAL_M))</f>
        <v/>
      </c>
      <c r="S46" s="150" t="str">
        <f aca="false">IF($B46="","",P46+Q46-R46)</f>
        <v/>
      </c>
      <c r="T46" s="80" t="str">
        <f aca="false">IF($B46="","",IF(S46&lt;-0.01,"✖ صرف أكثر من المستحق",IF(AND(M46&lt;&gt;"على رأس العمل",S46&gt;0.01),"⚠ مستحق لم يُصرف","✔ سليم")))</f>
        <v/>
      </c>
    </row>
    <row r="47" customFormat="false" ht="15" hidden="false" customHeight="false" outlineLevel="0" collapsed="false">
      <c r="B47" s="102" t="str">
        <f aca="false">IF(الموظفون!$B47="","",الموظفون!$B47)</f>
        <v/>
      </c>
      <c r="C47" s="102" t="str">
        <f aca="false">IF($B47="","",الموظفون!$C47)</f>
        <v/>
      </c>
      <c r="D47" s="148" t="str">
        <f aca="false">IF($B47="","",الموظفون!$H47)</f>
        <v/>
      </c>
      <c r="E47" s="148" t="str">
        <f aca="false">IF($B47="","",IF(OR(الموظفون!$AE47="",الموظفون!$AE47&gt;cfg_VAL_DATE),cfg_VAL_DATE,الموظفون!$AE47))</f>
        <v/>
      </c>
      <c r="F47" s="102" t="str">
        <f aca="false">IF($B47="","",IF(E47&lt;D47,"لم يباشر",DATEDIF(D47,E47+1,"y")&amp;" سنة "&amp;DATEDIF(D47,E47+1,"ym")&amp;" شهر "&amp;DATEDIF(D47,E47+1,"md")&amp;" يوم"))</f>
        <v/>
      </c>
      <c r="G47" s="110" t="str">
        <f aca="false">IF($B47="","",SUMIFS('سجل الإجازات والحالات'!$S$6:$S$505,'سجل الإجازات والحالات'!$B$6:$B$505,$B47))</f>
        <v/>
      </c>
      <c r="H47" s="135" t="str">
        <f aca="false">IF($B47="","",MAX(0,E47-D47+1-G47)/cfg_DAYS_Y)</f>
        <v/>
      </c>
      <c r="I47" s="101" t="str">
        <f aca="false">IF($B47="","",الموظفون!$Q47)</f>
        <v/>
      </c>
      <c r="J47" s="101" t="str">
        <f aca="false">IF($B47="","",I47*cfg_EOS_R1*MIN(H47,cfg_EOS_TH))</f>
        <v/>
      </c>
      <c r="K47" s="101" t="str">
        <f aca="false">IF($B47="","",I47*cfg_EOS_R2*MAX(H47-cfg_EOS_TH,0))</f>
        <v/>
      </c>
      <c r="L47" s="101" t="str">
        <f aca="false">IF($B47="","",J47+K47)</f>
        <v/>
      </c>
      <c r="M47" s="102" t="str">
        <f aca="false">IF($B47="","",IF(AND(الموظفون!$AE47&lt;&gt;"",الموظفون!$AE47&lt;=cfg_VAL_DATE),IF(الموظفون!$AF47="","⚠ حدد السبب",الموظفون!$AF47),"على رأس العمل"))</f>
        <v/>
      </c>
      <c r="N47" s="111" t="str">
        <f aca="false">IF($B47="","",VLOOKUP(H47,cfg_RES,2,TRUE()))</f>
        <v/>
      </c>
      <c r="O47" s="101" t="str">
        <f aca="false">IF($B47="","",IF(M47="استقالة",L47*N47,L47))</f>
        <v/>
      </c>
      <c r="P47" s="101" t="str">
        <f aca="false">IF($B47="","",I47*(cfg_EOS_R1*MIN((MAX(0,IF(OR(الموظفون!$AE47="",الموظفون!$AE47&gt;=cfg_Y_START),cfg_Y_START-1,الموظفون!$AE47)-D47+1-SUMIFS('سجل الإجازات والحالات'!$R$6:$R$505,'سجل الإجازات والحالات'!$B$6:$B$505,$B47))/cfg_DAYS_Y),cfg_EOS_TH)+cfg_EOS_R2*MAX((MAX(0,IF(OR(الموظفون!$AE47="",الموظفون!$AE47&gt;=cfg_Y_START),cfg_Y_START-1,الموظفون!$AE47)-D47+1-SUMIFS('سجل الإجازات والحالات'!$R$6:$R$505,'سجل الإجازات والحالات'!$B$6:$B$505,$B47))/cfg_DAYS_Y)-cfg_EOS_TH,0)))</f>
        <v/>
      </c>
      <c r="Q47" s="101" t="str">
        <f aca="false">IF($B47="","",O47-P47)</f>
        <v/>
      </c>
      <c r="R47" s="101" t="str">
        <f aca="false">IF($B47="","",SUMIFS('الحركات الشهرية'!$N$6:$N$1005,'الحركات الشهرية'!$B$6:$B$1005,B47,'الحركات الشهرية'!$A$6:$A$1005,"&lt;="&amp;cfg_VAL_M))</f>
        <v/>
      </c>
      <c r="S47" s="151" t="str">
        <f aca="false">IF($B47="","",P47+Q47-R47)</f>
        <v/>
      </c>
      <c r="T47" s="102" t="str">
        <f aca="false">IF($B47="","",IF(S47&lt;-0.01,"✖ صرف أكثر من المستحق",IF(AND(M47&lt;&gt;"على رأس العمل",S47&gt;0.01),"⚠ مستحق لم يُصرف","✔ سليم")))</f>
        <v/>
      </c>
    </row>
    <row r="48" customFormat="false" ht="15" hidden="false" customHeight="false" outlineLevel="0" collapsed="false">
      <c r="B48" s="80" t="str">
        <f aca="false">IF(الموظفون!$B48="","",الموظفون!$B48)</f>
        <v/>
      </c>
      <c r="C48" s="80" t="str">
        <f aca="false">IF($B48="","",الموظفون!$C48)</f>
        <v/>
      </c>
      <c r="D48" s="147" t="str">
        <f aca="false">IF($B48="","",الموظفون!$H48)</f>
        <v/>
      </c>
      <c r="E48" s="147" t="str">
        <f aca="false">IF($B48="","",IF(OR(الموظفون!$AE48="",الموظفون!$AE48&gt;cfg_VAL_DATE),cfg_VAL_DATE,الموظفون!$AE48))</f>
        <v/>
      </c>
      <c r="F48" s="80" t="str">
        <f aca="false">IF($B48="","",IF(E48&lt;D48,"لم يباشر",DATEDIF(D48,E48+1,"y")&amp;" سنة "&amp;DATEDIF(D48,E48+1,"ym")&amp;" شهر "&amp;DATEDIF(D48,E48+1,"md")&amp;" يوم"))</f>
        <v/>
      </c>
      <c r="G48" s="57" t="str">
        <f aca="false">IF($B48="","",SUMIFS('سجل الإجازات والحالات'!$S$6:$S$505,'سجل الإجازات والحالات'!$B$6:$B$505,$B48))</f>
        <v/>
      </c>
      <c r="H48" s="130" t="str">
        <f aca="false">IF($B48="","",MAX(0,E48-D48+1-G48)/cfg_DAYS_Y)</f>
        <v/>
      </c>
      <c r="I48" s="97" t="str">
        <f aca="false">IF($B48="","",الموظفون!$Q48)</f>
        <v/>
      </c>
      <c r="J48" s="97" t="str">
        <f aca="false">IF($B48="","",I48*cfg_EOS_R1*MIN(H48,cfg_EOS_TH))</f>
        <v/>
      </c>
      <c r="K48" s="97" t="str">
        <f aca="false">IF($B48="","",I48*cfg_EOS_R2*MAX(H48-cfg_EOS_TH,0))</f>
        <v/>
      </c>
      <c r="L48" s="97" t="str">
        <f aca="false">IF($B48="","",J48+K48)</f>
        <v/>
      </c>
      <c r="M48" s="80" t="str">
        <f aca="false">IF($B48="","",IF(AND(الموظفون!$AE48&lt;&gt;"",الموظفون!$AE48&lt;=cfg_VAL_DATE),IF(الموظفون!$AF48="","⚠ حدد السبب",الموظفون!$AF48),"على رأس العمل"))</f>
        <v/>
      </c>
      <c r="N48" s="58" t="str">
        <f aca="false">IF($B48="","",VLOOKUP(H48,cfg_RES,2,TRUE()))</f>
        <v/>
      </c>
      <c r="O48" s="97" t="str">
        <f aca="false">IF($B48="","",IF(M48="استقالة",L48*N48,L48))</f>
        <v/>
      </c>
      <c r="P48" s="97" t="str">
        <f aca="false">IF($B48="","",I48*(cfg_EOS_R1*MIN((MAX(0,IF(OR(الموظفون!$AE48="",الموظفون!$AE48&gt;=cfg_Y_START),cfg_Y_START-1,الموظفون!$AE48)-D48+1-SUMIFS('سجل الإجازات والحالات'!$R$6:$R$505,'سجل الإجازات والحالات'!$B$6:$B$505,$B48))/cfg_DAYS_Y),cfg_EOS_TH)+cfg_EOS_R2*MAX((MAX(0,IF(OR(الموظفون!$AE48="",الموظفون!$AE48&gt;=cfg_Y_START),cfg_Y_START-1,الموظفون!$AE48)-D48+1-SUMIFS('سجل الإجازات والحالات'!$R$6:$R$505,'سجل الإجازات والحالات'!$B$6:$B$505,$B48))/cfg_DAYS_Y)-cfg_EOS_TH,0)))</f>
        <v/>
      </c>
      <c r="Q48" s="97" t="str">
        <f aca="false">IF($B48="","",O48-P48)</f>
        <v/>
      </c>
      <c r="R48" s="97" t="str">
        <f aca="false">IF($B48="","",SUMIFS('الحركات الشهرية'!$N$6:$N$1005,'الحركات الشهرية'!$B$6:$B$1005,B48,'الحركات الشهرية'!$A$6:$A$1005,"&lt;="&amp;cfg_VAL_M))</f>
        <v/>
      </c>
      <c r="S48" s="150" t="str">
        <f aca="false">IF($B48="","",P48+Q48-R48)</f>
        <v/>
      </c>
      <c r="T48" s="80" t="str">
        <f aca="false">IF($B48="","",IF(S48&lt;-0.01,"✖ صرف أكثر من المستحق",IF(AND(M48&lt;&gt;"على رأس العمل",S48&gt;0.01),"⚠ مستحق لم يُصرف","✔ سليم")))</f>
        <v/>
      </c>
    </row>
    <row r="49" customFormat="false" ht="15" hidden="false" customHeight="false" outlineLevel="0" collapsed="false">
      <c r="B49" s="102" t="str">
        <f aca="false">IF(الموظفون!$B49="","",الموظفون!$B49)</f>
        <v/>
      </c>
      <c r="C49" s="102" t="str">
        <f aca="false">IF($B49="","",الموظفون!$C49)</f>
        <v/>
      </c>
      <c r="D49" s="148" t="str">
        <f aca="false">IF($B49="","",الموظفون!$H49)</f>
        <v/>
      </c>
      <c r="E49" s="148" t="str">
        <f aca="false">IF($B49="","",IF(OR(الموظفون!$AE49="",الموظفون!$AE49&gt;cfg_VAL_DATE),cfg_VAL_DATE,الموظفون!$AE49))</f>
        <v/>
      </c>
      <c r="F49" s="102" t="str">
        <f aca="false">IF($B49="","",IF(E49&lt;D49,"لم يباشر",DATEDIF(D49,E49+1,"y")&amp;" سنة "&amp;DATEDIF(D49,E49+1,"ym")&amp;" شهر "&amp;DATEDIF(D49,E49+1,"md")&amp;" يوم"))</f>
        <v/>
      </c>
      <c r="G49" s="110" t="str">
        <f aca="false">IF($B49="","",SUMIFS('سجل الإجازات والحالات'!$S$6:$S$505,'سجل الإجازات والحالات'!$B$6:$B$505,$B49))</f>
        <v/>
      </c>
      <c r="H49" s="135" t="str">
        <f aca="false">IF($B49="","",MAX(0,E49-D49+1-G49)/cfg_DAYS_Y)</f>
        <v/>
      </c>
      <c r="I49" s="101" t="str">
        <f aca="false">IF($B49="","",الموظفون!$Q49)</f>
        <v/>
      </c>
      <c r="J49" s="101" t="str">
        <f aca="false">IF($B49="","",I49*cfg_EOS_R1*MIN(H49,cfg_EOS_TH))</f>
        <v/>
      </c>
      <c r="K49" s="101" t="str">
        <f aca="false">IF($B49="","",I49*cfg_EOS_R2*MAX(H49-cfg_EOS_TH,0))</f>
        <v/>
      </c>
      <c r="L49" s="101" t="str">
        <f aca="false">IF($B49="","",J49+K49)</f>
        <v/>
      </c>
      <c r="M49" s="102" t="str">
        <f aca="false">IF($B49="","",IF(AND(الموظفون!$AE49&lt;&gt;"",الموظفون!$AE49&lt;=cfg_VAL_DATE),IF(الموظفون!$AF49="","⚠ حدد السبب",الموظفون!$AF49),"على رأس العمل"))</f>
        <v/>
      </c>
      <c r="N49" s="111" t="str">
        <f aca="false">IF($B49="","",VLOOKUP(H49,cfg_RES,2,TRUE()))</f>
        <v/>
      </c>
      <c r="O49" s="101" t="str">
        <f aca="false">IF($B49="","",IF(M49="استقالة",L49*N49,L49))</f>
        <v/>
      </c>
      <c r="P49" s="101" t="str">
        <f aca="false">IF($B49="","",I49*(cfg_EOS_R1*MIN((MAX(0,IF(OR(الموظفون!$AE49="",الموظفون!$AE49&gt;=cfg_Y_START),cfg_Y_START-1,الموظفون!$AE49)-D49+1-SUMIFS('سجل الإجازات والحالات'!$R$6:$R$505,'سجل الإجازات والحالات'!$B$6:$B$505,$B49))/cfg_DAYS_Y),cfg_EOS_TH)+cfg_EOS_R2*MAX((MAX(0,IF(OR(الموظفون!$AE49="",الموظفون!$AE49&gt;=cfg_Y_START),cfg_Y_START-1,الموظفون!$AE49)-D49+1-SUMIFS('سجل الإجازات والحالات'!$R$6:$R$505,'سجل الإجازات والحالات'!$B$6:$B$505,$B49))/cfg_DAYS_Y)-cfg_EOS_TH,0)))</f>
        <v/>
      </c>
      <c r="Q49" s="101" t="str">
        <f aca="false">IF($B49="","",O49-P49)</f>
        <v/>
      </c>
      <c r="R49" s="101" t="str">
        <f aca="false">IF($B49="","",SUMIFS('الحركات الشهرية'!$N$6:$N$1005,'الحركات الشهرية'!$B$6:$B$1005,B49,'الحركات الشهرية'!$A$6:$A$1005,"&lt;="&amp;cfg_VAL_M))</f>
        <v/>
      </c>
      <c r="S49" s="151" t="str">
        <f aca="false">IF($B49="","",P49+Q49-R49)</f>
        <v/>
      </c>
      <c r="T49" s="102" t="str">
        <f aca="false">IF($B49="","",IF(S49&lt;-0.01,"✖ صرف أكثر من المستحق",IF(AND(M49&lt;&gt;"على رأس العمل",S49&gt;0.01),"⚠ مستحق لم يُصرف","✔ سليم")))</f>
        <v/>
      </c>
    </row>
    <row r="50" customFormat="false" ht="15" hidden="false" customHeight="false" outlineLevel="0" collapsed="false">
      <c r="B50" s="80" t="str">
        <f aca="false">IF(الموظفون!$B50="","",الموظفون!$B50)</f>
        <v/>
      </c>
      <c r="C50" s="80" t="str">
        <f aca="false">IF($B50="","",الموظفون!$C50)</f>
        <v/>
      </c>
      <c r="D50" s="147" t="str">
        <f aca="false">IF($B50="","",الموظفون!$H50)</f>
        <v/>
      </c>
      <c r="E50" s="147" t="str">
        <f aca="false">IF($B50="","",IF(OR(الموظفون!$AE50="",الموظفون!$AE50&gt;cfg_VAL_DATE),cfg_VAL_DATE,الموظفون!$AE50))</f>
        <v/>
      </c>
      <c r="F50" s="80" t="str">
        <f aca="false">IF($B50="","",IF(E50&lt;D50,"لم يباشر",DATEDIF(D50,E50+1,"y")&amp;" سنة "&amp;DATEDIF(D50,E50+1,"ym")&amp;" شهر "&amp;DATEDIF(D50,E50+1,"md")&amp;" يوم"))</f>
        <v/>
      </c>
      <c r="G50" s="57" t="str">
        <f aca="false">IF($B50="","",SUMIFS('سجل الإجازات والحالات'!$S$6:$S$505,'سجل الإجازات والحالات'!$B$6:$B$505,$B50))</f>
        <v/>
      </c>
      <c r="H50" s="130" t="str">
        <f aca="false">IF($B50="","",MAX(0,E50-D50+1-G50)/cfg_DAYS_Y)</f>
        <v/>
      </c>
      <c r="I50" s="97" t="str">
        <f aca="false">IF($B50="","",الموظفون!$Q50)</f>
        <v/>
      </c>
      <c r="J50" s="97" t="str">
        <f aca="false">IF($B50="","",I50*cfg_EOS_R1*MIN(H50,cfg_EOS_TH))</f>
        <v/>
      </c>
      <c r="K50" s="97" t="str">
        <f aca="false">IF($B50="","",I50*cfg_EOS_R2*MAX(H50-cfg_EOS_TH,0))</f>
        <v/>
      </c>
      <c r="L50" s="97" t="str">
        <f aca="false">IF($B50="","",J50+K50)</f>
        <v/>
      </c>
      <c r="M50" s="80" t="str">
        <f aca="false">IF($B50="","",IF(AND(الموظفون!$AE50&lt;&gt;"",الموظفون!$AE50&lt;=cfg_VAL_DATE),IF(الموظفون!$AF50="","⚠ حدد السبب",الموظفون!$AF50),"على رأس العمل"))</f>
        <v/>
      </c>
      <c r="N50" s="58" t="str">
        <f aca="false">IF($B50="","",VLOOKUP(H50,cfg_RES,2,TRUE()))</f>
        <v/>
      </c>
      <c r="O50" s="97" t="str">
        <f aca="false">IF($B50="","",IF(M50="استقالة",L50*N50,L50))</f>
        <v/>
      </c>
      <c r="P50" s="97" t="str">
        <f aca="false">IF($B50="","",I50*(cfg_EOS_R1*MIN((MAX(0,IF(OR(الموظفون!$AE50="",الموظفون!$AE50&gt;=cfg_Y_START),cfg_Y_START-1,الموظفون!$AE50)-D50+1-SUMIFS('سجل الإجازات والحالات'!$R$6:$R$505,'سجل الإجازات والحالات'!$B$6:$B$505,$B50))/cfg_DAYS_Y),cfg_EOS_TH)+cfg_EOS_R2*MAX((MAX(0,IF(OR(الموظفون!$AE50="",الموظفون!$AE50&gt;=cfg_Y_START),cfg_Y_START-1,الموظفون!$AE50)-D50+1-SUMIFS('سجل الإجازات والحالات'!$R$6:$R$505,'سجل الإجازات والحالات'!$B$6:$B$505,$B50))/cfg_DAYS_Y)-cfg_EOS_TH,0)))</f>
        <v/>
      </c>
      <c r="Q50" s="97" t="str">
        <f aca="false">IF($B50="","",O50-P50)</f>
        <v/>
      </c>
      <c r="R50" s="97" t="str">
        <f aca="false">IF($B50="","",SUMIFS('الحركات الشهرية'!$N$6:$N$1005,'الحركات الشهرية'!$B$6:$B$1005,B50,'الحركات الشهرية'!$A$6:$A$1005,"&lt;="&amp;cfg_VAL_M))</f>
        <v/>
      </c>
      <c r="S50" s="150" t="str">
        <f aca="false">IF($B50="","",P50+Q50-R50)</f>
        <v/>
      </c>
      <c r="T50" s="80" t="str">
        <f aca="false">IF($B50="","",IF(S50&lt;-0.01,"✖ صرف أكثر من المستحق",IF(AND(M50&lt;&gt;"على رأس العمل",S50&gt;0.01),"⚠ مستحق لم يُصرف","✔ سليم")))</f>
        <v/>
      </c>
    </row>
    <row r="51" customFormat="false" ht="15" hidden="false" customHeight="false" outlineLevel="0" collapsed="false">
      <c r="B51" s="102" t="str">
        <f aca="false">IF(الموظفون!$B51="","",الموظفون!$B51)</f>
        <v/>
      </c>
      <c r="C51" s="102" t="str">
        <f aca="false">IF($B51="","",الموظفون!$C51)</f>
        <v/>
      </c>
      <c r="D51" s="148" t="str">
        <f aca="false">IF($B51="","",الموظفون!$H51)</f>
        <v/>
      </c>
      <c r="E51" s="148" t="str">
        <f aca="false">IF($B51="","",IF(OR(الموظفون!$AE51="",الموظفون!$AE51&gt;cfg_VAL_DATE),cfg_VAL_DATE,الموظفون!$AE51))</f>
        <v/>
      </c>
      <c r="F51" s="102" t="str">
        <f aca="false">IF($B51="","",IF(E51&lt;D51,"لم يباشر",DATEDIF(D51,E51+1,"y")&amp;" سنة "&amp;DATEDIF(D51,E51+1,"ym")&amp;" شهر "&amp;DATEDIF(D51,E51+1,"md")&amp;" يوم"))</f>
        <v/>
      </c>
      <c r="G51" s="110" t="str">
        <f aca="false">IF($B51="","",SUMIFS('سجل الإجازات والحالات'!$S$6:$S$505,'سجل الإجازات والحالات'!$B$6:$B$505,$B51))</f>
        <v/>
      </c>
      <c r="H51" s="135" t="str">
        <f aca="false">IF($B51="","",MAX(0,E51-D51+1-G51)/cfg_DAYS_Y)</f>
        <v/>
      </c>
      <c r="I51" s="101" t="str">
        <f aca="false">IF($B51="","",الموظفون!$Q51)</f>
        <v/>
      </c>
      <c r="J51" s="101" t="str">
        <f aca="false">IF($B51="","",I51*cfg_EOS_R1*MIN(H51,cfg_EOS_TH))</f>
        <v/>
      </c>
      <c r="K51" s="101" t="str">
        <f aca="false">IF($B51="","",I51*cfg_EOS_R2*MAX(H51-cfg_EOS_TH,0))</f>
        <v/>
      </c>
      <c r="L51" s="101" t="str">
        <f aca="false">IF($B51="","",J51+K51)</f>
        <v/>
      </c>
      <c r="M51" s="102" t="str">
        <f aca="false">IF($B51="","",IF(AND(الموظفون!$AE51&lt;&gt;"",الموظفون!$AE51&lt;=cfg_VAL_DATE),IF(الموظفون!$AF51="","⚠ حدد السبب",الموظفون!$AF51),"على رأس العمل"))</f>
        <v/>
      </c>
      <c r="N51" s="111" t="str">
        <f aca="false">IF($B51="","",VLOOKUP(H51,cfg_RES,2,TRUE()))</f>
        <v/>
      </c>
      <c r="O51" s="101" t="str">
        <f aca="false">IF($B51="","",IF(M51="استقالة",L51*N51,L51))</f>
        <v/>
      </c>
      <c r="P51" s="101" t="str">
        <f aca="false">IF($B51="","",I51*(cfg_EOS_R1*MIN((MAX(0,IF(OR(الموظفون!$AE51="",الموظفون!$AE51&gt;=cfg_Y_START),cfg_Y_START-1,الموظفون!$AE51)-D51+1-SUMIFS('سجل الإجازات والحالات'!$R$6:$R$505,'سجل الإجازات والحالات'!$B$6:$B$505,$B51))/cfg_DAYS_Y),cfg_EOS_TH)+cfg_EOS_R2*MAX((MAX(0,IF(OR(الموظفون!$AE51="",الموظفون!$AE51&gt;=cfg_Y_START),cfg_Y_START-1,الموظفون!$AE51)-D51+1-SUMIFS('سجل الإجازات والحالات'!$R$6:$R$505,'سجل الإجازات والحالات'!$B$6:$B$505,$B51))/cfg_DAYS_Y)-cfg_EOS_TH,0)))</f>
        <v/>
      </c>
      <c r="Q51" s="101" t="str">
        <f aca="false">IF($B51="","",O51-P51)</f>
        <v/>
      </c>
      <c r="R51" s="101" t="str">
        <f aca="false">IF($B51="","",SUMIFS('الحركات الشهرية'!$N$6:$N$1005,'الحركات الشهرية'!$B$6:$B$1005,B51,'الحركات الشهرية'!$A$6:$A$1005,"&lt;="&amp;cfg_VAL_M))</f>
        <v/>
      </c>
      <c r="S51" s="151" t="str">
        <f aca="false">IF($B51="","",P51+Q51-R51)</f>
        <v/>
      </c>
      <c r="T51" s="102" t="str">
        <f aca="false">IF($B51="","",IF(S51&lt;-0.01,"✖ صرف أكثر من المستحق",IF(AND(M51&lt;&gt;"على رأس العمل",S51&gt;0.01),"⚠ مستحق لم يُصرف","✔ سليم")))</f>
        <v/>
      </c>
    </row>
    <row r="52" customFormat="false" ht="15" hidden="false" customHeight="false" outlineLevel="0" collapsed="false">
      <c r="B52" s="80" t="str">
        <f aca="false">IF(الموظفون!$B52="","",الموظفون!$B52)</f>
        <v/>
      </c>
      <c r="C52" s="80" t="str">
        <f aca="false">IF($B52="","",الموظفون!$C52)</f>
        <v/>
      </c>
      <c r="D52" s="147" t="str">
        <f aca="false">IF($B52="","",الموظفون!$H52)</f>
        <v/>
      </c>
      <c r="E52" s="147" t="str">
        <f aca="false">IF($B52="","",IF(OR(الموظفون!$AE52="",الموظفون!$AE52&gt;cfg_VAL_DATE),cfg_VAL_DATE,الموظفون!$AE52))</f>
        <v/>
      </c>
      <c r="F52" s="80" t="str">
        <f aca="false">IF($B52="","",IF(E52&lt;D52,"لم يباشر",DATEDIF(D52,E52+1,"y")&amp;" سنة "&amp;DATEDIF(D52,E52+1,"ym")&amp;" شهر "&amp;DATEDIF(D52,E52+1,"md")&amp;" يوم"))</f>
        <v/>
      </c>
      <c r="G52" s="57" t="str">
        <f aca="false">IF($B52="","",SUMIFS('سجل الإجازات والحالات'!$S$6:$S$505,'سجل الإجازات والحالات'!$B$6:$B$505,$B52))</f>
        <v/>
      </c>
      <c r="H52" s="130" t="str">
        <f aca="false">IF($B52="","",MAX(0,E52-D52+1-G52)/cfg_DAYS_Y)</f>
        <v/>
      </c>
      <c r="I52" s="97" t="str">
        <f aca="false">IF($B52="","",الموظفون!$Q52)</f>
        <v/>
      </c>
      <c r="J52" s="97" t="str">
        <f aca="false">IF($B52="","",I52*cfg_EOS_R1*MIN(H52,cfg_EOS_TH))</f>
        <v/>
      </c>
      <c r="K52" s="97" t="str">
        <f aca="false">IF($B52="","",I52*cfg_EOS_R2*MAX(H52-cfg_EOS_TH,0))</f>
        <v/>
      </c>
      <c r="L52" s="97" t="str">
        <f aca="false">IF($B52="","",J52+K52)</f>
        <v/>
      </c>
      <c r="M52" s="80" t="str">
        <f aca="false">IF($B52="","",IF(AND(الموظفون!$AE52&lt;&gt;"",الموظفون!$AE52&lt;=cfg_VAL_DATE),IF(الموظفون!$AF52="","⚠ حدد السبب",الموظفون!$AF52),"على رأس العمل"))</f>
        <v/>
      </c>
      <c r="N52" s="58" t="str">
        <f aca="false">IF($B52="","",VLOOKUP(H52,cfg_RES,2,TRUE()))</f>
        <v/>
      </c>
      <c r="O52" s="97" t="str">
        <f aca="false">IF($B52="","",IF(M52="استقالة",L52*N52,L52))</f>
        <v/>
      </c>
      <c r="P52" s="97" t="str">
        <f aca="false">IF($B52="","",I52*(cfg_EOS_R1*MIN((MAX(0,IF(OR(الموظفون!$AE52="",الموظفون!$AE52&gt;=cfg_Y_START),cfg_Y_START-1,الموظفون!$AE52)-D52+1-SUMIFS('سجل الإجازات والحالات'!$R$6:$R$505,'سجل الإجازات والحالات'!$B$6:$B$505,$B52))/cfg_DAYS_Y),cfg_EOS_TH)+cfg_EOS_R2*MAX((MAX(0,IF(OR(الموظفون!$AE52="",الموظفون!$AE52&gt;=cfg_Y_START),cfg_Y_START-1,الموظفون!$AE52)-D52+1-SUMIFS('سجل الإجازات والحالات'!$R$6:$R$505,'سجل الإجازات والحالات'!$B$6:$B$505,$B52))/cfg_DAYS_Y)-cfg_EOS_TH,0)))</f>
        <v/>
      </c>
      <c r="Q52" s="97" t="str">
        <f aca="false">IF($B52="","",O52-P52)</f>
        <v/>
      </c>
      <c r="R52" s="97" t="str">
        <f aca="false">IF($B52="","",SUMIFS('الحركات الشهرية'!$N$6:$N$1005,'الحركات الشهرية'!$B$6:$B$1005,B52,'الحركات الشهرية'!$A$6:$A$1005,"&lt;="&amp;cfg_VAL_M))</f>
        <v/>
      </c>
      <c r="S52" s="150" t="str">
        <f aca="false">IF($B52="","",P52+Q52-R52)</f>
        <v/>
      </c>
      <c r="T52" s="80" t="str">
        <f aca="false">IF($B52="","",IF(S52&lt;-0.01,"✖ صرف أكثر من المستحق",IF(AND(M52&lt;&gt;"على رأس العمل",S52&gt;0.01),"⚠ مستحق لم يُصرف","✔ سليم")))</f>
        <v/>
      </c>
    </row>
    <row r="53" customFormat="false" ht="15" hidden="false" customHeight="false" outlineLevel="0" collapsed="false">
      <c r="B53" s="102" t="str">
        <f aca="false">IF(الموظفون!$B53="","",الموظفون!$B53)</f>
        <v/>
      </c>
      <c r="C53" s="102" t="str">
        <f aca="false">IF($B53="","",الموظفون!$C53)</f>
        <v/>
      </c>
      <c r="D53" s="148" t="str">
        <f aca="false">IF($B53="","",الموظفون!$H53)</f>
        <v/>
      </c>
      <c r="E53" s="148" t="str">
        <f aca="false">IF($B53="","",IF(OR(الموظفون!$AE53="",الموظفون!$AE53&gt;cfg_VAL_DATE),cfg_VAL_DATE,الموظفون!$AE53))</f>
        <v/>
      </c>
      <c r="F53" s="102" t="str">
        <f aca="false">IF($B53="","",IF(E53&lt;D53,"لم يباشر",DATEDIF(D53,E53+1,"y")&amp;" سنة "&amp;DATEDIF(D53,E53+1,"ym")&amp;" شهر "&amp;DATEDIF(D53,E53+1,"md")&amp;" يوم"))</f>
        <v/>
      </c>
      <c r="G53" s="110" t="str">
        <f aca="false">IF($B53="","",SUMIFS('سجل الإجازات والحالات'!$S$6:$S$505,'سجل الإجازات والحالات'!$B$6:$B$505,$B53))</f>
        <v/>
      </c>
      <c r="H53" s="135" t="str">
        <f aca="false">IF($B53="","",MAX(0,E53-D53+1-G53)/cfg_DAYS_Y)</f>
        <v/>
      </c>
      <c r="I53" s="101" t="str">
        <f aca="false">IF($B53="","",الموظفون!$Q53)</f>
        <v/>
      </c>
      <c r="J53" s="101" t="str">
        <f aca="false">IF($B53="","",I53*cfg_EOS_R1*MIN(H53,cfg_EOS_TH))</f>
        <v/>
      </c>
      <c r="K53" s="101" t="str">
        <f aca="false">IF($B53="","",I53*cfg_EOS_R2*MAX(H53-cfg_EOS_TH,0))</f>
        <v/>
      </c>
      <c r="L53" s="101" t="str">
        <f aca="false">IF($B53="","",J53+K53)</f>
        <v/>
      </c>
      <c r="M53" s="102" t="str">
        <f aca="false">IF($B53="","",IF(AND(الموظفون!$AE53&lt;&gt;"",الموظفون!$AE53&lt;=cfg_VAL_DATE),IF(الموظفون!$AF53="","⚠ حدد السبب",الموظفون!$AF53),"على رأس العمل"))</f>
        <v/>
      </c>
      <c r="N53" s="111" t="str">
        <f aca="false">IF($B53="","",VLOOKUP(H53,cfg_RES,2,TRUE()))</f>
        <v/>
      </c>
      <c r="O53" s="101" t="str">
        <f aca="false">IF($B53="","",IF(M53="استقالة",L53*N53,L53))</f>
        <v/>
      </c>
      <c r="P53" s="101" t="str">
        <f aca="false">IF($B53="","",I53*(cfg_EOS_R1*MIN((MAX(0,IF(OR(الموظفون!$AE53="",الموظفون!$AE53&gt;=cfg_Y_START),cfg_Y_START-1,الموظفون!$AE53)-D53+1-SUMIFS('سجل الإجازات والحالات'!$R$6:$R$505,'سجل الإجازات والحالات'!$B$6:$B$505,$B53))/cfg_DAYS_Y),cfg_EOS_TH)+cfg_EOS_R2*MAX((MAX(0,IF(OR(الموظفون!$AE53="",الموظفون!$AE53&gt;=cfg_Y_START),cfg_Y_START-1,الموظفون!$AE53)-D53+1-SUMIFS('سجل الإجازات والحالات'!$R$6:$R$505,'سجل الإجازات والحالات'!$B$6:$B$505,$B53))/cfg_DAYS_Y)-cfg_EOS_TH,0)))</f>
        <v/>
      </c>
      <c r="Q53" s="101" t="str">
        <f aca="false">IF($B53="","",O53-P53)</f>
        <v/>
      </c>
      <c r="R53" s="101" t="str">
        <f aca="false">IF($B53="","",SUMIFS('الحركات الشهرية'!$N$6:$N$1005,'الحركات الشهرية'!$B$6:$B$1005,B53,'الحركات الشهرية'!$A$6:$A$1005,"&lt;="&amp;cfg_VAL_M))</f>
        <v/>
      </c>
      <c r="S53" s="151" t="str">
        <f aca="false">IF($B53="","",P53+Q53-R53)</f>
        <v/>
      </c>
      <c r="T53" s="102" t="str">
        <f aca="false">IF($B53="","",IF(S53&lt;-0.01,"✖ صرف أكثر من المستحق",IF(AND(M53&lt;&gt;"على رأس العمل",S53&gt;0.01),"⚠ مستحق لم يُصرف","✔ سليم")))</f>
        <v/>
      </c>
    </row>
    <row r="54" customFormat="false" ht="15" hidden="false" customHeight="false" outlineLevel="0" collapsed="false">
      <c r="B54" s="80" t="str">
        <f aca="false">IF(الموظفون!$B54="","",الموظفون!$B54)</f>
        <v/>
      </c>
      <c r="C54" s="80" t="str">
        <f aca="false">IF($B54="","",الموظفون!$C54)</f>
        <v/>
      </c>
      <c r="D54" s="147" t="str">
        <f aca="false">IF($B54="","",الموظفون!$H54)</f>
        <v/>
      </c>
      <c r="E54" s="147" t="str">
        <f aca="false">IF($B54="","",IF(OR(الموظفون!$AE54="",الموظفون!$AE54&gt;cfg_VAL_DATE),cfg_VAL_DATE,الموظفون!$AE54))</f>
        <v/>
      </c>
      <c r="F54" s="80" t="str">
        <f aca="false">IF($B54="","",IF(E54&lt;D54,"لم يباشر",DATEDIF(D54,E54+1,"y")&amp;" سنة "&amp;DATEDIF(D54,E54+1,"ym")&amp;" شهر "&amp;DATEDIF(D54,E54+1,"md")&amp;" يوم"))</f>
        <v/>
      </c>
      <c r="G54" s="57" t="str">
        <f aca="false">IF($B54="","",SUMIFS('سجل الإجازات والحالات'!$S$6:$S$505,'سجل الإجازات والحالات'!$B$6:$B$505,$B54))</f>
        <v/>
      </c>
      <c r="H54" s="130" t="str">
        <f aca="false">IF($B54="","",MAX(0,E54-D54+1-G54)/cfg_DAYS_Y)</f>
        <v/>
      </c>
      <c r="I54" s="97" t="str">
        <f aca="false">IF($B54="","",الموظفون!$Q54)</f>
        <v/>
      </c>
      <c r="J54" s="97" t="str">
        <f aca="false">IF($B54="","",I54*cfg_EOS_R1*MIN(H54,cfg_EOS_TH))</f>
        <v/>
      </c>
      <c r="K54" s="97" t="str">
        <f aca="false">IF($B54="","",I54*cfg_EOS_R2*MAX(H54-cfg_EOS_TH,0))</f>
        <v/>
      </c>
      <c r="L54" s="97" t="str">
        <f aca="false">IF($B54="","",J54+K54)</f>
        <v/>
      </c>
      <c r="M54" s="80" t="str">
        <f aca="false">IF($B54="","",IF(AND(الموظفون!$AE54&lt;&gt;"",الموظفون!$AE54&lt;=cfg_VAL_DATE),IF(الموظفون!$AF54="","⚠ حدد السبب",الموظفون!$AF54),"على رأس العمل"))</f>
        <v/>
      </c>
      <c r="N54" s="58" t="str">
        <f aca="false">IF($B54="","",VLOOKUP(H54,cfg_RES,2,TRUE()))</f>
        <v/>
      </c>
      <c r="O54" s="97" t="str">
        <f aca="false">IF($B54="","",IF(M54="استقالة",L54*N54,L54))</f>
        <v/>
      </c>
      <c r="P54" s="97" t="str">
        <f aca="false">IF($B54="","",I54*(cfg_EOS_R1*MIN((MAX(0,IF(OR(الموظفون!$AE54="",الموظفون!$AE54&gt;=cfg_Y_START),cfg_Y_START-1,الموظفون!$AE54)-D54+1-SUMIFS('سجل الإجازات والحالات'!$R$6:$R$505,'سجل الإجازات والحالات'!$B$6:$B$505,$B54))/cfg_DAYS_Y),cfg_EOS_TH)+cfg_EOS_R2*MAX((MAX(0,IF(OR(الموظفون!$AE54="",الموظفون!$AE54&gt;=cfg_Y_START),cfg_Y_START-1,الموظفون!$AE54)-D54+1-SUMIFS('سجل الإجازات والحالات'!$R$6:$R$505,'سجل الإجازات والحالات'!$B$6:$B$505,$B54))/cfg_DAYS_Y)-cfg_EOS_TH,0)))</f>
        <v/>
      </c>
      <c r="Q54" s="97" t="str">
        <f aca="false">IF($B54="","",O54-P54)</f>
        <v/>
      </c>
      <c r="R54" s="97" t="str">
        <f aca="false">IF($B54="","",SUMIFS('الحركات الشهرية'!$N$6:$N$1005,'الحركات الشهرية'!$B$6:$B$1005,B54,'الحركات الشهرية'!$A$6:$A$1005,"&lt;="&amp;cfg_VAL_M))</f>
        <v/>
      </c>
      <c r="S54" s="150" t="str">
        <f aca="false">IF($B54="","",P54+Q54-R54)</f>
        <v/>
      </c>
      <c r="T54" s="80" t="str">
        <f aca="false">IF($B54="","",IF(S54&lt;-0.01,"✖ صرف أكثر من المستحق",IF(AND(M54&lt;&gt;"على رأس العمل",S54&gt;0.01),"⚠ مستحق لم يُصرف","✔ سليم")))</f>
        <v/>
      </c>
    </row>
    <row r="55" customFormat="false" ht="15" hidden="false" customHeight="false" outlineLevel="0" collapsed="false">
      <c r="B55" s="102" t="str">
        <f aca="false">IF(الموظفون!$B55="","",الموظفون!$B55)</f>
        <v/>
      </c>
      <c r="C55" s="102" t="str">
        <f aca="false">IF($B55="","",الموظفون!$C55)</f>
        <v/>
      </c>
      <c r="D55" s="148" t="str">
        <f aca="false">IF($B55="","",الموظفون!$H55)</f>
        <v/>
      </c>
      <c r="E55" s="148" t="str">
        <f aca="false">IF($B55="","",IF(OR(الموظفون!$AE55="",الموظفون!$AE55&gt;cfg_VAL_DATE),cfg_VAL_DATE,الموظفون!$AE55))</f>
        <v/>
      </c>
      <c r="F55" s="102" t="str">
        <f aca="false">IF($B55="","",IF(E55&lt;D55,"لم يباشر",DATEDIF(D55,E55+1,"y")&amp;" سنة "&amp;DATEDIF(D55,E55+1,"ym")&amp;" شهر "&amp;DATEDIF(D55,E55+1,"md")&amp;" يوم"))</f>
        <v/>
      </c>
      <c r="G55" s="110" t="str">
        <f aca="false">IF($B55="","",SUMIFS('سجل الإجازات والحالات'!$S$6:$S$505,'سجل الإجازات والحالات'!$B$6:$B$505,$B55))</f>
        <v/>
      </c>
      <c r="H55" s="135" t="str">
        <f aca="false">IF($B55="","",MAX(0,E55-D55+1-G55)/cfg_DAYS_Y)</f>
        <v/>
      </c>
      <c r="I55" s="101" t="str">
        <f aca="false">IF($B55="","",الموظفون!$Q55)</f>
        <v/>
      </c>
      <c r="J55" s="101" t="str">
        <f aca="false">IF($B55="","",I55*cfg_EOS_R1*MIN(H55,cfg_EOS_TH))</f>
        <v/>
      </c>
      <c r="K55" s="101" t="str">
        <f aca="false">IF($B55="","",I55*cfg_EOS_R2*MAX(H55-cfg_EOS_TH,0))</f>
        <v/>
      </c>
      <c r="L55" s="101" t="str">
        <f aca="false">IF($B55="","",J55+K55)</f>
        <v/>
      </c>
      <c r="M55" s="102" t="str">
        <f aca="false">IF($B55="","",IF(AND(الموظفون!$AE55&lt;&gt;"",الموظفون!$AE55&lt;=cfg_VAL_DATE),IF(الموظفون!$AF55="","⚠ حدد السبب",الموظفون!$AF55),"على رأس العمل"))</f>
        <v/>
      </c>
      <c r="N55" s="111" t="str">
        <f aca="false">IF($B55="","",VLOOKUP(H55,cfg_RES,2,TRUE()))</f>
        <v/>
      </c>
      <c r="O55" s="101" t="str">
        <f aca="false">IF($B55="","",IF(M55="استقالة",L55*N55,L55))</f>
        <v/>
      </c>
      <c r="P55" s="101" t="str">
        <f aca="false">IF($B55="","",I55*(cfg_EOS_R1*MIN((MAX(0,IF(OR(الموظفون!$AE55="",الموظفون!$AE55&gt;=cfg_Y_START),cfg_Y_START-1,الموظفون!$AE55)-D55+1-SUMIFS('سجل الإجازات والحالات'!$R$6:$R$505,'سجل الإجازات والحالات'!$B$6:$B$505,$B55))/cfg_DAYS_Y),cfg_EOS_TH)+cfg_EOS_R2*MAX((MAX(0,IF(OR(الموظفون!$AE55="",الموظفون!$AE55&gt;=cfg_Y_START),cfg_Y_START-1,الموظفون!$AE55)-D55+1-SUMIFS('سجل الإجازات والحالات'!$R$6:$R$505,'سجل الإجازات والحالات'!$B$6:$B$505,$B55))/cfg_DAYS_Y)-cfg_EOS_TH,0)))</f>
        <v/>
      </c>
      <c r="Q55" s="101" t="str">
        <f aca="false">IF($B55="","",O55-P55)</f>
        <v/>
      </c>
      <c r="R55" s="101" t="str">
        <f aca="false">IF($B55="","",SUMIFS('الحركات الشهرية'!$N$6:$N$1005,'الحركات الشهرية'!$B$6:$B$1005,B55,'الحركات الشهرية'!$A$6:$A$1005,"&lt;="&amp;cfg_VAL_M))</f>
        <v/>
      </c>
      <c r="S55" s="151" t="str">
        <f aca="false">IF($B55="","",P55+Q55-R55)</f>
        <v/>
      </c>
      <c r="T55" s="102" t="str">
        <f aca="false">IF($B55="","",IF(S55&lt;-0.01,"✖ صرف أكثر من المستحق",IF(AND(M55&lt;&gt;"على رأس العمل",S55&gt;0.01),"⚠ مستحق لم يُصرف","✔ سليم")))</f>
        <v/>
      </c>
    </row>
    <row r="56" customFormat="false" ht="15" hidden="false" customHeight="false" outlineLevel="0" collapsed="false">
      <c r="B56" s="80" t="str">
        <f aca="false">IF(الموظفون!$B56="","",الموظفون!$B56)</f>
        <v/>
      </c>
      <c r="C56" s="80" t="str">
        <f aca="false">IF($B56="","",الموظفون!$C56)</f>
        <v/>
      </c>
      <c r="D56" s="147" t="str">
        <f aca="false">IF($B56="","",الموظفون!$H56)</f>
        <v/>
      </c>
      <c r="E56" s="147" t="str">
        <f aca="false">IF($B56="","",IF(OR(الموظفون!$AE56="",الموظفون!$AE56&gt;cfg_VAL_DATE),cfg_VAL_DATE,الموظفون!$AE56))</f>
        <v/>
      </c>
      <c r="F56" s="80" t="str">
        <f aca="false">IF($B56="","",IF(E56&lt;D56,"لم يباشر",DATEDIF(D56,E56+1,"y")&amp;" سنة "&amp;DATEDIF(D56,E56+1,"ym")&amp;" شهر "&amp;DATEDIF(D56,E56+1,"md")&amp;" يوم"))</f>
        <v/>
      </c>
      <c r="G56" s="57" t="str">
        <f aca="false">IF($B56="","",SUMIFS('سجل الإجازات والحالات'!$S$6:$S$505,'سجل الإجازات والحالات'!$B$6:$B$505,$B56))</f>
        <v/>
      </c>
      <c r="H56" s="130" t="str">
        <f aca="false">IF($B56="","",MAX(0,E56-D56+1-G56)/cfg_DAYS_Y)</f>
        <v/>
      </c>
      <c r="I56" s="97" t="str">
        <f aca="false">IF($B56="","",الموظفون!$Q56)</f>
        <v/>
      </c>
      <c r="J56" s="97" t="str">
        <f aca="false">IF($B56="","",I56*cfg_EOS_R1*MIN(H56,cfg_EOS_TH))</f>
        <v/>
      </c>
      <c r="K56" s="97" t="str">
        <f aca="false">IF($B56="","",I56*cfg_EOS_R2*MAX(H56-cfg_EOS_TH,0))</f>
        <v/>
      </c>
      <c r="L56" s="97" t="str">
        <f aca="false">IF($B56="","",J56+K56)</f>
        <v/>
      </c>
      <c r="M56" s="80" t="str">
        <f aca="false">IF($B56="","",IF(AND(الموظفون!$AE56&lt;&gt;"",الموظفون!$AE56&lt;=cfg_VAL_DATE),IF(الموظفون!$AF56="","⚠ حدد السبب",الموظفون!$AF56),"على رأس العمل"))</f>
        <v/>
      </c>
      <c r="N56" s="58" t="str">
        <f aca="false">IF($B56="","",VLOOKUP(H56,cfg_RES,2,TRUE()))</f>
        <v/>
      </c>
      <c r="O56" s="97" t="str">
        <f aca="false">IF($B56="","",IF(M56="استقالة",L56*N56,L56))</f>
        <v/>
      </c>
      <c r="P56" s="97" t="str">
        <f aca="false">IF($B56="","",I56*(cfg_EOS_R1*MIN((MAX(0,IF(OR(الموظفون!$AE56="",الموظفون!$AE56&gt;=cfg_Y_START),cfg_Y_START-1,الموظفون!$AE56)-D56+1-SUMIFS('سجل الإجازات والحالات'!$R$6:$R$505,'سجل الإجازات والحالات'!$B$6:$B$505,$B56))/cfg_DAYS_Y),cfg_EOS_TH)+cfg_EOS_R2*MAX((MAX(0,IF(OR(الموظفون!$AE56="",الموظفون!$AE56&gt;=cfg_Y_START),cfg_Y_START-1,الموظفون!$AE56)-D56+1-SUMIFS('سجل الإجازات والحالات'!$R$6:$R$505,'سجل الإجازات والحالات'!$B$6:$B$505,$B56))/cfg_DAYS_Y)-cfg_EOS_TH,0)))</f>
        <v/>
      </c>
      <c r="Q56" s="97" t="str">
        <f aca="false">IF($B56="","",O56-P56)</f>
        <v/>
      </c>
      <c r="R56" s="97" t="str">
        <f aca="false">IF($B56="","",SUMIFS('الحركات الشهرية'!$N$6:$N$1005,'الحركات الشهرية'!$B$6:$B$1005,B56,'الحركات الشهرية'!$A$6:$A$1005,"&lt;="&amp;cfg_VAL_M))</f>
        <v/>
      </c>
      <c r="S56" s="150" t="str">
        <f aca="false">IF($B56="","",P56+Q56-R56)</f>
        <v/>
      </c>
      <c r="T56" s="80" t="str">
        <f aca="false">IF($B56="","",IF(S56&lt;-0.01,"✖ صرف أكثر من المستحق",IF(AND(M56&lt;&gt;"على رأس العمل",S56&gt;0.01),"⚠ مستحق لم يُصرف","✔ سليم")))</f>
        <v/>
      </c>
    </row>
    <row r="57" customFormat="false" ht="15" hidden="false" customHeight="false" outlineLevel="0" collapsed="false">
      <c r="B57" s="102" t="str">
        <f aca="false">IF(الموظفون!$B57="","",الموظفون!$B57)</f>
        <v/>
      </c>
      <c r="C57" s="102" t="str">
        <f aca="false">IF($B57="","",الموظفون!$C57)</f>
        <v/>
      </c>
      <c r="D57" s="148" t="str">
        <f aca="false">IF($B57="","",الموظفون!$H57)</f>
        <v/>
      </c>
      <c r="E57" s="148" t="str">
        <f aca="false">IF($B57="","",IF(OR(الموظفون!$AE57="",الموظفون!$AE57&gt;cfg_VAL_DATE),cfg_VAL_DATE,الموظفون!$AE57))</f>
        <v/>
      </c>
      <c r="F57" s="102" t="str">
        <f aca="false">IF($B57="","",IF(E57&lt;D57,"لم يباشر",DATEDIF(D57,E57+1,"y")&amp;" سنة "&amp;DATEDIF(D57,E57+1,"ym")&amp;" شهر "&amp;DATEDIF(D57,E57+1,"md")&amp;" يوم"))</f>
        <v/>
      </c>
      <c r="G57" s="110" t="str">
        <f aca="false">IF($B57="","",SUMIFS('سجل الإجازات والحالات'!$S$6:$S$505,'سجل الإجازات والحالات'!$B$6:$B$505,$B57))</f>
        <v/>
      </c>
      <c r="H57" s="135" t="str">
        <f aca="false">IF($B57="","",MAX(0,E57-D57+1-G57)/cfg_DAYS_Y)</f>
        <v/>
      </c>
      <c r="I57" s="101" t="str">
        <f aca="false">IF($B57="","",الموظفون!$Q57)</f>
        <v/>
      </c>
      <c r="J57" s="101" t="str">
        <f aca="false">IF($B57="","",I57*cfg_EOS_R1*MIN(H57,cfg_EOS_TH))</f>
        <v/>
      </c>
      <c r="K57" s="101" t="str">
        <f aca="false">IF($B57="","",I57*cfg_EOS_R2*MAX(H57-cfg_EOS_TH,0))</f>
        <v/>
      </c>
      <c r="L57" s="101" t="str">
        <f aca="false">IF($B57="","",J57+K57)</f>
        <v/>
      </c>
      <c r="M57" s="102" t="str">
        <f aca="false">IF($B57="","",IF(AND(الموظفون!$AE57&lt;&gt;"",الموظفون!$AE57&lt;=cfg_VAL_DATE),IF(الموظفون!$AF57="","⚠ حدد السبب",الموظفون!$AF57),"على رأس العمل"))</f>
        <v/>
      </c>
      <c r="N57" s="111" t="str">
        <f aca="false">IF($B57="","",VLOOKUP(H57,cfg_RES,2,TRUE()))</f>
        <v/>
      </c>
      <c r="O57" s="101" t="str">
        <f aca="false">IF($B57="","",IF(M57="استقالة",L57*N57,L57))</f>
        <v/>
      </c>
      <c r="P57" s="101" t="str">
        <f aca="false">IF($B57="","",I57*(cfg_EOS_R1*MIN((MAX(0,IF(OR(الموظفون!$AE57="",الموظفون!$AE57&gt;=cfg_Y_START),cfg_Y_START-1,الموظفون!$AE57)-D57+1-SUMIFS('سجل الإجازات والحالات'!$R$6:$R$505,'سجل الإجازات والحالات'!$B$6:$B$505,$B57))/cfg_DAYS_Y),cfg_EOS_TH)+cfg_EOS_R2*MAX((MAX(0,IF(OR(الموظفون!$AE57="",الموظفون!$AE57&gt;=cfg_Y_START),cfg_Y_START-1,الموظفون!$AE57)-D57+1-SUMIFS('سجل الإجازات والحالات'!$R$6:$R$505,'سجل الإجازات والحالات'!$B$6:$B$505,$B57))/cfg_DAYS_Y)-cfg_EOS_TH,0)))</f>
        <v/>
      </c>
      <c r="Q57" s="101" t="str">
        <f aca="false">IF($B57="","",O57-P57)</f>
        <v/>
      </c>
      <c r="R57" s="101" t="str">
        <f aca="false">IF($B57="","",SUMIFS('الحركات الشهرية'!$N$6:$N$1005,'الحركات الشهرية'!$B$6:$B$1005,B57,'الحركات الشهرية'!$A$6:$A$1005,"&lt;="&amp;cfg_VAL_M))</f>
        <v/>
      </c>
      <c r="S57" s="151" t="str">
        <f aca="false">IF($B57="","",P57+Q57-R57)</f>
        <v/>
      </c>
      <c r="T57" s="102" t="str">
        <f aca="false">IF($B57="","",IF(S57&lt;-0.01,"✖ صرف أكثر من المستحق",IF(AND(M57&lt;&gt;"على رأس العمل",S57&gt;0.01),"⚠ مستحق لم يُصرف","✔ سليم")))</f>
        <v/>
      </c>
    </row>
    <row r="58" customFormat="false" ht="15" hidden="false" customHeight="false" outlineLevel="0" collapsed="false">
      <c r="B58" s="80" t="str">
        <f aca="false">IF(الموظفون!$B58="","",الموظفون!$B58)</f>
        <v/>
      </c>
      <c r="C58" s="80" t="str">
        <f aca="false">IF($B58="","",الموظفون!$C58)</f>
        <v/>
      </c>
      <c r="D58" s="147" t="str">
        <f aca="false">IF($B58="","",الموظفون!$H58)</f>
        <v/>
      </c>
      <c r="E58" s="147" t="str">
        <f aca="false">IF($B58="","",IF(OR(الموظفون!$AE58="",الموظفون!$AE58&gt;cfg_VAL_DATE),cfg_VAL_DATE,الموظفون!$AE58))</f>
        <v/>
      </c>
      <c r="F58" s="80" t="str">
        <f aca="false">IF($B58="","",IF(E58&lt;D58,"لم يباشر",DATEDIF(D58,E58+1,"y")&amp;" سنة "&amp;DATEDIF(D58,E58+1,"ym")&amp;" شهر "&amp;DATEDIF(D58,E58+1,"md")&amp;" يوم"))</f>
        <v/>
      </c>
      <c r="G58" s="57" t="str">
        <f aca="false">IF($B58="","",SUMIFS('سجل الإجازات والحالات'!$S$6:$S$505,'سجل الإجازات والحالات'!$B$6:$B$505,$B58))</f>
        <v/>
      </c>
      <c r="H58" s="130" t="str">
        <f aca="false">IF($B58="","",MAX(0,E58-D58+1-G58)/cfg_DAYS_Y)</f>
        <v/>
      </c>
      <c r="I58" s="97" t="str">
        <f aca="false">IF($B58="","",الموظفون!$Q58)</f>
        <v/>
      </c>
      <c r="J58" s="97" t="str">
        <f aca="false">IF($B58="","",I58*cfg_EOS_R1*MIN(H58,cfg_EOS_TH))</f>
        <v/>
      </c>
      <c r="K58" s="97" t="str">
        <f aca="false">IF($B58="","",I58*cfg_EOS_R2*MAX(H58-cfg_EOS_TH,0))</f>
        <v/>
      </c>
      <c r="L58" s="97" t="str">
        <f aca="false">IF($B58="","",J58+K58)</f>
        <v/>
      </c>
      <c r="M58" s="80" t="str">
        <f aca="false">IF($B58="","",IF(AND(الموظفون!$AE58&lt;&gt;"",الموظفون!$AE58&lt;=cfg_VAL_DATE),IF(الموظفون!$AF58="","⚠ حدد السبب",الموظفون!$AF58),"على رأس العمل"))</f>
        <v/>
      </c>
      <c r="N58" s="58" t="str">
        <f aca="false">IF($B58="","",VLOOKUP(H58,cfg_RES,2,TRUE()))</f>
        <v/>
      </c>
      <c r="O58" s="97" t="str">
        <f aca="false">IF($B58="","",IF(M58="استقالة",L58*N58,L58))</f>
        <v/>
      </c>
      <c r="P58" s="97" t="str">
        <f aca="false">IF($B58="","",I58*(cfg_EOS_R1*MIN((MAX(0,IF(OR(الموظفون!$AE58="",الموظفون!$AE58&gt;=cfg_Y_START),cfg_Y_START-1,الموظفون!$AE58)-D58+1-SUMIFS('سجل الإجازات والحالات'!$R$6:$R$505,'سجل الإجازات والحالات'!$B$6:$B$505,$B58))/cfg_DAYS_Y),cfg_EOS_TH)+cfg_EOS_R2*MAX((MAX(0,IF(OR(الموظفون!$AE58="",الموظفون!$AE58&gt;=cfg_Y_START),cfg_Y_START-1,الموظفون!$AE58)-D58+1-SUMIFS('سجل الإجازات والحالات'!$R$6:$R$505,'سجل الإجازات والحالات'!$B$6:$B$505,$B58))/cfg_DAYS_Y)-cfg_EOS_TH,0)))</f>
        <v/>
      </c>
      <c r="Q58" s="97" t="str">
        <f aca="false">IF($B58="","",O58-P58)</f>
        <v/>
      </c>
      <c r="R58" s="97" t="str">
        <f aca="false">IF($B58="","",SUMIFS('الحركات الشهرية'!$N$6:$N$1005,'الحركات الشهرية'!$B$6:$B$1005,B58,'الحركات الشهرية'!$A$6:$A$1005,"&lt;="&amp;cfg_VAL_M))</f>
        <v/>
      </c>
      <c r="S58" s="150" t="str">
        <f aca="false">IF($B58="","",P58+Q58-R58)</f>
        <v/>
      </c>
      <c r="T58" s="80" t="str">
        <f aca="false">IF($B58="","",IF(S58&lt;-0.01,"✖ صرف أكثر من المستحق",IF(AND(M58&lt;&gt;"على رأس العمل",S58&gt;0.01),"⚠ مستحق لم يُصرف","✔ سليم")))</f>
        <v/>
      </c>
    </row>
    <row r="59" customFormat="false" ht="15" hidden="false" customHeight="false" outlineLevel="0" collapsed="false">
      <c r="B59" s="102" t="str">
        <f aca="false">IF(الموظفون!$B59="","",الموظفون!$B59)</f>
        <v/>
      </c>
      <c r="C59" s="102" t="str">
        <f aca="false">IF($B59="","",الموظفون!$C59)</f>
        <v/>
      </c>
      <c r="D59" s="148" t="str">
        <f aca="false">IF($B59="","",الموظفون!$H59)</f>
        <v/>
      </c>
      <c r="E59" s="148" t="str">
        <f aca="false">IF($B59="","",IF(OR(الموظفون!$AE59="",الموظفون!$AE59&gt;cfg_VAL_DATE),cfg_VAL_DATE,الموظفون!$AE59))</f>
        <v/>
      </c>
      <c r="F59" s="102" t="str">
        <f aca="false">IF($B59="","",IF(E59&lt;D59,"لم يباشر",DATEDIF(D59,E59+1,"y")&amp;" سنة "&amp;DATEDIF(D59,E59+1,"ym")&amp;" شهر "&amp;DATEDIF(D59,E59+1,"md")&amp;" يوم"))</f>
        <v/>
      </c>
      <c r="G59" s="110" t="str">
        <f aca="false">IF($B59="","",SUMIFS('سجل الإجازات والحالات'!$S$6:$S$505,'سجل الإجازات والحالات'!$B$6:$B$505,$B59))</f>
        <v/>
      </c>
      <c r="H59" s="135" t="str">
        <f aca="false">IF($B59="","",MAX(0,E59-D59+1-G59)/cfg_DAYS_Y)</f>
        <v/>
      </c>
      <c r="I59" s="101" t="str">
        <f aca="false">IF($B59="","",الموظفون!$Q59)</f>
        <v/>
      </c>
      <c r="J59" s="101" t="str">
        <f aca="false">IF($B59="","",I59*cfg_EOS_R1*MIN(H59,cfg_EOS_TH))</f>
        <v/>
      </c>
      <c r="K59" s="101" t="str">
        <f aca="false">IF($B59="","",I59*cfg_EOS_R2*MAX(H59-cfg_EOS_TH,0))</f>
        <v/>
      </c>
      <c r="L59" s="101" t="str">
        <f aca="false">IF($B59="","",J59+K59)</f>
        <v/>
      </c>
      <c r="M59" s="102" t="str">
        <f aca="false">IF($B59="","",IF(AND(الموظفون!$AE59&lt;&gt;"",الموظفون!$AE59&lt;=cfg_VAL_DATE),IF(الموظفون!$AF59="","⚠ حدد السبب",الموظفون!$AF59),"على رأس العمل"))</f>
        <v/>
      </c>
      <c r="N59" s="111" t="str">
        <f aca="false">IF($B59="","",VLOOKUP(H59,cfg_RES,2,TRUE()))</f>
        <v/>
      </c>
      <c r="O59" s="101" t="str">
        <f aca="false">IF($B59="","",IF(M59="استقالة",L59*N59,L59))</f>
        <v/>
      </c>
      <c r="P59" s="101" t="str">
        <f aca="false">IF($B59="","",I59*(cfg_EOS_R1*MIN((MAX(0,IF(OR(الموظفون!$AE59="",الموظفون!$AE59&gt;=cfg_Y_START),cfg_Y_START-1,الموظفون!$AE59)-D59+1-SUMIFS('سجل الإجازات والحالات'!$R$6:$R$505,'سجل الإجازات والحالات'!$B$6:$B$505,$B59))/cfg_DAYS_Y),cfg_EOS_TH)+cfg_EOS_R2*MAX((MAX(0,IF(OR(الموظفون!$AE59="",الموظفون!$AE59&gt;=cfg_Y_START),cfg_Y_START-1,الموظفون!$AE59)-D59+1-SUMIFS('سجل الإجازات والحالات'!$R$6:$R$505,'سجل الإجازات والحالات'!$B$6:$B$505,$B59))/cfg_DAYS_Y)-cfg_EOS_TH,0)))</f>
        <v/>
      </c>
      <c r="Q59" s="101" t="str">
        <f aca="false">IF($B59="","",O59-P59)</f>
        <v/>
      </c>
      <c r="R59" s="101" t="str">
        <f aca="false">IF($B59="","",SUMIFS('الحركات الشهرية'!$N$6:$N$1005,'الحركات الشهرية'!$B$6:$B$1005,B59,'الحركات الشهرية'!$A$6:$A$1005,"&lt;="&amp;cfg_VAL_M))</f>
        <v/>
      </c>
      <c r="S59" s="151" t="str">
        <f aca="false">IF($B59="","",P59+Q59-R59)</f>
        <v/>
      </c>
      <c r="T59" s="102" t="str">
        <f aca="false">IF($B59="","",IF(S59&lt;-0.01,"✖ صرف أكثر من المستحق",IF(AND(M59&lt;&gt;"على رأس العمل",S59&gt;0.01),"⚠ مستحق لم يُصرف","✔ سليم")))</f>
        <v/>
      </c>
    </row>
    <row r="60" customFormat="false" ht="15" hidden="false" customHeight="false" outlineLevel="0" collapsed="false">
      <c r="B60" s="80" t="str">
        <f aca="false">IF(الموظفون!$B60="","",الموظفون!$B60)</f>
        <v/>
      </c>
      <c r="C60" s="80" t="str">
        <f aca="false">IF($B60="","",الموظفون!$C60)</f>
        <v/>
      </c>
      <c r="D60" s="147" t="str">
        <f aca="false">IF($B60="","",الموظفون!$H60)</f>
        <v/>
      </c>
      <c r="E60" s="147" t="str">
        <f aca="false">IF($B60="","",IF(OR(الموظفون!$AE60="",الموظفون!$AE60&gt;cfg_VAL_DATE),cfg_VAL_DATE,الموظفون!$AE60))</f>
        <v/>
      </c>
      <c r="F60" s="80" t="str">
        <f aca="false">IF($B60="","",IF(E60&lt;D60,"لم يباشر",DATEDIF(D60,E60+1,"y")&amp;" سنة "&amp;DATEDIF(D60,E60+1,"ym")&amp;" شهر "&amp;DATEDIF(D60,E60+1,"md")&amp;" يوم"))</f>
        <v/>
      </c>
      <c r="G60" s="57" t="str">
        <f aca="false">IF($B60="","",SUMIFS('سجل الإجازات والحالات'!$S$6:$S$505,'سجل الإجازات والحالات'!$B$6:$B$505,$B60))</f>
        <v/>
      </c>
      <c r="H60" s="130" t="str">
        <f aca="false">IF($B60="","",MAX(0,E60-D60+1-G60)/cfg_DAYS_Y)</f>
        <v/>
      </c>
      <c r="I60" s="97" t="str">
        <f aca="false">IF($B60="","",الموظفون!$Q60)</f>
        <v/>
      </c>
      <c r="J60" s="97" t="str">
        <f aca="false">IF($B60="","",I60*cfg_EOS_R1*MIN(H60,cfg_EOS_TH))</f>
        <v/>
      </c>
      <c r="K60" s="97" t="str">
        <f aca="false">IF($B60="","",I60*cfg_EOS_R2*MAX(H60-cfg_EOS_TH,0))</f>
        <v/>
      </c>
      <c r="L60" s="97" t="str">
        <f aca="false">IF($B60="","",J60+K60)</f>
        <v/>
      </c>
      <c r="M60" s="80" t="str">
        <f aca="false">IF($B60="","",IF(AND(الموظفون!$AE60&lt;&gt;"",الموظفون!$AE60&lt;=cfg_VAL_DATE),IF(الموظفون!$AF60="","⚠ حدد السبب",الموظفون!$AF60),"على رأس العمل"))</f>
        <v/>
      </c>
      <c r="N60" s="58" t="str">
        <f aca="false">IF($B60="","",VLOOKUP(H60,cfg_RES,2,TRUE()))</f>
        <v/>
      </c>
      <c r="O60" s="97" t="str">
        <f aca="false">IF($B60="","",IF(M60="استقالة",L60*N60,L60))</f>
        <v/>
      </c>
      <c r="P60" s="97" t="str">
        <f aca="false">IF($B60="","",I60*(cfg_EOS_R1*MIN((MAX(0,IF(OR(الموظفون!$AE60="",الموظفون!$AE60&gt;=cfg_Y_START),cfg_Y_START-1,الموظفون!$AE60)-D60+1-SUMIFS('سجل الإجازات والحالات'!$R$6:$R$505,'سجل الإجازات والحالات'!$B$6:$B$505,$B60))/cfg_DAYS_Y),cfg_EOS_TH)+cfg_EOS_R2*MAX((MAX(0,IF(OR(الموظفون!$AE60="",الموظفون!$AE60&gt;=cfg_Y_START),cfg_Y_START-1,الموظفون!$AE60)-D60+1-SUMIFS('سجل الإجازات والحالات'!$R$6:$R$505,'سجل الإجازات والحالات'!$B$6:$B$505,$B60))/cfg_DAYS_Y)-cfg_EOS_TH,0)))</f>
        <v/>
      </c>
      <c r="Q60" s="97" t="str">
        <f aca="false">IF($B60="","",O60-P60)</f>
        <v/>
      </c>
      <c r="R60" s="97" t="str">
        <f aca="false">IF($B60="","",SUMIFS('الحركات الشهرية'!$N$6:$N$1005,'الحركات الشهرية'!$B$6:$B$1005,B60,'الحركات الشهرية'!$A$6:$A$1005,"&lt;="&amp;cfg_VAL_M))</f>
        <v/>
      </c>
      <c r="S60" s="150" t="str">
        <f aca="false">IF($B60="","",P60+Q60-R60)</f>
        <v/>
      </c>
      <c r="T60" s="80" t="str">
        <f aca="false">IF($B60="","",IF(S60&lt;-0.01,"✖ صرف أكثر من المستحق",IF(AND(M60&lt;&gt;"على رأس العمل",S60&gt;0.01),"⚠ مستحق لم يُصرف","✔ سليم")))</f>
        <v/>
      </c>
    </row>
    <row r="61" customFormat="false" ht="15" hidden="false" customHeight="false" outlineLevel="0" collapsed="false">
      <c r="B61" s="102" t="str">
        <f aca="false">IF(الموظفون!$B61="","",الموظفون!$B61)</f>
        <v/>
      </c>
      <c r="C61" s="102" t="str">
        <f aca="false">IF($B61="","",الموظفون!$C61)</f>
        <v/>
      </c>
      <c r="D61" s="148" t="str">
        <f aca="false">IF($B61="","",الموظفون!$H61)</f>
        <v/>
      </c>
      <c r="E61" s="148" t="str">
        <f aca="false">IF($B61="","",IF(OR(الموظفون!$AE61="",الموظفون!$AE61&gt;cfg_VAL_DATE),cfg_VAL_DATE,الموظفون!$AE61))</f>
        <v/>
      </c>
      <c r="F61" s="102" t="str">
        <f aca="false">IF($B61="","",IF(E61&lt;D61,"لم يباشر",DATEDIF(D61,E61+1,"y")&amp;" سنة "&amp;DATEDIF(D61,E61+1,"ym")&amp;" شهر "&amp;DATEDIF(D61,E61+1,"md")&amp;" يوم"))</f>
        <v/>
      </c>
      <c r="G61" s="110" t="str">
        <f aca="false">IF($B61="","",SUMIFS('سجل الإجازات والحالات'!$S$6:$S$505,'سجل الإجازات والحالات'!$B$6:$B$505,$B61))</f>
        <v/>
      </c>
      <c r="H61" s="135" t="str">
        <f aca="false">IF($B61="","",MAX(0,E61-D61+1-G61)/cfg_DAYS_Y)</f>
        <v/>
      </c>
      <c r="I61" s="101" t="str">
        <f aca="false">IF($B61="","",الموظفون!$Q61)</f>
        <v/>
      </c>
      <c r="J61" s="101" t="str">
        <f aca="false">IF($B61="","",I61*cfg_EOS_R1*MIN(H61,cfg_EOS_TH))</f>
        <v/>
      </c>
      <c r="K61" s="101" t="str">
        <f aca="false">IF($B61="","",I61*cfg_EOS_R2*MAX(H61-cfg_EOS_TH,0))</f>
        <v/>
      </c>
      <c r="L61" s="101" t="str">
        <f aca="false">IF($B61="","",J61+K61)</f>
        <v/>
      </c>
      <c r="M61" s="102" t="str">
        <f aca="false">IF($B61="","",IF(AND(الموظفون!$AE61&lt;&gt;"",الموظفون!$AE61&lt;=cfg_VAL_DATE),IF(الموظفون!$AF61="","⚠ حدد السبب",الموظفون!$AF61),"على رأس العمل"))</f>
        <v/>
      </c>
      <c r="N61" s="111" t="str">
        <f aca="false">IF($B61="","",VLOOKUP(H61,cfg_RES,2,TRUE()))</f>
        <v/>
      </c>
      <c r="O61" s="101" t="str">
        <f aca="false">IF($B61="","",IF(M61="استقالة",L61*N61,L61))</f>
        <v/>
      </c>
      <c r="P61" s="101" t="str">
        <f aca="false">IF($B61="","",I61*(cfg_EOS_R1*MIN((MAX(0,IF(OR(الموظفون!$AE61="",الموظفون!$AE61&gt;=cfg_Y_START),cfg_Y_START-1,الموظفون!$AE61)-D61+1-SUMIFS('سجل الإجازات والحالات'!$R$6:$R$505,'سجل الإجازات والحالات'!$B$6:$B$505,$B61))/cfg_DAYS_Y),cfg_EOS_TH)+cfg_EOS_R2*MAX((MAX(0,IF(OR(الموظفون!$AE61="",الموظفون!$AE61&gt;=cfg_Y_START),cfg_Y_START-1,الموظفون!$AE61)-D61+1-SUMIFS('سجل الإجازات والحالات'!$R$6:$R$505,'سجل الإجازات والحالات'!$B$6:$B$505,$B61))/cfg_DAYS_Y)-cfg_EOS_TH,0)))</f>
        <v/>
      </c>
      <c r="Q61" s="101" t="str">
        <f aca="false">IF($B61="","",O61-P61)</f>
        <v/>
      </c>
      <c r="R61" s="101" t="str">
        <f aca="false">IF($B61="","",SUMIFS('الحركات الشهرية'!$N$6:$N$1005,'الحركات الشهرية'!$B$6:$B$1005,B61,'الحركات الشهرية'!$A$6:$A$1005,"&lt;="&amp;cfg_VAL_M))</f>
        <v/>
      </c>
      <c r="S61" s="151" t="str">
        <f aca="false">IF($B61="","",P61+Q61-R61)</f>
        <v/>
      </c>
      <c r="T61" s="102" t="str">
        <f aca="false">IF($B61="","",IF(S61&lt;-0.01,"✖ صرف أكثر من المستحق",IF(AND(M61&lt;&gt;"على رأس العمل",S61&gt;0.01),"⚠ مستحق لم يُصرف","✔ سليم")))</f>
        <v/>
      </c>
    </row>
    <row r="62" customFormat="false" ht="15" hidden="false" customHeight="false" outlineLevel="0" collapsed="false">
      <c r="B62" s="80" t="str">
        <f aca="false">IF(الموظفون!$B62="","",الموظفون!$B62)</f>
        <v/>
      </c>
      <c r="C62" s="80" t="str">
        <f aca="false">IF($B62="","",الموظفون!$C62)</f>
        <v/>
      </c>
      <c r="D62" s="147" t="str">
        <f aca="false">IF($B62="","",الموظفون!$H62)</f>
        <v/>
      </c>
      <c r="E62" s="147" t="str">
        <f aca="false">IF($B62="","",IF(OR(الموظفون!$AE62="",الموظفون!$AE62&gt;cfg_VAL_DATE),cfg_VAL_DATE,الموظفون!$AE62))</f>
        <v/>
      </c>
      <c r="F62" s="80" t="str">
        <f aca="false">IF($B62="","",IF(E62&lt;D62,"لم يباشر",DATEDIF(D62,E62+1,"y")&amp;" سنة "&amp;DATEDIF(D62,E62+1,"ym")&amp;" شهر "&amp;DATEDIF(D62,E62+1,"md")&amp;" يوم"))</f>
        <v/>
      </c>
      <c r="G62" s="57" t="str">
        <f aca="false">IF($B62="","",SUMIFS('سجل الإجازات والحالات'!$S$6:$S$505,'سجل الإجازات والحالات'!$B$6:$B$505,$B62))</f>
        <v/>
      </c>
      <c r="H62" s="130" t="str">
        <f aca="false">IF($B62="","",MAX(0,E62-D62+1-G62)/cfg_DAYS_Y)</f>
        <v/>
      </c>
      <c r="I62" s="97" t="str">
        <f aca="false">IF($B62="","",الموظفون!$Q62)</f>
        <v/>
      </c>
      <c r="J62" s="97" t="str">
        <f aca="false">IF($B62="","",I62*cfg_EOS_R1*MIN(H62,cfg_EOS_TH))</f>
        <v/>
      </c>
      <c r="K62" s="97" t="str">
        <f aca="false">IF($B62="","",I62*cfg_EOS_R2*MAX(H62-cfg_EOS_TH,0))</f>
        <v/>
      </c>
      <c r="L62" s="97" t="str">
        <f aca="false">IF($B62="","",J62+K62)</f>
        <v/>
      </c>
      <c r="M62" s="80" t="str">
        <f aca="false">IF($B62="","",IF(AND(الموظفون!$AE62&lt;&gt;"",الموظفون!$AE62&lt;=cfg_VAL_DATE),IF(الموظفون!$AF62="","⚠ حدد السبب",الموظفون!$AF62),"على رأس العمل"))</f>
        <v/>
      </c>
      <c r="N62" s="58" t="str">
        <f aca="false">IF($B62="","",VLOOKUP(H62,cfg_RES,2,TRUE()))</f>
        <v/>
      </c>
      <c r="O62" s="97" t="str">
        <f aca="false">IF($B62="","",IF(M62="استقالة",L62*N62,L62))</f>
        <v/>
      </c>
      <c r="P62" s="97" t="str">
        <f aca="false">IF($B62="","",I62*(cfg_EOS_R1*MIN((MAX(0,IF(OR(الموظفون!$AE62="",الموظفون!$AE62&gt;=cfg_Y_START),cfg_Y_START-1,الموظفون!$AE62)-D62+1-SUMIFS('سجل الإجازات والحالات'!$R$6:$R$505,'سجل الإجازات والحالات'!$B$6:$B$505,$B62))/cfg_DAYS_Y),cfg_EOS_TH)+cfg_EOS_R2*MAX((MAX(0,IF(OR(الموظفون!$AE62="",الموظفون!$AE62&gt;=cfg_Y_START),cfg_Y_START-1,الموظفون!$AE62)-D62+1-SUMIFS('سجل الإجازات والحالات'!$R$6:$R$505,'سجل الإجازات والحالات'!$B$6:$B$505,$B62))/cfg_DAYS_Y)-cfg_EOS_TH,0)))</f>
        <v/>
      </c>
      <c r="Q62" s="97" t="str">
        <f aca="false">IF($B62="","",O62-P62)</f>
        <v/>
      </c>
      <c r="R62" s="97" t="str">
        <f aca="false">IF($B62="","",SUMIFS('الحركات الشهرية'!$N$6:$N$1005,'الحركات الشهرية'!$B$6:$B$1005,B62,'الحركات الشهرية'!$A$6:$A$1005,"&lt;="&amp;cfg_VAL_M))</f>
        <v/>
      </c>
      <c r="S62" s="150" t="str">
        <f aca="false">IF($B62="","",P62+Q62-R62)</f>
        <v/>
      </c>
      <c r="T62" s="80" t="str">
        <f aca="false">IF($B62="","",IF(S62&lt;-0.01,"✖ صرف أكثر من المستحق",IF(AND(M62&lt;&gt;"على رأس العمل",S62&gt;0.01),"⚠ مستحق لم يُصرف","✔ سليم")))</f>
        <v/>
      </c>
    </row>
    <row r="63" customFormat="false" ht="15" hidden="false" customHeight="false" outlineLevel="0" collapsed="false">
      <c r="B63" s="102" t="str">
        <f aca="false">IF(الموظفون!$B63="","",الموظفون!$B63)</f>
        <v/>
      </c>
      <c r="C63" s="102" t="str">
        <f aca="false">IF($B63="","",الموظفون!$C63)</f>
        <v/>
      </c>
      <c r="D63" s="148" t="str">
        <f aca="false">IF($B63="","",الموظفون!$H63)</f>
        <v/>
      </c>
      <c r="E63" s="148" t="str">
        <f aca="false">IF($B63="","",IF(OR(الموظفون!$AE63="",الموظفون!$AE63&gt;cfg_VAL_DATE),cfg_VAL_DATE,الموظفون!$AE63))</f>
        <v/>
      </c>
      <c r="F63" s="102" t="str">
        <f aca="false">IF($B63="","",IF(E63&lt;D63,"لم يباشر",DATEDIF(D63,E63+1,"y")&amp;" سنة "&amp;DATEDIF(D63,E63+1,"ym")&amp;" شهر "&amp;DATEDIF(D63,E63+1,"md")&amp;" يوم"))</f>
        <v/>
      </c>
      <c r="G63" s="110" t="str">
        <f aca="false">IF($B63="","",SUMIFS('سجل الإجازات والحالات'!$S$6:$S$505,'سجل الإجازات والحالات'!$B$6:$B$505,$B63))</f>
        <v/>
      </c>
      <c r="H63" s="135" t="str">
        <f aca="false">IF($B63="","",MAX(0,E63-D63+1-G63)/cfg_DAYS_Y)</f>
        <v/>
      </c>
      <c r="I63" s="101" t="str">
        <f aca="false">IF($B63="","",الموظفون!$Q63)</f>
        <v/>
      </c>
      <c r="J63" s="101" t="str">
        <f aca="false">IF($B63="","",I63*cfg_EOS_R1*MIN(H63,cfg_EOS_TH))</f>
        <v/>
      </c>
      <c r="K63" s="101" t="str">
        <f aca="false">IF($B63="","",I63*cfg_EOS_R2*MAX(H63-cfg_EOS_TH,0))</f>
        <v/>
      </c>
      <c r="L63" s="101" t="str">
        <f aca="false">IF($B63="","",J63+K63)</f>
        <v/>
      </c>
      <c r="M63" s="102" t="str">
        <f aca="false">IF($B63="","",IF(AND(الموظفون!$AE63&lt;&gt;"",الموظفون!$AE63&lt;=cfg_VAL_DATE),IF(الموظفون!$AF63="","⚠ حدد السبب",الموظفون!$AF63),"على رأس العمل"))</f>
        <v/>
      </c>
      <c r="N63" s="111" t="str">
        <f aca="false">IF($B63="","",VLOOKUP(H63,cfg_RES,2,TRUE()))</f>
        <v/>
      </c>
      <c r="O63" s="101" t="str">
        <f aca="false">IF($B63="","",IF(M63="استقالة",L63*N63,L63))</f>
        <v/>
      </c>
      <c r="P63" s="101" t="str">
        <f aca="false">IF($B63="","",I63*(cfg_EOS_R1*MIN((MAX(0,IF(OR(الموظفون!$AE63="",الموظفون!$AE63&gt;=cfg_Y_START),cfg_Y_START-1,الموظفون!$AE63)-D63+1-SUMIFS('سجل الإجازات والحالات'!$R$6:$R$505,'سجل الإجازات والحالات'!$B$6:$B$505,$B63))/cfg_DAYS_Y),cfg_EOS_TH)+cfg_EOS_R2*MAX((MAX(0,IF(OR(الموظفون!$AE63="",الموظفون!$AE63&gt;=cfg_Y_START),cfg_Y_START-1,الموظفون!$AE63)-D63+1-SUMIFS('سجل الإجازات والحالات'!$R$6:$R$505,'سجل الإجازات والحالات'!$B$6:$B$505,$B63))/cfg_DAYS_Y)-cfg_EOS_TH,0)))</f>
        <v/>
      </c>
      <c r="Q63" s="101" t="str">
        <f aca="false">IF($B63="","",O63-P63)</f>
        <v/>
      </c>
      <c r="R63" s="101" t="str">
        <f aca="false">IF($B63="","",SUMIFS('الحركات الشهرية'!$N$6:$N$1005,'الحركات الشهرية'!$B$6:$B$1005,B63,'الحركات الشهرية'!$A$6:$A$1005,"&lt;="&amp;cfg_VAL_M))</f>
        <v/>
      </c>
      <c r="S63" s="151" t="str">
        <f aca="false">IF($B63="","",P63+Q63-R63)</f>
        <v/>
      </c>
      <c r="T63" s="102" t="str">
        <f aca="false">IF($B63="","",IF(S63&lt;-0.01,"✖ صرف أكثر من المستحق",IF(AND(M63&lt;&gt;"على رأس العمل",S63&gt;0.01),"⚠ مستحق لم يُصرف","✔ سليم")))</f>
        <v/>
      </c>
    </row>
    <row r="64" customFormat="false" ht="15" hidden="false" customHeight="false" outlineLevel="0" collapsed="false">
      <c r="B64" s="80" t="str">
        <f aca="false">IF(الموظفون!$B64="","",الموظفون!$B64)</f>
        <v/>
      </c>
      <c r="C64" s="80" t="str">
        <f aca="false">IF($B64="","",الموظفون!$C64)</f>
        <v/>
      </c>
      <c r="D64" s="147" t="str">
        <f aca="false">IF($B64="","",الموظفون!$H64)</f>
        <v/>
      </c>
      <c r="E64" s="147" t="str">
        <f aca="false">IF($B64="","",IF(OR(الموظفون!$AE64="",الموظفون!$AE64&gt;cfg_VAL_DATE),cfg_VAL_DATE,الموظفون!$AE64))</f>
        <v/>
      </c>
      <c r="F64" s="80" t="str">
        <f aca="false">IF($B64="","",IF(E64&lt;D64,"لم يباشر",DATEDIF(D64,E64+1,"y")&amp;" سنة "&amp;DATEDIF(D64,E64+1,"ym")&amp;" شهر "&amp;DATEDIF(D64,E64+1,"md")&amp;" يوم"))</f>
        <v/>
      </c>
      <c r="G64" s="57" t="str">
        <f aca="false">IF($B64="","",SUMIFS('سجل الإجازات والحالات'!$S$6:$S$505,'سجل الإجازات والحالات'!$B$6:$B$505,$B64))</f>
        <v/>
      </c>
      <c r="H64" s="130" t="str">
        <f aca="false">IF($B64="","",MAX(0,E64-D64+1-G64)/cfg_DAYS_Y)</f>
        <v/>
      </c>
      <c r="I64" s="97" t="str">
        <f aca="false">IF($B64="","",الموظفون!$Q64)</f>
        <v/>
      </c>
      <c r="J64" s="97" t="str">
        <f aca="false">IF($B64="","",I64*cfg_EOS_R1*MIN(H64,cfg_EOS_TH))</f>
        <v/>
      </c>
      <c r="K64" s="97" t="str">
        <f aca="false">IF($B64="","",I64*cfg_EOS_R2*MAX(H64-cfg_EOS_TH,0))</f>
        <v/>
      </c>
      <c r="L64" s="97" t="str">
        <f aca="false">IF($B64="","",J64+K64)</f>
        <v/>
      </c>
      <c r="M64" s="80" t="str">
        <f aca="false">IF($B64="","",IF(AND(الموظفون!$AE64&lt;&gt;"",الموظفون!$AE64&lt;=cfg_VAL_DATE),IF(الموظفون!$AF64="","⚠ حدد السبب",الموظفون!$AF64),"على رأس العمل"))</f>
        <v/>
      </c>
      <c r="N64" s="58" t="str">
        <f aca="false">IF($B64="","",VLOOKUP(H64,cfg_RES,2,TRUE()))</f>
        <v/>
      </c>
      <c r="O64" s="97" t="str">
        <f aca="false">IF($B64="","",IF(M64="استقالة",L64*N64,L64))</f>
        <v/>
      </c>
      <c r="P64" s="97" t="str">
        <f aca="false">IF($B64="","",I64*(cfg_EOS_R1*MIN((MAX(0,IF(OR(الموظفون!$AE64="",الموظفون!$AE64&gt;=cfg_Y_START),cfg_Y_START-1,الموظفون!$AE64)-D64+1-SUMIFS('سجل الإجازات والحالات'!$R$6:$R$505,'سجل الإجازات والحالات'!$B$6:$B$505,$B64))/cfg_DAYS_Y),cfg_EOS_TH)+cfg_EOS_R2*MAX((MAX(0,IF(OR(الموظفون!$AE64="",الموظفون!$AE64&gt;=cfg_Y_START),cfg_Y_START-1,الموظفون!$AE64)-D64+1-SUMIFS('سجل الإجازات والحالات'!$R$6:$R$505,'سجل الإجازات والحالات'!$B$6:$B$505,$B64))/cfg_DAYS_Y)-cfg_EOS_TH,0)))</f>
        <v/>
      </c>
      <c r="Q64" s="97" t="str">
        <f aca="false">IF($B64="","",O64-P64)</f>
        <v/>
      </c>
      <c r="R64" s="97" t="str">
        <f aca="false">IF($B64="","",SUMIFS('الحركات الشهرية'!$N$6:$N$1005,'الحركات الشهرية'!$B$6:$B$1005,B64,'الحركات الشهرية'!$A$6:$A$1005,"&lt;="&amp;cfg_VAL_M))</f>
        <v/>
      </c>
      <c r="S64" s="150" t="str">
        <f aca="false">IF($B64="","",P64+Q64-R64)</f>
        <v/>
      </c>
      <c r="T64" s="80" t="str">
        <f aca="false">IF($B64="","",IF(S64&lt;-0.01,"✖ صرف أكثر من المستحق",IF(AND(M64&lt;&gt;"على رأس العمل",S64&gt;0.01),"⚠ مستحق لم يُصرف","✔ سليم")))</f>
        <v/>
      </c>
    </row>
    <row r="65" customFormat="false" ht="15" hidden="false" customHeight="false" outlineLevel="0" collapsed="false">
      <c r="B65" s="102" t="str">
        <f aca="false">IF(الموظفون!$B65="","",الموظفون!$B65)</f>
        <v/>
      </c>
      <c r="C65" s="102" t="str">
        <f aca="false">IF($B65="","",الموظفون!$C65)</f>
        <v/>
      </c>
      <c r="D65" s="148" t="str">
        <f aca="false">IF($B65="","",الموظفون!$H65)</f>
        <v/>
      </c>
      <c r="E65" s="148" t="str">
        <f aca="false">IF($B65="","",IF(OR(الموظفون!$AE65="",الموظفون!$AE65&gt;cfg_VAL_DATE),cfg_VAL_DATE,الموظفون!$AE65))</f>
        <v/>
      </c>
      <c r="F65" s="102" t="str">
        <f aca="false">IF($B65="","",IF(E65&lt;D65,"لم يباشر",DATEDIF(D65,E65+1,"y")&amp;" سنة "&amp;DATEDIF(D65,E65+1,"ym")&amp;" شهر "&amp;DATEDIF(D65,E65+1,"md")&amp;" يوم"))</f>
        <v/>
      </c>
      <c r="G65" s="110" t="str">
        <f aca="false">IF($B65="","",SUMIFS('سجل الإجازات والحالات'!$S$6:$S$505,'سجل الإجازات والحالات'!$B$6:$B$505,$B65))</f>
        <v/>
      </c>
      <c r="H65" s="135" t="str">
        <f aca="false">IF($B65="","",MAX(0,E65-D65+1-G65)/cfg_DAYS_Y)</f>
        <v/>
      </c>
      <c r="I65" s="101" t="str">
        <f aca="false">IF($B65="","",الموظفون!$Q65)</f>
        <v/>
      </c>
      <c r="J65" s="101" t="str">
        <f aca="false">IF($B65="","",I65*cfg_EOS_R1*MIN(H65,cfg_EOS_TH))</f>
        <v/>
      </c>
      <c r="K65" s="101" t="str">
        <f aca="false">IF($B65="","",I65*cfg_EOS_R2*MAX(H65-cfg_EOS_TH,0))</f>
        <v/>
      </c>
      <c r="L65" s="101" t="str">
        <f aca="false">IF($B65="","",J65+K65)</f>
        <v/>
      </c>
      <c r="M65" s="102" t="str">
        <f aca="false">IF($B65="","",IF(AND(الموظفون!$AE65&lt;&gt;"",الموظفون!$AE65&lt;=cfg_VAL_DATE),IF(الموظفون!$AF65="","⚠ حدد السبب",الموظفون!$AF65),"على رأس العمل"))</f>
        <v/>
      </c>
      <c r="N65" s="111" t="str">
        <f aca="false">IF($B65="","",VLOOKUP(H65,cfg_RES,2,TRUE()))</f>
        <v/>
      </c>
      <c r="O65" s="101" t="str">
        <f aca="false">IF($B65="","",IF(M65="استقالة",L65*N65,L65))</f>
        <v/>
      </c>
      <c r="P65" s="101" t="str">
        <f aca="false">IF($B65="","",I65*(cfg_EOS_R1*MIN((MAX(0,IF(OR(الموظفون!$AE65="",الموظفون!$AE65&gt;=cfg_Y_START),cfg_Y_START-1,الموظفون!$AE65)-D65+1-SUMIFS('سجل الإجازات والحالات'!$R$6:$R$505,'سجل الإجازات والحالات'!$B$6:$B$505,$B65))/cfg_DAYS_Y),cfg_EOS_TH)+cfg_EOS_R2*MAX((MAX(0,IF(OR(الموظفون!$AE65="",الموظفون!$AE65&gt;=cfg_Y_START),cfg_Y_START-1,الموظفون!$AE65)-D65+1-SUMIFS('سجل الإجازات والحالات'!$R$6:$R$505,'سجل الإجازات والحالات'!$B$6:$B$505,$B65))/cfg_DAYS_Y)-cfg_EOS_TH,0)))</f>
        <v/>
      </c>
      <c r="Q65" s="101" t="str">
        <f aca="false">IF($B65="","",O65-P65)</f>
        <v/>
      </c>
      <c r="R65" s="101" t="str">
        <f aca="false">IF($B65="","",SUMIFS('الحركات الشهرية'!$N$6:$N$1005,'الحركات الشهرية'!$B$6:$B$1005,B65,'الحركات الشهرية'!$A$6:$A$1005,"&lt;="&amp;cfg_VAL_M))</f>
        <v/>
      </c>
      <c r="S65" s="151" t="str">
        <f aca="false">IF($B65="","",P65+Q65-R65)</f>
        <v/>
      </c>
      <c r="T65" s="102" t="str">
        <f aca="false">IF($B65="","",IF(S65&lt;-0.01,"✖ صرف أكثر من المستحق",IF(AND(M65&lt;&gt;"على رأس العمل",S65&gt;0.01),"⚠ مستحق لم يُصرف","✔ سليم")))</f>
        <v/>
      </c>
    </row>
    <row r="66" customFormat="false" ht="15" hidden="false" customHeight="false" outlineLevel="0" collapsed="false">
      <c r="B66" s="80" t="str">
        <f aca="false">IF(الموظفون!$B66="","",الموظفون!$B66)</f>
        <v/>
      </c>
      <c r="C66" s="80" t="str">
        <f aca="false">IF($B66="","",الموظفون!$C66)</f>
        <v/>
      </c>
      <c r="D66" s="147" t="str">
        <f aca="false">IF($B66="","",الموظفون!$H66)</f>
        <v/>
      </c>
      <c r="E66" s="147" t="str">
        <f aca="false">IF($B66="","",IF(OR(الموظفون!$AE66="",الموظفون!$AE66&gt;cfg_VAL_DATE),cfg_VAL_DATE,الموظفون!$AE66))</f>
        <v/>
      </c>
      <c r="F66" s="80" t="str">
        <f aca="false">IF($B66="","",IF(E66&lt;D66,"لم يباشر",DATEDIF(D66,E66+1,"y")&amp;" سنة "&amp;DATEDIF(D66,E66+1,"ym")&amp;" شهر "&amp;DATEDIF(D66,E66+1,"md")&amp;" يوم"))</f>
        <v/>
      </c>
      <c r="G66" s="57" t="str">
        <f aca="false">IF($B66="","",SUMIFS('سجل الإجازات والحالات'!$S$6:$S$505,'سجل الإجازات والحالات'!$B$6:$B$505,$B66))</f>
        <v/>
      </c>
      <c r="H66" s="130" t="str">
        <f aca="false">IF($B66="","",MAX(0,E66-D66+1-G66)/cfg_DAYS_Y)</f>
        <v/>
      </c>
      <c r="I66" s="97" t="str">
        <f aca="false">IF($B66="","",الموظفون!$Q66)</f>
        <v/>
      </c>
      <c r="J66" s="97" t="str">
        <f aca="false">IF($B66="","",I66*cfg_EOS_R1*MIN(H66,cfg_EOS_TH))</f>
        <v/>
      </c>
      <c r="K66" s="97" t="str">
        <f aca="false">IF($B66="","",I66*cfg_EOS_R2*MAX(H66-cfg_EOS_TH,0))</f>
        <v/>
      </c>
      <c r="L66" s="97" t="str">
        <f aca="false">IF($B66="","",J66+K66)</f>
        <v/>
      </c>
      <c r="M66" s="80" t="str">
        <f aca="false">IF($B66="","",IF(AND(الموظفون!$AE66&lt;&gt;"",الموظفون!$AE66&lt;=cfg_VAL_DATE),IF(الموظفون!$AF66="","⚠ حدد السبب",الموظفون!$AF66),"على رأس العمل"))</f>
        <v/>
      </c>
      <c r="N66" s="58" t="str">
        <f aca="false">IF($B66="","",VLOOKUP(H66,cfg_RES,2,TRUE()))</f>
        <v/>
      </c>
      <c r="O66" s="97" t="str">
        <f aca="false">IF($B66="","",IF(M66="استقالة",L66*N66,L66))</f>
        <v/>
      </c>
      <c r="P66" s="97" t="str">
        <f aca="false">IF($B66="","",I66*(cfg_EOS_R1*MIN((MAX(0,IF(OR(الموظفون!$AE66="",الموظفون!$AE66&gt;=cfg_Y_START),cfg_Y_START-1,الموظفون!$AE66)-D66+1-SUMIFS('سجل الإجازات والحالات'!$R$6:$R$505,'سجل الإجازات والحالات'!$B$6:$B$505,$B66))/cfg_DAYS_Y),cfg_EOS_TH)+cfg_EOS_R2*MAX((MAX(0,IF(OR(الموظفون!$AE66="",الموظفون!$AE66&gt;=cfg_Y_START),cfg_Y_START-1,الموظفون!$AE66)-D66+1-SUMIFS('سجل الإجازات والحالات'!$R$6:$R$505,'سجل الإجازات والحالات'!$B$6:$B$505,$B66))/cfg_DAYS_Y)-cfg_EOS_TH,0)))</f>
        <v/>
      </c>
      <c r="Q66" s="97" t="str">
        <f aca="false">IF($B66="","",O66-P66)</f>
        <v/>
      </c>
      <c r="R66" s="97" t="str">
        <f aca="false">IF($B66="","",SUMIFS('الحركات الشهرية'!$N$6:$N$1005,'الحركات الشهرية'!$B$6:$B$1005,B66,'الحركات الشهرية'!$A$6:$A$1005,"&lt;="&amp;cfg_VAL_M))</f>
        <v/>
      </c>
      <c r="S66" s="150" t="str">
        <f aca="false">IF($B66="","",P66+Q66-R66)</f>
        <v/>
      </c>
      <c r="T66" s="80" t="str">
        <f aca="false">IF($B66="","",IF(S66&lt;-0.01,"✖ صرف أكثر من المستحق",IF(AND(M66&lt;&gt;"على رأس العمل",S66&gt;0.01),"⚠ مستحق لم يُصرف","✔ سليم")))</f>
        <v/>
      </c>
    </row>
    <row r="67" customFormat="false" ht="15" hidden="false" customHeight="false" outlineLevel="0" collapsed="false">
      <c r="B67" s="102" t="str">
        <f aca="false">IF(الموظفون!$B67="","",الموظفون!$B67)</f>
        <v/>
      </c>
      <c r="C67" s="102" t="str">
        <f aca="false">IF($B67="","",الموظفون!$C67)</f>
        <v/>
      </c>
      <c r="D67" s="148" t="str">
        <f aca="false">IF($B67="","",الموظفون!$H67)</f>
        <v/>
      </c>
      <c r="E67" s="148" t="str">
        <f aca="false">IF($B67="","",IF(OR(الموظفون!$AE67="",الموظفون!$AE67&gt;cfg_VAL_DATE),cfg_VAL_DATE,الموظفون!$AE67))</f>
        <v/>
      </c>
      <c r="F67" s="102" t="str">
        <f aca="false">IF($B67="","",IF(E67&lt;D67,"لم يباشر",DATEDIF(D67,E67+1,"y")&amp;" سنة "&amp;DATEDIF(D67,E67+1,"ym")&amp;" شهر "&amp;DATEDIF(D67,E67+1,"md")&amp;" يوم"))</f>
        <v/>
      </c>
      <c r="G67" s="110" t="str">
        <f aca="false">IF($B67="","",SUMIFS('سجل الإجازات والحالات'!$S$6:$S$505,'سجل الإجازات والحالات'!$B$6:$B$505,$B67))</f>
        <v/>
      </c>
      <c r="H67" s="135" t="str">
        <f aca="false">IF($B67="","",MAX(0,E67-D67+1-G67)/cfg_DAYS_Y)</f>
        <v/>
      </c>
      <c r="I67" s="101" t="str">
        <f aca="false">IF($B67="","",الموظفون!$Q67)</f>
        <v/>
      </c>
      <c r="J67" s="101" t="str">
        <f aca="false">IF($B67="","",I67*cfg_EOS_R1*MIN(H67,cfg_EOS_TH))</f>
        <v/>
      </c>
      <c r="K67" s="101" t="str">
        <f aca="false">IF($B67="","",I67*cfg_EOS_R2*MAX(H67-cfg_EOS_TH,0))</f>
        <v/>
      </c>
      <c r="L67" s="101" t="str">
        <f aca="false">IF($B67="","",J67+K67)</f>
        <v/>
      </c>
      <c r="M67" s="102" t="str">
        <f aca="false">IF($B67="","",IF(AND(الموظفون!$AE67&lt;&gt;"",الموظفون!$AE67&lt;=cfg_VAL_DATE),IF(الموظفون!$AF67="","⚠ حدد السبب",الموظفون!$AF67),"على رأس العمل"))</f>
        <v/>
      </c>
      <c r="N67" s="111" t="str">
        <f aca="false">IF($B67="","",VLOOKUP(H67,cfg_RES,2,TRUE()))</f>
        <v/>
      </c>
      <c r="O67" s="101" t="str">
        <f aca="false">IF($B67="","",IF(M67="استقالة",L67*N67,L67))</f>
        <v/>
      </c>
      <c r="P67" s="101" t="str">
        <f aca="false">IF($B67="","",I67*(cfg_EOS_R1*MIN((MAX(0,IF(OR(الموظفون!$AE67="",الموظفون!$AE67&gt;=cfg_Y_START),cfg_Y_START-1,الموظفون!$AE67)-D67+1-SUMIFS('سجل الإجازات والحالات'!$R$6:$R$505,'سجل الإجازات والحالات'!$B$6:$B$505,$B67))/cfg_DAYS_Y),cfg_EOS_TH)+cfg_EOS_R2*MAX((MAX(0,IF(OR(الموظفون!$AE67="",الموظفون!$AE67&gt;=cfg_Y_START),cfg_Y_START-1,الموظفون!$AE67)-D67+1-SUMIFS('سجل الإجازات والحالات'!$R$6:$R$505,'سجل الإجازات والحالات'!$B$6:$B$505,$B67))/cfg_DAYS_Y)-cfg_EOS_TH,0)))</f>
        <v/>
      </c>
      <c r="Q67" s="101" t="str">
        <f aca="false">IF($B67="","",O67-P67)</f>
        <v/>
      </c>
      <c r="R67" s="101" t="str">
        <f aca="false">IF($B67="","",SUMIFS('الحركات الشهرية'!$N$6:$N$1005,'الحركات الشهرية'!$B$6:$B$1005,B67,'الحركات الشهرية'!$A$6:$A$1005,"&lt;="&amp;cfg_VAL_M))</f>
        <v/>
      </c>
      <c r="S67" s="151" t="str">
        <f aca="false">IF($B67="","",P67+Q67-R67)</f>
        <v/>
      </c>
      <c r="T67" s="102" t="str">
        <f aca="false">IF($B67="","",IF(S67&lt;-0.01,"✖ صرف أكثر من المستحق",IF(AND(M67&lt;&gt;"على رأس العمل",S67&gt;0.01),"⚠ مستحق لم يُصرف","✔ سليم")))</f>
        <v/>
      </c>
    </row>
    <row r="68" customFormat="false" ht="15" hidden="false" customHeight="false" outlineLevel="0" collapsed="false">
      <c r="B68" s="80" t="str">
        <f aca="false">IF(الموظفون!$B68="","",الموظفون!$B68)</f>
        <v/>
      </c>
      <c r="C68" s="80" t="str">
        <f aca="false">IF($B68="","",الموظفون!$C68)</f>
        <v/>
      </c>
      <c r="D68" s="147" t="str">
        <f aca="false">IF($B68="","",الموظفون!$H68)</f>
        <v/>
      </c>
      <c r="E68" s="147" t="str">
        <f aca="false">IF($B68="","",IF(OR(الموظفون!$AE68="",الموظفون!$AE68&gt;cfg_VAL_DATE),cfg_VAL_DATE,الموظفون!$AE68))</f>
        <v/>
      </c>
      <c r="F68" s="80" t="str">
        <f aca="false">IF($B68="","",IF(E68&lt;D68,"لم يباشر",DATEDIF(D68,E68+1,"y")&amp;" سنة "&amp;DATEDIF(D68,E68+1,"ym")&amp;" شهر "&amp;DATEDIF(D68,E68+1,"md")&amp;" يوم"))</f>
        <v/>
      </c>
      <c r="G68" s="57" t="str">
        <f aca="false">IF($B68="","",SUMIFS('سجل الإجازات والحالات'!$S$6:$S$505,'سجل الإجازات والحالات'!$B$6:$B$505,$B68))</f>
        <v/>
      </c>
      <c r="H68" s="130" t="str">
        <f aca="false">IF($B68="","",MAX(0,E68-D68+1-G68)/cfg_DAYS_Y)</f>
        <v/>
      </c>
      <c r="I68" s="97" t="str">
        <f aca="false">IF($B68="","",الموظفون!$Q68)</f>
        <v/>
      </c>
      <c r="J68" s="97" t="str">
        <f aca="false">IF($B68="","",I68*cfg_EOS_R1*MIN(H68,cfg_EOS_TH))</f>
        <v/>
      </c>
      <c r="K68" s="97" t="str">
        <f aca="false">IF($B68="","",I68*cfg_EOS_R2*MAX(H68-cfg_EOS_TH,0))</f>
        <v/>
      </c>
      <c r="L68" s="97" t="str">
        <f aca="false">IF($B68="","",J68+K68)</f>
        <v/>
      </c>
      <c r="M68" s="80" t="str">
        <f aca="false">IF($B68="","",IF(AND(الموظفون!$AE68&lt;&gt;"",الموظفون!$AE68&lt;=cfg_VAL_DATE),IF(الموظفون!$AF68="","⚠ حدد السبب",الموظفون!$AF68),"على رأس العمل"))</f>
        <v/>
      </c>
      <c r="N68" s="58" t="str">
        <f aca="false">IF($B68="","",VLOOKUP(H68,cfg_RES,2,TRUE()))</f>
        <v/>
      </c>
      <c r="O68" s="97" t="str">
        <f aca="false">IF($B68="","",IF(M68="استقالة",L68*N68,L68))</f>
        <v/>
      </c>
      <c r="P68" s="97" t="str">
        <f aca="false">IF($B68="","",I68*(cfg_EOS_R1*MIN((MAX(0,IF(OR(الموظفون!$AE68="",الموظفون!$AE68&gt;=cfg_Y_START),cfg_Y_START-1,الموظفون!$AE68)-D68+1-SUMIFS('سجل الإجازات والحالات'!$R$6:$R$505,'سجل الإجازات والحالات'!$B$6:$B$505,$B68))/cfg_DAYS_Y),cfg_EOS_TH)+cfg_EOS_R2*MAX((MAX(0,IF(OR(الموظفون!$AE68="",الموظفون!$AE68&gt;=cfg_Y_START),cfg_Y_START-1,الموظفون!$AE68)-D68+1-SUMIFS('سجل الإجازات والحالات'!$R$6:$R$505,'سجل الإجازات والحالات'!$B$6:$B$505,$B68))/cfg_DAYS_Y)-cfg_EOS_TH,0)))</f>
        <v/>
      </c>
      <c r="Q68" s="97" t="str">
        <f aca="false">IF($B68="","",O68-P68)</f>
        <v/>
      </c>
      <c r="R68" s="97" t="str">
        <f aca="false">IF($B68="","",SUMIFS('الحركات الشهرية'!$N$6:$N$1005,'الحركات الشهرية'!$B$6:$B$1005,B68,'الحركات الشهرية'!$A$6:$A$1005,"&lt;="&amp;cfg_VAL_M))</f>
        <v/>
      </c>
      <c r="S68" s="150" t="str">
        <f aca="false">IF($B68="","",P68+Q68-R68)</f>
        <v/>
      </c>
      <c r="T68" s="80" t="str">
        <f aca="false">IF($B68="","",IF(S68&lt;-0.01,"✖ صرف أكثر من المستحق",IF(AND(M68&lt;&gt;"على رأس العمل",S68&gt;0.01),"⚠ مستحق لم يُصرف","✔ سليم")))</f>
        <v/>
      </c>
    </row>
    <row r="69" customFormat="false" ht="15" hidden="false" customHeight="false" outlineLevel="0" collapsed="false">
      <c r="B69" s="102" t="str">
        <f aca="false">IF(الموظفون!$B69="","",الموظفون!$B69)</f>
        <v/>
      </c>
      <c r="C69" s="102" t="str">
        <f aca="false">IF($B69="","",الموظفون!$C69)</f>
        <v/>
      </c>
      <c r="D69" s="148" t="str">
        <f aca="false">IF($B69="","",الموظفون!$H69)</f>
        <v/>
      </c>
      <c r="E69" s="148" t="str">
        <f aca="false">IF($B69="","",IF(OR(الموظفون!$AE69="",الموظفون!$AE69&gt;cfg_VAL_DATE),cfg_VAL_DATE,الموظفون!$AE69))</f>
        <v/>
      </c>
      <c r="F69" s="102" t="str">
        <f aca="false">IF($B69="","",IF(E69&lt;D69,"لم يباشر",DATEDIF(D69,E69+1,"y")&amp;" سنة "&amp;DATEDIF(D69,E69+1,"ym")&amp;" شهر "&amp;DATEDIF(D69,E69+1,"md")&amp;" يوم"))</f>
        <v/>
      </c>
      <c r="G69" s="110" t="str">
        <f aca="false">IF($B69="","",SUMIFS('سجل الإجازات والحالات'!$S$6:$S$505,'سجل الإجازات والحالات'!$B$6:$B$505,$B69))</f>
        <v/>
      </c>
      <c r="H69" s="135" t="str">
        <f aca="false">IF($B69="","",MAX(0,E69-D69+1-G69)/cfg_DAYS_Y)</f>
        <v/>
      </c>
      <c r="I69" s="101" t="str">
        <f aca="false">IF($B69="","",الموظفون!$Q69)</f>
        <v/>
      </c>
      <c r="J69" s="101" t="str">
        <f aca="false">IF($B69="","",I69*cfg_EOS_R1*MIN(H69,cfg_EOS_TH))</f>
        <v/>
      </c>
      <c r="K69" s="101" t="str">
        <f aca="false">IF($B69="","",I69*cfg_EOS_R2*MAX(H69-cfg_EOS_TH,0))</f>
        <v/>
      </c>
      <c r="L69" s="101" t="str">
        <f aca="false">IF($B69="","",J69+K69)</f>
        <v/>
      </c>
      <c r="M69" s="102" t="str">
        <f aca="false">IF($B69="","",IF(AND(الموظفون!$AE69&lt;&gt;"",الموظفون!$AE69&lt;=cfg_VAL_DATE),IF(الموظفون!$AF69="","⚠ حدد السبب",الموظفون!$AF69),"على رأس العمل"))</f>
        <v/>
      </c>
      <c r="N69" s="111" t="str">
        <f aca="false">IF($B69="","",VLOOKUP(H69,cfg_RES,2,TRUE()))</f>
        <v/>
      </c>
      <c r="O69" s="101" t="str">
        <f aca="false">IF($B69="","",IF(M69="استقالة",L69*N69,L69))</f>
        <v/>
      </c>
      <c r="P69" s="101" t="str">
        <f aca="false">IF($B69="","",I69*(cfg_EOS_R1*MIN((MAX(0,IF(OR(الموظفون!$AE69="",الموظفون!$AE69&gt;=cfg_Y_START),cfg_Y_START-1,الموظفون!$AE69)-D69+1-SUMIFS('سجل الإجازات والحالات'!$R$6:$R$505,'سجل الإجازات والحالات'!$B$6:$B$505,$B69))/cfg_DAYS_Y),cfg_EOS_TH)+cfg_EOS_R2*MAX((MAX(0,IF(OR(الموظفون!$AE69="",الموظفون!$AE69&gt;=cfg_Y_START),cfg_Y_START-1,الموظفون!$AE69)-D69+1-SUMIFS('سجل الإجازات والحالات'!$R$6:$R$505,'سجل الإجازات والحالات'!$B$6:$B$505,$B69))/cfg_DAYS_Y)-cfg_EOS_TH,0)))</f>
        <v/>
      </c>
      <c r="Q69" s="101" t="str">
        <f aca="false">IF($B69="","",O69-P69)</f>
        <v/>
      </c>
      <c r="R69" s="101" t="str">
        <f aca="false">IF($B69="","",SUMIFS('الحركات الشهرية'!$N$6:$N$1005,'الحركات الشهرية'!$B$6:$B$1005,B69,'الحركات الشهرية'!$A$6:$A$1005,"&lt;="&amp;cfg_VAL_M))</f>
        <v/>
      </c>
      <c r="S69" s="151" t="str">
        <f aca="false">IF($B69="","",P69+Q69-R69)</f>
        <v/>
      </c>
      <c r="T69" s="102" t="str">
        <f aca="false">IF($B69="","",IF(S69&lt;-0.01,"✖ صرف أكثر من المستحق",IF(AND(M69&lt;&gt;"على رأس العمل",S69&gt;0.01),"⚠ مستحق لم يُصرف","✔ سليم")))</f>
        <v/>
      </c>
    </row>
    <row r="70" customFormat="false" ht="15" hidden="false" customHeight="false" outlineLevel="0" collapsed="false">
      <c r="B70" s="80" t="str">
        <f aca="false">IF(الموظفون!$B70="","",الموظفون!$B70)</f>
        <v/>
      </c>
      <c r="C70" s="80" t="str">
        <f aca="false">IF($B70="","",الموظفون!$C70)</f>
        <v/>
      </c>
      <c r="D70" s="147" t="str">
        <f aca="false">IF($B70="","",الموظفون!$H70)</f>
        <v/>
      </c>
      <c r="E70" s="147" t="str">
        <f aca="false">IF($B70="","",IF(OR(الموظفون!$AE70="",الموظفون!$AE70&gt;cfg_VAL_DATE),cfg_VAL_DATE,الموظفون!$AE70))</f>
        <v/>
      </c>
      <c r="F70" s="80" t="str">
        <f aca="false">IF($B70="","",IF(E70&lt;D70,"لم يباشر",DATEDIF(D70,E70+1,"y")&amp;" سنة "&amp;DATEDIF(D70,E70+1,"ym")&amp;" شهر "&amp;DATEDIF(D70,E70+1,"md")&amp;" يوم"))</f>
        <v/>
      </c>
      <c r="G70" s="57" t="str">
        <f aca="false">IF($B70="","",SUMIFS('سجل الإجازات والحالات'!$S$6:$S$505,'سجل الإجازات والحالات'!$B$6:$B$505,$B70))</f>
        <v/>
      </c>
      <c r="H70" s="130" t="str">
        <f aca="false">IF($B70="","",MAX(0,E70-D70+1-G70)/cfg_DAYS_Y)</f>
        <v/>
      </c>
      <c r="I70" s="97" t="str">
        <f aca="false">IF($B70="","",الموظفون!$Q70)</f>
        <v/>
      </c>
      <c r="J70" s="97" t="str">
        <f aca="false">IF($B70="","",I70*cfg_EOS_R1*MIN(H70,cfg_EOS_TH))</f>
        <v/>
      </c>
      <c r="K70" s="97" t="str">
        <f aca="false">IF($B70="","",I70*cfg_EOS_R2*MAX(H70-cfg_EOS_TH,0))</f>
        <v/>
      </c>
      <c r="L70" s="97" t="str">
        <f aca="false">IF($B70="","",J70+K70)</f>
        <v/>
      </c>
      <c r="M70" s="80" t="str">
        <f aca="false">IF($B70="","",IF(AND(الموظفون!$AE70&lt;&gt;"",الموظفون!$AE70&lt;=cfg_VAL_DATE),IF(الموظفون!$AF70="","⚠ حدد السبب",الموظفون!$AF70),"على رأس العمل"))</f>
        <v/>
      </c>
      <c r="N70" s="58" t="str">
        <f aca="false">IF($B70="","",VLOOKUP(H70,cfg_RES,2,TRUE()))</f>
        <v/>
      </c>
      <c r="O70" s="97" t="str">
        <f aca="false">IF($B70="","",IF(M70="استقالة",L70*N70,L70))</f>
        <v/>
      </c>
      <c r="P70" s="97" t="str">
        <f aca="false">IF($B70="","",I70*(cfg_EOS_R1*MIN((MAX(0,IF(OR(الموظفون!$AE70="",الموظفون!$AE70&gt;=cfg_Y_START),cfg_Y_START-1,الموظفون!$AE70)-D70+1-SUMIFS('سجل الإجازات والحالات'!$R$6:$R$505,'سجل الإجازات والحالات'!$B$6:$B$505,$B70))/cfg_DAYS_Y),cfg_EOS_TH)+cfg_EOS_R2*MAX((MAX(0,IF(OR(الموظفون!$AE70="",الموظفون!$AE70&gt;=cfg_Y_START),cfg_Y_START-1,الموظفون!$AE70)-D70+1-SUMIFS('سجل الإجازات والحالات'!$R$6:$R$505,'سجل الإجازات والحالات'!$B$6:$B$505,$B70))/cfg_DAYS_Y)-cfg_EOS_TH,0)))</f>
        <v/>
      </c>
      <c r="Q70" s="97" t="str">
        <f aca="false">IF($B70="","",O70-P70)</f>
        <v/>
      </c>
      <c r="R70" s="97" t="str">
        <f aca="false">IF($B70="","",SUMIFS('الحركات الشهرية'!$N$6:$N$1005,'الحركات الشهرية'!$B$6:$B$1005,B70,'الحركات الشهرية'!$A$6:$A$1005,"&lt;="&amp;cfg_VAL_M))</f>
        <v/>
      </c>
      <c r="S70" s="150" t="str">
        <f aca="false">IF($B70="","",P70+Q70-R70)</f>
        <v/>
      </c>
      <c r="T70" s="80" t="str">
        <f aca="false">IF($B70="","",IF(S70&lt;-0.01,"✖ صرف أكثر من المستحق",IF(AND(M70&lt;&gt;"على رأس العمل",S70&gt;0.01),"⚠ مستحق لم يُصرف","✔ سليم")))</f>
        <v/>
      </c>
    </row>
    <row r="71" customFormat="false" ht="15" hidden="false" customHeight="false" outlineLevel="0" collapsed="false">
      <c r="B71" s="102" t="str">
        <f aca="false">IF(الموظفون!$B71="","",الموظفون!$B71)</f>
        <v/>
      </c>
      <c r="C71" s="102" t="str">
        <f aca="false">IF($B71="","",الموظفون!$C71)</f>
        <v/>
      </c>
      <c r="D71" s="148" t="str">
        <f aca="false">IF($B71="","",الموظفون!$H71)</f>
        <v/>
      </c>
      <c r="E71" s="148" t="str">
        <f aca="false">IF($B71="","",IF(OR(الموظفون!$AE71="",الموظفون!$AE71&gt;cfg_VAL_DATE),cfg_VAL_DATE,الموظفون!$AE71))</f>
        <v/>
      </c>
      <c r="F71" s="102" t="str">
        <f aca="false">IF($B71="","",IF(E71&lt;D71,"لم يباشر",DATEDIF(D71,E71+1,"y")&amp;" سنة "&amp;DATEDIF(D71,E71+1,"ym")&amp;" شهر "&amp;DATEDIF(D71,E71+1,"md")&amp;" يوم"))</f>
        <v/>
      </c>
      <c r="G71" s="110" t="str">
        <f aca="false">IF($B71="","",SUMIFS('سجل الإجازات والحالات'!$S$6:$S$505,'سجل الإجازات والحالات'!$B$6:$B$505,$B71))</f>
        <v/>
      </c>
      <c r="H71" s="135" t="str">
        <f aca="false">IF($B71="","",MAX(0,E71-D71+1-G71)/cfg_DAYS_Y)</f>
        <v/>
      </c>
      <c r="I71" s="101" t="str">
        <f aca="false">IF($B71="","",الموظفون!$Q71)</f>
        <v/>
      </c>
      <c r="J71" s="101" t="str">
        <f aca="false">IF($B71="","",I71*cfg_EOS_R1*MIN(H71,cfg_EOS_TH))</f>
        <v/>
      </c>
      <c r="K71" s="101" t="str">
        <f aca="false">IF($B71="","",I71*cfg_EOS_R2*MAX(H71-cfg_EOS_TH,0))</f>
        <v/>
      </c>
      <c r="L71" s="101" t="str">
        <f aca="false">IF($B71="","",J71+K71)</f>
        <v/>
      </c>
      <c r="M71" s="102" t="str">
        <f aca="false">IF($B71="","",IF(AND(الموظفون!$AE71&lt;&gt;"",الموظفون!$AE71&lt;=cfg_VAL_DATE),IF(الموظفون!$AF71="","⚠ حدد السبب",الموظفون!$AF71),"على رأس العمل"))</f>
        <v/>
      </c>
      <c r="N71" s="111" t="str">
        <f aca="false">IF($B71="","",VLOOKUP(H71,cfg_RES,2,TRUE()))</f>
        <v/>
      </c>
      <c r="O71" s="101" t="str">
        <f aca="false">IF($B71="","",IF(M71="استقالة",L71*N71,L71))</f>
        <v/>
      </c>
      <c r="P71" s="101" t="str">
        <f aca="false">IF($B71="","",I71*(cfg_EOS_R1*MIN((MAX(0,IF(OR(الموظفون!$AE71="",الموظفون!$AE71&gt;=cfg_Y_START),cfg_Y_START-1,الموظفون!$AE71)-D71+1-SUMIFS('سجل الإجازات والحالات'!$R$6:$R$505,'سجل الإجازات والحالات'!$B$6:$B$505,$B71))/cfg_DAYS_Y),cfg_EOS_TH)+cfg_EOS_R2*MAX((MAX(0,IF(OR(الموظفون!$AE71="",الموظفون!$AE71&gt;=cfg_Y_START),cfg_Y_START-1,الموظفون!$AE71)-D71+1-SUMIFS('سجل الإجازات والحالات'!$R$6:$R$505,'سجل الإجازات والحالات'!$B$6:$B$505,$B71))/cfg_DAYS_Y)-cfg_EOS_TH,0)))</f>
        <v/>
      </c>
      <c r="Q71" s="101" t="str">
        <f aca="false">IF($B71="","",O71-P71)</f>
        <v/>
      </c>
      <c r="R71" s="101" t="str">
        <f aca="false">IF($B71="","",SUMIFS('الحركات الشهرية'!$N$6:$N$1005,'الحركات الشهرية'!$B$6:$B$1005,B71,'الحركات الشهرية'!$A$6:$A$1005,"&lt;="&amp;cfg_VAL_M))</f>
        <v/>
      </c>
      <c r="S71" s="151" t="str">
        <f aca="false">IF($B71="","",P71+Q71-R71)</f>
        <v/>
      </c>
      <c r="T71" s="102" t="str">
        <f aca="false">IF($B71="","",IF(S71&lt;-0.01,"✖ صرف أكثر من المستحق",IF(AND(M71&lt;&gt;"على رأس العمل",S71&gt;0.01),"⚠ مستحق لم يُصرف","✔ سليم")))</f>
        <v/>
      </c>
    </row>
    <row r="72" customFormat="false" ht="15" hidden="false" customHeight="false" outlineLevel="0" collapsed="false">
      <c r="B72" s="80" t="str">
        <f aca="false">IF(الموظفون!$B72="","",الموظفون!$B72)</f>
        <v/>
      </c>
      <c r="C72" s="80" t="str">
        <f aca="false">IF($B72="","",الموظفون!$C72)</f>
        <v/>
      </c>
      <c r="D72" s="147" t="str">
        <f aca="false">IF($B72="","",الموظفون!$H72)</f>
        <v/>
      </c>
      <c r="E72" s="147" t="str">
        <f aca="false">IF($B72="","",IF(OR(الموظفون!$AE72="",الموظفون!$AE72&gt;cfg_VAL_DATE),cfg_VAL_DATE,الموظفون!$AE72))</f>
        <v/>
      </c>
      <c r="F72" s="80" t="str">
        <f aca="false">IF($B72="","",IF(E72&lt;D72,"لم يباشر",DATEDIF(D72,E72+1,"y")&amp;" سنة "&amp;DATEDIF(D72,E72+1,"ym")&amp;" شهر "&amp;DATEDIF(D72,E72+1,"md")&amp;" يوم"))</f>
        <v/>
      </c>
      <c r="G72" s="57" t="str">
        <f aca="false">IF($B72="","",SUMIFS('سجل الإجازات والحالات'!$S$6:$S$505,'سجل الإجازات والحالات'!$B$6:$B$505,$B72))</f>
        <v/>
      </c>
      <c r="H72" s="130" t="str">
        <f aca="false">IF($B72="","",MAX(0,E72-D72+1-G72)/cfg_DAYS_Y)</f>
        <v/>
      </c>
      <c r="I72" s="97" t="str">
        <f aca="false">IF($B72="","",الموظفون!$Q72)</f>
        <v/>
      </c>
      <c r="J72" s="97" t="str">
        <f aca="false">IF($B72="","",I72*cfg_EOS_R1*MIN(H72,cfg_EOS_TH))</f>
        <v/>
      </c>
      <c r="K72" s="97" t="str">
        <f aca="false">IF($B72="","",I72*cfg_EOS_R2*MAX(H72-cfg_EOS_TH,0))</f>
        <v/>
      </c>
      <c r="L72" s="97" t="str">
        <f aca="false">IF($B72="","",J72+K72)</f>
        <v/>
      </c>
      <c r="M72" s="80" t="str">
        <f aca="false">IF($B72="","",IF(AND(الموظفون!$AE72&lt;&gt;"",الموظفون!$AE72&lt;=cfg_VAL_DATE),IF(الموظفون!$AF72="","⚠ حدد السبب",الموظفون!$AF72),"على رأس العمل"))</f>
        <v/>
      </c>
      <c r="N72" s="58" t="str">
        <f aca="false">IF($B72="","",VLOOKUP(H72,cfg_RES,2,TRUE()))</f>
        <v/>
      </c>
      <c r="O72" s="97" t="str">
        <f aca="false">IF($B72="","",IF(M72="استقالة",L72*N72,L72))</f>
        <v/>
      </c>
      <c r="P72" s="97" t="str">
        <f aca="false">IF($B72="","",I72*(cfg_EOS_R1*MIN((MAX(0,IF(OR(الموظفون!$AE72="",الموظفون!$AE72&gt;=cfg_Y_START),cfg_Y_START-1,الموظفون!$AE72)-D72+1-SUMIFS('سجل الإجازات والحالات'!$R$6:$R$505,'سجل الإجازات والحالات'!$B$6:$B$505,$B72))/cfg_DAYS_Y),cfg_EOS_TH)+cfg_EOS_R2*MAX((MAX(0,IF(OR(الموظفون!$AE72="",الموظفون!$AE72&gt;=cfg_Y_START),cfg_Y_START-1,الموظفون!$AE72)-D72+1-SUMIFS('سجل الإجازات والحالات'!$R$6:$R$505,'سجل الإجازات والحالات'!$B$6:$B$505,$B72))/cfg_DAYS_Y)-cfg_EOS_TH,0)))</f>
        <v/>
      </c>
      <c r="Q72" s="97" t="str">
        <f aca="false">IF($B72="","",O72-P72)</f>
        <v/>
      </c>
      <c r="R72" s="97" t="str">
        <f aca="false">IF($B72="","",SUMIFS('الحركات الشهرية'!$N$6:$N$1005,'الحركات الشهرية'!$B$6:$B$1005,B72,'الحركات الشهرية'!$A$6:$A$1005,"&lt;="&amp;cfg_VAL_M))</f>
        <v/>
      </c>
      <c r="S72" s="150" t="str">
        <f aca="false">IF($B72="","",P72+Q72-R72)</f>
        <v/>
      </c>
      <c r="T72" s="80" t="str">
        <f aca="false">IF($B72="","",IF(S72&lt;-0.01,"✖ صرف أكثر من المستحق",IF(AND(M72&lt;&gt;"على رأس العمل",S72&gt;0.01),"⚠ مستحق لم يُصرف","✔ سليم")))</f>
        <v/>
      </c>
    </row>
    <row r="73" customFormat="false" ht="15" hidden="false" customHeight="false" outlineLevel="0" collapsed="false">
      <c r="B73" s="102" t="str">
        <f aca="false">IF(الموظفون!$B73="","",الموظفون!$B73)</f>
        <v/>
      </c>
      <c r="C73" s="102" t="str">
        <f aca="false">IF($B73="","",الموظفون!$C73)</f>
        <v/>
      </c>
      <c r="D73" s="148" t="str">
        <f aca="false">IF($B73="","",الموظفون!$H73)</f>
        <v/>
      </c>
      <c r="E73" s="148" t="str">
        <f aca="false">IF($B73="","",IF(OR(الموظفون!$AE73="",الموظفون!$AE73&gt;cfg_VAL_DATE),cfg_VAL_DATE,الموظفون!$AE73))</f>
        <v/>
      </c>
      <c r="F73" s="102" t="str">
        <f aca="false">IF($B73="","",IF(E73&lt;D73,"لم يباشر",DATEDIF(D73,E73+1,"y")&amp;" سنة "&amp;DATEDIF(D73,E73+1,"ym")&amp;" شهر "&amp;DATEDIF(D73,E73+1,"md")&amp;" يوم"))</f>
        <v/>
      </c>
      <c r="G73" s="110" t="str">
        <f aca="false">IF($B73="","",SUMIFS('سجل الإجازات والحالات'!$S$6:$S$505,'سجل الإجازات والحالات'!$B$6:$B$505,$B73))</f>
        <v/>
      </c>
      <c r="H73" s="135" t="str">
        <f aca="false">IF($B73="","",MAX(0,E73-D73+1-G73)/cfg_DAYS_Y)</f>
        <v/>
      </c>
      <c r="I73" s="101" t="str">
        <f aca="false">IF($B73="","",الموظفون!$Q73)</f>
        <v/>
      </c>
      <c r="J73" s="101" t="str">
        <f aca="false">IF($B73="","",I73*cfg_EOS_R1*MIN(H73,cfg_EOS_TH))</f>
        <v/>
      </c>
      <c r="K73" s="101" t="str">
        <f aca="false">IF($B73="","",I73*cfg_EOS_R2*MAX(H73-cfg_EOS_TH,0))</f>
        <v/>
      </c>
      <c r="L73" s="101" t="str">
        <f aca="false">IF($B73="","",J73+K73)</f>
        <v/>
      </c>
      <c r="M73" s="102" t="str">
        <f aca="false">IF($B73="","",IF(AND(الموظفون!$AE73&lt;&gt;"",الموظفون!$AE73&lt;=cfg_VAL_DATE),IF(الموظفون!$AF73="","⚠ حدد السبب",الموظفون!$AF73),"على رأس العمل"))</f>
        <v/>
      </c>
      <c r="N73" s="111" t="str">
        <f aca="false">IF($B73="","",VLOOKUP(H73,cfg_RES,2,TRUE()))</f>
        <v/>
      </c>
      <c r="O73" s="101" t="str">
        <f aca="false">IF($B73="","",IF(M73="استقالة",L73*N73,L73))</f>
        <v/>
      </c>
      <c r="P73" s="101" t="str">
        <f aca="false">IF($B73="","",I73*(cfg_EOS_R1*MIN((MAX(0,IF(OR(الموظفون!$AE73="",الموظفون!$AE73&gt;=cfg_Y_START),cfg_Y_START-1,الموظفون!$AE73)-D73+1-SUMIFS('سجل الإجازات والحالات'!$R$6:$R$505,'سجل الإجازات والحالات'!$B$6:$B$505,$B73))/cfg_DAYS_Y),cfg_EOS_TH)+cfg_EOS_R2*MAX((MAX(0,IF(OR(الموظفون!$AE73="",الموظفون!$AE73&gt;=cfg_Y_START),cfg_Y_START-1,الموظفون!$AE73)-D73+1-SUMIFS('سجل الإجازات والحالات'!$R$6:$R$505,'سجل الإجازات والحالات'!$B$6:$B$505,$B73))/cfg_DAYS_Y)-cfg_EOS_TH,0)))</f>
        <v/>
      </c>
      <c r="Q73" s="101" t="str">
        <f aca="false">IF($B73="","",O73-P73)</f>
        <v/>
      </c>
      <c r="R73" s="101" t="str">
        <f aca="false">IF($B73="","",SUMIFS('الحركات الشهرية'!$N$6:$N$1005,'الحركات الشهرية'!$B$6:$B$1005,B73,'الحركات الشهرية'!$A$6:$A$1005,"&lt;="&amp;cfg_VAL_M))</f>
        <v/>
      </c>
      <c r="S73" s="151" t="str">
        <f aca="false">IF($B73="","",P73+Q73-R73)</f>
        <v/>
      </c>
      <c r="T73" s="102" t="str">
        <f aca="false">IF($B73="","",IF(S73&lt;-0.01,"✖ صرف أكثر من المستحق",IF(AND(M73&lt;&gt;"على رأس العمل",S73&gt;0.01),"⚠ مستحق لم يُصرف","✔ سليم")))</f>
        <v/>
      </c>
    </row>
    <row r="74" customFormat="false" ht="15" hidden="false" customHeight="false" outlineLevel="0" collapsed="false">
      <c r="B74" s="80" t="str">
        <f aca="false">IF(الموظفون!$B74="","",الموظفون!$B74)</f>
        <v/>
      </c>
      <c r="C74" s="80" t="str">
        <f aca="false">IF($B74="","",الموظفون!$C74)</f>
        <v/>
      </c>
      <c r="D74" s="147" t="str">
        <f aca="false">IF($B74="","",الموظفون!$H74)</f>
        <v/>
      </c>
      <c r="E74" s="147" t="str">
        <f aca="false">IF($B74="","",IF(OR(الموظفون!$AE74="",الموظفون!$AE74&gt;cfg_VAL_DATE),cfg_VAL_DATE,الموظفون!$AE74))</f>
        <v/>
      </c>
      <c r="F74" s="80" t="str">
        <f aca="false">IF($B74="","",IF(E74&lt;D74,"لم يباشر",DATEDIF(D74,E74+1,"y")&amp;" سنة "&amp;DATEDIF(D74,E74+1,"ym")&amp;" شهر "&amp;DATEDIF(D74,E74+1,"md")&amp;" يوم"))</f>
        <v/>
      </c>
      <c r="G74" s="57" t="str">
        <f aca="false">IF($B74="","",SUMIFS('سجل الإجازات والحالات'!$S$6:$S$505,'سجل الإجازات والحالات'!$B$6:$B$505,$B74))</f>
        <v/>
      </c>
      <c r="H74" s="130" t="str">
        <f aca="false">IF($B74="","",MAX(0,E74-D74+1-G74)/cfg_DAYS_Y)</f>
        <v/>
      </c>
      <c r="I74" s="97" t="str">
        <f aca="false">IF($B74="","",الموظفون!$Q74)</f>
        <v/>
      </c>
      <c r="J74" s="97" t="str">
        <f aca="false">IF($B74="","",I74*cfg_EOS_R1*MIN(H74,cfg_EOS_TH))</f>
        <v/>
      </c>
      <c r="K74" s="97" t="str">
        <f aca="false">IF($B74="","",I74*cfg_EOS_R2*MAX(H74-cfg_EOS_TH,0))</f>
        <v/>
      </c>
      <c r="L74" s="97" t="str">
        <f aca="false">IF($B74="","",J74+K74)</f>
        <v/>
      </c>
      <c r="M74" s="80" t="str">
        <f aca="false">IF($B74="","",IF(AND(الموظفون!$AE74&lt;&gt;"",الموظفون!$AE74&lt;=cfg_VAL_DATE),IF(الموظفون!$AF74="","⚠ حدد السبب",الموظفون!$AF74),"على رأس العمل"))</f>
        <v/>
      </c>
      <c r="N74" s="58" t="str">
        <f aca="false">IF($B74="","",VLOOKUP(H74,cfg_RES,2,TRUE()))</f>
        <v/>
      </c>
      <c r="O74" s="97" t="str">
        <f aca="false">IF($B74="","",IF(M74="استقالة",L74*N74,L74))</f>
        <v/>
      </c>
      <c r="P74" s="97" t="str">
        <f aca="false">IF($B74="","",I74*(cfg_EOS_R1*MIN((MAX(0,IF(OR(الموظفون!$AE74="",الموظفون!$AE74&gt;=cfg_Y_START),cfg_Y_START-1,الموظفون!$AE74)-D74+1-SUMIFS('سجل الإجازات والحالات'!$R$6:$R$505,'سجل الإجازات والحالات'!$B$6:$B$505,$B74))/cfg_DAYS_Y),cfg_EOS_TH)+cfg_EOS_R2*MAX((MAX(0,IF(OR(الموظفون!$AE74="",الموظفون!$AE74&gt;=cfg_Y_START),cfg_Y_START-1,الموظفون!$AE74)-D74+1-SUMIFS('سجل الإجازات والحالات'!$R$6:$R$505,'سجل الإجازات والحالات'!$B$6:$B$505,$B74))/cfg_DAYS_Y)-cfg_EOS_TH,0)))</f>
        <v/>
      </c>
      <c r="Q74" s="97" t="str">
        <f aca="false">IF($B74="","",O74-P74)</f>
        <v/>
      </c>
      <c r="R74" s="97" t="str">
        <f aca="false">IF($B74="","",SUMIFS('الحركات الشهرية'!$N$6:$N$1005,'الحركات الشهرية'!$B$6:$B$1005,B74,'الحركات الشهرية'!$A$6:$A$1005,"&lt;="&amp;cfg_VAL_M))</f>
        <v/>
      </c>
      <c r="S74" s="150" t="str">
        <f aca="false">IF($B74="","",P74+Q74-R74)</f>
        <v/>
      </c>
      <c r="T74" s="80" t="str">
        <f aca="false">IF($B74="","",IF(S74&lt;-0.01,"✖ صرف أكثر من المستحق",IF(AND(M74&lt;&gt;"على رأس العمل",S74&gt;0.01),"⚠ مستحق لم يُصرف","✔ سليم")))</f>
        <v/>
      </c>
    </row>
    <row r="75" customFormat="false" ht="15" hidden="false" customHeight="false" outlineLevel="0" collapsed="false">
      <c r="B75" s="102" t="str">
        <f aca="false">IF(الموظفون!$B75="","",الموظفون!$B75)</f>
        <v/>
      </c>
      <c r="C75" s="102" t="str">
        <f aca="false">IF($B75="","",الموظفون!$C75)</f>
        <v/>
      </c>
      <c r="D75" s="148" t="str">
        <f aca="false">IF($B75="","",الموظفون!$H75)</f>
        <v/>
      </c>
      <c r="E75" s="148" t="str">
        <f aca="false">IF($B75="","",IF(OR(الموظفون!$AE75="",الموظفون!$AE75&gt;cfg_VAL_DATE),cfg_VAL_DATE,الموظفون!$AE75))</f>
        <v/>
      </c>
      <c r="F75" s="102" t="str">
        <f aca="false">IF($B75="","",IF(E75&lt;D75,"لم يباشر",DATEDIF(D75,E75+1,"y")&amp;" سنة "&amp;DATEDIF(D75,E75+1,"ym")&amp;" شهر "&amp;DATEDIF(D75,E75+1,"md")&amp;" يوم"))</f>
        <v/>
      </c>
      <c r="G75" s="110" t="str">
        <f aca="false">IF($B75="","",SUMIFS('سجل الإجازات والحالات'!$S$6:$S$505,'سجل الإجازات والحالات'!$B$6:$B$505,$B75))</f>
        <v/>
      </c>
      <c r="H75" s="135" t="str">
        <f aca="false">IF($B75="","",MAX(0,E75-D75+1-G75)/cfg_DAYS_Y)</f>
        <v/>
      </c>
      <c r="I75" s="101" t="str">
        <f aca="false">IF($B75="","",الموظفون!$Q75)</f>
        <v/>
      </c>
      <c r="J75" s="101" t="str">
        <f aca="false">IF($B75="","",I75*cfg_EOS_R1*MIN(H75,cfg_EOS_TH))</f>
        <v/>
      </c>
      <c r="K75" s="101" t="str">
        <f aca="false">IF($B75="","",I75*cfg_EOS_R2*MAX(H75-cfg_EOS_TH,0))</f>
        <v/>
      </c>
      <c r="L75" s="101" t="str">
        <f aca="false">IF($B75="","",J75+K75)</f>
        <v/>
      </c>
      <c r="M75" s="102" t="str">
        <f aca="false">IF($B75="","",IF(AND(الموظفون!$AE75&lt;&gt;"",الموظفون!$AE75&lt;=cfg_VAL_DATE),IF(الموظفون!$AF75="","⚠ حدد السبب",الموظفون!$AF75),"على رأس العمل"))</f>
        <v/>
      </c>
      <c r="N75" s="111" t="str">
        <f aca="false">IF($B75="","",VLOOKUP(H75,cfg_RES,2,TRUE()))</f>
        <v/>
      </c>
      <c r="O75" s="101" t="str">
        <f aca="false">IF($B75="","",IF(M75="استقالة",L75*N75,L75))</f>
        <v/>
      </c>
      <c r="P75" s="101" t="str">
        <f aca="false">IF($B75="","",I75*(cfg_EOS_R1*MIN((MAX(0,IF(OR(الموظفون!$AE75="",الموظفون!$AE75&gt;=cfg_Y_START),cfg_Y_START-1,الموظفون!$AE75)-D75+1-SUMIFS('سجل الإجازات والحالات'!$R$6:$R$505,'سجل الإجازات والحالات'!$B$6:$B$505,$B75))/cfg_DAYS_Y),cfg_EOS_TH)+cfg_EOS_R2*MAX((MAX(0,IF(OR(الموظفون!$AE75="",الموظفون!$AE75&gt;=cfg_Y_START),cfg_Y_START-1,الموظفون!$AE75)-D75+1-SUMIFS('سجل الإجازات والحالات'!$R$6:$R$505,'سجل الإجازات والحالات'!$B$6:$B$505,$B75))/cfg_DAYS_Y)-cfg_EOS_TH,0)))</f>
        <v/>
      </c>
      <c r="Q75" s="101" t="str">
        <f aca="false">IF($B75="","",O75-P75)</f>
        <v/>
      </c>
      <c r="R75" s="101" t="str">
        <f aca="false">IF($B75="","",SUMIFS('الحركات الشهرية'!$N$6:$N$1005,'الحركات الشهرية'!$B$6:$B$1005,B75,'الحركات الشهرية'!$A$6:$A$1005,"&lt;="&amp;cfg_VAL_M))</f>
        <v/>
      </c>
      <c r="S75" s="151" t="str">
        <f aca="false">IF($B75="","",P75+Q75-R75)</f>
        <v/>
      </c>
      <c r="T75" s="102" t="str">
        <f aca="false">IF($B75="","",IF(S75&lt;-0.01,"✖ صرف أكثر من المستحق",IF(AND(M75&lt;&gt;"على رأس العمل",S75&gt;0.01),"⚠ مستحق لم يُصرف","✔ سليم")))</f>
        <v/>
      </c>
    </row>
    <row r="76" customFormat="false" ht="15" hidden="false" customHeight="false" outlineLevel="0" collapsed="false">
      <c r="B76" s="80" t="str">
        <f aca="false">IF(الموظفون!$B76="","",الموظفون!$B76)</f>
        <v/>
      </c>
      <c r="C76" s="80" t="str">
        <f aca="false">IF($B76="","",الموظفون!$C76)</f>
        <v/>
      </c>
      <c r="D76" s="147" t="str">
        <f aca="false">IF($B76="","",الموظفون!$H76)</f>
        <v/>
      </c>
      <c r="E76" s="147" t="str">
        <f aca="false">IF($B76="","",IF(OR(الموظفون!$AE76="",الموظفون!$AE76&gt;cfg_VAL_DATE),cfg_VAL_DATE,الموظفون!$AE76))</f>
        <v/>
      </c>
      <c r="F76" s="80" t="str">
        <f aca="false">IF($B76="","",IF(E76&lt;D76,"لم يباشر",DATEDIF(D76,E76+1,"y")&amp;" سنة "&amp;DATEDIF(D76,E76+1,"ym")&amp;" شهر "&amp;DATEDIF(D76,E76+1,"md")&amp;" يوم"))</f>
        <v/>
      </c>
      <c r="G76" s="57" t="str">
        <f aca="false">IF($B76="","",SUMIFS('سجل الإجازات والحالات'!$S$6:$S$505,'سجل الإجازات والحالات'!$B$6:$B$505,$B76))</f>
        <v/>
      </c>
      <c r="H76" s="130" t="str">
        <f aca="false">IF($B76="","",MAX(0,E76-D76+1-G76)/cfg_DAYS_Y)</f>
        <v/>
      </c>
      <c r="I76" s="97" t="str">
        <f aca="false">IF($B76="","",الموظفون!$Q76)</f>
        <v/>
      </c>
      <c r="J76" s="97" t="str">
        <f aca="false">IF($B76="","",I76*cfg_EOS_R1*MIN(H76,cfg_EOS_TH))</f>
        <v/>
      </c>
      <c r="K76" s="97" t="str">
        <f aca="false">IF($B76="","",I76*cfg_EOS_R2*MAX(H76-cfg_EOS_TH,0))</f>
        <v/>
      </c>
      <c r="L76" s="97" t="str">
        <f aca="false">IF($B76="","",J76+K76)</f>
        <v/>
      </c>
      <c r="M76" s="80" t="str">
        <f aca="false">IF($B76="","",IF(AND(الموظفون!$AE76&lt;&gt;"",الموظفون!$AE76&lt;=cfg_VAL_DATE),IF(الموظفون!$AF76="","⚠ حدد السبب",الموظفون!$AF76),"على رأس العمل"))</f>
        <v/>
      </c>
      <c r="N76" s="58" t="str">
        <f aca="false">IF($B76="","",VLOOKUP(H76,cfg_RES,2,TRUE()))</f>
        <v/>
      </c>
      <c r="O76" s="97" t="str">
        <f aca="false">IF($B76="","",IF(M76="استقالة",L76*N76,L76))</f>
        <v/>
      </c>
      <c r="P76" s="97" t="str">
        <f aca="false">IF($B76="","",I76*(cfg_EOS_R1*MIN((MAX(0,IF(OR(الموظفون!$AE76="",الموظفون!$AE76&gt;=cfg_Y_START),cfg_Y_START-1,الموظفون!$AE76)-D76+1-SUMIFS('سجل الإجازات والحالات'!$R$6:$R$505,'سجل الإجازات والحالات'!$B$6:$B$505,$B76))/cfg_DAYS_Y),cfg_EOS_TH)+cfg_EOS_R2*MAX((MAX(0,IF(OR(الموظفون!$AE76="",الموظفون!$AE76&gt;=cfg_Y_START),cfg_Y_START-1,الموظفون!$AE76)-D76+1-SUMIFS('سجل الإجازات والحالات'!$R$6:$R$505,'سجل الإجازات والحالات'!$B$6:$B$505,$B76))/cfg_DAYS_Y)-cfg_EOS_TH,0)))</f>
        <v/>
      </c>
      <c r="Q76" s="97" t="str">
        <f aca="false">IF($B76="","",O76-P76)</f>
        <v/>
      </c>
      <c r="R76" s="97" t="str">
        <f aca="false">IF($B76="","",SUMIFS('الحركات الشهرية'!$N$6:$N$1005,'الحركات الشهرية'!$B$6:$B$1005,B76,'الحركات الشهرية'!$A$6:$A$1005,"&lt;="&amp;cfg_VAL_M))</f>
        <v/>
      </c>
      <c r="S76" s="150" t="str">
        <f aca="false">IF($B76="","",P76+Q76-R76)</f>
        <v/>
      </c>
      <c r="T76" s="80" t="str">
        <f aca="false">IF($B76="","",IF(S76&lt;-0.01,"✖ صرف أكثر من المستحق",IF(AND(M76&lt;&gt;"على رأس العمل",S76&gt;0.01),"⚠ مستحق لم يُصرف","✔ سليم")))</f>
        <v/>
      </c>
    </row>
    <row r="77" customFormat="false" ht="15" hidden="false" customHeight="false" outlineLevel="0" collapsed="false">
      <c r="B77" s="102" t="str">
        <f aca="false">IF(الموظفون!$B77="","",الموظفون!$B77)</f>
        <v/>
      </c>
      <c r="C77" s="102" t="str">
        <f aca="false">IF($B77="","",الموظفون!$C77)</f>
        <v/>
      </c>
      <c r="D77" s="148" t="str">
        <f aca="false">IF($B77="","",الموظفون!$H77)</f>
        <v/>
      </c>
      <c r="E77" s="148" t="str">
        <f aca="false">IF($B77="","",IF(OR(الموظفون!$AE77="",الموظفون!$AE77&gt;cfg_VAL_DATE),cfg_VAL_DATE,الموظفون!$AE77))</f>
        <v/>
      </c>
      <c r="F77" s="102" t="str">
        <f aca="false">IF($B77="","",IF(E77&lt;D77,"لم يباشر",DATEDIF(D77,E77+1,"y")&amp;" سنة "&amp;DATEDIF(D77,E77+1,"ym")&amp;" شهر "&amp;DATEDIF(D77,E77+1,"md")&amp;" يوم"))</f>
        <v/>
      </c>
      <c r="G77" s="110" t="str">
        <f aca="false">IF($B77="","",SUMIFS('سجل الإجازات والحالات'!$S$6:$S$505,'سجل الإجازات والحالات'!$B$6:$B$505,$B77))</f>
        <v/>
      </c>
      <c r="H77" s="135" t="str">
        <f aca="false">IF($B77="","",MAX(0,E77-D77+1-G77)/cfg_DAYS_Y)</f>
        <v/>
      </c>
      <c r="I77" s="101" t="str">
        <f aca="false">IF($B77="","",الموظفون!$Q77)</f>
        <v/>
      </c>
      <c r="J77" s="101" t="str">
        <f aca="false">IF($B77="","",I77*cfg_EOS_R1*MIN(H77,cfg_EOS_TH))</f>
        <v/>
      </c>
      <c r="K77" s="101" t="str">
        <f aca="false">IF($B77="","",I77*cfg_EOS_R2*MAX(H77-cfg_EOS_TH,0))</f>
        <v/>
      </c>
      <c r="L77" s="101" t="str">
        <f aca="false">IF($B77="","",J77+K77)</f>
        <v/>
      </c>
      <c r="M77" s="102" t="str">
        <f aca="false">IF($B77="","",IF(AND(الموظفون!$AE77&lt;&gt;"",الموظفون!$AE77&lt;=cfg_VAL_DATE),IF(الموظفون!$AF77="","⚠ حدد السبب",الموظفون!$AF77),"على رأس العمل"))</f>
        <v/>
      </c>
      <c r="N77" s="111" t="str">
        <f aca="false">IF($B77="","",VLOOKUP(H77,cfg_RES,2,TRUE()))</f>
        <v/>
      </c>
      <c r="O77" s="101" t="str">
        <f aca="false">IF($B77="","",IF(M77="استقالة",L77*N77,L77))</f>
        <v/>
      </c>
      <c r="P77" s="101" t="str">
        <f aca="false">IF($B77="","",I77*(cfg_EOS_R1*MIN((MAX(0,IF(OR(الموظفون!$AE77="",الموظفون!$AE77&gt;=cfg_Y_START),cfg_Y_START-1,الموظفون!$AE77)-D77+1-SUMIFS('سجل الإجازات والحالات'!$R$6:$R$505,'سجل الإجازات والحالات'!$B$6:$B$505,$B77))/cfg_DAYS_Y),cfg_EOS_TH)+cfg_EOS_R2*MAX((MAX(0,IF(OR(الموظفون!$AE77="",الموظفون!$AE77&gt;=cfg_Y_START),cfg_Y_START-1,الموظفون!$AE77)-D77+1-SUMIFS('سجل الإجازات والحالات'!$R$6:$R$505,'سجل الإجازات والحالات'!$B$6:$B$505,$B77))/cfg_DAYS_Y)-cfg_EOS_TH,0)))</f>
        <v/>
      </c>
      <c r="Q77" s="101" t="str">
        <f aca="false">IF($B77="","",O77-P77)</f>
        <v/>
      </c>
      <c r="R77" s="101" t="str">
        <f aca="false">IF($B77="","",SUMIFS('الحركات الشهرية'!$N$6:$N$1005,'الحركات الشهرية'!$B$6:$B$1005,B77,'الحركات الشهرية'!$A$6:$A$1005,"&lt;="&amp;cfg_VAL_M))</f>
        <v/>
      </c>
      <c r="S77" s="151" t="str">
        <f aca="false">IF($B77="","",P77+Q77-R77)</f>
        <v/>
      </c>
      <c r="T77" s="102" t="str">
        <f aca="false">IF($B77="","",IF(S77&lt;-0.01,"✖ صرف أكثر من المستحق",IF(AND(M77&lt;&gt;"على رأس العمل",S77&gt;0.01),"⚠ مستحق لم يُصرف","✔ سليم")))</f>
        <v/>
      </c>
    </row>
    <row r="78" customFormat="false" ht="15" hidden="false" customHeight="false" outlineLevel="0" collapsed="false">
      <c r="B78" s="80" t="str">
        <f aca="false">IF(الموظفون!$B78="","",الموظفون!$B78)</f>
        <v/>
      </c>
      <c r="C78" s="80" t="str">
        <f aca="false">IF($B78="","",الموظفون!$C78)</f>
        <v/>
      </c>
      <c r="D78" s="147" t="str">
        <f aca="false">IF($B78="","",الموظفون!$H78)</f>
        <v/>
      </c>
      <c r="E78" s="147" t="str">
        <f aca="false">IF($B78="","",IF(OR(الموظفون!$AE78="",الموظفون!$AE78&gt;cfg_VAL_DATE),cfg_VAL_DATE,الموظفون!$AE78))</f>
        <v/>
      </c>
      <c r="F78" s="80" t="str">
        <f aca="false">IF($B78="","",IF(E78&lt;D78,"لم يباشر",DATEDIF(D78,E78+1,"y")&amp;" سنة "&amp;DATEDIF(D78,E78+1,"ym")&amp;" شهر "&amp;DATEDIF(D78,E78+1,"md")&amp;" يوم"))</f>
        <v/>
      </c>
      <c r="G78" s="57" t="str">
        <f aca="false">IF($B78="","",SUMIFS('سجل الإجازات والحالات'!$S$6:$S$505,'سجل الإجازات والحالات'!$B$6:$B$505,$B78))</f>
        <v/>
      </c>
      <c r="H78" s="130" t="str">
        <f aca="false">IF($B78="","",MAX(0,E78-D78+1-G78)/cfg_DAYS_Y)</f>
        <v/>
      </c>
      <c r="I78" s="97" t="str">
        <f aca="false">IF($B78="","",الموظفون!$Q78)</f>
        <v/>
      </c>
      <c r="J78" s="97" t="str">
        <f aca="false">IF($B78="","",I78*cfg_EOS_R1*MIN(H78,cfg_EOS_TH))</f>
        <v/>
      </c>
      <c r="K78" s="97" t="str">
        <f aca="false">IF($B78="","",I78*cfg_EOS_R2*MAX(H78-cfg_EOS_TH,0))</f>
        <v/>
      </c>
      <c r="L78" s="97" t="str">
        <f aca="false">IF($B78="","",J78+K78)</f>
        <v/>
      </c>
      <c r="M78" s="80" t="str">
        <f aca="false">IF($B78="","",IF(AND(الموظفون!$AE78&lt;&gt;"",الموظفون!$AE78&lt;=cfg_VAL_DATE),IF(الموظفون!$AF78="","⚠ حدد السبب",الموظفون!$AF78),"على رأس العمل"))</f>
        <v/>
      </c>
      <c r="N78" s="58" t="str">
        <f aca="false">IF($B78="","",VLOOKUP(H78,cfg_RES,2,TRUE()))</f>
        <v/>
      </c>
      <c r="O78" s="97" t="str">
        <f aca="false">IF($B78="","",IF(M78="استقالة",L78*N78,L78))</f>
        <v/>
      </c>
      <c r="P78" s="97" t="str">
        <f aca="false">IF($B78="","",I78*(cfg_EOS_R1*MIN((MAX(0,IF(OR(الموظفون!$AE78="",الموظفون!$AE78&gt;=cfg_Y_START),cfg_Y_START-1,الموظفون!$AE78)-D78+1-SUMIFS('سجل الإجازات والحالات'!$R$6:$R$505,'سجل الإجازات والحالات'!$B$6:$B$505,$B78))/cfg_DAYS_Y),cfg_EOS_TH)+cfg_EOS_R2*MAX((MAX(0,IF(OR(الموظفون!$AE78="",الموظفون!$AE78&gt;=cfg_Y_START),cfg_Y_START-1,الموظفون!$AE78)-D78+1-SUMIFS('سجل الإجازات والحالات'!$R$6:$R$505,'سجل الإجازات والحالات'!$B$6:$B$505,$B78))/cfg_DAYS_Y)-cfg_EOS_TH,0)))</f>
        <v/>
      </c>
      <c r="Q78" s="97" t="str">
        <f aca="false">IF($B78="","",O78-P78)</f>
        <v/>
      </c>
      <c r="R78" s="97" t="str">
        <f aca="false">IF($B78="","",SUMIFS('الحركات الشهرية'!$N$6:$N$1005,'الحركات الشهرية'!$B$6:$B$1005,B78,'الحركات الشهرية'!$A$6:$A$1005,"&lt;="&amp;cfg_VAL_M))</f>
        <v/>
      </c>
      <c r="S78" s="150" t="str">
        <f aca="false">IF($B78="","",P78+Q78-R78)</f>
        <v/>
      </c>
      <c r="T78" s="80" t="str">
        <f aca="false">IF($B78="","",IF(S78&lt;-0.01,"✖ صرف أكثر من المستحق",IF(AND(M78&lt;&gt;"على رأس العمل",S78&gt;0.01),"⚠ مستحق لم يُصرف","✔ سليم")))</f>
        <v/>
      </c>
    </row>
    <row r="79" customFormat="false" ht="15" hidden="false" customHeight="false" outlineLevel="0" collapsed="false">
      <c r="B79" s="102" t="str">
        <f aca="false">IF(الموظفون!$B79="","",الموظفون!$B79)</f>
        <v/>
      </c>
      <c r="C79" s="102" t="str">
        <f aca="false">IF($B79="","",الموظفون!$C79)</f>
        <v/>
      </c>
      <c r="D79" s="148" t="str">
        <f aca="false">IF($B79="","",الموظفون!$H79)</f>
        <v/>
      </c>
      <c r="E79" s="148" t="str">
        <f aca="false">IF($B79="","",IF(OR(الموظفون!$AE79="",الموظفون!$AE79&gt;cfg_VAL_DATE),cfg_VAL_DATE,الموظفون!$AE79))</f>
        <v/>
      </c>
      <c r="F79" s="102" t="str">
        <f aca="false">IF($B79="","",IF(E79&lt;D79,"لم يباشر",DATEDIF(D79,E79+1,"y")&amp;" سنة "&amp;DATEDIF(D79,E79+1,"ym")&amp;" شهر "&amp;DATEDIF(D79,E79+1,"md")&amp;" يوم"))</f>
        <v/>
      </c>
      <c r="G79" s="110" t="str">
        <f aca="false">IF($B79="","",SUMIFS('سجل الإجازات والحالات'!$S$6:$S$505,'سجل الإجازات والحالات'!$B$6:$B$505,$B79))</f>
        <v/>
      </c>
      <c r="H79" s="135" t="str">
        <f aca="false">IF($B79="","",MAX(0,E79-D79+1-G79)/cfg_DAYS_Y)</f>
        <v/>
      </c>
      <c r="I79" s="101" t="str">
        <f aca="false">IF($B79="","",الموظفون!$Q79)</f>
        <v/>
      </c>
      <c r="J79" s="101" t="str">
        <f aca="false">IF($B79="","",I79*cfg_EOS_R1*MIN(H79,cfg_EOS_TH))</f>
        <v/>
      </c>
      <c r="K79" s="101" t="str">
        <f aca="false">IF($B79="","",I79*cfg_EOS_R2*MAX(H79-cfg_EOS_TH,0))</f>
        <v/>
      </c>
      <c r="L79" s="101" t="str">
        <f aca="false">IF($B79="","",J79+K79)</f>
        <v/>
      </c>
      <c r="M79" s="102" t="str">
        <f aca="false">IF($B79="","",IF(AND(الموظفون!$AE79&lt;&gt;"",الموظفون!$AE79&lt;=cfg_VAL_DATE),IF(الموظفون!$AF79="","⚠ حدد السبب",الموظفون!$AF79),"على رأس العمل"))</f>
        <v/>
      </c>
      <c r="N79" s="111" t="str">
        <f aca="false">IF($B79="","",VLOOKUP(H79,cfg_RES,2,TRUE()))</f>
        <v/>
      </c>
      <c r="O79" s="101" t="str">
        <f aca="false">IF($B79="","",IF(M79="استقالة",L79*N79,L79))</f>
        <v/>
      </c>
      <c r="P79" s="101" t="str">
        <f aca="false">IF($B79="","",I79*(cfg_EOS_R1*MIN((MAX(0,IF(OR(الموظفون!$AE79="",الموظفون!$AE79&gt;=cfg_Y_START),cfg_Y_START-1,الموظفون!$AE79)-D79+1-SUMIFS('سجل الإجازات والحالات'!$R$6:$R$505,'سجل الإجازات والحالات'!$B$6:$B$505,$B79))/cfg_DAYS_Y),cfg_EOS_TH)+cfg_EOS_R2*MAX((MAX(0,IF(OR(الموظفون!$AE79="",الموظفون!$AE79&gt;=cfg_Y_START),cfg_Y_START-1,الموظفون!$AE79)-D79+1-SUMIFS('سجل الإجازات والحالات'!$R$6:$R$505,'سجل الإجازات والحالات'!$B$6:$B$505,$B79))/cfg_DAYS_Y)-cfg_EOS_TH,0)))</f>
        <v/>
      </c>
      <c r="Q79" s="101" t="str">
        <f aca="false">IF($B79="","",O79-P79)</f>
        <v/>
      </c>
      <c r="R79" s="101" t="str">
        <f aca="false">IF($B79="","",SUMIFS('الحركات الشهرية'!$N$6:$N$1005,'الحركات الشهرية'!$B$6:$B$1005,B79,'الحركات الشهرية'!$A$6:$A$1005,"&lt;="&amp;cfg_VAL_M))</f>
        <v/>
      </c>
      <c r="S79" s="151" t="str">
        <f aca="false">IF($B79="","",P79+Q79-R79)</f>
        <v/>
      </c>
      <c r="T79" s="102" t="str">
        <f aca="false">IF($B79="","",IF(S79&lt;-0.01,"✖ صرف أكثر من المستحق",IF(AND(M79&lt;&gt;"على رأس العمل",S79&gt;0.01),"⚠ مستحق لم يُصرف","✔ سليم")))</f>
        <v/>
      </c>
    </row>
    <row r="80" customFormat="false" ht="15" hidden="false" customHeight="false" outlineLevel="0" collapsed="false">
      <c r="B80" s="80" t="str">
        <f aca="false">IF(الموظفون!$B80="","",الموظفون!$B80)</f>
        <v/>
      </c>
      <c r="C80" s="80" t="str">
        <f aca="false">IF($B80="","",الموظفون!$C80)</f>
        <v/>
      </c>
      <c r="D80" s="147" t="str">
        <f aca="false">IF($B80="","",الموظفون!$H80)</f>
        <v/>
      </c>
      <c r="E80" s="147" t="str">
        <f aca="false">IF($B80="","",IF(OR(الموظفون!$AE80="",الموظفون!$AE80&gt;cfg_VAL_DATE),cfg_VAL_DATE,الموظفون!$AE80))</f>
        <v/>
      </c>
      <c r="F80" s="80" t="str">
        <f aca="false">IF($B80="","",IF(E80&lt;D80,"لم يباشر",DATEDIF(D80,E80+1,"y")&amp;" سنة "&amp;DATEDIF(D80,E80+1,"ym")&amp;" شهر "&amp;DATEDIF(D80,E80+1,"md")&amp;" يوم"))</f>
        <v/>
      </c>
      <c r="G80" s="57" t="str">
        <f aca="false">IF($B80="","",SUMIFS('سجل الإجازات والحالات'!$S$6:$S$505,'سجل الإجازات والحالات'!$B$6:$B$505,$B80))</f>
        <v/>
      </c>
      <c r="H80" s="130" t="str">
        <f aca="false">IF($B80="","",MAX(0,E80-D80+1-G80)/cfg_DAYS_Y)</f>
        <v/>
      </c>
      <c r="I80" s="97" t="str">
        <f aca="false">IF($B80="","",الموظفون!$Q80)</f>
        <v/>
      </c>
      <c r="J80" s="97" t="str">
        <f aca="false">IF($B80="","",I80*cfg_EOS_R1*MIN(H80,cfg_EOS_TH))</f>
        <v/>
      </c>
      <c r="K80" s="97" t="str">
        <f aca="false">IF($B80="","",I80*cfg_EOS_R2*MAX(H80-cfg_EOS_TH,0))</f>
        <v/>
      </c>
      <c r="L80" s="97" t="str">
        <f aca="false">IF($B80="","",J80+K80)</f>
        <v/>
      </c>
      <c r="M80" s="80" t="str">
        <f aca="false">IF($B80="","",IF(AND(الموظفون!$AE80&lt;&gt;"",الموظفون!$AE80&lt;=cfg_VAL_DATE),IF(الموظفون!$AF80="","⚠ حدد السبب",الموظفون!$AF80),"على رأس العمل"))</f>
        <v/>
      </c>
      <c r="N80" s="58" t="str">
        <f aca="false">IF($B80="","",VLOOKUP(H80,cfg_RES,2,TRUE()))</f>
        <v/>
      </c>
      <c r="O80" s="97" t="str">
        <f aca="false">IF($B80="","",IF(M80="استقالة",L80*N80,L80))</f>
        <v/>
      </c>
      <c r="P80" s="97" t="str">
        <f aca="false">IF($B80="","",I80*(cfg_EOS_R1*MIN((MAX(0,IF(OR(الموظفون!$AE80="",الموظفون!$AE80&gt;=cfg_Y_START),cfg_Y_START-1,الموظفون!$AE80)-D80+1-SUMIFS('سجل الإجازات والحالات'!$R$6:$R$505,'سجل الإجازات والحالات'!$B$6:$B$505,$B80))/cfg_DAYS_Y),cfg_EOS_TH)+cfg_EOS_R2*MAX((MAX(0,IF(OR(الموظفون!$AE80="",الموظفون!$AE80&gt;=cfg_Y_START),cfg_Y_START-1,الموظفون!$AE80)-D80+1-SUMIFS('سجل الإجازات والحالات'!$R$6:$R$505,'سجل الإجازات والحالات'!$B$6:$B$505,$B80))/cfg_DAYS_Y)-cfg_EOS_TH,0)))</f>
        <v/>
      </c>
      <c r="Q80" s="97" t="str">
        <f aca="false">IF($B80="","",O80-P80)</f>
        <v/>
      </c>
      <c r="R80" s="97" t="str">
        <f aca="false">IF($B80="","",SUMIFS('الحركات الشهرية'!$N$6:$N$1005,'الحركات الشهرية'!$B$6:$B$1005,B80,'الحركات الشهرية'!$A$6:$A$1005,"&lt;="&amp;cfg_VAL_M))</f>
        <v/>
      </c>
      <c r="S80" s="150" t="str">
        <f aca="false">IF($B80="","",P80+Q80-R80)</f>
        <v/>
      </c>
      <c r="T80" s="80" t="str">
        <f aca="false">IF($B80="","",IF(S80&lt;-0.01,"✖ صرف أكثر من المستحق",IF(AND(M80&lt;&gt;"على رأس العمل",S80&gt;0.01),"⚠ مستحق لم يُصرف","✔ سليم")))</f>
        <v/>
      </c>
    </row>
    <row r="81" customFormat="false" ht="15" hidden="false" customHeight="false" outlineLevel="0" collapsed="false">
      <c r="B81" s="102" t="str">
        <f aca="false">IF(الموظفون!$B81="","",الموظفون!$B81)</f>
        <v/>
      </c>
      <c r="C81" s="102" t="str">
        <f aca="false">IF($B81="","",الموظفون!$C81)</f>
        <v/>
      </c>
      <c r="D81" s="148" t="str">
        <f aca="false">IF($B81="","",الموظفون!$H81)</f>
        <v/>
      </c>
      <c r="E81" s="148" t="str">
        <f aca="false">IF($B81="","",IF(OR(الموظفون!$AE81="",الموظفون!$AE81&gt;cfg_VAL_DATE),cfg_VAL_DATE,الموظفون!$AE81))</f>
        <v/>
      </c>
      <c r="F81" s="102" t="str">
        <f aca="false">IF($B81="","",IF(E81&lt;D81,"لم يباشر",DATEDIF(D81,E81+1,"y")&amp;" سنة "&amp;DATEDIF(D81,E81+1,"ym")&amp;" شهر "&amp;DATEDIF(D81,E81+1,"md")&amp;" يوم"))</f>
        <v/>
      </c>
      <c r="G81" s="110" t="str">
        <f aca="false">IF($B81="","",SUMIFS('سجل الإجازات والحالات'!$S$6:$S$505,'سجل الإجازات والحالات'!$B$6:$B$505,$B81))</f>
        <v/>
      </c>
      <c r="H81" s="135" t="str">
        <f aca="false">IF($B81="","",MAX(0,E81-D81+1-G81)/cfg_DAYS_Y)</f>
        <v/>
      </c>
      <c r="I81" s="101" t="str">
        <f aca="false">IF($B81="","",الموظفون!$Q81)</f>
        <v/>
      </c>
      <c r="J81" s="101" t="str">
        <f aca="false">IF($B81="","",I81*cfg_EOS_R1*MIN(H81,cfg_EOS_TH))</f>
        <v/>
      </c>
      <c r="K81" s="101" t="str">
        <f aca="false">IF($B81="","",I81*cfg_EOS_R2*MAX(H81-cfg_EOS_TH,0))</f>
        <v/>
      </c>
      <c r="L81" s="101" t="str">
        <f aca="false">IF($B81="","",J81+K81)</f>
        <v/>
      </c>
      <c r="M81" s="102" t="str">
        <f aca="false">IF($B81="","",IF(AND(الموظفون!$AE81&lt;&gt;"",الموظفون!$AE81&lt;=cfg_VAL_DATE),IF(الموظفون!$AF81="","⚠ حدد السبب",الموظفون!$AF81),"على رأس العمل"))</f>
        <v/>
      </c>
      <c r="N81" s="111" t="str">
        <f aca="false">IF($B81="","",VLOOKUP(H81,cfg_RES,2,TRUE()))</f>
        <v/>
      </c>
      <c r="O81" s="101" t="str">
        <f aca="false">IF($B81="","",IF(M81="استقالة",L81*N81,L81))</f>
        <v/>
      </c>
      <c r="P81" s="101" t="str">
        <f aca="false">IF($B81="","",I81*(cfg_EOS_R1*MIN((MAX(0,IF(OR(الموظفون!$AE81="",الموظفون!$AE81&gt;=cfg_Y_START),cfg_Y_START-1,الموظفون!$AE81)-D81+1-SUMIFS('سجل الإجازات والحالات'!$R$6:$R$505,'سجل الإجازات والحالات'!$B$6:$B$505,$B81))/cfg_DAYS_Y),cfg_EOS_TH)+cfg_EOS_R2*MAX((MAX(0,IF(OR(الموظفون!$AE81="",الموظفون!$AE81&gt;=cfg_Y_START),cfg_Y_START-1,الموظفون!$AE81)-D81+1-SUMIFS('سجل الإجازات والحالات'!$R$6:$R$505,'سجل الإجازات والحالات'!$B$6:$B$505,$B81))/cfg_DAYS_Y)-cfg_EOS_TH,0)))</f>
        <v/>
      </c>
      <c r="Q81" s="101" t="str">
        <f aca="false">IF($B81="","",O81-P81)</f>
        <v/>
      </c>
      <c r="R81" s="101" t="str">
        <f aca="false">IF($B81="","",SUMIFS('الحركات الشهرية'!$N$6:$N$1005,'الحركات الشهرية'!$B$6:$B$1005,B81,'الحركات الشهرية'!$A$6:$A$1005,"&lt;="&amp;cfg_VAL_M))</f>
        <v/>
      </c>
      <c r="S81" s="151" t="str">
        <f aca="false">IF($B81="","",P81+Q81-R81)</f>
        <v/>
      </c>
      <c r="T81" s="102" t="str">
        <f aca="false">IF($B81="","",IF(S81&lt;-0.01,"✖ صرف أكثر من المستحق",IF(AND(M81&lt;&gt;"على رأس العمل",S81&gt;0.01),"⚠ مستحق لم يُصرف","✔ سليم")))</f>
        <v/>
      </c>
    </row>
    <row r="82" customFormat="false" ht="15" hidden="false" customHeight="false" outlineLevel="0" collapsed="false">
      <c r="B82" s="80" t="str">
        <f aca="false">IF(الموظفون!$B82="","",الموظفون!$B82)</f>
        <v/>
      </c>
      <c r="C82" s="80" t="str">
        <f aca="false">IF($B82="","",الموظفون!$C82)</f>
        <v/>
      </c>
      <c r="D82" s="147" t="str">
        <f aca="false">IF($B82="","",الموظفون!$H82)</f>
        <v/>
      </c>
      <c r="E82" s="147" t="str">
        <f aca="false">IF($B82="","",IF(OR(الموظفون!$AE82="",الموظفون!$AE82&gt;cfg_VAL_DATE),cfg_VAL_DATE,الموظفون!$AE82))</f>
        <v/>
      </c>
      <c r="F82" s="80" t="str">
        <f aca="false">IF($B82="","",IF(E82&lt;D82,"لم يباشر",DATEDIF(D82,E82+1,"y")&amp;" سنة "&amp;DATEDIF(D82,E82+1,"ym")&amp;" شهر "&amp;DATEDIF(D82,E82+1,"md")&amp;" يوم"))</f>
        <v/>
      </c>
      <c r="G82" s="57" t="str">
        <f aca="false">IF($B82="","",SUMIFS('سجل الإجازات والحالات'!$S$6:$S$505,'سجل الإجازات والحالات'!$B$6:$B$505,$B82))</f>
        <v/>
      </c>
      <c r="H82" s="130" t="str">
        <f aca="false">IF($B82="","",MAX(0,E82-D82+1-G82)/cfg_DAYS_Y)</f>
        <v/>
      </c>
      <c r="I82" s="97" t="str">
        <f aca="false">IF($B82="","",الموظفون!$Q82)</f>
        <v/>
      </c>
      <c r="J82" s="97" t="str">
        <f aca="false">IF($B82="","",I82*cfg_EOS_R1*MIN(H82,cfg_EOS_TH))</f>
        <v/>
      </c>
      <c r="K82" s="97" t="str">
        <f aca="false">IF($B82="","",I82*cfg_EOS_R2*MAX(H82-cfg_EOS_TH,0))</f>
        <v/>
      </c>
      <c r="L82" s="97" t="str">
        <f aca="false">IF($B82="","",J82+K82)</f>
        <v/>
      </c>
      <c r="M82" s="80" t="str">
        <f aca="false">IF($B82="","",IF(AND(الموظفون!$AE82&lt;&gt;"",الموظفون!$AE82&lt;=cfg_VAL_DATE),IF(الموظفون!$AF82="","⚠ حدد السبب",الموظفون!$AF82),"على رأس العمل"))</f>
        <v/>
      </c>
      <c r="N82" s="58" t="str">
        <f aca="false">IF($B82="","",VLOOKUP(H82,cfg_RES,2,TRUE()))</f>
        <v/>
      </c>
      <c r="O82" s="97" t="str">
        <f aca="false">IF($B82="","",IF(M82="استقالة",L82*N82,L82))</f>
        <v/>
      </c>
      <c r="P82" s="97" t="str">
        <f aca="false">IF($B82="","",I82*(cfg_EOS_R1*MIN((MAX(0,IF(OR(الموظفون!$AE82="",الموظفون!$AE82&gt;=cfg_Y_START),cfg_Y_START-1,الموظفون!$AE82)-D82+1-SUMIFS('سجل الإجازات والحالات'!$R$6:$R$505,'سجل الإجازات والحالات'!$B$6:$B$505,$B82))/cfg_DAYS_Y),cfg_EOS_TH)+cfg_EOS_R2*MAX((MAX(0,IF(OR(الموظفون!$AE82="",الموظفون!$AE82&gt;=cfg_Y_START),cfg_Y_START-1,الموظفون!$AE82)-D82+1-SUMIFS('سجل الإجازات والحالات'!$R$6:$R$505,'سجل الإجازات والحالات'!$B$6:$B$505,$B82))/cfg_DAYS_Y)-cfg_EOS_TH,0)))</f>
        <v/>
      </c>
      <c r="Q82" s="97" t="str">
        <f aca="false">IF($B82="","",O82-P82)</f>
        <v/>
      </c>
      <c r="R82" s="97" t="str">
        <f aca="false">IF($B82="","",SUMIFS('الحركات الشهرية'!$N$6:$N$1005,'الحركات الشهرية'!$B$6:$B$1005,B82,'الحركات الشهرية'!$A$6:$A$1005,"&lt;="&amp;cfg_VAL_M))</f>
        <v/>
      </c>
      <c r="S82" s="150" t="str">
        <f aca="false">IF($B82="","",P82+Q82-R82)</f>
        <v/>
      </c>
      <c r="T82" s="80" t="str">
        <f aca="false">IF($B82="","",IF(S82&lt;-0.01,"✖ صرف أكثر من المستحق",IF(AND(M82&lt;&gt;"على رأس العمل",S82&gt;0.01),"⚠ مستحق لم يُصرف","✔ سليم")))</f>
        <v/>
      </c>
    </row>
    <row r="83" customFormat="false" ht="15" hidden="false" customHeight="false" outlineLevel="0" collapsed="false">
      <c r="B83" s="102" t="str">
        <f aca="false">IF(الموظفون!$B83="","",الموظفون!$B83)</f>
        <v/>
      </c>
      <c r="C83" s="102" t="str">
        <f aca="false">IF($B83="","",الموظفون!$C83)</f>
        <v/>
      </c>
      <c r="D83" s="148" t="str">
        <f aca="false">IF($B83="","",الموظفون!$H83)</f>
        <v/>
      </c>
      <c r="E83" s="148" t="str">
        <f aca="false">IF($B83="","",IF(OR(الموظفون!$AE83="",الموظفون!$AE83&gt;cfg_VAL_DATE),cfg_VAL_DATE,الموظفون!$AE83))</f>
        <v/>
      </c>
      <c r="F83" s="102" t="str">
        <f aca="false">IF($B83="","",IF(E83&lt;D83,"لم يباشر",DATEDIF(D83,E83+1,"y")&amp;" سنة "&amp;DATEDIF(D83,E83+1,"ym")&amp;" شهر "&amp;DATEDIF(D83,E83+1,"md")&amp;" يوم"))</f>
        <v/>
      </c>
      <c r="G83" s="110" t="str">
        <f aca="false">IF($B83="","",SUMIFS('سجل الإجازات والحالات'!$S$6:$S$505,'سجل الإجازات والحالات'!$B$6:$B$505,$B83))</f>
        <v/>
      </c>
      <c r="H83" s="135" t="str">
        <f aca="false">IF($B83="","",MAX(0,E83-D83+1-G83)/cfg_DAYS_Y)</f>
        <v/>
      </c>
      <c r="I83" s="101" t="str">
        <f aca="false">IF($B83="","",الموظفون!$Q83)</f>
        <v/>
      </c>
      <c r="J83" s="101" t="str">
        <f aca="false">IF($B83="","",I83*cfg_EOS_R1*MIN(H83,cfg_EOS_TH))</f>
        <v/>
      </c>
      <c r="K83" s="101" t="str">
        <f aca="false">IF($B83="","",I83*cfg_EOS_R2*MAX(H83-cfg_EOS_TH,0))</f>
        <v/>
      </c>
      <c r="L83" s="101" t="str">
        <f aca="false">IF($B83="","",J83+K83)</f>
        <v/>
      </c>
      <c r="M83" s="102" t="str">
        <f aca="false">IF($B83="","",IF(AND(الموظفون!$AE83&lt;&gt;"",الموظفون!$AE83&lt;=cfg_VAL_DATE),IF(الموظفون!$AF83="","⚠ حدد السبب",الموظفون!$AF83),"على رأس العمل"))</f>
        <v/>
      </c>
      <c r="N83" s="111" t="str">
        <f aca="false">IF($B83="","",VLOOKUP(H83,cfg_RES,2,TRUE()))</f>
        <v/>
      </c>
      <c r="O83" s="101" t="str">
        <f aca="false">IF($B83="","",IF(M83="استقالة",L83*N83,L83))</f>
        <v/>
      </c>
      <c r="P83" s="101" t="str">
        <f aca="false">IF($B83="","",I83*(cfg_EOS_R1*MIN((MAX(0,IF(OR(الموظفون!$AE83="",الموظفون!$AE83&gt;=cfg_Y_START),cfg_Y_START-1,الموظفون!$AE83)-D83+1-SUMIFS('سجل الإجازات والحالات'!$R$6:$R$505,'سجل الإجازات والحالات'!$B$6:$B$505,$B83))/cfg_DAYS_Y),cfg_EOS_TH)+cfg_EOS_R2*MAX((MAX(0,IF(OR(الموظفون!$AE83="",الموظفون!$AE83&gt;=cfg_Y_START),cfg_Y_START-1,الموظفون!$AE83)-D83+1-SUMIFS('سجل الإجازات والحالات'!$R$6:$R$505,'سجل الإجازات والحالات'!$B$6:$B$505,$B83))/cfg_DAYS_Y)-cfg_EOS_TH,0)))</f>
        <v/>
      </c>
      <c r="Q83" s="101" t="str">
        <f aca="false">IF($B83="","",O83-P83)</f>
        <v/>
      </c>
      <c r="R83" s="101" t="str">
        <f aca="false">IF($B83="","",SUMIFS('الحركات الشهرية'!$N$6:$N$1005,'الحركات الشهرية'!$B$6:$B$1005,B83,'الحركات الشهرية'!$A$6:$A$1005,"&lt;="&amp;cfg_VAL_M))</f>
        <v/>
      </c>
      <c r="S83" s="151" t="str">
        <f aca="false">IF($B83="","",P83+Q83-R83)</f>
        <v/>
      </c>
      <c r="T83" s="102" t="str">
        <f aca="false">IF($B83="","",IF(S83&lt;-0.01,"✖ صرف أكثر من المستحق",IF(AND(M83&lt;&gt;"على رأس العمل",S83&gt;0.01),"⚠ مستحق لم يُصرف","✔ سليم")))</f>
        <v/>
      </c>
    </row>
    <row r="84" customFormat="false" ht="15" hidden="false" customHeight="false" outlineLevel="0" collapsed="false">
      <c r="B84" s="80" t="str">
        <f aca="false">IF(الموظفون!$B84="","",الموظفون!$B84)</f>
        <v/>
      </c>
      <c r="C84" s="80" t="str">
        <f aca="false">IF($B84="","",الموظفون!$C84)</f>
        <v/>
      </c>
      <c r="D84" s="147" t="str">
        <f aca="false">IF($B84="","",الموظفون!$H84)</f>
        <v/>
      </c>
      <c r="E84" s="147" t="str">
        <f aca="false">IF($B84="","",IF(OR(الموظفون!$AE84="",الموظفون!$AE84&gt;cfg_VAL_DATE),cfg_VAL_DATE,الموظفون!$AE84))</f>
        <v/>
      </c>
      <c r="F84" s="80" t="str">
        <f aca="false">IF($B84="","",IF(E84&lt;D84,"لم يباشر",DATEDIF(D84,E84+1,"y")&amp;" سنة "&amp;DATEDIF(D84,E84+1,"ym")&amp;" شهر "&amp;DATEDIF(D84,E84+1,"md")&amp;" يوم"))</f>
        <v/>
      </c>
      <c r="G84" s="57" t="str">
        <f aca="false">IF($B84="","",SUMIFS('سجل الإجازات والحالات'!$S$6:$S$505,'سجل الإجازات والحالات'!$B$6:$B$505,$B84))</f>
        <v/>
      </c>
      <c r="H84" s="130" t="str">
        <f aca="false">IF($B84="","",MAX(0,E84-D84+1-G84)/cfg_DAYS_Y)</f>
        <v/>
      </c>
      <c r="I84" s="97" t="str">
        <f aca="false">IF($B84="","",الموظفون!$Q84)</f>
        <v/>
      </c>
      <c r="J84" s="97" t="str">
        <f aca="false">IF($B84="","",I84*cfg_EOS_R1*MIN(H84,cfg_EOS_TH))</f>
        <v/>
      </c>
      <c r="K84" s="97" t="str">
        <f aca="false">IF($B84="","",I84*cfg_EOS_R2*MAX(H84-cfg_EOS_TH,0))</f>
        <v/>
      </c>
      <c r="L84" s="97" t="str">
        <f aca="false">IF($B84="","",J84+K84)</f>
        <v/>
      </c>
      <c r="M84" s="80" t="str">
        <f aca="false">IF($B84="","",IF(AND(الموظفون!$AE84&lt;&gt;"",الموظفون!$AE84&lt;=cfg_VAL_DATE),IF(الموظفون!$AF84="","⚠ حدد السبب",الموظفون!$AF84),"على رأس العمل"))</f>
        <v/>
      </c>
      <c r="N84" s="58" t="str">
        <f aca="false">IF($B84="","",VLOOKUP(H84,cfg_RES,2,TRUE()))</f>
        <v/>
      </c>
      <c r="O84" s="97" t="str">
        <f aca="false">IF($B84="","",IF(M84="استقالة",L84*N84,L84))</f>
        <v/>
      </c>
      <c r="P84" s="97" t="str">
        <f aca="false">IF($B84="","",I84*(cfg_EOS_R1*MIN((MAX(0,IF(OR(الموظفون!$AE84="",الموظفون!$AE84&gt;=cfg_Y_START),cfg_Y_START-1,الموظفون!$AE84)-D84+1-SUMIFS('سجل الإجازات والحالات'!$R$6:$R$505,'سجل الإجازات والحالات'!$B$6:$B$505,$B84))/cfg_DAYS_Y),cfg_EOS_TH)+cfg_EOS_R2*MAX((MAX(0,IF(OR(الموظفون!$AE84="",الموظفون!$AE84&gt;=cfg_Y_START),cfg_Y_START-1,الموظفون!$AE84)-D84+1-SUMIFS('سجل الإجازات والحالات'!$R$6:$R$505,'سجل الإجازات والحالات'!$B$6:$B$505,$B84))/cfg_DAYS_Y)-cfg_EOS_TH,0)))</f>
        <v/>
      </c>
      <c r="Q84" s="97" t="str">
        <f aca="false">IF($B84="","",O84-P84)</f>
        <v/>
      </c>
      <c r="R84" s="97" t="str">
        <f aca="false">IF($B84="","",SUMIFS('الحركات الشهرية'!$N$6:$N$1005,'الحركات الشهرية'!$B$6:$B$1005,B84,'الحركات الشهرية'!$A$6:$A$1005,"&lt;="&amp;cfg_VAL_M))</f>
        <v/>
      </c>
      <c r="S84" s="150" t="str">
        <f aca="false">IF($B84="","",P84+Q84-R84)</f>
        <v/>
      </c>
      <c r="T84" s="80" t="str">
        <f aca="false">IF($B84="","",IF(S84&lt;-0.01,"✖ صرف أكثر من المستحق",IF(AND(M84&lt;&gt;"على رأس العمل",S84&gt;0.01),"⚠ مستحق لم يُصرف","✔ سليم")))</f>
        <v/>
      </c>
    </row>
    <row r="85" customFormat="false" ht="15" hidden="false" customHeight="false" outlineLevel="0" collapsed="false">
      <c r="B85" s="102" t="str">
        <f aca="false">IF(الموظفون!$B85="","",الموظفون!$B85)</f>
        <v/>
      </c>
      <c r="C85" s="102" t="str">
        <f aca="false">IF($B85="","",الموظفون!$C85)</f>
        <v/>
      </c>
      <c r="D85" s="148" t="str">
        <f aca="false">IF($B85="","",الموظفون!$H85)</f>
        <v/>
      </c>
      <c r="E85" s="148" t="str">
        <f aca="false">IF($B85="","",IF(OR(الموظفون!$AE85="",الموظفون!$AE85&gt;cfg_VAL_DATE),cfg_VAL_DATE,الموظفون!$AE85))</f>
        <v/>
      </c>
      <c r="F85" s="102" t="str">
        <f aca="false">IF($B85="","",IF(E85&lt;D85,"لم يباشر",DATEDIF(D85,E85+1,"y")&amp;" سنة "&amp;DATEDIF(D85,E85+1,"ym")&amp;" شهر "&amp;DATEDIF(D85,E85+1,"md")&amp;" يوم"))</f>
        <v/>
      </c>
      <c r="G85" s="110" t="str">
        <f aca="false">IF($B85="","",SUMIFS('سجل الإجازات والحالات'!$S$6:$S$505,'سجل الإجازات والحالات'!$B$6:$B$505,$B85))</f>
        <v/>
      </c>
      <c r="H85" s="135" t="str">
        <f aca="false">IF($B85="","",MAX(0,E85-D85+1-G85)/cfg_DAYS_Y)</f>
        <v/>
      </c>
      <c r="I85" s="101" t="str">
        <f aca="false">IF($B85="","",الموظفون!$Q85)</f>
        <v/>
      </c>
      <c r="J85" s="101" t="str">
        <f aca="false">IF($B85="","",I85*cfg_EOS_R1*MIN(H85,cfg_EOS_TH))</f>
        <v/>
      </c>
      <c r="K85" s="101" t="str">
        <f aca="false">IF($B85="","",I85*cfg_EOS_R2*MAX(H85-cfg_EOS_TH,0))</f>
        <v/>
      </c>
      <c r="L85" s="101" t="str">
        <f aca="false">IF($B85="","",J85+K85)</f>
        <v/>
      </c>
      <c r="M85" s="102" t="str">
        <f aca="false">IF($B85="","",IF(AND(الموظفون!$AE85&lt;&gt;"",الموظفون!$AE85&lt;=cfg_VAL_DATE),IF(الموظفون!$AF85="","⚠ حدد السبب",الموظفون!$AF85),"على رأس العمل"))</f>
        <v/>
      </c>
      <c r="N85" s="111" t="str">
        <f aca="false">IF($B85="","",VLOOKUP(H85,cfg_RES,2,TRUE()))</f>
        <v/>
      </c>
      <c r="O85" s="101" t="str">
        <f aca="false">IF($B85="","",IF(M85="استقالة",L85*N85,L85))</f>
        <v/>
      </c>
      <c r="P85" s="101" t="str">
        <f aca="false">IF($B85="","",I85*(cfg_EOS_R1*MIN((MAX(0,IF(OR(الموظفون!$AE85="",الموظفون!$AE85&gt;=cfg_Y_START),cfg_Y_START-1,الموظفون!$AE85)-D85+1-SUMIFS('سجل الإجازات والحالات'!$R$6:$R$505,'سجل الإجازات والحالات'!$B$6:$B$505,$B85))/cfg_DAYS_Y),cfg_EOS_TH)+cfg_EOS_R2*MAX((MAX(0,IF(OR(الموظفون!$AE85="",الموظفون!$AE85&gt;=cfg_Y_START),cfg_Y_START-1,الموظفون!$AE85)-D85+1-SUMIFS('سجل الإجازات والحالات'!$R$6:$R$505,'سجل الإجازات والحالات'!$B$6:$B$505,$B85))/cfg_DAYS_Y)-cfg_EOS_TH,0)))</f>
        <v/>
      </c>
      <c r="Q85" s="101" t="str">
        <f aca="false">IF($B85="","",O85-P85)</f>
        <v/>
      </c>
      <c r="R85" s="101" t="str">
        <f aca="false">IF($B85="","",SUMIFS('الحركات الشهرية'!$N$6:$N$1005,'الحركات الشهرية'!$B$6:$B$1005,B85,'الحركات الشهرية'!$A$6:$A$1005,"&lt;="&amp;cfg_VAL_M))</f>
        <v/>
      </c>
      <c r="S85" s="151" t="str">
        <f aca="false">IF($B85="","",P85+Q85-R85)</f>
        <v/>
      </c>
      <c r="T85" s="102" t="str">
        <f aca="false">IF($B85="","",IF(S85&lt;-0.01,"✖ صرف أكثر من المستحق",IF(AND(M85&lt;&gt;"على رأس العمل",S85&gt;0.01),"⚠ مستحق لم يُصرف","✔ سليم")))</f>
        <v/>
      </c>
    </row>
    <row r="86" customFormat="false" ht="15" hidden="false" customHeight="false" outlineLevel="0" collapsed="false">
      <c r="B86" s="80" t="str">
        <f aca="false">IF(الموظفون!$B86="","",الموظفون!$B86)</f>
        <v/>
      </c>
      <c r="C86" s="80" t="str">
        <f aca="false">IF($B86="","",الموظفون!$C86)</f>
        <v/>
      </c>
      <c r="D86" s="147" t="str">
        <f aca="false">IF($B86="","",الموظفون!$H86)</f>
        <v/>
      </c>
      <c r="E86" s="147" t="str">
        <f aca="false">IF($B86="","",IF(OR(الموظفون!$AE86="",الموظفون!$AE86&gt;cfg_VAL_DATE),cfg_VAL_DATE,الموظفون!$AE86))</f>
        <v/>
      </c>
      <c r="F86" s="80" t="str">
        <f aca="false">IF($B86="","",IF(E86&lt;D86,"لم يباشر",DATEDIF(D86,E86+1,"y")&amp;" سنة "&amp;DATEDIF(D86,E86+1,"ym")&amp;" شهر "&amp;DATEDIF(D86,E86+1,"md")&amp;" يوم"))</f>
        <v/>
      </c>
      <c r="G86" s="57" t="str">
        <f aca="false">IF($B86="","",SUMIFS('سجل الإجازات والحالات'!$S$6:$S$505,'سجل الإجازات والحالات'!$B$6:$B$505,$B86))</f>
        <v/>
      </c>
      <c r="H86" s="130" t="str">
        <f aca="false">IF($B86="","",MAX(0,E86-D86+1-G86)/cfg_DAYS_Y)</f>
        <v/>
      </c>
      <c r="I86" s="97" t="str">
        <f aca="false">IF($B86="","",الموظفون!$Q86)</f>
        <v/>
      </c>
      <c r="J86" s="97" t="str">
        <f aca="false">IF($B86="","",I86*cfg_EOS_R1*MIN(H86,cfg_EOS_TH))</f>
        <v/>
      </c>
      <c r="K86" s="97" t="str">
        <f aca="false">IF($B86="","",I86*cfg_EOS_R2*MAX(H86-cfg_EOS_TH,0))</f>
        <v/>
      </c>
      <c r="L86" s="97" t="str">
        <f aca="false">IF($B86="","",J86+K86)</f>
        <v/>
      </c>
      <c r="M86" s="80" t="str">
        <f aca="false">IF($B86="","",IF(AND(الموظفون!$AE86&lt;&gt;"",الموظفون!$AE86&lt;=cfg_VAL_DATE),IF(الموظفون!$AF86="","⚠ حدد السبب",الموظفون!$AF86),"على رأس العمل"))</f>
        <v/>
      </c>
      <c r="N86" s="58" t="str">
        <f aca="false">IF($B86="","",VLOOKUP(H86,cfg_RES,2,TRUE()))</f>
        <v/>
      </c>
      <c r="O86" s="97" t="str">
        <f aca="false">IF($B86="","",IF(M86="استقالة",L86*N86,L86))</f>
        <v/>
      </c>
      <c r="P86" s="97" t="str">
        <f aca="false">IF($B86="","",I86*(cfg_EOS_R1*MIN((MAX(0,IF(OR(الموظفون!$AE86="",الموظفون!$AE86&gt;=cfg_Y_START),cfg_Y_START-1,الموظفون!$AE86)-D86+1-SUMIFS('سجل الإجازات والحالات'!$R$6:$R$505,'سجل الإجازات والحالات'!$B$6:$B$505,$B86))/cfg_DAYS_Y),cfg_EOS_TH)+cfg_EOS_R2*MAX((MAX(0,IF(OR(الموظفون!$AE86="",الموظفون!$AE86&gt;=cfg_Y_START),cfg_Y_START-1,الموظفون!$AE86)-D86+1-SUMIFS('سجل الإجازات والحالات'!$R$6:$R$505,'سجل الإجازات والحالات'!$B$6:$B$505,$B86))/cfg_DAYS_Y)-cfg_EOS_TH,0)))</f>
        <v/>
      </c>
      <c r="Q86" s="97" t="str">
        <f aca="false">IF($B86="","",O86-P86)</f>
        <v/>
      </c>
      <c r="R86" s="97" t="str">
        <f aca="false">IF($B86="","",SUMIFS('الحركات الشهرية'!$N$6:$N$1005,'الحركات الشهرية'!$B$6:$B$1005,B86,'الحركات الشهرية'!$A$6:$A$1005,"&lt;="&amp;cfg_VAL_M))</f>
        <v/>
      </c>
      <c r="S86" s="150" t="str">
        <f aca="false">IF($B86="","",P86+Q86-R86)</f>
        <v/>
      </c>
      <c r="T86" s="80" t="str">
        <f aca="false">IF($B86="","",IF(S86&lt;-0.01,"✖ صرف أكثر من المستحق",IF(AND(M86&lt;&gt;"على رأس العمل",S86&gt;0.01),"⚠ مستحق لم يُصرف","✔ سليم")))</f>
        <v/>
      </c>
    </row>
    <row r="87" customFormat="false" ht="15" hidden="false" customHeight="false" outlineLevel="0" collapsed="false">
      <c r="B87" s="102" t="str">
        <f aca="false">IF(الموظفون!$B87="","",الموظفون!$B87)</f>
        <v/>
      </c>
      <c r="C87" s="102" t="str">
        <f aca="false">IF($B87="","",الموظفون!$C87)</f>
        <v/>
      </c>
      <c r="D87" s="148" t="str">
        <f aca="false">IF($B87="","",الموظفون!$H87)</f>
        <v/>
      </c>
      <c r="E87" s="148" t="str">
        <f aca="false">IF($B87="","",IF(OR(الموظفون!$AE87="",الموظفون!$AE87&gt;cfg_VAL_DATE),cfg_VAL_DATE,الموظفون!$AE87))</f>
        <v/>
      </c>
      <c r="F87" s="102" t="str">
        <f aca="false">IF($B87="","",IF(E87&lt;D87,"لم يباشر",DATEDIF(D87,E87+1,"y")&amp;" سنة "&amp;DATEDIF(D87,E87+1,"ym")&amp;" شهر "&amp;DATEDIF(D87,E87+1,"md")&amp;" يوم"))</f>
        <v/>
      </c>
      <c r="G87" s="110" t="str">
        <f aca="false">IF($B87="","",SUMIFS('سجل الإجازات والحالات'!$S$6:$S$505,'سجل الإجازات والحالات'!$B$6:$B$505,$B87))</f>
        <v/>
      </c>
      <c r="H87" s="135" t="str">
        <f aca="false">IF($B87="","",MAX(0,E87-D87+1-G87)/cfg_DAYS_Y)</f>
        <v/>
      </c>
      <c r="I87" s="101" t="str">
        <f aca="false">IF($B87="","",الموظفون!$Q87)</f>
        <v/>
      </c>
      <c r="J87" s="101" t="str">
        <f aca="false">IF($B87="","",I87*cfg_EOS_R1*MIN(H87,cfg_EOS_TH))</f>
        <v/>
      </c>
      <c r="K87" s="101" t="str">
        <f aca="false">IF($B87="","",I87*cfg_EOS_R2*MAX(H87-cfg_EOS_TH,0))</f>
        <v/>
      </c>
      <c r="L87" s="101" t="str">
        <f aca="false">IF($B87="","",J87+K87)</f>
        <v/>
      </c>
      <c r="M87" s="102" t="str">
        <f aca="false">IF($B87="","",IF(AND(الموظفون!$AE87&lt;&gt;"",الموظفون!$AE87&lt;=cfg_VAL_DATE),IF(الموظفون!$AF87="","⚠ حدد السبب",الموظفون!$AF87),"على رأس العمل"))</f>
        <v/>
      </c>
      <c r="N87" s="111" t="str">
        <f aca="false">IF($B87="","",VLOOKUP(H87,cfg_RES,2,TRUE()))</f>
        <v/>
      </c>
      <c r="O87" s="101" t="str">
        <f aca="false">IF($B87="","",IF(M87="استقالة",L87*N87,L87))</f>
        <v/>
      </c>
      <c r="P87" s="101" t="str">
        <f aca="false">IF($B87="","",I87*(cfg_EOS_R1*MIN((MAX(0,IF(OR(الموظفون!$AE87="",الموظفون!$AE87&gt;=cfg_Y_START),cfg_Y_START-1,الموظفون!$AE87)-D87+1-SUMIFS('سجل الإجازات والحالات'!$R$6:$R$505,'سجل الإجازات والحالات'!$B$6:$B$505,$B87))/cfg_DAYS_Y),cfg_EOS_TH)+cfg_EOS_R2*MAX((MAX(0,IF(OR(الموظفون!$AE87="",الموظفون!$AE87&gt;=cfg_Y_START),cfg_Y_START-1,الموظفون!$AE87)-D87+1-SUMIFS('سجل الإجازات والحالات'!$R$6:$R$505,'سجل الإجازات والحالات'!$B$6:$B$505,$B87))/cfg_DAYS_Y)-cfg_EOS_TH,0)))</f>
        <v/>
      </c>
      <c r="Q87" s="101" t="str">
        <f aca="false">IF($B87="","",O87-P87)</f>
        <v/>
      </c>
      <c r="R87" s="101" t="str">
        <f aca="false">IF($B87="","",SUMIFS('الحركات الشهرية'!$N$6:$N$1005,'الحركات الشهرية'!$B$6:$B$1005,B87,'الحركات الشهرية'!$A$6:$A$1005,"&lt;="&amp;cfg_VAL_M))</f>
        <v/>
      </c>
      <c r="S87" s="151" t="str">
        <f aca="false">IF($B87="","",P87+Q87-R87)</f>
        <v/>
      </c>
      <c r="T87" s="102" t="str">
        <f aca="false">IF($B87="","",IF(S87&lt;-0.01,"✖ صرف أكثر من المستحق",IF(AND(M87&lt;&gt;"على رأس العمل",S87&gt;0.01),"⚠ مستحق لم يُصرف","✔ سليم")))</f>
        <v/>
      </c>
    </row>
    <row r="88" customFormat="false" ht="15" hidden="false" customHeight="false" outlineLevel="0" collapsed="false">
      <c r="B88" s="80" t="str">
        <f aca="false">IF(الموظفون!$B88="","",الموظفون!$B88)</f>
        <v/>
      </c>
      <c r="C88" s="80" t="str">
        <f aca="false">IF($B88="","",الموظفون!$C88)</f>
        <v/>
      </c>
      <c r="D88" s="147" t="str">
        <f aca="false">IF($B88="","",الموظفون!$H88)</f>
        <v/>
      </c>
      <c r="E88" s="147" t="str">
        <f aca="false">IF($B88="","",IF(OR(الموظفون!$AE88="",الموظفون!$AE88&gt;cfg_VAL_DATE),cfg_VAL_DATE,الموظفون!$AE88))</f>
        <v/>
      </c>
      <c r="F88" s="80" t="str">
        <f aca="false">IF($B88="","",IF(E88&lt;D88,"لم يباشر",DATEDIF(D88,E88+1,"y")&amp;" سنة "&amp;DATEDIF(D88,E88+1,"ym")&amp;" شهر "&amp;DATEDIF(D88,E88+1,"md")&amp;" يوم"))</f>
        <v/>
      </c>
      <c r="G88" s="57" t="str">
        <f aca="false">IF($B88="","",SUMIFS('سجل الإجازات والحالات'!$S$6:$S$505,'سجل الإجازات والحالات'!$B$6:$B$505,$B88))</f>
        <v/>
      </c>
      <c r="H88" s="130" t="str">
        <f aca="false">IF($B88="","",MAX(0,E88-D88+1-G88)/cfg_DAYS_Y)</f>
        <v/>
      </c>
      <c r="I88" s="97" t="str">
        <f aca="false">IF($B88="","",الموظفون!$Q88)</f>
        <v/>
      </c>
      <c r="J88" s="97" t="str">
        <f aca="false">IF($B88="","",I88*cfg_EOS_R1*MIN(H88,cfg_EOS_TH))</f>
        <v/>
      </c>
      <c r="K88" s="97" t="str">
        <f aca="false">IF($B88="","",I88*cfg_EOS_R2*MAX(H88-cfg_EOS_TH,0))</f>
        <v/>
      </c>
      <c r="L88" s="97" t="str">
        <f aca="false">IF($B88="","",J88+K88)</f>
        <v/>
      </c>
      <c r="M88" s="80" t="str">
        <f aca="false">IF($B88="","",IF(AND(الموظفون!$AE88&lt;&gt;"",الموظفون!$AE88&lt;=cfg_VAL_DATE),IF(الموظفون!$AF88="","⚠ حدد السبب",الموظفون!$AF88),"على رأس العمل"))</f>
        <v/>
      </c>
      <c r="N88" s="58" t="str">
        <f aca="false">IF($B88="","",VLOOKUP(H88,cfg_RES,2,TRUE()))</f>
        <v/>
      </c>
      <c r="O88" s="97" t="str">
        <f aca="false">IF($B88="","",IF(M88="استقالة",L88*N88,L88))</f>
        <v/>
      </c>
      <c r="P88" s="97" t="str">
        <f aca="false">IF($B88="","",I88*(cfg_EOS_R1*MIN((MAX(0,IF(OR(الموظفون!$AE88="",الموظفون!$AE88&gt;=cfg_Y_START),cfg_Y_START-1,الموظفون!$AE88)-D88+1-SUMIFS('سجل الإجازات والحالات'!$R$6:$R$505,'سجل الإجازات والحالات'!$B$6:$B$505,$B88))/cfg_DAYS_Y),cfg_EOS_TH)+cfg_EOS_R2*MAX((MAX(0,IF(OR(الموظفون!$AE88="",الموظفون!$AE88&gt;=cfg_Y_START),cfg_Y_START-1,الموظفون!$AE88)-D88+1-SUMIFS('سجل الإجازات والحالات'!$R$6:$R$505,'سجل الإجازات والحالات'!$B$6:$B$505,$B88))/cfg_DAYS_Y)-cfg_EOS_TH,0)))</f>
        <v/>
      </c>
      <c r="Q88" s="97" t="str">
        <f aca="false">IF($B88="","",O88-P88)</f>
        <v/>
      </c>
      <c r="R88" s="97" t="str">
        <f aca="false">IF($B88="","",SUMIFS('الحركات الشهرية'!$N$6:$N$1005,'الحركات الشهرية'!$B$6:$B$1005,B88,'الحركات الشهرية'!$A$6:$A$1005,"&lt;="&amp;cfg_VAL_M))</f>
        <v/>
      </c>
      <c r="S88" s="150" t="str">
        <f aca="false">IF($B88="","",P88+Q88-R88)</f>
        <v/>
      </c>
      <c r="T88" s="80" t="str">
        <f aca="false">IF($B88="","",IF(S88&lt;-0.01,"✖ صرف أكثر من المستحق",IF(AND(M88&lt;&gt;"على رأس العمل",S88&gt;0.01),"⚠ مستحق لم يُصرف","✔ سليم")))</f>
        <v/>
      </c>
    </row>
    <row r="89" customFormat="false" ht="15" hidden="false" customHeight="false" outlineLevel="0" collapsed="false">
      <c r="B89" s="102" t="str">
        <f aca="false">IF(الموظفون!$B89="","",الموظفون!$B89)</f>
        <v/>
      </c>
      <c r="C89" s="102" t="str">
        <f aca="false">IF($B89="","",الموظفون!$C89)</f>
        <v/>
      </c>
      <c r="D89" s="148" t="str">
        <f aca="false">IF($B89="","",الموظفون!$H89)</f>
        <v/>
      </c>
      <c r="E89" s="148" t="str">
        <f aca="false">IF($B89="","",IF(OR(الموظفون!$AE89="",الموظفون!$AE89&gt;cfg_VAL_DATE),cfg_VAL_DATE,الموظفون!$AE89))</f>
        <v/>
      </c>
      <c r="F89" s="102" t="str">
        <f aca="false">IF($B89="","",IF(E89&lt;D89,"لم يباشر",DATEDIF(D89,E89+1,"y")&amp;" سنة "&amp;DATEDIF(D89,E89+1,"ym")&amp;" شهر "&amp;DATEDIF(D89,E89+1,"md")&amp;" يوم"))</f>
        <v/>
      </c>
      <c r="G89" s="110" t="str">
        <f aca="false">IF($B89="","",SUMIFS('سجل الإجازات والحالات'!$S$6:$S$505,'سجل الإجازات والحالات'!$B$6:$B$505,$B89))</f>
        <v/>
      </c>
      <c r="H89" s="135" t="str">
        <f aca="false">IF($B89="","",MAX(0,E89-D89+1-G89)/cfg_DAYS_Y)</f>
        <v/>
      </c>
      <c r="I89" s="101" t="str">
        <f aca="false">IF($B89="","",الموظفون!$Q89)</f>
        <v/>
      </c>
      <c r="J89" s="101" t="str">
        <f aca="false">IF($B89="","",I89*cfg_EOS_R1*MIN(H89,cfg_EOS_TH))</f>
        <v/>
      </c>
      <c r="K89" s="101" t="str">
        <f aca="false">IF($B89="","",I89*cfg_EOS_R2*MAX(H89-cfg_EOS_TH,0))</f>
        <v/>
      </c>
      <c r="L89" s="101" t="str">
        <f aca="false">IF($B89="","",J89+K89)</f>
        <v/>
      </c>
      <c r="M89" s="102" t="str">
        <f aca="false">IF($B89="","",IF(AND(الموظفون!$AE89&lt;&gt;"",الموظفون!$AE89&lt;=cfg_VAL_DATE),IF(الموظفون!$AF89="","⚠ حدد السبب",الموظفون!$AF89),"على رأس العمل"))</f>
        <v/>
      </c>
      <c r="N89" s="111" t="str">
        <f aca="false">IF($B89="","",VLOOKUP(H89,cfg_RES,2,TRUE()))</f>
        <v/>
      </c>
      <c r="O89" s="101" t="str">
        <f aca="false">IF($B89="","",IF(M89="استقالة",L89*N89,L89))</f>
        <v/>
      </c>
      <c r="P89" s="101" t="str">
        <f aca="false">IF($B89="","",I89*(cfg_EOS_R1*MIN((MAX(0,IF(OR(الموظفون!$AE89="",الموظفون!$AE89&gt;=cfg_Y_START),cfg_Y_START-1,الموظفون!$AE89)-D89+1-SUMIFS('سجل الإجازات والحالات'!$R$6:$R$505,'سجل الإجازات والحالات'!$B$6:$B$505,$B89))/cfg_DAYS_Y),cfg_EOS_TH)+cfg_EOS_R2*MAX((MAX(0,IF(OR(الموظفون!$AE89="",الموظفون!$AE89&gt;=cfg_Y_START),cfg_Y_START-1,الموظفون!$AE89)-D89+1-SUMIFS('سجل الإجازات والحالات'!$R$6:$R$505,'سجل الإجازات والحالات'!$B$6:$B$505,$B89))/cfg_DAYS_Y)-cfg_EOS_TH,0)))</f>
        <v/>
      </c>
      <c r="Q89" s="101" t="str">
        <f aca="false">IF($B89="","",O89-P89)</f>
        <v/>
      </c>
      <c r="R89" s="101" t="str">
        <f aca="false">IF($B89="","",SUMIFS('الحركات الشهرية'!$N$6:$N$1005,'الحركات الشهرية'!$B$6:$B$1005,B89,'الحركات الشهرية'!$A$6:$A$1005,"&lt;="&amp;cfg_VAL_M))</f>
        <v/>
      </c>
      <c r="S89" s="151" t="str">
        <f aca="false">IF($B89="","",P89+Q89-R89)</f>
        <v/>
      </c>
      <c r="T89" s="102" t="str">
        <f aca="false">IF($B89="","",IF(S89&lt;-0.01,"✖ صرف أكثر من المستحق",IF(AND(M89&lt;&gt;"على رأس العمل",S89&gt;0.01),"⚠ مستحق لم يُصرف","✔ سليم")))</f>
        <v/>
      </c>
    </row>
    <row r="90" customFormat="false" ht="15" hidden="false" customHeight="false" outlineLevel="0" collapsed="false">
      <c r="B90" s="80" t="str">
        <f aca="false">IF(الموظفون!$B90="","",الموظفون!$B90)</f>
        <v/>
      </c>
      <c r="C90" s="80" t="str">
        <f aca="false">IF($B90="","",الموظفون!$C90)</f>
        <v/>
      </c>
      <c r="D90" s="147" t="str">
        <f aca="false">IF($B90="","",الموظفون!$H90)</f>
        <v/>
      </c>
      <c r="E90" s="147" t="str">
        <f aca="false">IF($B90="","",IF(OR(الموظفون!$AE90="",الموظفون!$AE90&gt;cfg_VAL_DATE),cfg_VAL_DATE,الموظفون!$AE90))</f>
        <v/>
      </c>
      <c r="F90" s="80" t="str">
        <f aca="false">IF($B90="","",IF(E90&lt;D90,"لم يباشر",DATEDIF(D90,E90+1,"y")&amp;" سنة "&amp;DATEDIF(D90,E90+1,"ym")&amp;" شهر "&amp;DATEDIF(D90,E90+1,"md")&amp;" يوم"))</f>
        <v/>
      </c>
      <c r="G90" s="57" t="str">
        <f aca="false">IF($B90="","",SUMIFS('سجل الإجازات والحالات'!$S$6:$S$505,'سجل الإجازات والحالات'!$B$6:$B$505,$B90))</f>
        <v/>
      </c>
      <c r="H90" s="130" t="str">
        <f aca="false">IF($B90="","",MAX(0,E90-D90+1-G90)/cfg_DAYS_Y)</f>
        <v/>
      </c>
      <c r="I90" s="97" t="str">
        <f aca="false">IF($B90="","",الموظفون!$Q90)</f>
        <v/>
      </c>
      <c r="J90" s="97" t="str">
        <f aca="false">IF($B90="","",I90*cfg_EOS_R1*MIN(H90,cfg_EOS_TH))</f>
        <v/>
      </c>
      <c r="K90" s="97" t="str">
        <f aca="false">IF($B90="","",I90*cfg_EOS_R2*MAX(H90-cfg_EOS_TH,0))</f>
        <v/>
      </c>
      <c r="L90" s="97" t="str">
        <f aca="false">IF($B90="","",J90+K90)</f>
        <v/>
      </c>
      <c r="M90" s="80" t="str">
        <f aca="false">IF($B90="","",IF(AND(الموظفون!$AE90&lt;&gt;"",الموظفون!$AE90&lt;=cfg_VAL_DATE),IF(الموظفون!$AF90="","⚠ حدد السبب",الموظفون!$AF90),"على رأس العمل"))</f>
        <v/>
      </c>
      <c r="N90" s="58" t="str">
        <f aca="false">IF($B90="","",VLOOKUP(H90,cfg_RES,2,TRUE()))</f>
        <v/>
      </c>
      <c r="O90" s="97" t="str">
        <f aca="false">IF($B90="","",IF(M90="استقالة",L90*N90,L90))</f>
        <v/>
      </c>
      <c r="P90" s="97" t="str">
        <f aca="false">IF($B90="","",I90*(cfg_EOS_R1*MIN((MAX(0,IF(OR(الموظفون!$AE90="",الموظفون!$AE90&gt;=cfg_Y_START),cfg_Y_START-1,الموظفون!$AE90)-D90+1-SUMIFS('سجل الإجازات والحالات'!$R$6:$R$505,'سجل الإجازات والحالات'!$B$6:$B$505,$B90))/cfg_DAYS_Y),cfg_EOS_TH)+cfg_EOS_R2*MAX((MAX(0,IF(OR(الموظفون!$AE90="",الموظفون!$AE90&gt;=cfg_Y_START),cfg_Y_START-1,الموظفون!$AE90)-D90+1-SUMIFS('سجل الإجازات والحالات'!$R$6:$R$505,'سجل الإجازات والحالات'!$B$6:$B$505,$B90))/cfg_DAYS_Y)-cfg_EOS_TH,0)))</f>
        <v/>
      </c>
      <c r="Q90" s="97" t="str">
        <f aca="false">IF($B90="","",O90-P90)</f>
        <v/>
      </c>
      <c r="R90" s="97" t="str">
        <f aca="false">IF($B90="","",SUMIFS('الحركات الشهرية'!$N$6:$N$1005,'الحركات الشهرية'!$B$6:$B$1005,B90,'الحركات الشهرية'!$A$6:$A$1005,"&lt;="&amp;cfg_VAL_M))</f>
        <v/>
      </c>
      <c r="S90" s="150" t="str">
        <f aca="false">IF($B90="","",P90+Q90-R90)</f>
        <v/>
      </c>
      <c r="T90" s="80" t="str">
        <f aca="false">IF($B90="","",IF(S90&lt;-0.01,"✖ صرف أكثر من المستحق",IF(AND(M90&lt;&gt;"على رأس العمل",S90&gt;0.01),"⚠ مستحق لم يُصرف","✔ سليم")))</f>
        <v/>
      </c>
    </row>
    <row r="91" customFormat="false" ht="15" hidden="false" customHeight="false" outlineLevel="0" collapsed="false">
      <c r="B91" s="102" t="str">
        <f aca="false">IF(الموظفون!$B91="","",الموظفون!$B91)</f>
        <v/>
      </c>
      <c r="C91" s="102" t="str">
        <f aca="false">IF($B91="","",الموظفون!$C91)</f>
        <v/>
      </c>
      <c r="D91" s="148" t="str">
        <f aca="false">IF($B91="","",الموظفون!$H91)</f>
        <v/>
      </c>
      <c r="E91" s="148" t="str">
        <f aca="false">IF($B91="","",IF(OR(الموظفون!$AE91="",الموظفون!$AE91&gt;cfg_VAL_DATE),cfg_VAL_DATE,الموظفون!$AE91))</f>
        <v/>
      </c>
      <c r="F91" s="102" t="str">
        <f aca="false">IF($B91="","",IF(E91&lt;D91,"لم يباشر",DATEDIF(D91,E91+1,"y")&amp;" سنة "&amp;DATEDIF(D91,E91+1,"ym")&amp;" شهر "&amp;DATEDIF(D91,E91+1,"md")&amp;" يوم"))</f>
        <v/>
      </c>
      <c r="G91" s="110" t="str">
        <f aca="false">IF($B91="","",SUMIFS('سجل الإجازات والحالات'!$S$6:$S$505,'سجل الإجازات والحالات'!$B$6:$B$505,$B91))</f>
        <v/>
      </c>
      <c r="H91" s="135" t="str">
        <f aca="false">IF($B91="","",MAX(0,E91-D91+1-G91)/cfg_DAYS_Y)</f>
        <v/>
      </c>
      <c r="I91" s="101" t="str">
        <f aca="false">IF($B91="","",الموظفون!$Q91)</f>
        <v/>
      </c>
      <c r="J91" s="101" t="str">
        <f aca="false">IF($B91="","",I91*cfg_EOS_R1*MIN(H91,cfg_EOS_TH))</f>
        <v/>
      </c>
      <c r="K91" s="101" t="str">
        <f aca="false">IF($B91="","",I91*cfg_EOS_R2*MAX(H91-cfg_EOS_TH,0))</f>
        <v/>
      </c>
      <c r="L91" s="101" t="str">
        <f aca="false">IF($B91="","",J91+K91)</f>
        <v/>
      </c>
      <c r="M91" s="102" t="str">
        <f aca="false">IF($B91="","",IF(AND(الموظفون!$AE91&lt;&gt;"",الموظفون!$AE91&lt;=cfg_VAL_DATE),IF(الموظفون!$AF91="","⚠ حدد السبب",الموظفون!$AF91),"على رأس العمل"))</f>
        <v/>
      </c>
      <c r="N91" s="111" t="str">
        <f aca="false">IF($B91="","",VLOOKUP(H91,cfg_RES,2,TRUE()))</f>
        <v/>
      </c>
      <c r="O91" s="101" t="str">
        <f aca="false">IF($B91="","",IF(M91="استقالة",L91*N91,L91))</f>
        <v/>
      </c>
      <c r="P91" s="101" t="str">
        <f aca="false">IF($B91="","",I91*(cfg_EOS_R1*MIN((MAX(0,IF(OR(الموظفون!$AE91="",الموظفون!$AE91&gt;=cfg_Y_START),cfg_Y_START-1,الموظفون!$AE91)-D91+1-SUMIFS('سجل الإجازات والحالات'!$R$6:$R$505,'سجل الإجازات والحالات'!$B$6:$B$505,$B91))/cfg_DAYS_Y),cfg_EOS_TH)+cfg_EOS_R2*MAX((MAX(0,IF(OR(الموظفون!$AE91="",الموظفون!$AE91&gt;=cfg_Y_START),cfg_Y_START-1,الموظفون!$AE91)-D91+1-SUMIFS('سجل الإجازات والحالات'!$R$6:$R$505,'سجل الإجازات والحالات'!$B$6:$B$505,$B91))/cfg_DAYS_Y)-cfg_EOS_TH,0)))</f>
        <v/>
      </c>
      <c r="Q91" s="101" t="str">
        <f aca="false">IF($B91="","",O91-P91)</f>
        <v/>
      </c>
      <c r="R91" s="101" t="str">
        <f aca="false">IF($B91="","",SUMIFS('الحركات الشهرية'!$N$6:$N$1005,'الحركات الشهرية'!$B$6:$B$1005,B91,'الحركات الشهرية'!$A$6:$A$1005,"&lt;="&amp;cfg_VAL_M))</f>
        <v/>
      </c>
      <c r="S91" s="151" t="str">
        <f aca="false">IF($B91="","",P91+Q91-R91)</f>
        <v/>
      </c>
      <c r="T91" s="102" t="str">
        <f aca="false">IF($B91="","",IF(S91&lt;-0.01,"✖ صرف أكثر من المستحق",IF(AND(M91&lt;&gt;"على رأس العمل",S91&gt;0.01),"⚠ مستحق لم يُصرف","✔ سليم")))</f>
        <v/>
      </c>
    </row>
    <row r="92" customFormat="false" ht="15" hidden="false" customHeight="false" outlineLevel="0" collapsed="false">
      <c r="B92" s="80" t="str">
        <f aca="false">IF(الموظفون!$B92="","",الموظفون!$B92)</f>
        <v/>
      </c>
      <c r="C92" s="80" t="str">
        <f aca="false">IF($B92="","",الموظفون!$C92)</f>
        <v/>
      </c>
      <c r="D92" s="147" t="str">
        <f aca="false">IF($B92="","",الموظفون!$H92)</f>
        <v/>
      </c>
      <c r="E92" s="147" t="str">
        <f aca="false">IF($B92="","",IF(OR(الموظفون!$AE92="",الموظفون!$AE92&gt;cfg_VAL_DATE),cfg_VAL_DATE,الموظفون!$AE92))</f>
        <v/>
      </c>
      <c r="F92" s="80" t="str">
        <f aca="false">IF($B92="","",IF(E92&lt;D92,"لم يباشر",DATEDIF(D92,E92+1,"y")&amp;" سنة "&amp;DATEDIF(D92,E92+1,"ym")&amp;" شهر "&amp;DATEDIF(D92,E92+1,"md")&amp;" يوم"))</f>
        <v/>
      </c>
      <c r="G92" s="57" t="str">
        <f aca="false">IF($B92="","",SUMIFS('سجل الإجازات والحالات'!$S$6:$S$505,'سجل الإجازات والحالات'!$B$6:$B$505,$B92))</f>
        <v/>
      </c>
      <c r="H92" s="130" t="str">
        <f aca="false">IF($B92="","",MAX(0,E92-D92+1-G92)/cfg_DAYS_Y)</f>
        <v/>
      </c>
      <c r="I92" s="97" t="str">
        <f aca="false">IF($B92="","",الموظفون!$Q92)</f>
        <v/>
      </c>
      <c r="J92" s="97" t="str">
        <f aca="false">IF($B92="","",I92*cfg_EOS_R1*MIN(H92,cfg_EOS_TH))</f>
        <v/>
      </c>
      <c r="K92" s="97" t="str">
        <f aca="false">IF($B92="","",I92*cfg_EOS_R2*MAX(H92-cfg_EOS_TH,0))</f>
        <v/>
      </c>
      <c r="L92" s="97" t="str">
        <f aca="false">IF($B92="","",J92+K92)</f>
        <v/>
      </c>
      <c r="M92" s="80" t="str">
        <f aca="false">IF($B92="","",IF(AND(الموظفون!$AE92&lt;&gt;"",الموظفون!$AE92&lt;=cfg_VAL_DATE),IF(الموظفون!$AF92="","⚠ حدد السبب",الموظفون!$AF92),"على رأس العمل"))</f>
        <v/>
      </c>
      <c r="N92" s="58" t="str">
        <f aca="false">IF($B92="","",VLOOKUP(H92,cfg_RES,2,TRUE()))</f>
        <v/>
      </c>
      <c r="O92" s="97" t="str">
        <f aca="false">IF($B92="","",IF(M92="استقالة",L92*N92,L92))</f>
        <v/>
      </c>
      <c r="P92" s="97" t="str">
        <f aca="false">IF($B92="","",I92*(cfg_EOS_R1*MIN((MAX(0,IF(OR(الموظفون!$AE92="",الموظفون!$AE92&gt;=cfg_Y_START),cfg_Y_START-1,الموظفون!$AE92)-D92+1-SUMIFS('سجل الإجازات والحالات'!$R$6:$R$505,'سجل الإجازات والحالات'!$B$6:$B$505,$B92))/cfg_DAYS_Y),cfg_EOS_TH)+cfg_EOS_R2*MAX((MAX(0,IF(OR(الموظفون!$AE92="",الموظفون!$AE92&gt;=cfg_Y_START),cfg_Y_START-1,الموظفون!$AE92)-D92+1-SUMIFS('سجل الإجازات والحالات'!$R$6:$R$505,'سجل الإجازات والحالات'!$B$6:$B$505,$B92))/cfg_DAYS_Y)-cfg_EOS_TH,0)))</f>
        <v/>
      </c>
      <c r="Q92" s="97" t="str">
        <f aca="false">IF($B92="","",O92-P92)</f>
        <v/>
      </c>
      <c r="R92" s="97" t="str">
        <f aca="false">IF($B92="","",SUMIFS('الحركات الشهرية'!$N$6:$N$1005,'الحركات الشهرية'!$B$6:$B$1005,B92,'الحركات الشهرية'!$A$6:$A$1005,"&lt;="&amp;cfg_VAL_M))</f>
        <v/>
      </c>
      <c r="S92" s="150" t="str">
        <f aca="false">IF($B92="","",P92+Q92-R92)</f>
        <v/>
      </c>
      <c r="T92" s="80" t="str">
        <f aca="false">IF($B92="","",IF(S92&lt;-0.01,"✖ صرف أكثر من المستحق",IF(AND(M92&lt;&gt;"على رأس العمل",S92&gt;0.01),"⚠ مستحق لم يُصرف","✔ سليم")))</f>
        <v/>
      </c>
    </row>
    <row r="93" customFormat="false" ht="15" hidden="false" customHeight="false" outlineLevel="0" collapsed="false">
      <c r="B93" s="102" t="str">
        <f aca="false">IF(الموظفون!$B93="","",الموظفون!$B93)</f>
        <v/>
      </c>
      <c r="C93" s="102" t="str">
        <f aca="false">IF($B93="","",الموظفون!$C93)</f>
        <v/>
      </c>
      <c r="D93" s="148" t="str">
        <f aca="false">IF($B93="","",الموظفون!$H93)</f>
        <v/>
      </c>
      <c r="E93" s="148" t="str">
        <f aca="false">IF($B93="","",IF(OR(الموظفون!$AE93="",الموظفون!$AE93&gt;cfg_VAL_DATE),cfg_VAL_DATE,الموظفون!$AE93))</f>
        <v/>
      </c>
      <c r="F93" s="102" t="str">
        <f aca="false">IF($B93="","",IF(E93&lt;D93,"لم يباشر",DATEDIF(D93,E93+1,"y")&amp;" سنة "&amp;DATEDIF(D93,E93+1,"ym")&amp;" شهر "&amp;DATEDIF(D93,E93+1,"md")&amp;" يوم"))</f>
        <v/>
      </c>
      <c r="G93" s="110" t="str">
        <f aca="false">IF($B93="","",SUMIFS('سجل الإجازات والحالات'!$S$6:$S$505,'سجل الإجازات والحالات'!$B$6:$B$505,$B93))</f>
        <v/>
      </c>
      <c r="H93" s="135" t="str">
        <f aca="false">IF($B93="","",MAX(0,E93-D93+1-G93)/cfg_DAYS_Y)</f>
        <v/>
      </c>
      <c r="I93" s="101" t="str">
        <f aca="false">IF($B93="","",الموظفون!$Q93)</f>
        <v/>
      </c>
      <c r="J93" s="101" t="str">
        <f aca="false">IF($B93="","",I93*cfg_EOS_R1*MIN(H93,cfg_EOS_TH))</f>
        <v/>
      </c>
      <c r="K93" s="101" t="str">
        <f aca="false">IF($B93="","",I93*cfg_EOS_R2*MAX(H93-cfg_EOS_TH,0))</f>
        <v/>
      </c>
      <c r="L93" s="101" t="str">
        <f aca="false">IF($B93="","",J93+K93)</f>
        <v/>
      </c>
      <c r="M93" s="102" t="str">
        <f aca="false">IF($B93="","",IF(AND(الموظفون!$AE93&lt;&gt;"",الموظفون!$AE93&lt;=cfg_VAL_DATE),IF(الموظفون!$AF93="","⚠ حدد السبب",الموظفون!$AF93),"على رأس العمل"))</f>
        <v/>
      </c>
      <c r="N93" s="111" t="str">
        <f aca="false">IF($B93="","",VLOOKUP(H93,cfg_RES,2,TRUE()))</f>
        <v/>
      </c>
      <c r="O93" s="101" t="str">
        <f aca="false">IF($B93="","",IF(M93="استقالة",L93*N93,L93))</f>
        <v/>
      </c>
      <c r="P93" s="101" t="str">
        <f aca="false">IF($B93="","",I93*(cfg_EOS_R1*MIN((MAX(0,IF(OR(الموظفون!$AE93="",الموظفون!$AE93&gt;=cfg_Y_START),cfg_Y_START-1,الموظفون!$AE93)-D93+1-SUMIFS('سجل الإجازات والحالات'!$R$6:$R$505,'سجل الإجازات والحالات'!$B$6:$B$505,$B93))/cfg_DAYS_Y),cfg_EOS_TH)+cfg_EOS_R2*MAX((MAX(0,IF(OR(الموظفون!$AE93="",الموظفون!$AE93&gt;=cfg_Y_START),cfg_Y_START-1,الموظفون!$AE93)-D93+1-SUMIFS('سجل الإجازات والحالات'!$R$6:$R$505,'سجل الإجازات والحالات'!$B$6:$B$505,$B93))/cfg_DAYS_Y)-cfg_EOS_TH,0)))</f>
        <v/>
      </c>
      <c r="Q93" s="101" t="str">
        <f aca="false">IF($B93="","",O93-P93)</f>
        <v/>
      </c>
      <c r="R93" s="101" t="str">
        <f aca="false">IF($B93="","",SUMIFS('الحركات الشهرية'!$N$6:$N$1005,'الحركات الشهرية'!$B$6:$B$1005,B93,'الحركات الشهرية'!$A$6:$A$1005,"&lt;="&amp;cfg_VAL_M))</f>
        <v/>
      </c>
      <c r="S93" s="151" t="str">
        <f aca="false">IF($B93="","",P93+Q93-R93)</f>
        <v/>
      </c>
      <c r="T93" s="102" t="str">
        <f aca="false">IF($B93="","",IF(S93&lt;-0.01,"✖ صرف أكثر من المستحق",IF(AND(M93&lt;&gt;"على رأس العمل",S93&gt;0.01),"⚠ مستحق لم يُصرف","✔ سليم")))</f>
        <v/>
      </c>
    </row>
    <row r="94" customFormat="false" ht="15" hidden="false" customHeight="false" outlineLevel="0" collapsed="false">
      <c r="B94" s="80" t="str">
        <f aca="false">IF(الموظفون!$B94="","",الموظفون!$B94)</f>
        <v/>
      </c>
      <c r="C94" s="80" t="str">
        <f aca="false">IF($B94="","",الموظفون!$C94)</f>
        <v/>
      </c>
      <c r="D94" s="147" t="str">
        <f aca="false">IF($B94="","",الموظفون!$H94)</f>
        <v/>
      </c>
      <c r="E94" s="147" t="str">
        <f aca="false">IF($B94="","",IF(OR(الموظفون!$AE94="",الموظفون!$AE94&gt;cfg_VAL_DATE),cfg_VAL_DATE,الموظفون!$AE94))</f>
        <v/>
      </c>
      <c r="F94" s="80" t="str">
        <f aca="false">IF($B94="","",IF(E94&lt;D94,"لم يباشر",DATEDIF(D94,E94+1,"y")&amp;" سنة "&amp;DATEDIF(D94,E94+1,"ym")&amp;" شهر "&amp;DATEDIF(D94,E94+1,"md")&amp;" يوم"))</f>
        <v/>
      </c>
      <c r="G94" s="57" t="str">
        <f aca="false">IF($B94="","",SUMIFS('سجل الإجازات والحالات'!$S$6:$S$505,'سجل الإجازات والحالات'!$B$6:$B$505,$B94))</f>
        <v/>
      </c>
      <c r="H94" s="130" t="str">
        <f aca="false">IF($B94="","",MAX(0,E94-D94+1-G94)/cfg_DAYS_Y)</f>
        <v/>
      </c>
      <c r="I94" s="97" t="str">
        <f aca="false">IF($B94="","",الموظفون!$Q94)</f>
        <v/>
      </c>
      <c r="J94" s="97" t="str">
        <f aca="false">IF($B94="","",I94*cfg_EOS_R1*MIN(H94,cfg_EOS_TH))</f>
        <v/>
      </c>
      <c r="K94" s="97" t="str">
        <f aca="false">IF($B94="","",I94*cfg_EOS_R2*MAX(H94-cfg_EOS_TH,0))</f>
        <v/>
      </c>
      <c r="L94" s="97" t="str">
        <f aca="false">IF($B94="","",J94+K94)</f>
        <v/>
      </c>
      <c r="M94" s="80" t="str">
        <f aca="false">IF($B94="","",IF(AND(الموظفون!$AE94&lt;&gt;"",الموظفون!$AE94&lt;=cfg_VAL_DATE),IF(الموظفون!$AF94="","⚠ حدد السبب",الموظفون!$AF94),"على رأس العمل"))</f>
        <v/>
      </c>
      <c r="N94" s="58" t="str">
        <f aca="false">IF($B94="","",VLOOKUP(H94,cfg_RES,2,TRUE()))</f>
        <v/>
      </c>
      <c r="O94" s="97" t="str">
        <f aca="false">IF($B94="","",IF(M94="استقالة",L94*N94,L94))</f>
        <v/>
      </c>
      <c r="P94" s="97" t="str">
        <f aca="false">IF($B94="","",I94*(cfg_EOS_R1*MIN((MAX(0,IF(OR(الموظفون!$AE94="",الموظفون!$AE94&gt;=cfg_Y_START),cfg_Y_START-1,الموظفون!$AE94)-D94+1-SUMIFS('سجل الإجازات والحالات'!$R$6:$R$505,'سجل الإجازات والحالات'!$B$6:$B$505,$B94))/cfg_DAYS_Y),cfg_EOS_TH)+cfg_EOS_R2*MAX((MAX(0,IF(OR(الموظفون!$AE94="",الموظفون!$AE94&gt;=cfg_Y_START),cfg_Y_START-1,الموظفون!$AE94)-D94+1-SUMIFS('سجل الإجازات والحالات'!$R$6:$R$505,'سجل الإجازات والحالات'!$B$6:$B$505,$B94))/cfg_DAYS_Y)-cfg_EOS_TH,0)))</f>
        <v/>
      </c>
      <c r="Q94" s="97" t="str">
        <f aca="false">IF($B94="","",O94-P94)</f>
        <v/>
      </c>
      <c r="R94" s="97" t="str">
        <f aca="false">IF($B94="","",SUMIFS('الحركات الشهرية'!$N$6:$N$1005,'الحركات الشهرية'!$B$6:$B$1005,B94,'الحركات الشهرية'!$A$6:$A$1005,"&lt;="&amp;cfg_VAL_M))</f>
        <v/>
      </c>
      <c r="S94" s="150" t="str">
        <f aca="false">IF($B94="","",P94+Q94-R94)</f>
        <v/>
      </c>
      <c r="T94" s="80" t="str">
        <f aca="false">IF($B94="","",IF(S94&lt;-0.01,"✖ صرف أكثر من المستحق",IF(AND(M94&lt;&gt;"على رأس العمل",S94&gt;0.01),"⚠ مستحق لم يُصرف","✔ سليم")))</f>
        <v/>
      </c>
    </row>
    <row r="95" customFormat="false" ht="15" hidden="false" customHeight="false" outlineLevel="0" collapsed="false">
      <c r="B95" s="102" t="str">
        <f aca="false">IF(الموظفون!$B95="","",الموظفون!$B95)</f>
        <v/>
      </c>
      <c r="C95" s="102" t="str">
        <f aca="false">IF($B95="","",الموظفون!$C95)</f>
        <v/>
      </c>
      <c r="D95" s="148" t="str">
        <f aca="false">IF($B95="","",الموظفون!$H95)</f>
        <v/>
      </c>
      <c r="E95" s="148" t="str">
        <f aca="false">IF($B95="","",IF(OR(الموظفون!$AE95="",الموظفون!$AE95&gt;cfg_VAL_DATE),cfg_VAL_DATE,الموظفون!$AE95))</f>
        <v/>
      </c>
      <c r="F95" s="102" t="str">
        <f aca="false">IF($B95="","",IF(E95&lt;D95,"لم يباشر",DATEDIF(D95,E95+1,"y")&amp;" سنة "&amp;DATEDIF(D95,E95+1,"ym")&amp;" شهر "&amp;DATEDIF(D95,E95+1,"md")&amp;" يوم"))</f>
        <v/>
      </c>
      <c r="G95" s="110" t="str">
        <f aca="false">IF($B95="","",SUMIFS('سجل الإجازات والحالات'!$S$6:$S$505,'سجل الإجازات والحالات'!$B$6:$B$505,$B95))</f>
        <v/>
      </c>
      <c r="H95" s="135" t="str">
        <f aca="false">IF($B95="","",MAX(0,E95-D95+1-G95)/cfg_DAYS_Y)</f>
        <v/>
      </c>
      <c r="I95" s="101" t="str">
        <f aca="false">IF($B95="","",الموظفون!$Q95)</f>
        <v/>
      </c>
      <c r="J95" s="101" t="str">
        <f aca="false">IF($B95="","",I95*cfg_EOS_R1*MIN(H95,cfg_EOS_TH))</f>
        <v/>
      </c>
      <c r="K95" s="101" t="str">
        <f aca="false">IF($B95="","",I95*cfg_EOS_R2*MAX(H95-cfg_EOS_TH,0))</f>
        <v/>
      </c>
      <c r="L95" s="101" t="str">
        <f aca="false">IF($B95="","",J95+K95)</f>
        <v/>
      </c>
      <c r="M95" s="102" t="str">
        <f aca="false">IF($B95="","",IF(AND(الموظفون!$AE95&lt;&gt;"",الموظفون!$AE95&lt;=cfg_VAL_DATE),IF(الموظفون!$AF95="","⚠ حدد السبب",الموظفون!$AF95),"على رأس العمل"))</f>
        <v/>
      </c>
      <c r="N95" s="111" t="str">
        <f aca="false">IF($B95="","",VLOOKUP(H95,cfg_RES,2,TRUE()))</f>
        <v/>
      </c>
      <c r="O95" s="101" t="str">
        <f aca="false">IF($B95="","",IF(M95="استقالة",L95*N95,L95))</f>
        <v/>
      </c>
      <c r="P95" s="101" t="str">
        <f aca="false">IF($B95="","",I95*(cfg_EOS_R1*MIN((MAX(0,IF(OR(الموظفون!$AE95="",الموظفون!$AE95&gt;=cfg_Y_START),cfg_Y_START-1,الموظفون!$AE95)-D95+1-SUMIFS('سجل الإجازات والحالات'!$R$6:$R$505,'سجل الإجازات والحالات'!$B$6:$B$505,$B95))/cfg_DAYS_Y),cfg_EOS_TH)+cfg_EOS_R2*MAX((MAX(0,IF(OR(الموظفون!$AE95="",الموظفون!$AE95&gt;=cfg_Y_START),cfg_Y_START-1,الموظفون!$AE95)-D95+1-SUMIFS('سجل الإجازات والحالات'!$R$6:$R$505,'سجل الإجازات والحالات'!$B$6:$B$505,$B95))/cfg_DAYS_Y)-cfg_EOS_TH,0)))</f>
        <v/>
      </c>
      <c r="Q95" s="101" t="str">
        <f aca="false">IF($B95="","",O95-P95)</f>
        <v/>
      </c>
      <c r="R95" s="101" t="str">
        <f aca="false">IF($B95="","",SUMIFS('الحركات الشهرية'!$N$6:$N$1005,'الحركات الشهرية'!$B$6:$B$1005,B95,'الحركات الشهرية'!$A$6:$A$1005,"&lt;="&amp;cfg_VAL_M))</f>
        <v/>
      </c>
      <c r="S95" s="151" t="str">
        <f aca="false">IF($B95="","",P95+Q95-R95)</f>
        <v/>
      </c>
      <c r="T95" s="102" t="str">
        <f aca="false">IF($B95="","",IF(S95&lt;-0.01,"✖ صرف أكثر من المستحق",IF(AND(M95&lt;&gt;"على رأس العمل",S95&gt;0.01),"⚠ مستحق لم يُصرف","✔ سليم")))</f>
        <v/>
      </c>
    </row>
    <row r="96" customFormat="false" ht="15" hidden="false" customHeight="false" outlineLevel="0" collapsed="false">
      <c r="B96" s="80" t="str">
        <f aca="false">IF(الموظفون!$B96="","",الموظفون!$B96)</f>
        <v/>
      </c>
      <c r="C96" s="80" t="str">
        <f aca="false">IF($B96="","",الموظفون!$C96)</f>
        <v/>
      </c>
      <c r="D96" s="147" t="str">
        <f aca="false">IF($B96="","",الموظفون!$H96)</f>
        <v/>
      </c>
      <c r="E96" s="147" t="str">
        <f aca="false">IF($B96="","",IF(OR(الموظفون!$AE96="",الموظفون!$AE96&gt;cfg_VAL_DATE),cfg_VAL_DATE,الموظفون!$AE96))</f>
        <v/>
      </c>
      <c r="F96" s="80" t="str">
        <f aca="false">IF($B96="","",IF(E96&lt;D96,"لم يباشر",DATEDIF(D96,E96+1,"y")&amp;" سنة "&amp;DATEDIF(D96,E96+1,"ym")&amp;" شهر "&amp;DATEDIF(D96,E96+1,"md")&amp;" يوم"))</f>
        <v/>
      </c>
      <c r="G96" s="57" t="str">
        <f aca="false">IF($B96="","",SUMIFS('سجل الإجازات والحالات'!$S$6:$S$505,'سجل الإجازات والحالات'!$B$6:$B$505,$B96))</f>
        <v/>
      </c>
      <c r="H96" s="130" t="str">
        <f aca="false">IF($B96="","",MAX(0,E96-D96+1-G96)/cfg_DAYS_Y)</f>
        <v/>
      </c>
      <c r="I96" s="97" t="str">
        <f aca="false">IF($B96="","",الموظفون!$Q96)</f>
        <v/>
      </c>
      <c r="J96" s="97" t="str">
        <f aca="false">IF($B96="","",I96*cfg_EOS_R1*MIN(H96,cfg_EOS_TH))</f>
        <v/>
      </c>
      <c r="K96" s="97" t="str">
        <f aca="false">IF($B96="","",I96*cfg_EOS_R2*MAX(H96-cfg_EOS_TH,0))</f>
        <v/>
      </c>
      <c r="L96" s="97" t="str">
        <f aca="false">IF($B96="","",J96+K96)</f>
        <v/>
      </c>
      <c r="M96" s="80" t="str">
        <f aca="false">IF($B96="","",IF(AND(الموظفون!$AE96&lt;&gt;"",الموظفون!$AE96&lt;=cfg_VAL_DATE),IF(الموظفون!$AF96="","⚠ حدد السبب",الموظفون!$AF96),"على رأس العمل"))</f>
        <v/>
      </c>
      <c r="N96" s="58" t="str">
        <f aca="false">IF($B96="","",VLOOKUP(H96,cfg_RES,2,TRUE()))</f>
        <v/>
      </c>
      <c r="O96" s="97" t="str">
        <f aca="false">IF($B96="","",IF(M96="استقالة",L96*N96,L96))</f>
        <v/>
      </c>
      <c r="P96" s="97" t="str">
        <f aca="false">IF($B96="","",I96*(cfg_EOS_R1*MIN((MAX(0,IF(OR(الموظفون!$AE96="",الموظفون!$AE96&gt;=cfg_Y_START),cfg_Y_START-1,الموظفون!$AE96)-D96+1-SUMIFS('سجل الإجازات والحالات'!$R$6:$R$505,'سجل الإجازات والحالات'!$B$6:$B$505,$B96))/cfg_DAYS_Y),cfg_EOS_TH)+cfg_EOS_R2*MAX((MAX(0,IF(OR(الموظفون!$AE96="",الموظفون!$AE96&gt;=cfg_Y_START),cfg_Y_START-1,الموظفون!$AE96)-D96+1-SUMIFS('سجل الإجازات والحالات'!$R$6:$R$505,'سجل الإجازات والحالات'!$B$6:$B$505,$B96))/cfg_DAYS_Y)-cfg_EOS_TH,0)))</f>
        <v/>
      </c>
      <c r="Q96" s="97" t="str">
        <f aca="false">IF($B96="","",O96-P96)</f>
        <v/>
      </c>
      <c r="R96" s="97" t="str">
        <f aca="false">IF($B96="","",SUMIFS('الحركات الشهرية'!$N$6:$N$1005,'الحركات الشهرية'!$B$6:$B$1005,B96,'الحركات الشهرية'!$A$6:$A$1005,"&lt;="&amp;cfg_VAL_M))</f>
        <v/>
      </c>
      <c r="S96" s="150" t="str">
        <f aca="false">IF($B96="","",P96+Q96-R96)</f>
        <v/>
      </c>
      <c r="T96" s="80" t="str">
        <f aca="false">IF($B96="","",IF(S96&lt;-0.01,"✖ صرف أكثر من المستحق",IF(AND(M96&lt;&gt;"على رأس العمل",S96&gt;0.01),"⚠ مستحق لم يُصرف","✔ سليم")))</f>
        <v/>
      </c>
    </row>
    <row r="97" customFormat="false" ht="15" hidden="false" customHeight="false" outlineLevel="0" collapsed="false">
      <c r="B97" s="102" t="str">
        <f aca="false">IF(الموظفون!$B97="","",الموظفون!$B97)</f>
        <v/>
      </c>
      <c r="C97" s="102" t="str">
        <f aca="false">IF($B97="","",الموظفون!$C97)</f>
        <v/>
      </c>
      <c r="D97" s="148" t="str">
        <f aca="false">IF($B97="","",الموظفون!$H97)</f>
        <v/>
      </c>
      <c r="E97" s="148" t="str">
        <f aca="false">IF($B97="","",IF(OR(الموظفون!$AE97="",الموظفون!$AE97&gt;cfg_VAL_DATE),cfg_VAL_DATE,الموظفون!$AE97))</f>
        <v/>
      </c>
      <c r="F97" s="102" t="str">
        <f aca="false">IF($B97="","",IF(E97&lt;D97,"لم يباشر",DATEDIF(D97,E97+1,"y")&amp;" سنة "&amp;DATEDIF(D97,E97+1,"ym")&amp;" شهر "&amp;DATEDIF(D97,E97+1,"md")&amp;" يوم"))</f>
        <v/>
      </c>
      <c r="G97" s="110" t="str">
        <f aca="false">IF($B97="","",SUMIFS('سجل الإجازات والحالات'!$S$6:$S$505,'سجل الإجازات والحالات'!$B$6:$B$505,$B97))</f>
        <v/>
      </c>
      <c r="H97" s="135" t="str">
        <f aca="false">IF($B97="","",MAX(0,E97-D97+1-G97)/cfg_DAYS_Y)</f>
        <v/>
      </c>
      <c r="I97" s="101" t="str">
        <f aca="false">IF($B97="","",الموظفون!$Q97)</f>
        <v/>
      </c>
      <c r="J97" s="101" t="str">
        <f aca="false">IF($B97="","",I97*cfg_EOS_R1*MIN(H97,cfg_EOS_TH))</f>
        <v/>
      </c>
      <c r="K97" s="101" t="str">
        <f aca="false">IF($B97="","",I97*cfg_EOS_R2*MAX(H97-cfg_EOS_TH,0))</f>
        <v/>
      </c>
      <c r="L97" s="101" t="str">
        <f aca="false">IF($B97="","",J97+K97)</f>
        <v/>
      </c>
      <c r="M97" s="102" t="str">
        <f aca="false">IF($B97="","",IF(AND(الموظفون!$AE97&lt;&gt;"",الموظفون!$AE97&lt;=cfg_VAL_DATE),IF(الموظفون!$AF97="","⚠ حدد السبب",الموظفون!$AF97),"على رأس العمل"))</f>
        <v/>
      </c>
      <c r="N97" s="111" t="str">
        <f aca="false">IF($B97="","",VLOOKUP(H97,cfg_RES,2,TRUE()))</f>
        <v/>
      </c>
      <c r="O97" s="101" t="str">
        <f aca="false">IF($B97="","",IF(M97="استقالة",L97*N97,L97))</f>
        <v/>
      </c>
      <c r="P97" s="101" t="str">
        <f aca="false">IF($B97="","",I97*(cfg_EOS_R1*MIN((MAX(0,IF(OR(الموظفون!$AE97="",الموظفون!$AE97&gt;=cfg_Y_START),cfg_Y_START-1,الموظفون!$AE97)-D97+1-SUMIFS('سجل الإجازات والحالات'!$R$6:$R$505,'سجل الإجازات والحالات'!$B$6:$B$505,$B97))/cfg_DAYS_Y),cfg_EOS_TH)+cfg_EOS_R2*MAX((MAX(0,IF(OR(الموظفون!$AE97="",الموظفون!$AE97&gt;=cfg_Y_START),cfg_Y_START-1,الموظفون!$AE97)-D97+1-SUMIFS('سجل الإجازات والحالات'!$R$6:$R$505,'سجل الإجازات والحالات'!$B$6:$B$505,$B97))/cfg_DAYS_Y)-cfg_EOS_TH,0)))</f>
        <v/>
      </c>
      <c r="Q97" s="101" t="str">
        <f aca="false">IF($B97="","",O97-P97)</f>
        <v/>
      </c>
      <c r="R97" s="101" t="str">
        <f aca="false">IF($B97="","",SUMIFS('الحركات الشهرية'!$N$6:$N$1005,'الحركات الشهرية'!$B$6:$B$1005,B97,'الحركات الشهرية'!$A$6:$A$1005,"&lt;="&amp;cfg_VAL_M))</f>
        <v/>
      </c>
      <c r="S97" s="151" t="str">
        <f aca="false">IF($B97="","",P97+Q97-R97)</f>
        <v/>
      </c>
      <c r="T97" s="102" t="str">
        <f aca="false">IF($B97="","",IF(S97&lt;-0.01,"✖ صرف أكثر من المستحق",IF(AND(M97&lt;&gt;"على رأس العمل",S97&gt;0.01),"⚠ مستحق لم يُصرف","✔ سليم")))</f>
        <v/>
      </c>
    </row>
    <row r="98" customFormat="false" ht="15" hidden="false" customHeight="false" outlineLevel="0" collapsed="false">
      <c r="B98" s="80" t="str">
        <f aca="false">IF(الموظفون!$B98="","",الموظفون!$B98)</f>
        <v/>
      </c>
      <c r="C98" s="80" t="str">
        <f aca="false">IF($B98="","",الموظفون!$C98)</f>
        <v/>
      </c>
      <c r="D98" s="147" t="str">
        <f aca="false">IF($B98="","",الموظفون!$H98)</f>
        <v/>
      </c>
      <c r="E98" s="147" t="str">
        <f aca="false">IF($B98="","",IF(OR(الموظفون!$AE98="",الموظفون!$AE98&gt;cfg_VAL_DATE),cfg_VAL_DATE,الموظفون!$AE98))</f>
        <v/>
      </c>
      <c r="F98" s="80" t="str">
        <f aca="false">IF($B98="","",IF(E98&lt;D98,"لم يباشر",DATEDIF(D98,E98+1,"y")&amp;" سنة "&amp;DATEDIF(D98,E98+1,"ym")&amp;" شهر "&amp;DATEDIF(D98,E98+1,"md")&amp;" يوم"))</f>
        <v/>
      </c>
      <c r="G98" s="57" t="str">
        <f aca="false">IF($B98="","",SUMIFS('سجل الإجازات والحالات'!$S$6:$S$505,'سجل الإجازات والحالات'!$B$6:$B$505,$B98))</f>
        <v/>
      </c>
      <c r="H98" s="130" t="str">
        <f aca="false">IF($B98="","",MAX(0,E98-D98+1-G98)/cfg_DAYS_Y)</f>
        <v/>
      </c>
      <c r="I98" s="97" t="str">
        <f aca="false">IF($B98="","",الموظفون!$Q98)</f>
        <v/>
      </c>
      <c r="J98" s="97" t="str">
        <f aca="false">IF($B98="","",I98*cfg_EOS_R1*MIN(H98,cfg_EOS_TH))</f>
        <v/>
      </c>
      <c r="K98" s="97" t="str">
        <f aca="false">IF($B98="","",I98*cfg_EOS_R2*MAX(H98-cfg_EOS_TH,0))</f>
        <v/>
      </c>
      <c r="L98" s="97" t="str">
        <f aca="false">IF($B98="","",J98+K98)</f>
        <v/>
      </c>
      <c r="M98" s="80" t="str">
        <f aca="false">IF($B98="","",IF(AND(الموظفون!$AE98&lt;&gt;"",الموظفون!$AE98&lt;=cfg_VAL_DATE),IF(الموظفون!$AF98="","⚠ حدد السبب",الموظفون!$AF98),"على رأس العمل"))</f>
        <v/>
      </c>
      <c r="N98" s="58" t="str">
        <f aca="false">IF($B98="","",VLOOKUP(H98,cfg_RES,2,TRUE()))</f>
        <v/>
      </c>
      <c r="O98" s="97" t="str">
        <f aca="false">IF($B98="","",IF(M98="استقالة",L98*N98,L98))</f>
        <v/>
      </c>
      <c r="P98" s="97" t="str">
        <f aca="false">IF($B98="","",I98*(cfg_EOS_R1*MIN((MAX(0,IF(OR(الموظفون!$AE98="",الموظفون!$AE98&gt;=cfg_Y_START),cfg_Y_START-1,الموظفون!$AE98)-D98+1-SUMIFS('سجل الإجازات والحالات'!$R$6:$R$505,'سجل الإجازات والحالات'!$B$6:$B$505,$B98))/cfg_DAYS_Y),cfg_EOS_TH)+cfg_EOS_R2*MAX((MAX(0,IF(OR(الموظفون!$AE98="",الموظفون!$AE98&gt;=cfg_Y_START),cfg_Y_START-1,الموظفون!$AE98)-D98+1-SUMIFS('سجل الإجازات والحالات'!$R$6:$R$505,'سجل الإجازات والحالات'!$B$6:$B$505,$B98))/cfg_DAYS_Y)-cfg_EOS_TH,0)))</f>
        <v/>
      </c>
      <c r="Q98" s="97" t="str">
        <f aca="false">IF($B98="","",O98-P98)</f>
        <v/>
      </c>
      <c r="R98" s="97" t="str">
        <f aca="false">IF($B98="","",SUMIFS('الحركات الشهرية'!$N$6:$N$1005,'الحركات الشهرية'!$B$6:$B$1005,B98,'الحركات الشهرية'!$A$6:$A$1005,"&lt;="&amp;cfg_VAL_M))</f>
        <v/>
      </c>
      <c r="S98" s="150" t="str">
        <f aca="false">IF($B98="","",P98+Q98-R98)</f>
        <v/>
      </c>
      <c r="T98" s="80" t="str">
        <f aca="false">IF($B98="","",IF(S98&lt;-0.01,"✖ صرف أكثر من المستحق",IF(AND(M98&lt;&gt;"على رأس العمل",S98&gt;0.01),"⚠ مستحق لم يُصرف","✔ سليم")))</f>
        <v/>
      </c>
    </row>
    <row r="99" customFormat="false" ht="15" hidden="false" customHeight="false" outlineLevel="0" collapsed="false">
      <c r="B99" s="102" t="str">
        <f aca="false">IF(الموظفون!$B99="","",الموظفون!$B99)</f>
        <v/>
      </c>
      <c r="C99" s="102" t="str">
        <f aca="false">IF($B99="","",الموظفون!$C99)</f>
        <v/>
      </c>
      <c r="D99" s="148" t="str">
        <f aca="false">IF($B99="","",الموظفون!$H99)</f>
        <v/>
      </c>
      <c r="E99" s="148" t="str">
        <f aca="false">IF($B99="","",IF(OR(الموظفون!$AE99="",الموظفون!$AE99&gt;cfg_VAL_DATE),cfg_VAL_DATE,الموظفون!$AE99))</f>
        <v/>
      </c>
      <c r="F99" s="102" t="str">
        <f aca="false">IF($B99="","",IF(E99&lt;D99,"لم يباشر",DATEDIF(D99,E99+1,"y")&amp;" سنة "&amp;DATEDIF(D99,E99+1,"ym")&amp;" شهر "&amp;DATEDIF(D99,E99+1,"md")&amp;" يوم"))</f>
        <v/>
      </c>
      <c r="G99" s="110" t="str">
        <f aca="false">IF($B99="","",SUMIFS('سجل الإجازات والحالات'!$S$6:$S$505,'سجل الإجازات والحالات'!$B$6:$B$505,$B99))</f>
        <v/>
      </c>
      <c r="H99" s="135" t="str">
        <f aca="false">IF($B99="","",MAX(0,E99-D99+1-G99)/cfg_DAYS_Y)</f>
        <v/>
      </c>
      <c r="I99" s="101" t="str">
        <f aca="false">IF($B99="","",الموظفون!$Q99)</f>
        <v/>
      </c>
      <c r="J99" s="101" t="str">
        <f aca="false">IF($B99="","",I99*cfg_EOS_R1*MIN(H99,cfg_EOS_TH))</f>
        <v/>
      </c>
      <c r="K99" s="101" t="str">
        <f aca="false">IF($B99="","",I99*cfg_EOS_R2*MAX(H99-cfg_EOS_TH,0))</f>
        <v/>
      </c>
      <c r="L99" s="101" t="str">
        <f aca="false">IF($B99="","",J99+K99)</f>
        <v/>
      </c>
      <c r="M99" s="102" t="str">
        <f aca="false">IF($B99="","",IF(AND(الموظفون!$AE99&lt;&gt;"",الموظفون!$AE99&lt;=cfg_VAL_DATE),IF(الموظفون!$AF99="","⚠ حدد السبب",الموظفون!$AF99),"على رأس العمل"))</f>
        <v/>
      </c>
      <c r="N99" s="111" t="str">
        <f aca="false">IF($B99="","",VLOOKUP(H99,cfg_RES,2,TRUE()))</f>
        <v/>
      </c>
      <c r="O99" s="101" t="str">
        <f aca="false">IF($B99="","",IF(M99="استقالة",L99*N99,L99))</f>
        <v/>
      </c>
      <c r="P99" s="101" t="str">
        <f aca="false">IF($B99="","",I99*(cfg_EOS_R1*MIN((MAX(0,IF(OR(الموظفون!$AE99="",الموظفون!$AE99&gt;=cfg_Y_START),cfg_Y_START-1,الموظفون!$AE99)-D99+1-SUMIFS('سجل الإجازات والحالات'!$R$6:$R$505,'سجل الإجازات والحالات'!$B$6:$B$505,$B99))/cfg_DAYS_Y),cfg_EOS_TH)+cfg_EOS_R2*MAX((MAX(0,IF(OR(الموظفون!$AE99="",الموظفون!$AE99&gt;=cfg_Y_START),cfg_Y_START-1,الموظفون!$AE99)-D99+1-SUMIFS('سجل الإجازات والحالات'!$R$6:$R$505,'سجل الإجازات والحالات'!$B$6:$B$505,$B99))/cfg_DAYS_Y)-cfg_EOS_TH,0)))</f>
        <v/>
      </c>
      <c r="Q99" s="101" t="str">
        <f aca="false">IF($B99="","",O99-P99)</f>
        <v/>
      </c>
      <c r="R99" s="101" t="str">
        <f aca="false">IF($B99="","",SUMIFS('الحركات الشهرية'!$N$6:$N$1005,'الحركات الشهرية'!$B$6:$B$1005,B99,'الحركات الشهرية'!$A$6:$A$1005,"&lt;="&amp;cfg_VAL_M))</f>
        <v/>
      </c>
      <c r="S99" s="151" t="str">
        <f aca="false">IF($B99="","",P99+Q99-R99)</f>
        <v/>
      </c>
      <c r="T99" s="102" t="str">
        <f aca="false">IF($B99="","",IF(S99&lt;-0.01,"✖ صرف أكثر من المستحق",IF(AND(M99&lt;&gt;"على رأس العمل",S99&gt;0.01),"⚠ مستحق لم يُصرف","✔ سليم")))</f>
        <v/>
      </c>
    </row>
    <row r="100" customFormat="false" ht="15" hidden="false" customHeight="false" outlineLevel="0" collapsed="false">
      <c r="B100" s="80" t="str">
        <f aca="false">IF(الموظفون!$B100="","",الموظفون!$B100)</f>
        <v/>
      </c>
      <c r="C100" s="80" t="str">
        <f aca="false">IF($B100="","",الموظفون!$C100)</f>
        <v/>
      </c>
      <c r="D100" s="147" t="str">
        <f aca="false">IF($B100="","",الموظفون!$H100)</f>
        <v/>
      </c>
      <c r="E100" s="147" t="str">
        <f aca="false">IF($B100="","",IF(OR(الموظفون!$AE100="",الموظفون!$AE100&gt;cfg_VAL_DATE),cfg_VAL_DATE,الموظفون!$AE100))</f>
        <v/>
      </c>
      <c r="F100" s="80" t="str">
        <f aca="false">IF($B100="","",IF(E100&lt;D100,"لم يباشر",DATEDIF(D100,E100+1,"y")&amp;" سنة "&amp;DATEDIF(D100,E100+1,"ym")&amp;" شهر "&amp;DATEDIF(D100,E100+1,"md")&amp;" يوم"))</f>
        <v/>
      </c>
      <c r="G100" s="57" t="str">
        <f aca="false">IF($B100="","",SUMIFS('سجل الإجازات والحالات'!$S$6:$S$505,'سجل الإجازات والحالات'!$B$6:$B$505,$B100))</f>
        <v/>
      </c>
      <c r="H100" s="130" t="str">
        <f aca="false">IF($B100="","",MAX(0,E100-D100+1-G100)/cfg_DAYS_Y)</f>
        <v/>
      </c>
      <c r="I100" s="97" t="str">
        <f aca="false">IF($B100="","",الموظفون!$Q100)</f>
        <v/>
      </c>
      <c r="J100" s="97" t="str">
        <f aca="false">IF($B100="","",I100*cfg_EOS_R1*MIN(H100,cfg_EOS_TH))</f>
        <v/>
      </c>
      <c r="K100" s="97" t="str">
        <f aca="false">IF($B100="","",I100*cfg_EOS_R2*MAX(H100-cfg_EOS_TH,0))</f>
        <v/>
      </c>
      <c r="L100" s="97" t="str">
        <f aca="false">IF($B100="","",J100+K100)</f>
        <v/>
      </c>
      <c r="M100" s="80" t="str">
        <f aca="false">IF($B100="","",IF(AND(الموظفون!$AE100&lt;&gt;"",الموظفون!$AE100&lt;=cfg_VAL_DATE),IF(الموظفون!$AF100="","⚠ حدد السبب",الموظفون!$AF100),"على رأس العمل"))</f>
        <v/>
      </c>
      <c r="N100" s="58" t="str">
        <f aca="false">IF($B100="","",VLOOKUP(H100,cfg_RES,2,TRUE()))</f>
        <v/>
      </c>
      <c r="O100" s="97" t="str">
        <f aca="false">IF($B100="","",IF(M100="استقالة",L100*N100,L100))</f>
        <v/>
      </c>
      <c r="P100" s="97" t="str">
        <f aca="false">IF($B100="","",I100*(cfg_EOS_R1*MIN((MAX(0,IF(OR(الموظفون!$AE100="",الموظفون!$AE100&gt;=cfg_Y_START),cfg_Y_START-1,الموظفون!$AE100)-D100+1-SUMIFS('سجل الإجازات والحالات'!$R$6:$R$505,'سجل الإجازات والحالات'!$B$6:$B$505,$B100))/cfg_DAYS_Y),cfg_EOS_TH)+cfg_EOS_R2*MAX((MAX(0,IF(OR(الموظفون!$AE100="",الموظفون!$AE100&gt;=cfg_Y_START),cfg_Y_START-1,الموظفون!$AE100)-D100+1-SUMIFS('سجل الإجازات والحالات'!$R$6:$R$505,'سجل الإجازات والحالات'!$B$6:$B$505,$B100))/cfg_DAYS_Y)-cfg_EOS_TH,0)))</f>
        <v/>
      </c>
      <c r="Q100" s="97" t="str">
        <f aca="false">IF($B100="","",O100-P100)</f>
        <v/>
      </c>
      <c r="R100" s="97" t="str">
        <f aca="false">IF($B100="","",SUMIFS('الحركات الشهرية'!$N$6:$N$1005,'الحركات الشهرية'!$B$6:$B$1005,B100,'الحركات الشهرية'!$A$6:$A$1005,"&lt;="&amp;cfg_VAL_M))</f>
        <v/>
      </c>
      <c r="S100" s="150" t="str">
        <f aca="false">IF($B100="","",P100+Q100-R100)</f>
        <v/>
      </c>
      <c r="T100" s="80" t="str">
        <f aca="false">IF($B100="","",IF(S100&lt;-0.01,"✖ صرف أكثر من المستحق",IF(AND(M100&lt;&gt;"على رأس العمل",S100&gt;0.01),"⚠ مستحق لم يُصرف","✔ سليم")))</f>
        <v/>
      </c>
    </row>
    <row r="101" customFormat="false" ht="15" hidden="false" customHeight="false" outlineLevel="0" collapsed="false">
      <c r="B101" s="102" t="str">
        <f aca="false">IF(الموظفون!$B101="","",الموظفون!$B101)</f>
        <v/>
      </c>
      <c r="C101" s="102" t="str">
        <f aca="false">IF($B101="","",الموظفون!$C101)</f>
        <v/>
      </c>
      <c r="D101" s="148" t="str">
        <f aca="false">IF($B101="","",الموظفون!$H101)</f>
        <v/>
      </c>
      <c r="E101" s="148" t="str">
        <f aca="false">IF($B101="","",IF(OR(الموظفون!$AE101="",الموظفون!$AE101&gt;cfg_VAL_DATE),cfg_VAL_DATE,الموظفون!$AE101))</f>
        <v/>
      </c>
      <c r="F101" s="102" t="str">
        <f aca="false">IF($B101="","",IF(E101&lt;D101,"لم يباشر",DATEDIF(D101,E101+1,"y")&amp;" سنة "&amp;DATEDIF(D101,E101+1,"ym")&amp;" شهر "&amp;DATEDIF(D101,E101+1,"md")&amp;" يوم"))</f>
        <v/>
      </c>
      <c r="G101" s="110" t="str">
        <f aca="false">IF($B101="","",SUMIFS('سجل الإجازات والحالات'!$S$6:$S$505,'سجل الإجازات والحالات'!$B$6:$B$505,$B101))</f>
        <v/>
      </c>
      <c r="H101" s="135" t="str">
        <f aca="false">IF($B101="","",MAX(0,E101-D101+1-G101)/cfg_DAYS_Y)</f>
        <v/>
      </c>
      <c r="I101" s="101" t="str">
        <f aca="false">IF($B101="","",الموظفون!$Q101)</f>
        <v/>
      </c>
      <c r="J101" s="101" t="str">
        <f aca="false">IF($B101="","",I101*cfg_EOS_R1*MIN(H101,cfg_EOS_TH))</f>
        <v/>
      </c>
      <c r="K101" s="101" t="str">
        <f aca="false">IF($B101="","",I101*cfg_EOS_R2*MAX(H101-cfg_EOS_TH,0))</f>
        <v/>
      </c>
      <c r="L101" s="101" t="str">
        <f aca="false">IF($B101="","",J101+K101)</f>
        <v/>
      </c>
      <c r="M101" s="102" t="str">
        <f aca="false">IF($B101="","",IF(AND(الموظفون!$AE101&lt;&gt;"",الموظفون!$AE101&lt;=cfg_VAL_DATE),IF(الموظفون!$AF101="","⚠ حدد السبب",الموظفون!$AF101),"على رأس العمل"))</f>
        <v/>
      </c>
      <c r="N101" s="111" t="str">
        <f aca="false">IF($B101="","",VLOOKUP(H101,cfg_RES,2,TRUE()))</f>
        <v/>
      </c>
      <c r="O101" s="101" t="str">
        <f aca="false">IF($B101="","",IF(M101="استقالة",L101*N101,L101))</f>
        <v/>
      </c>
      <c r="P101" s="101" t="str">
        <f aca="false">IF($B101="","",I101*(cfg_EOS_R1*MIN((MAX(0,IF(OR(الموظفون!$AE101="",الموظفون!$AE101&gt;=cfg_Y_START),cfg_Y_START-1,الموظفون!$AE101)-D101+1-SUMIFS('سجل الإجازات والحالات'!$R$6:$R$505,'سجل الإجازات والحالات'!$B$6:$B$505,$B101))/cfg_DAYS_Y),cfg_EOS_TH)+cfg_EOS_R2*MAX((MAX(0,IF(OR(الموظفون!$AE101="",الموظفون!$AE101&gt;=cfg_Y_START),cfg_Y_START-1,الموظفون!$AE101)-D101+1-SUMIFS('سجل الإجازات والحالات'!$R$6:$R$505,'سجل الإجازات والحالات'!$B$6:$B$505,$B101))/cfg_DAYS_Y)-cfg_EOS_TH,0)))</f>
        <v/>
      </c>
      <c r="Q101" s="101" t="str">
        <f aca="false">IF($B101="","",O101-P101)</f>
        <v/>
      </c>
      <c r="R101" s="101" t="str">
        <f aca="false">IF($B101="","",SUMIFS('الحركات الشهرية'!$N$6:$N$1005,'الحركات الشهرية'!$B$6:$B$1005,B101,'الحركات الشهرية'!$A$6:$A$1005,"&lt;="&amp;cfg_VAL_M))</f>
        <v/>
      </c>
      <c r="S101" s="151" t="str">
        <f aca="false">IF($B101="","",P101+Q101-R101)</f>
        <v/>
      </c>
      <c r="T101" s="102" t="str">
        <f aca="false">IF($B101="","",IF(S101&lt;-0.01,"✖ صرف أكثر من المستحق",IF(AND(M101&lt;&gt;"على رأس العمل",S101&gt;0.01),"⚠ مستحق لم يُصرف","✔ سليم")))</f>
        <v/>
      </c>
    </row>
    <row r="102" customFormat="false" ht="15" hidden="false" customHeight="false" outlineLevel="0" collapsed="false">
      <c r="B102" s="80" t="str">
        <f aca="false">IF(الموظفون!$B102="","",الموظفون!$B102)</f>
        <v/>
      </c>
      <c r="C102" s="80" t="str">
        <f aca="false">IF($B102="","",الموظفون!$C102)</f>
        <v/>
      </c>
      <c r="D102" s="147" t="str">
        <f aca="false">IF($B102="","",الموظفون!$H102)</f>
        <v/>
      </c>
      <c r="E102" s="147" t="str">
        <f aca="false">IF($B102="","",IF(OR(الموظفون!$AE102="",الموظفون!$AE102&gt;cfg_VAL_DATE),cfg_VAL_DATE,الموظفون!$AE102))</f>
        <v/>
      </c>
      <c r="F102" s="80" t="str">
        <f aca="false">IF($B102="","",IF(E102&lt;D102,"لم يباشر",DATEDIF(D102,E102+1,"y")&amp;" سنة "&amp;DATEDIF(D102,E102+1,"ym")&amp;" شهر "&amp;DATEDIF(D102,E102+1,"md")&amp;" يوم"))</f>
        <v/>
      </c>
      <c r="G102" s="57" t="str">
        <f aca="false">IF($B102="","",SUMIFS('سجل الإجازات والحالات'!$S$6:$S$505,'سجل الإجازات والحالات'!$B$6:$B$505,$B102))</f>
        <v/>
      </c>
      <c r="H102" s="130" t="str">
        <f aca="false">IF($B102="","",MAX(0,E102-D102+1-G102)/cfg_DAYS_Y)</f>
        <v/>
      </c>
      <c r="I102" s="97" t="str">
        <f aca="false">IF($B102="","",الموظفون!$Q102)</f>
        <v/>
      </c>
      <c r="J102" s="97" t="str">
        <f aca="false">IF($B102="","",I102*cfg_EOS_R1*MIN(H102,cfg_EOS_TH))</f>
        <v/>
      </c>
      <c r="K102" s="97" t="str">
        <f aca="false">IF($B102="","",I102*cfg_EOS_R2*MAX(H102-cfg_EOS_TH,0))</f>
        <v/>
      </c>
      <c r="L102" s="97" t="str">
        <f aca="false">IF($B102="","",J102+K102)</f>
        <v/>
      </c>
      <c r="M102" s="80" t="str">
        <f aca="false">IF($B102="","",IF(AND(الموظفون!$AE102&lt;&gt;"",الموظفون!$AE102&lt;=cfg_VAL_DATE),IF(الموظفون!$AF102="","⚠ حدد السبب",الموظفون!$AF102),"على رأس العمل"))</f>
        <v/>
      </c>
      <c r="N102" s="58" t="str">
        <f aca="false">IF($B102="","",VLOOKUP(H102,cfg_RES,2,TRUE()))</f>
        <v/>
      </c>
      <c r="O102" s="97" t="str">
        <f aca="false">IF($B102="","",IF(M102="استقالة",L102*N102,L102))</f>
        <v/>
      </c>
      <c r="P102" s="97" t="str">
        <f aca="false">IF($B102="","",I102*(cfg_EOS_R1*MIN((MAX(0,IF(OR(الموظفون!$AE102="",الموظفون!$AE102&gt;=cfg_Y_START),cfg_Y_START-1,الموظفون!$AE102)-D102+1-SUMIFS('سجل الإجازات والحالات'!$R$6:$R$505,'سجل الإجازات والحالات'!$B$6:$B$505,$B102))/cfg_DAYS_Y),cfg_EOS_TH)+cfg_EOS_R2*MAX((MAX(0,IF(OR(الموظفون!$AE102="",الموظفون!$AE102&gt;=cfg_Y_START),cfg_Y_START-1,الموظفون!$AE102)-D102+1-SUMIFS('سجل الإجازات والحالات'!$R$6:$R$505,'سجل الإجازات والحالات'!$B$6:$B$505,$B102))/cfg_DAYS_Y)-cfg_EOS_TH,0)))</f>
        <v/>
      </c>
      <c r="Q102" s="97" t="str">
        <f aca="false">IF($B102="","",O102-P102)</f>
        <v/>
      </c>
      <c r="R102" s="97" t="str">
        <f aca="false">IF($B102="","",SUMIFS('الحركات الشهرية'!$N$6:$N$1005,'الحركات الشهرية'!$B$6:$B$1005,B102,'الحركات الشهرية'!$A$6:$A$1005,"&lt;="&amp;cfg_VAL_M))</f>
        <v/>
      </c>
      <c r="S102" s="150" t="str">
        <f aca="false">IF($B102="","",P102+Q102-R102)</f>
        <v/>
      </c>
      <c r="T102" s="80" t="str">
        <f aca="false">IF($B102="","",IF(S102&lt;-0.01,"✖ صرف أكثر من المستحق",IF(AND(M102&lt;&gt;"على رأس العمل",S102&gt;0.01),"⚠ مستحق لم يُصرف","✔ سليم")))</f>
        <v/>
      </c>
    </row>
    <row r="103" customFormat="false" ht="15" hidden="false" customHeight="false" outlineLevel="0" collapsed="false">
      <c r="B103" s="102" t="str">
        <f aca="false">IF(الموظفون!$B103="","",الموظفون!$B103)</f>
        <v/>
      </c>
      <c r="C103" s="102" t="str">
        <f aca="false">IF($B103="","",الموظفون!$C103)</f>
        <v/>
      </c>
      <c r="D103" s="148" t="str">
        <f aca="false">IF($B103="","",الموظفون!$H103)</f>
        <v/>
      </c>
      <c r="E103" s="148" t="str">
        <f aca="false">IF($B103="","",IF(OR(الموظفون!$AE103="",الموظفون!$AE103&gt;cfg_VAL_DATE),cfg_VAL_DATE,الموظفون!$AE103))</f>
        <v/>
      </c>
      <c r="F103" s="102" t="str">
        <f aca="false">IF($B103="","",IF(E103&lt;D103,"لم يباشر",DATEDIF(D103,E103+1,"y")&amp;" سنة "&amp;DATEDIF(D103,E103+1,"ym")&amp;" شهر "&amp;DATEDIF(D103,E103+1,"md")&amp;" يوم"))</f>
        <v/>
      </c>
      <c r="G103" s="110" t="str">
        <f aca="false">IF($B103="","",SUMIFS('سجل الإجازات والحالات'!$S$6:$S$505,'سجل الإجازات والحالات'!$B$6:$B$505,$B103))</f>
        <v/>
      </c>
      <c r="H103" s="135" t="str">
        <f aca="false">IF($B103="","",MAX(0,E103-D103+1-G103)/cfg_DAYS_Y)</f>
        <v/>
      </c>
      <c r="I103" s="101" t="str">
        <f aca="false">IF($B103="","",الموظفون!$Q103)</f>
        <v/>
      </c>
      <c r="J103" s="101" t="str">
        <f aca="false">IF($B103="","",I103*cfg_EOS_R1*MIN(H103,cfg_EOS_TH))</f>
        <v/>
      </c>
      <c r="K103" s="101" t="str">
        <f aca="false">IF($B103="","",I103*cfg_EOS_R2*MAX(H103-cfg_EOS_TH,0))</f>
        <v/>
      </c>
      <c r="L103" s="101" t="str">
        <f aca="false">IF($B103="","",J103+K103)</f>
        <v/>
      </c>
      <c r="M103" s="102" t="str">
        <f aca="false">IF($B103="","",IF(AND(الموظفون!$AE103&lt;&gt;"",الموظفون!$AE103&lt;=cfg_VAL_DATE),IF(الموظفون!$AF103="","⚠ حدد السبب",الموظفون!$AF103),"على رأس العمل"))</f>
        <v/>
      </c>
      <c r="N103" s="111" t="str">
        <f aca="false">IF($B103="","",VLOOKUP(H103,cfg_RES,2,TRUE()))</f>
        <v/>
      </c>
      <c r="O103" s="101" t="str">
        <f aca="false">IF($B103="","",IF(M103="استقالة",L103*N103,L103))</f>
        <v/>
      </c>
      <c r="P103" s="101" t="str">
        <f aca="false">IF($B103="","",I103*(cfg_EOS_R1*MIN((MAX(0,IF(OR(الموظفون!$AE103="",الموظفون!$AE103&gt;=cfg_Y_START),cfg_Y_START-1,الموظفون!$AE103)-D103+1-SUMIFS('سجل الإجازات والحالات'!$R$6:$R$505,'سجل الإجازات والحالات'!$B$6:$B$505,$B103))/cfg_DAYS_Y),cfg_EOS_TH)+cfg_EOS_R2*MAX((MAX(0,IF(OR(الموظفون!$AE103="",الموظفون!$AE103&gt;=cfg_Y_START),cfg_Y_START-1,الموظفون!$AE103)-D103+1-SUMIFS('سجل الإجازات والحالات'!$R$6:$R$505,'سجل الإجازات والحالات'!$B$6:$B$505,$B103))/cfg_DAYS_Y)-cfg_EOS_TH,0)))</f>
        <v/>
      </c>
      <c r="Q103" s="101" t="str">
        <f aca="false">IF($B103="","",O103-P103)</f>
        <v/>
      </c>
      <c r="R103" s="101" t="str">
        <f aca="false">IF($B103="","",SUMIFS('الحركات الشهرية'!$N$6:$N$1005,'الحركات الشهرية'!$B$6:$B$1005,B103,'الحركات الشهرية'!$A$6:$A$1005,"&lt;="&amp;cfg_VAL_M))</f>
        <v/>
      </c>
      <c r="S103" s="151" t="str">
        <f aca="false">IF($B103="","",P103+Q103-R103)</f>
        <v/>
      </c>
      <c r="T103" s="102" t="str">
        <f aca="false">IF($B103="","",IF(S103&lt;-0.01,"✖ صرف أكثر من المستحق",IF(AND(M103&lt;&gt;"على رأس العمل",S103&gt;0.01),"⚠ مستحق لم يُصرف","✔ سليم")))</f>
        <v/>
      </c>
    </row>
    <row r="104" customFormat="false" ht="15" hidden="false" customHeight="false" outlineLevel="0" collapsed="false">
      <c r="B104" s="80" t="str">
        <f aca="false">IF(الموظفون!$B104="","",الموظفون!$B104)</f>
        <v/>
      </c>
      <c r="C104" s="80" t="str">
        <f aca="false">IF($B104="","",الموظفون!$C104)</f>
        <v/>
      </c>
      <c r="D104" s="147" t="str">
        <f aca="false">IF($B104="","",الموظفون!$H104)</f>
        <v/>
      </c>
      <c r="E104" s="147" t="str">
        <f aca="false">IF($B104="","",IF(OR(الموظفون!$AE104="",الموظفون!$AE104&gt;cfg_VAL_DATE),cfg_VAL_DATE,الموظفون!$AE104))</f>
        <v/>
      </c>
      <c r="F104" s="80" t="str">
        <f aca="false">IF($B104="","",IF(E104&lt;D104,"لم يباشر",DATEDIF(D104,E104+1,"y")&amp;" سنة "&amp;DATEDIF(D104,E104+1,"ym")&amp;" شهر "&amp;DATEDIF(D104,E104+1,"md")&amp;" يوم"))</f>
        <v/>
      </c>
      <c r="G104" s="57" t="str">
        <f aca="false">IF($B104="","",SUMIFS('سجل الإجازات والحالات'!$S$6:$S$505,'سجل الإجازات والحالات'!$B$6:$B$505,$B104))</f>
        <v/>
      </c>
      <c r="H104" s="130" t="str">
        <f aca="false">IF($B104="","",MAX(0,E104-D104+1-G104)/cfg_DAYS_Y)</f>
        <v/>
      </c>
      <c r="I104" s="97" t="str">
        <f aca="false">IF($B104="","",الموظفون!$Q104)</f>
        <v/>
      </c>
      <c r="J104" s="97" t="str">
        <f aca="false">IF($B104="","",I104*cfg_EOS_R1*MIN(H104,cfg_EOS_TH))</f>
        <v/>
      </c>
      <c r="K104" s="97" t="str">
        <f aca="false">IF($B104="","",I104*cfg_EOS_R2*MAX(H104-cfg_EOS_TH,0))</f>
        <v/>
      </c>
      <c r="L104" s="97" t="str">
        <f aca="false">IF($B104="","",J104+K104)</f>
        <v/>
      </c>
      <c r="M104" s="80" t="str">
        <f aca="false">IF($B104="","",IF(AND(الموظفون!$AE104&lt;&gt;"",الموظفون!$AE104&lt;=cfg_VAL_DATE),IF(الموظفون!$AF104="","⚠ حدد السبب",الموظفون!$AF104),"على رأس العمل"))</f>
        <v/>
      </c>
      <c r="N104" s="58" t="str">
        <f aca="false">IF($B104="","",VLOOKUP(H104,cfg_RES,2,TRUE()))</f>
        <v/>
      </c>
      <c r="O104" s="97" t="str">
        <f aca="false">IF($B104="","",IF(M104="استقالة",L104*N104,L104))</f>
        <v/>
      </c>
      <c r="P104" s="97" t="str">
        <f aca="false">IF($B104="","",I104*(cfg_EOS_R1*MIN((MAX(0,IF(OR(الموظفون!$AE104="",الموظفون!$AE104&gt;=cfg_Y_START),cfg_Y_START-1,الموظفون!$AE104)-D104+1-SUMIFS('سجل الإجازات والحالات'!$R$6:$R$505,'سجل الإجازات والحالات'!$B$6:$B$505,$B104))/cfg_DAYS_Y),cfg_EOS_TH)+cfg_EOS_R2*MAX((MAX(0,IF(OR(الموظفون!$AE104="",الموظفون!$AE104&gt;=cfg_Y_START),cfg_Y_START-1,الموظفون!$AE104)-D104+1-SUMIFS('سجل الإجازات والحالات'!$R$6:$R$505,'سجل الإجازات والحالات'!$B$6:$B$505,$B104))/cfg_DAYS_Y)-cfg_EOS_TH,0)))</f>
        <v/>
      </c>
      <c r="Q104" s="97" t="str">
        <f aca="false">IF($B104="","",O104-P104)</f>
        <v/>
      </c>
      <c r="R104" s="97" t="str">
        <f aca="false">IF($B104="","",SUMIFS('الحركات الشهرية'!$N$6:$N$1005,'الحركات الشهرية'!$B$6:$B$1005,B104,'الحركات الشهرية'!$A$6:$A$1005,"&lt;="&amp;cfg_VAL_M))</f>
        <v/>
      </c>
      <c r="S104" s="150" t="str">
        <f aca="false">IF($B104="","",P104+Q104-R104)</f>
        <v/>
      </c>
      <c r="T104" s="80" t="str">
        <f aca="false">IF($B104="","",IF(S104&lt;-0.01,"✖ صرف أكثر من المستحق",IF(AND(M104&lt;&gt;"على رأس العمل",S104&gt;0.01),"⚠ مستحق لم يُصرف","✔ سليم")))</f>
        <v/>
      </c>
    </row>
    <row r="105" customFormat="false" ht="15" hidden="false" customHeight="false" outlineLevel="0" collapsed="false">
      <c r="B105" s="102" t="str">
        <f aca="false">IF(الموظفون!$B105="","",الموظفون!$B105)</f>
        <v/>
      </c>
      <c r="C105" s="102" t="str">
        <f aca="false">IF($B105="","",الموظفون!$C105)</f>
        <v/>
      </c>
      <c r="D105" s="148" t="str">
        <f aca="false">IF($B105="","",الموظفون!$H105)</f>
        <v/>
      </c>
      <c r="E105" s="148" t="str">
        <f aca="false">IF($B105="","",IF(OR(الموظفون!$AE105="",الموظفون!$AE105&gt;cfg_VAL_DATE),cfg_VAL_DATE,الموظفون!$AE105))</f>
        <v/>
      </c>
      <c r="F105" s="102" t="str">
        <f aca="false">IF($B105="","",IF(E105&lt;D105,"لم يباشر",DATEDIF(D105,E105+1,"y")&amp;" سنة "&amp;DATEDIF(D105,E105+1,"ym")&amp;" شهر "&amp;DATEDIF(D105,E105+1,"md")&amp;" يوم"))</f>
        <v/>
      </c>
      <c r="G105" s="110" t="str">
        <f aca="false">IF($B105="","",SUMIFS('سجل الإجازات والحالات'!$S$6:$S$505,'سجل الإجازات والحالات'!$B$6:$B$505,$B105))</f>
        <v/>
      </c>
      <c r="H105" s="135" t="str">
        <f aca="false">IF($B105="","",MAX(0,E105-D105+1-G105)/cfg_DAYS_Y)</f>
        <v/>
      </c>
      <c r="I105" s="101" t="str">
        <f aca="false">IF($B105="","",الموظفون!$Q105)</f>
        <v/>
      </c>
      <c r="J105" s="101" t="str">
        <f aca="false">IF($B105="","",I105*cfg_EOS_R1*MIN(H105,cfg_EOS_TH))</f>
        <v/>
      </c>
      <c r="K105" s="101" t="str">
        <f aca="false">IF($B105="","",I105*cfg_EOS_R2*MAX(H105-cfg_EOS_TH,0))</f>
        <v/>
      </c>
      <c r="L105" s="101" t="str">
        <f aca="false">IF($B105="","",J105+K105)</f>
        <v/>
      </c>
      <c r="M105" s="102" t="str">
        <f aca="false">IF($B105="","",IF(AND(الموظفون!$AE105&lt;&gt;"",الموظفون!$AE105&lt;=cfg_VAL_DATE),IF(الموظفون!$AF105="","⚠ حدد السبب",الموظفون!$AF105),"على رأس العمل"))</f>
        <v/>
      </c>
      <c r="N105" s="111" t="str">
        <f aca="false">IF($B105="","",VLOOKUP(H105,cfg_RES,2,TRUE()))</f>
        <v/>
      </c>
      <c r="O105" s="101" t="str">
        <f aca="false">IF($B105="","",IF(M105="استقالة",L105*N105,L105))</f>
        <v/>
      </c>
      <c r="P105" s="101" t="str">
        <f aca="false">IF($B105="","",I105*(cfg_EOS_R1*MIN((MAX(0,IF(OR(الموظفون!$AE105="",الموظفون!$AE105&gt;=cfg_Y_START),cfg_Y_START-1,الموظفون!$AE105)-D105+1-SUMIFS('سجل الإجازات والحالات'!$R$6:$R$505,'سجل الإجازات والحالات'!$B$6:$B$505,$B105))/cfg_DAYS_Y),cfg_EOS_TH)+cfg_EOS_R2*MAX((MAX(0,IF(OR(الموظفون!$AE105="",الموظفون!$AE105&gt;=cfg_Y_START),cfg_Y_START-1,الموظفون!$AE105)-D105+1-SUMIFS('سجل الإجازات والحالات'!$R$6:$R$505,'سجل الإجازات والحالات'!$B$6:$B$505,$B105))/cfg_DAYS_Y)-cfg_EOS_TH,0)))</f>
        <v/>
      </c>
      <c r="Q105" s="101" t="str">
        <f aca="false">IF($B105="","",O105-P105)</f>
        <v/>
      </c>
      <c r="R105" s="101" t="str">
        <f aca="false">IF($B105="","",SUMIFS('الحركات الشهرية'!$N$6:$N$1005,'الحركات الشهرية'!$B$6:$B$1005,B105,'الحركات الشهرية'!$A$6:$A$1005,"&lt;="&amp;cfg_VAL_M))</f>
        <v/>
      </c>
      <c r="S105" s="151" t="str">
        <f aca="false">IF($B105="","",P105+Q105-R105)</f>
        <v/>
      </c>
      <c r="T105" s="102" t="str">
        <f aca="false">IF($B105="","",IF(S105&lt;-0.01,"✖ صرف أكثر من المستحق",IF(AND(M105&lt;&gt;"على رأس العمل",S105&gt;0.01),"⚠ مستحق لم يُصرف","✔ سليم")))</f>
        <v/>
      </c>
    </row>
    <row r="106" customFormat="false" ht="24" hidden="false" customHeight="true" outlineLevel="0" collapsed="false">
      <c r="B106" s="103"/>
      <c r="C106" s="103" t="s">
        <v>127</v>
      </c>
      <c r="D106" s="103"/>
      <c r="E106" s="103"/>
      <c r="F106" s="103"/>
      <c r="G106" s="103"/>
      <c r="H106" s="103"/>
      <c r="I106" s="103"/>
      <c r="J106" s="103" t="n">
        <f aca="false">SUM(J6:J105)</f>
        <v>436579.828767123</v>
      </c>
      <c r="K106" s="103" t="n">
        <f aca="false">SUM(K6:K105)</f>
        <v>757490.547945206</v>
      </c>
      <c r="L106" s="103" t="n">
        <f aca="false">SUM(L6:L105)</f>
        <v>1194070.37671233</v>
      </c>
      <c r="M106" s="103"/>
      <c r="N106" s="103"/>
      <c r="O106" s="103" t="n">
        <f aca="false">SUM(O6:O105)</f>
        <v>1183180.99315069</v>
      </c>
      <c r="P106" s="103" t="n">
        <f aca="false">SUM(P6:P105)</f>
        <v>1069951.74657534</v>
      </c>
      <c r="Q106" s="103" t="n">
        <f aca="false">SUM(Q6:Q105)</f>
        <v>113229.246575342</v>
      </c>
      <c r="R106" s="103" t="n">
        <f aca="false">SUM(R6:R105)</f>
        <v>21778.7671232877</v>
      </c>
      <c r="S106" s="103" t="n">
        <f aca="false">SUM(S6:S105)</f>
        <v>1161402.2260274</v>
      </c>
      <c r="T106" s="103"/>
    </row>
    <row r="107" customFormat="false" ht="43.5" hidden="false" customHeight="true" outlineLevel="0" collapsed="false">
      <c r="B107" s="24" t="s">
        <v>521</v>
      </c>
      <c r="C107" s="24"/>
      <c r="D107" s="24"/>
      <c r="E107" s="24"/>
      <c r="F107" s="24"/>
      <c r="G107" s="24"/>
      <c r="H107" s="24"/>
      <c r="I107" s="24"/>
      <c r="J107" s="24"/>
      <c r="K107" s="24"/>
      <c r="L107" s="24"/>
      <c r="M107" s="24"/>
      <c r="N107" s="24"/>
      <c r="O107" s="24"/>
      <c r="P107" s="24"/>
      <c r="Q107" s="24"/>
      <c r="R107" s="24"/>
      <c r="S107" s="24"/>
      <c r="T107" s="24"/>
    </row>
  </sheetData>
  <mergeCells count="3">
    <mergeCell ref="B1:T1"/>
    <mergeCell ref="B2:T2"/>
    <mergeCell ref="B107:T107"/>
  </mergeCells>
  <conditionalFormatting sqref="T6:T105">
    <cfRule type="expression" priority="2" aboveAverage="0" equalAverage="0" bottom="0" percent="0" rank="0" text="" dxfId="0">
      <formula>ISNUMBER(SEARCH("✔",T6))</formula>
    </cfRule>
    <cfRule type="expression" priority="3" aboveAverage="0" equalAverage="0" bottom="0" percent="0" rank="0" text="" dxfId="1">
      <formula>ISNUMBER(SEARCH("✖",T6))</formula>
    </cfRule>
    <cfRule type="expression" priority="4" aboveAverage="0" equalAverage="0" bottom="0" percent="0" rank="0" text="" dxfId="2">
      <formula>ISNUMBER(SEARCH("⚠",T6))</formula>
    </cfRule>
    <cfRule type="expression" priority="5" aboveAverage="0" equalAverage="0" bottom="0" percent="0" rank="0" text="" dxfId="3">
      <formula>ISNUMBER(SEARCH("✈",T6))</formula>
    </cfRule>
    <cfRule type="expression" priority="6" aboveAverage="0" equalAverage="0" bottom="0" percent="0" rank="0" text="" dxfId="1">
      <formula>ISNUMBER(SEARCH("⛔",T6))</formula>
    </cfRule>
    <cfRule type="expression" priority="7" aboveAverage="0" equalAverage="0" bottom="0" percent="0" rank="0" text="" dxfId="0">
      <formula>ISNUMBER(SEARCH("🌴",T6))</formula>
    </cfRule>
    <cfRule type="expression" priority="8" aboveAverage="0" equalAverage="0" bottom="0" percent="0" rank="0" text="" dxfId="4">
      <formula>ISNUMBER(SEARCH("⏳",T6))</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B1:S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9"/>
    <col collapsed="false" customWidth="true" hidden="false" outlineLevel="0" max="3" min="3" style="0" width="24"/>
    <col collapsed="false" customWidth="true" hidden="false" outlineLevel="0" max="4" min="4" style="0" width="12"/>
    <col collapsed="false" customWidth="true" hidden="false" outlineLevel="0" max="5" min="5" style="0" width="9"/>
    <col collapsed="false" customWidth="true" hidden="false" outlineLevel="0" max="6" min="6" style="0" width="10"/>
    <col collapsed="false" customWidth="true" hidden="false" outlineLevel="0" max="7" min="7" style="0" width="11"/>
    <col collapsed="false" customWidth="true" hidden="false" outlineLevel="0" max="8" min="8" style="0" width="10"/>
    <col collapsed="false" customWidth="true" hidden="false" outlineLevel="0" max="10" min="9" style="0" width="12"/>
    <col collapsed="false" customWidth="true" hidden="false" outlineLevel="0" max="14" min="11" style="0" width="10"/>
    <col collapsed="false" customWidth="true" hidden="false" outlineLevel="0" max="15" min="15" style="0" width="11"/>
    <col collapsed="false" customWidth="true" hidden="false" outlineLevel="0" max="16" min="16" style="0" width="14"/>
    <col collapsed="false" customWidth="true" hidden="false" outlineLevel="0" max="18" min="17" style="0" width="13"/>
    <col collapsed="false" customWidth="true" hidden="false" outlineLevel="0" max="19" min="19" style="0" width="18"/>
  </cols>
  <sheetData>
    <row r="1" customFormat="false" ht="37.5" hidden="false" customHeight="true" outlineLevel="0" collapsed="false">
      <c r="B1" s="1" t="str">
        <f aca="false">"🌴 مخصص الإجازات السنوية كما في "&amp;TEXT(cfg_VAL_DATE,"yyyy/mm/dd")</f>
        <v>🌴 مخصص الإجازات السنوية كما في 2026/09/30</v>
      </c>
      <c r="C1" s="1"/>
      <c r="D1" s="1"/>
      <c r="E1" s="1"/>
      <c r="F1" s="1"/>
      <c r="G1" s="1"/>
      <c r="H1" s="1"/>
      <c r="I1" s="1"/>
      <c r="J1" s="1"/>
      <c r="K1" s="1"/>
      <c r="L1" s="1"/>
      <c r="M1" s="1"/>
      <c r="N1" s="1"/>
      <c r="O1" s="1"/>
      <c r="P1" s="1"/>
      <c r="Q1" s="1"/>
      <c r="R1" s="1"/>
      <c r="S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row>
    <row r="3" customFormat="false" ht="25.5" hidden="false" customHeight="true" outlineLevel="0" collapsed="false">
      <c r="B3" s="25" t="s">
        <v>80</v>
      </c>
      <c r="C3" s="12" t="s">
        <v>138</v>
      </c>
      <c r="D3" s="26" t="s">
        <v>81</v>
      </c>
      <c r="E3" s="26" t="s">
        <v>82</v>
      </c>
      <c r="F3" s="27" t="s">
        <v>83</v>
      </c>
      <c r="G3" s="26" t="s">
        <v>84</v>
      </c>
      <c r="H3" s="28" t="s">
        <v>85</v>
      </c>
      <c r="I3" s="26" t="s">
        <v>39</v>
      </c>
      <c r="J3" s="26" t="s">
        <v>139</v>
      </c>
    </row>
    <row r="4" customFormat="false" ht="7.5" hidden="false" customHeight="true" outlineLevel="0" collapsed="false"/>
    <row r="5" customFormat="false" ht="51.75" hidden="false" customHeight="true" outlineLevel="0" collapsed="false">
      <c r="B5" s="55" t="s">
        <v>486</v>
      </c>
      <c r="C5" s="55" t="s">
        <v>274</v>
      </c>
      <c r="D5" s="55" t="s">
        <v>277</v>
      </c>
      <c r="E5" s="55" t="s">
        <v>522</v>
      </c>
      <c r="F5" s="55" t="s">
        <v>523</v>
      </c>
      <c r="G5" s="55" t="s">
        <v>524</v>
      </c>
      <c r="H5" s="55" t="s">
        <v>525</v>
      </c>
      <c r="I5" s="55" t="s">
        <v>526</v>
      </c>
      <c r="J5" s="55" t="s">
        <v>527</v>
      </c>
      <c r="K5" s="55" t="s">
        <v>528</v>
      </c>
      <c r="L5" s="55" t="s">
        <v>529</v>
      </c>
      <c r="M5" s="55" t="s">
        <v>530</v>
      </c>
      <c r="N5" s="55" t="s">
        <v>531</v>
      </c>
      <c r="O5" s="55" t="s">
        <v>532</v>
      </c>
      <c r="P5" s="55" t="s">
        <v>533</v>
      </c>
      <c r="Q5" s="55" t="s">
        <v>534</v>
      </c>
      <c r="R5" s="55" t="s">
        <v>535</v>
      </c>
      <c r="S5" s="55" t="s">
        <v>520</v>
      </c>
    </row>
    <row r="6" customFormat="false" ht="15" hidden="false" customHeight="false" outlineLevel="0" collapsed="false">
      <c r="B6" s="80" t="str">
        <f aca="false">IF(الموظفون!$B6="","",الموظفون!$B6)</f>
        <v>E001</v>
      </c>
      <c r="C6" s="80" t="str">
        <f aca="false">IF($B6="","",الموظفون!$C6)</f>
        <v>عبدالله محمد العتيبي</v>
      </c>
      <c r="D6" s="147" t="n">
        <f aca="false">IF($B6="","",الموظفون!$H6)</f>
        <v>40923</v>
      </c>
      <c r="E6" s="152" t="n">
        <f aca="false">IF($B6="","",MAX(0,J6-D6+1-SUMIFS('سجل الإجازات والحالات'!$S$6:$S$505,'سجل الإجازات والحالات'!$B$6:$B$505,$B6))/cfg_DAYS_Y)</f>
        <v>14.7205479452055</v>
      </c>
      <c r="F6" s="57" t="n">
        <f aca="false">IF($B6="","",IF(الموظفون!$T6&lt;&gt;"",الموظفون!$T6,IF(E6&gt;=cfg_LV_TH,cfg_LV_D2,cfg_LV_D1)))</f>
        <v>30</v>
      </c>
      <c r="G6" s="97" t="n">
        <f aca="false">IF($B6="","",الموظفون!$R6/cfg_DAYS_M)</f>
        <v>1260</v>
      </c>
      <c r="H6" s="126" t="n">
        <f aca="false">IF($B6="","",N(الموظفون!$AC6))</f>
        <v>18</v>
      </c>
      <c r="I6" s="147" t="n">
        <f aca="false">IF($B6="","",MAX(cfg_Y_START,D6))</f>
        <v>46023</v>
      </c>
      <c r="J6" s="147" t="n">
        <f aca="false">IF($B6="","",IF(OR(الموظفون!$AE6="",الموظفون!$AE6&gt;cfg_VAL_DATE),cfg_VAL_DATE,الموظفون!$AE6))</f>
        <v>46295</v>
      </c>
      <c r="K6" s="57" t="n">
        <f aca="false">IF($B6="","",MAX(0,MAX(0,J6-I6+1)-(SUMIFS('سجل الإجازات والحالات'!$S$6:$S$505,'سجل الإجازات والحالات'!$B$6:$B$505,$B6)-SUMIFS('سجل الإجازات والحالات'!$R$6:$R$505,'سجل الإجازات والحالات'!$B$6:$B$505,$B6))))</f>
        <v>273</v>
      </c>
      <c r="L6" s="126" t="n">
        <f aca="false">IF($B6="","",F6/cfg_DAYS_Y*K6)</f>
        <v>22.4383561643836</v>
      </c>
      <c r="M6" s="126" t="n">
        <f aca="false">IF($B6="","",SUMIFS('سجل الإجازات والحالات'!$T$6:$T$505,'سجل الإجازات والحالات'!$B$6:$B$505,$B6)+SUMIFS('الحركات الشهرية'!$K$6:$K$1005,'الحركات الشهرية'!$B$6:$B$1005,B6,'الحركات الشهرية'!$A$6:$A$1005,"&lt;="&amp;cfg_VAL_M))</f>
        <v>10</v>
      </c>
      <c r="N6" s="126" t="n">
        <f aca="false">IF($B6="","",SUMIFS('الحركات الشهرية'!$L$6:$L$1005,'الحركات الشهرية'!$B$6:$B$1005,B6,'الحركات الشهرية'!$A$6:$A$1005,"&lt;="&amp;cfg_VAL_M))</f>
        <v>0</v>
      </c>
      <c r="O6" s="126" t="n">
        <f aca="false">IF($B6="","",H6+L6-M6-N6)</f>
        <v>30.4383561643836</v>
      </c>
      <c r="P6" s="128" t="n">
        <f aca="false">IF($B6="","",O6*G6)</f>
        <v>38352.3287671233</v>
      </c>
      <c r="Q6" s="97" t="n">
        <f aca="false">IF($B6="","",H6*G6)</f>
        <v>22680</v>
      </c>
      <c r="R6" s="97" t="n">
        <f aca="false">IF($B6="","",(M6+N6)*G6)</f>
        <v>12600</v>
      </c>
      <c r="S6" s="80" t="str">
        <f aca="false">IF($B6="","",IF(O6&lt;-0.01,"✖ رصيد سالب",IF(O6&gt;F6*2,"⚠ رصيد مرتفع (أكثر من سنتين)",IF(AND(الموظفون!$AE6&lt;&gt;"",الموظفون!$AE6&lt;=cfg_VAL_DATE,O6&gt;0.01),"⚠ منتهي الخدمة برصيد","✔ سليم"))))</f>
        <v>✔ سليم</v>
      </c>
    </row>
    <row r="7" customFormat="false" ht="15" hidden="false" customHeight="false" outlineLevel="0" collapsed="false">
      <c r="B7" s="102" t="str">
        <f aca="false">IF(الموظفون!$B7="","",الموظفون!$B7)</f>
        <v>E002</v>
      </c>
      <c r="C7" s="102" t="str">
        <f aca="false">IF($B7="","",الموظفون!$C7)</f>
        <v>أحمد سعيد القحطاني</v>
      </c>
      <c r="D7" s="148" t="n">
        <f aca="false">IF($B7="","",الموظفون!$H7)</f>
        <v>42522</v>
      </c>
      <c r="E7" s="153" t="n">
        <f aca="false">IF($B7="","",MAX(0,J7-D7+1-SUMIFS('سجل الإجازات والحالات'!$S$6:$S$505,'سجل الإجازات والحالات'!$B$6:$B$505,$B7))/cfg_DAYS_Y)</f>
        <v>10.3397260273973</v>
      </c>
      <c r="F7" s="110" t="n">
        <f aca="false">IF($B7="","",IF(الموظفون!$T7&lt;&gt;"",الموظفون!$T7,IF(E7&gt;=cfg_LV_TH,cfg_LV_D2,cfg_LV_D1)))</f>
        <v>30</v>
      </c>
      <c r="G7" s="101" t="n">
        <f aca="false">IF($B7="","",الموظفون!$R7/cfg_DAYS_M)</f>
        <v>810</v>
      </c>
      <c r="H7" s="131" t="n">
        <f aca="false">IF($B7="","",N(الموظفون!$AC7))</f>
        <v>12</v>
      </c>
      <c r="I7" s="148" t="n">
        <f aca="false">IF($B7="","",MAX(cfg_Y_START,D7))</f>
        <v>46023</v>
      </c>
      <c r="J7" s="148" t="n">
        <f aca="false">IF($B7="","",IF(OR(الموظفون!$AE7="",الموظفون!$AE7&gt;cfg_VAL_DATE),cfg_VAL_DATE,الموظفون!$AE7))</f>
        <v>46295</v>
      </c>
      <c r="K7" s="110" t="n">
        <f aca="false">IF($B7="","",MAX(0,MAX(0,J7-I7+1)-(SUMIFS('سجل الإجازات والحالات'!$S$6:$S$505,'سجل الإجازات والحالات'!$B$6:$B$505,$B7)-SUMIFS('سجل الإجازات والحالات'!$R$6:$R$505,'سجل الإجازات والحالات'!$B$6:$B$505,$B7))))</f>
        <v>273</v>
      </c>
      <c r="L7" s="131" t="n">
        <f aca="false">IF($B7="","",F7/cfg_DAYS_Y*K7)</f>
        <v>22.4383561643836</v>
      </c>
      <c r="M7" s="131" t="n">
        <f aca="false">IF($B7="","",SUMIFS('سجل الإجازات والحالات'!$T$6:$T$505,'سجل الإجازات والحالات'!$B$6:$B$505,$B7)+SUMIFS('الحركات الشهرية'!$K$6:$K$1005,'الحركات الشهرية'!$B$6:$B$1005,B7,'الحركات الشهرية'!$A$6:$A$1005,"&lt;="&amp;cfg_VAL_M))</f>
        <v>20</v>
      </c>
      <c r="N7" s="131" t="n">
        <f aca="false">IF($B7="","",SUMIFS('الحركات الشهرية'!$L$6:$L$1005,'الحركات الشهرية'!$B$6:$B$1005,B7,'الحركات الشهرية'!$A$6:$A$1005,"&lt;="&amp;cfg_VAL_M))</f>
        <v>0</v>
      </c>
      <c r="O7" s="131" t="n">
        <f aca="false">IF($B7="","",H7+L7-M7-N7)</f>
        <v>14.4383561643836</v>
      </c>
      <c r="P7" s="133" t="n">
        <f aca="false">IF($B7="","",O7*G7)</f>
        <v>11695.0684931507</v>
      </c>
      <c r="Q7" s="101" t="n">
        <f aca="false">IF($B7="","",H7*G7)</f>
        <v>9720</v>
      </c>
      <c r="R7" s="101" t="n">
        <f aca="false">IF($B7="","",(M7+N7)*G7)</f>
        <v>16200</v>
      </c>
      <c r="S7" s="102" t="str">
        <f aca="false">IF($B7="","",IF(O7&lt;-0.01,"✖ رصيد سالب",IF(O7&gt;F7*2,"⚠ رصيد مرتفع (أكثر من سنتين)",IF(AND(الموظفون!$AE7&lt;&gt;"",الموظفون!$AE7&lt;=cfg_VAL_DATE,O7&gt;0.01),"⚠ منتهي الخدمة برصيد","✔ سليم"))))</f>
        <v>✔ سليم</v>
      </c>
    </row>
    <row r="8" customFormat="false" ht="15" hidden="false" customHeight="false" outlineLevel="0" collapsed="false">
      <c r="B8" s="80" t="str">
        <f aca="false">IF(الموظفون!$B8="","",الموظفون!$B8)</f>
        <v>E003</v>
      </c>
      <c r="C8" s="80" t="str">
        <f aca="false">IF($B8="","",الموظفون!$C8)</f>
        <v>محمد علي حسن</v>
      </c>
      <c r="D8" s="147" t="n">
        <f aca="false">IF($B8="","",الموظفون!$H8)</f>
        <v>43353</v>
      </c>
      <c r="E8" s="152" t="n">
        <f aca="false">IF($B8="","",MAX(0,J8-D8+1-SUMIFS('سجل الإجازات والحالات'!$S$6:$S$505,'سجل الإجازات والحالات'!$B$6:$B$505,$B8))/cfg_DAYS_Y)</f>
        <v>8.06301369863014</v>
      </c>
      <c r="F8" s="57" t="n">
        <f aca="false">IF($B8="","",IF(الموظفون!$T8&lt;&gt;"",الموظفون!$T8,IF(E8&gt;=cfg_LV_TH,cfg_LV_D2,cfg_LV_D1)))</f>
        <v>30</v>
      </c>
      <c r="G8" s="97" t="n">
        <f aca="false">IF($B8="","",الموظفون!$R8/cfg_DAYS_M)</f>
        <v>382.5</v>
      </c>
      <c r="H8" s="126" t="n">
        <f aca="false">IF($B8="","",N(الموظفون!$AC8))</f>
        <v>20</v>
      </c>
      <c r="I8" s="147" t="n">
        <f aca="false">IF($B8="","",MAX(cfg_Y_START,D8))</f>
        <v>46023</v>
      </c>
      <c r="J8" s="147" t="n">
        <f aca="false">IF($B8="","",IF(OR(الموظفون!$AE8="",الموظفون!$AE8&gt;cfg_VAL_DATE),cfg_VAL_DATE,الموظفون!$AE8))</f>
        <v>46295</v>
      </c>
      <c r="K8" s="57" t="n">
        <f aca="false">IF($B8="","",MAX(0,MAX(0,J8-I8+1)-(SUMIFS('سجل الإجازات والحالات'!$S$6:$S$505,'سجل الإجازات والحالات'!$B$6:$B$505,$B8)-SUMIFS('سجل الإجازات والحالات'!$R$6:$R$505,'سجل الإجازات والحالات'!$B$6:$B$505,$B8))))</f>
        <v>273</v>
      </c>
      <c r="L8" s="126" t="n">
        <f aca="false">IF($B8="","",F8/cfg_DAYS_Y*K8)</f>
        <v>22.4383561643836</v>
      </c>
      <c r="M8" s="126" t="n">
        <f aca="false">IF($B8="","",SUMIFS('سجل الإجازات والحالات'!$T$6:$T$505,'سجل الإجازات والحالات'!$B$6:$B$505,$B8)+SUMIFS('الحركات الشهرية'!$K$6:$K$1005,'الحركات الشهرية'!$B$6:$B$1005,B8,'الحركات الشهرية'!$A$6:$A$1005,"&lt;="&amp;cfg_VAL_M))</f>
        <v>0</v>
      </c>
      <c r="N8" s="126" t="n">
        <f aca="false">IF($B8="","",SUMIFS('الحركات الشهرية'!$L$6:$L$1005,'الحركات الشهرية'!$B$6:$B$1005,B8,'الحركات الشهرية'!$A$6:$A$1005,"&lt;="&amp;cfg_VAL_M))</f>
        <v>0</v>
      </c>
      <c r="O8" s="126" t="n">
        <f aca="false">IF($B8="","",H8+L8-M8-N8)</f>
        <v>42.4383561643836</v>
      </c>
      <c r="P8" s="128" t="n">
        <f aca="false">IF($B8="","",O8*G8)</f>
        <v>16232.6712328767</v>
      </c>
      <c r="Q8" s="97" t="n">
        <f aca="false">IF($B8="","",H8*G8)</f>
        <v>7650</v>
      </c>
      <c r="R8" s="97" t="n">
        <f aca="false">IF($B8="","",(M8+N8)*G8)</f>
        <v>0</v>
      </c>
      <c r="S8" s="80" t="str">
        <f aca="false">IF($B8="","",IF(O8&lt;-0.01,"✖ رصيد سالب",IF(O8&gt;F8*2,"⚠ رصيد مرتفع (أكثر من سنتين)",IF(AND(الموظفون!$AE8&lt;&gt;"",الموظفون!$AE8&lt;=cfg_VAL_DATE,O8&gt;0.01),"⚠ منتهي الخدمة برصيد","✔ سليم"))))</f>
        <v>✔ سليم</v>
      </c>
    </row>
    <row r="9" customFormat="false" ht="15" hidden="false" customHeight="false" outlineLevel="0" collapsed="false">
      <c r="B9" s="102" t="str">
        <f aca="false">IF(الموظفون!$B9="","",الموظفون!$B9)</f>
        <v>E004</v>
      </c>
      <c r="C9" s="102" t="str">
        <f aca="false">IF($B9="","",الموظفون!$C9)</f>
        <v>نورة خالد الدوسري</v>
      </c>
      <c r="D9" s="148" t="n">
        <f aca="false">IF($B9="","",الموظفون!$H9)</f>
        <v>43497</v>
      </c>
      <c r="E9" s="153" t="n">
        <f aca="false">IF($B9="","",MAX(0,J9-D9+1-SUMIFS('سجل الإجازات والحالات'!$S$6:$S$505,'سجل الإجازات والحالات'!$B$6:$B$505,$B9))/cfg_DAYS_Y)</f>
        <v>7.66849315068493</v>
      </c>
      <c r="F9" s="110" t="n">
        <f aca="false">IF($B9="","",IF(الموظفون!$T9&lt;&gt;"",الموظفون!$T9,IF(E9&gt;=cfg_LV_TH,cfg_LV_D2,cfg_LV_D1)))</f>
        <v>30</v>
      </c>
      <c r="G9" s="101" t="n">
        <f aca="false">IF($B9="","",الموظفون!$R9/cfg_DAYS_M)</f>
        <v>630</v>
      </c>
      <c r="H9" s="131" t="n">
        <f aca="false">IF($B9="","",N(الموظفون!$AC9))</f>
        <v>9</v>
      </c>
      <c r="I9" s="148" t="n">
        <f aca="false">IF($B9="","",MAX(cfg_Y_START,D9))</f>
        <v>46023</v>
      </c>
      <c r="J9" s="148" t="n">
        <f aca="false">IF($B9="","",IF(OR(الموظفون!$AE9="",الموظفون!$AE9&gt;cfg_VAL_DATE),cfg_VAL_DATE,الموظفون!$AE9))</f>
        <v>46295</v>
      </c>
      <c r="K9" s="110" t="n">
        <f aca="false">IF($B9="","",MAX(0,MAX(0,J9-I9+1)-(SUMIFS('سجل الإجازات والحالات'!$S$6:$S$505,'سجل الإجازات والحالات'!$B$6:$B$505,$B9)-SUMIFS('سجل الإجازات والحالات'!$R$6:$R$505,'سجل الإجازات والحالات'!$B$6:$B$505,$B9))))</f>
        <v>273</v>
      </c>
      <c r="L9" s="131" t="n">
        <f aca="false">IF($B9="","",F9/cfg_DAYS_Y*K9)</f>
        <v>22.4383561643836</v>
      </c>
      <c r="M9" s="131" t="n">
        <f aca="false">IF($B9="","",SUMIFS('سجل الإجازات والحالات'!$T$6:$T$505,'سجل الإجازات والحالات'!$B$6:$B$505,$B9)+SUMIFS('الحركات الشهرية'!$K$6:$K$1005,'الحركات الشهرية'!$B$6:$B$1005,B9,'الحركات الشهرية'!$A$6:$A$1005,"&lt;="&amp;cfg_VAL_M))</f>
        <v>15</v>
      </c>
      <c r="N9" s="131" t="n">
        <f aca="false">IF($B9="","",SUMIFS('الحركات الشهرية'!$L$6:$L$1005,'الحركات الشهرية'!$B$6:$B$1005,B9,'الحركات الشهرية'!$A$6:$A$1005,"&lt;="&amp;cfg_VAL_M))</f>
        <v>0</v>
      </c>
      <c r="O9" s="131" t="n">
        <f aca="false">IF($B9="","",H9+L9-M9-N9)</f>
        <v>16.4383561643836</v>
      </c>
      <c r="P9" s="133" t="n">
        <f aca="false">IF($B9="","",O9*G9)</f>
        <v>10356.1643835616</v>
      </c>
      <c r="Q9" s="101" t="n">
        <f aca="false">IF($B9="","",H9*G9)</f>
        <v>5670</v>
      </c>
      <c r="R9" s="101" t="n">
        <f aca="false">IF($B9="","",(M9+N9)*G9)</f>
        <v>9450</v>
      </c>
      <c r="S9" s="102" t="str">
        <f aca="false">IF($B9="","",IF(O9&lt;-0.01,"✖ رصيد سالب",IF(O9&gt;F9*2,"⚠ رصيد مرتفع (أكثر من سنتين)",IF(AND(الموظفون!$AE9&lt;&gt;"",الموظفون!$AE9&lt;=cfg_VAL_DATE,O9&gt;0.01),"⚠ منتهي الخدمة برصيد","✔ سليم"))))</f>
        <v>✔ سليم</v>
      </c>
    </row>
    <row r="10" customFormat="false" ht="15" hidden="false" customHeight="false" outlineLevel="0" collapsed="false">
      <c r="B10" s="80" t="str">
        <f aca="false">IF(الموظفون!$B10="","",الموظفون!$B10)</f>
        <v>E005</v>
      </c>
      <c r="C10" s="80" t="str">
        <f aca="false">IF($B10="","",الموظفون!$C10)</f>
        <v>راجيش كومار</v>
      </c>
      <c r="D10" s="147" t="n">
        <f aca="false">IF($B10="","",الموظفون!$H10)</f>
        <v>43933</v>
      </c>
      <c r="E10" s="152" t="n">
        <f aca="false">IF($B10="","",MAX(0,J10-D10+1-SUMIFS('سجل الإجازات والحالات'!$S$6:$S$505,'سجل الإجازات والحالات'!$B$6:$B$505,$B10))/cfg_DAYS_Y)</f>
        <v>6.47397260273973</v>
      </c>
      <c r="F10" s="57" t="n">
        <f aca="false">IF($B10="","",IF(الموظفون!$T10&lt;&gt;"",الموظفون!$T10,IF(E10&gt;=cfg_LV_TH,cfg_LV_D2,cfg_LV_D1)))</f>
        <v>30</v>
      </c>
      <c r="G10" s="97" t="n">
        <f aca="false">IF($B10="","",الموظفون!$R10/cfg_DAYS_M)</f>
        <v>405</v>
      </c>
      <c r="H10" s="126" t="n">
        <f aca="false">IF($B10="","",N(الموظفون!$AC10))</f>
        <v>14</v>
      </c>
      <c r="I10" s="147" t="n">
        <f aca="false">IF($B10="","",MAX(cfg_Y_START,D10))</f>
        <v>46023</v>
      </c>
      <c r="J10" s="147" t="n">
        <f aca="false">IF($B10="","",IF(OR(الموظفون!$AE10="",الموظفون!$AE10&gt;cfg_VAL_DATE),cfg_VAL_DATE,الموظفون!$AE10))</f>
        <v>46295</v>
      </c>
      <c r="K10" s="57" t="n">
        <f aca="false">IF($B10="","",MAX(0,MAX(0,J10-I10+1)-(SUMIFS('سجل الإجازات والحالات'!$S$6:$S$505,'سجل الإجازات والحالات'!$B$6:$B$505,$B10)-SUMIFS('سجل الإجازات والحالات'!$R$6:$R$505,'سجل الإجازات والحالات'!$B$6:$B$505,$B10))))</f>
        <v>273</v>
      </c>
      <c r="L10" s="126" t="n">
        <f aca="false">IF($B10="","",F10/cfg_DAYS_Y*K10)</f>
        <v>22.4383561643836</v>
      </c>
      <c r="M10" s="126" t="n">
        <f aca="false">IF($B10="","",SUMIFS('سجل الإجازات والحالات'!$T$6:$T$505,'سجل الإجازات والحالات'!$B$6:$B$505,$B10)+SUMIFS('الحركات الشهرية'!$K$6:$K$1005,'الحركات الشهرية'!$B$6:$B$1005,B10,'الحركات الشهرية'!$A$6:$A$1005,"&lt;="&amp;cfg_VAL_M))</f>
        <v>21</v>
      </c>
      <c r="N10" s="126" t="n">
        <f aca="false">IF($B10="","",SUMIFS('الحركات الشهرية'!$L$6:$L$1005,'الحركات الشهرية'!$B$6:$B$1005,B10,'الحركات الشهرية'!$A$6:$A$1005,"&lt;="&amp;cfg_VAL_M))</f>
        <v>0</v>
      </c>
      <c r="O10" s="126" t="n">
        <f aca="false">IF($B10="","",H10+L10-M10-N10)</f>
        <v>15.4383561643836</v>
      </c>
      <c r="P10" s="128" t="n">
        <f aca="false">IF($B10="","",O10*G10)</f>
        <v>6252.53424657534</v>
      </c>
      <c r="Q10" s="97" t="n">
        <f aca="false">IF($B10="","",H10*G10)</f>
        <v>5670</v>
      </c>
      <c r="R10" s="97" t="n">
        <f aca="false">IF($B10="","",(M10+N10)*G10)</f>
        <v>8505</v>
      </c>
      <c r="S10" s="80" t="str">
        <f aca="false">IF($B10="","",IF(O10&lt;-0.01,"✖ رصيد سالب",IF(O10&gt;F10*2,"⚠ رصيد مرتفع (أكثر من سنتين)",IF(AND(الموظفون!$AE10&lt;&gt;"",الموظفون!$AE10&lt;=cfg_VAL_DATE,O10&gt;0.01),"⚠ منتهي الخدمة برصيد","✔ سليم"))))</f>
        <v>✔ سليم</v>
      </c>
    </row>
    <row r="11" customFormat="false" ht="15" hidden="false" customHeight="false" outlineLevel="0" collapsed="false">
      <c r="B11" s="102" t="str">
        <f aca="false">IF(الموظفون!$B11="","",الموظفون!$B11)</f>
        <v>E006</v>
      </c>
      <c r="C11" s="102" t="str">
        <f aca="false">IF($B11="","",الموظفون!$C11)</f>
        <v>فهد ناصر الشمري</v>
      </c>
      <c r="D11" s="148" t="n">
        <f aca="false">IF($B11="","",الموظفون!$H11)</f>
        <v>43044</v>
      </c>
      <c r="E11" s="153" t="n">
        <f aca="false">IF($B11="","",MAX(0,J11-D11+1-SUMIFS('سجل الإجازات والحالات'!$S$6:$S$505,'سجل الإجازات والحالات'!$B$6:$B$505,$B11))/cfg_DAYS_Y)</f>
        <v>8.87945205479452</v>
      </c>
      <c r="F11" s="110" t="n">
        <f aca="false">IF($B11="","",IF(الموظفون!$T11&lt;&gt;"",الموظفون!$T11,IF(E11&gt;=cfg_LV_TH,cfg_LV_D2,cfg_LV_D1)))</f>
        <v>30</v>
      </c>
      <c r="G11" s="101" t="n">
        <f aca="false">IF($B11="","",الموظفون!$R11/cfg_DAYS_M)</f>
        <v>585</v>
      </c>
      <c r="H11" s="131" t="n">
        <f aca="false">IF($B11="","",N(الموظفون!$AC11))</f>
        <v>25</v>
      </c>
      <c r="I11" s="148" t="n">
        <f aca="false">IF($B11="","",MAX(cfg_Y_START,D11))</f>
        <v>46023</v>
      </c>
      <c r="J11" s="148" t="n">
        <f aca="false">IF($B11="","",IF(OR(الموظفون!$AE11="",الموظفون!$AE11&gt;cfg_VAL_DATE),cfg_VAL_DATE,الموظفون!$AE11))</f>
        <v>46295</v>
      </c>
      <c r="K11" s="110" t="n">
        <f aca="false">IF($B11="","",MAX(0,MAX(0,J11-I11+1)-(SUMIFS('سجل الإجازات والحالات'!$S$6:$S$505,'سجل الإجازات والحالات'!$B$6:$B$505,$B11)-SUMIFS('سجل الإجازات والحالات'!$R$6:$R$505,'سجل الإجازات والحالات'!$B$6:$B$505,$B11))))</f>
        <v>262</v>
      </c>
      <c r="L11" s="131" t="n">
        <f aca="false">IF($B11="","",F11/cfg_DAYS_Y*K11)</f>
        <v>21.5342465753425</v>
      </c>
      <c r="M11" s="131" t="n">
        <f aca="false">IF($B11="","",SUMIFS('سجل الإجازات والحالات'!$T$6:$T$505,'سجل الإجازات والحالات'!$B$6:$B$505,$B11)+SUMIFS('الحركات الشهرية'!$K$6:$K$1005,'الحركات الشهرية'!$B$6:$B$1005,B11,'الحركات الشهرية'!$A$6:$A$1005,"&lt;="&amp;cfg_VAL_M))</f>
        <v>0</v>
      </c>
      <c r="N11" s="131" t="n">
        <f aca="false">IF($B11="","",SUMIFS('الحركات الشهرية'!$L$6:$L$1005,'الحركات الشهرية'!$B$6:$B$1005,B11,'الحركات الشهرية'!$A$6:$A$1005,"&lt;="&amp;cfg_VAL_M))</f>
        <v>0</v>
      </c>
      <c r="O11" s="131" t="n">
        <f aca="false">IF($B11="","",H11+L11-M11-N11)</f>
        <v>46.5342465753425</v>
      </c>
      <c r="P11" s="133" t="n">
        <f aca="false">IF($B11="","",O11*G11)</f>
        <v>27222.5342465753</v>
      </c>
      <c r="Q11" s="101" t="n">
        <f aca="false">IF($B11="","",H11*G11)</f>
        <v>14625</v>
      </c>
      <c r="R11" s="101" t="n">
        <f aca="false">IF($B11="","",(M11+N11)*G11)</f>
        <v>0</v>
      </c>
      <c r="S11" s="102" t="str">
        <f aca="false">IF($B11="","",IF(O11&lt;-0.01,"✖ رصيد سالب",IF(O11&gt;F11*2,"⚠ رصيد مرتفع (أكثر من سنتين)",IF(AND(الموظفون!$AE11&lt;&gt;"",الموظفون!$AE11&lt;=cfg_VAL_DATE,O11&gt;0.01),"⚠ منتهي الخدمة برصيد","✔ سليم"))))</f>
        <v>✔ سليم</v>
      </c>
    </row>
    <row r="12" customFormat="false" ht="15" hidden="false" customHeight="false" outlineLevel="0" collapsed="false">
      <c r="B12" s="80" t="str">
        <f aca="false">IF(الموظفون!$B12="","",الموظفون!$B12)</f>
        <v>E007</v>
      </c>
      <c r="C12" s="80" t="str">
        <f aca="false">IF($B12="","",الموظفون!$C12)</f>
        <v>خالد يوسف الأحمد</v>
      </c>
      <c r="D12" s="147" t="n">
        <f aca="false">IF($B12="","",الموظفون!$H12)</f>
        <v>44216</v>
      </c>
      <c r="E12" s="152" t="n">
        <f aca="false">IF($B12="","",MAX(0,J12-D12+1-SUMIFS('سجل الإجازات والحالات'!$S$6:$S$505,'سجل الإجازات والحالات'!$B$6:$B$505,$B12))/cfg_DAYS_Y)</f>
        <v>5.6986301369863</v>
      </c>
      <c r="F12" s="57" t="n">
        <f aca="false">IF($B12="","",IF(الموظفون!$T12&lt;&gt;"",الموظفون!$T12,IF(E12&gt;=cfg_LV_TH,cfg_LV_D2,cfg_LV_D1)))</f>
        <v>30</v>
      </c>
      <c r="G12" s="97" t="n">
        <f aca="false">IF($B12="","",الموظفون!$R12/cfg_DAYS_M)</f>
        <v>495</v>
      </c>
      <c r="H12" s="126" t="n">
        <f aca="false">IF($B12="","",N(الموظفون!$AC12))</f>
        <v>16</v>
      </c>
      <c r="I12" s="147" t="n">
        <f aca="false">IF($B12="","",MAX(cfg_Y_START,D12))</f>
        <v>46023</v>
      </c>
      <c r="J12" s="147" t="n">
        <f aca="false">IF($B12="","",IF(OR(الموظفون!$AE12="",الموظفون!$AE12&gt;cfg_VAL_DATE),cfg_VAL_DATE,الموظفون!$AE12))</f>
        <v>46295</v>
      </c>
      <c r="K12" s="57" t="n">
        <f aca="false">IF($B12="","",MAX(0,MAX(0,J12-I12+1)-(SUMIFS('سجل الإجازات والحالات'!$S$6:$S$505,'سجل الإجازات والحالات'!$B$6:$B$505,$B12)-SUMIFS('سجل الإجازات والحالات'!$R$6:$R$505,'سجل الإجازات والحالات'!$B$6:$B$505,$B12))))</f>
        <v>273</v>
      </c>
      <c r="L12" s="126" t="n">
        <f aca="false">IF($B12="","",F12/cfg_DAYS_Y*K12)</f>
        <v>22.4383561643836</v>
      </c>
      <c r="M12" s="126" t="n">
        <f aca="false">IF($B12="","",SUMIFS('سجل الإجازات والحالات'!$T$6:$T$505,'سجل الإجازات والحالات'!$B$6:$B$505,$B12)+SUMIFS('الحركات الشهرية'!$K$6:$K$1005,'الحركات الشهرية'!$B$6:$B$1005,B12,'الحركات الشهرية'!$A$6:$A$1005,"&lt;="&amp;cfg_VAL_M))</f>
        <v>21</v>
      </c>
      <c r="N12" s="126" t="n">
        <f aca="false">IF($B12="","",SUMIFS('الحركات الشهرية'!$L$6:$L$1005,'الحركات الشهرية'!$B$6:$B$1005,B12,'الحركات الشهرية'!$A$6:$A$1005,"&lt;="&amp;cfg_VAL_M))</f>
        <v>0</v>
      </c>
      <c r="O12" s="126" t="n">
        <f aca="false">IF($B12="","",H12+L12-M12-N12)</f>
        <v>17.4383561643836</v>
      </c>
      <c r="P12" s="128" t="n">
        <f aca="false">IF($B12="","",O12*G12)</f>
        <v>8631.98630136986</v>
      </c>
      <c r="Q12" s="97" t="n">
        <f aca="false">IF($B12="","",H12*G12)</f>
        <v>7920</v>
      </c>
      <c r="R12" s="97" t="n">
        <f aca="false">IF($B12="","",(M12+N12)*G12)</f>
        <v>10395</v>
      </c>
      <c r="S12" s="80" t="str">
        <f aca="false">IF($B12="","",IF(O12&lt;-0.01,"✖ رصيد سالب",IF(O12&gt;F12*2,"⚠ رصيد مرتفع (أكثر من سنتين)",IF(AND(الموظفون!$AE12&lt;&gt;"",الموظفون!$AE12&lt;=cfg_VAL_DATE,O12&gt;0.01),"⚠ منتهي الخدمة برصيد","✔ سليم"))))</f>
        <v>✔ سليم</v>
      </c>
    </row>
    <row r="13" customFormat="false" ht="15" hidden="false" customHeight="false" outlineLevel="0" collapsed="false">
      <c r="B13" s="102" t="str">
        <f aca="false">IF(الموظفون!$B13="","",الموظفون!$B13)</f>
        <v>E008</v>
      </c>
      <c r="C13" s="102" t="str">
        <f aca="false">IF($B13="","",الموظفون!$C13)</f>
        <v>سارة عبدالرحمن الزهراني</v>
      </c>
      <c r="D13" s="148" t="n">
        <f aca="false">IF($B13="","",الموظفون!$H13)</f>
        <v>44986</v>
      </c>
      <c r="E13" s="153" t="n">
        <f aca="false">IF($B13="","",MAX(0,J13-D13+1-SUMIFS('سجل الإجازات والحالات'!$S$6:$S$505,'سجل الإجازات والحالات'!$B$6:$B$505,$B13))/cfg_DAYS_Y)</f>
        <v>3.58082191780822</v>
      </c>
      <c r="F13" s="110" t="n">
        <f aca="false">IF($B13="","",IF(الموظفون!$T13&lt;&gt;"",الموظفون!$T13,IF(E13&gt;=cfg_LV_TH,cfg_LV_D2,cfg_LV_D1)))</f>
        <v>21</v>
      </c>
      <c r="G13" s="101" t="n">
        <f aca="false">IF($B13="","",الموظفون!$R13/cfg_DAYS_M)</f>
        <v>337.5</v>
      </c>
      <c r="H13" s="131" t="n">
        <f aca="false">IF($B13="","",N(الموظفون!$AC13))</f>
        <v>6</v>
      </c>
      <c r="I13" s="148" t="n">
        <f aca="false">IF($B13="","",MAX(cfg_Y_START,D13))</f>
        <v>46023</v>
      </c>
      <c r="J13" s="148" t="n">
        <f aca="false">IF($B13="","",IF(OR(الموظفون!$AE13="",الموظفون!$AE13&gt;cfg_VAL_DATE),cfg_VAL_DATE,الموظفون!$AE13))</f>
        <v>46295</v>
      </c>
      <c r="K13" s="110" t="n">
        <f aca="false">IF($B13="","",MAX(0,MAX(0,J13-I13+1)-(SUMIFS('سجل الإجازات والحالات'!$S$6:$S$505,'سجل الإجازات والحالات'!$B$6:$B$505,$B13)-SUMIFS('سجل الإجازات والحالات'!$R$6:$R$505,'سجل الإجازات والحالات'!$B$6:$B$505,$B13))))</f>
        <v>270</v>
      </c>
      <c r="L13" s="131" t="n">
        <f aca="false">IF($B13="","",F13/cfg_DAYS_Y*K13)</f>
        <v>15.5342465753425</v>
      </c>
      <c r="M13" s="131" t="n">
        <f aca="false">IF($B13="","",SUMIFS('سجل الإجازات والحالات'!$T$6:$T$505,'سجل الإجازات والحالات'!$B$6:$B$505,$B13)+SUMIFS('الحركات الشهرية'!$K$6:$K$1005,'الحركات الشهرية'!$B$6:$B$1005,B13,'الحركات الشهرية'!$A$6:$A$1005,"&lt;="&amp;cfg_VAL_M))</f>
        <v>0</v>
      </c>
      <c r="N13" s="131" t="n">
        <f aca="false">IF($B13="","",SUMIFS('الحركات الشهرية'!$L$6:$L$1005,'الحركات الشهرية'!$B$6:$B$1005,B13,'الحركات الشهرية'!$A$6:$A$1005,"&lt;="&amp;cfg_VAL_M))</f>
        <v>0</v>
      </c>
      <c r="O13" s="131" t="n">
        <f aca="false">IF($B13="","",H13+L13-M13-N13)</f>
        <v>21.5342465753425</v>
      </c>
      <c r="P13" s="133" t="n">
        <f aca="false">IF($B13="","",O13*G13)</f>
        <v>7267.80821917808</v>
      </c>
      <c r="Q13" s="101" t="n">
        <f aca="false">IF($B13="","",H13*G13)</f>
        <v>2025</v>
      </c>
      <c r="R13" s="101" t="n">
        <f aca="false">IF($B13="","",(M13+N13)*G13)</f>
        <v>0</v>
      </c>
      <c r="S13" s="102" t="str">
        <f aca="false">IF($B13="","",IF(O13&lt;-0.01,"✖ رصيد سالب",IF(O13&gt;F13*2,"⚠ رصيد مرتفع (أكثر من سنتين)",IF(AND(الموظفون!$AE13&lt;&gt;"",الموظفون!$AE13&lt;=cfg_VAL_DATE,O13&gt;0.01),"⚠ منتهي الخدمة برصيد","✔ سليم"))))</f>
        <v>✔ سليم</v>
      </c>
    </row>
    <row r="14" customFormat="false" ht="15" hidden="false" customHeight="false" outlineLevel="0" collapsed="false">
      <c r="B14" s="80" t="str">
        <f aca="false">IF(الموظفون!$B14="","",الموظفون!$B14)</f>
        <v>E009</v>
      </c>
      <c r="C14" s="80" t="str">
        <f aca="false">IF($B14="","",الموظفون!$C14)</f>
        <v>محمد رفيق</v>
      </c>
      <c r="D14" s="147" t="n">
        <f aca="false">IF($B14="","",الموظفون!$H14)</f>
        <v>41869</v>
      </c>
      <c r="E14" s="152" t="n">
        <f aca="false">IF($B14="","",MAX(0,J14-D14+1-SUMIFS('سجل الإجازات والحالات'!$S$6:$S$505,'سجل الإجازات والحالات'!$B$6:$B$505,$B14))/cfg_DAYS_Y)</f>
        <v>12.1287671232877</v>
      </c>
      <c r="F14" s="57" t="n">
        <f aca="false">IF($B14="","",IF(الموظفون!$T14&lt;&gt;"",الموظفون!$T14,IF(E14&gt;=cfg_LV_TH,cfg_LV_D2,cfg_LV_D1)))</f>
        <v>30</v>
      </c>
      <c r="G14" s="97" t="n">
        <f aca="false">IF($B14="","",الموظفون!$R14/cfg_DAYS_M)</f>
        <v>292.5</v>
      </c>
      <c r="H14" s="126" t="n">
        <f aca="false">IF($B14="","",N(الموظفون!$AC14))</f>
        <v>35</v>
      </c>
      <c r="I14" s="147" t="n">
        <f aca="false">IF($B14="","",MAX(cfg_Y_START,D14))</f>
        <v>46023</v>
      </c>
      <c r="J14" s="147" t="n">
        <f aca="false">IF($B14="","",IF(OR(الموظفون!$AE14="",الموظفون!$AE14&gt;cfg_VAL_DATE),cfg_VAL_DATE,الموظفون!$AE14))</f>
        <v>46295</v>
      </c>
      <c r="K14" s="57" t="n">
        <f aca="false">IF($B14="","",MAX(0,MAX(0,J14-I14+1)-(SUMIFS('سجل الإجازات والحالات'!$S$6:$S$505,'سجل الإجازات والحالات'!$B$6:$B$505,$B14)-SUMIFS('سجل الإجازات والحالات'!$R$6:$R$505,'سجل الإجازات والحالات'!$B$6:$B$505,$B14))))</f>
        <v>273</v>
      </c>
      <c r="L14" s="126" t="n">
        <f aca="false">IF($B14="","",F14/cfg_DAYS_Y*K14)</f>
        <v>22.4383561643836</v>
      </c>
      <c r="M14" s="126" t="n">
        <f aca="false">IF($B14="","",SUMIFS('سجل الإجازات والحالات'!$T$6:$T$505,'سجل الإجازات والحالات'!$B$6:$B$505,$B14)+SUMIFS('الحركات الشهرية'!$K$6:$K$1005,'الحركات الشهرية'!$B$6:$B$1005,B14,'الحركات الشهرية'!$A$6:$A$1005,"&lt;="&amp;cfg_VAL_M))</f>
        <v>30</v>
      </c>
      <c r="N14" s="126" t="n">
        <f aca="false">IF($B14="","",SUMIFS('الحركات الشهرية'!$L$6:$L$1005,'الحركات الشهرية'!$B$6:$B$1005,B14,'الحركات الشهرية'!$A$6:$A$1005,"&lt;="&amp;cfg_VAL_M))</f>
        <v>0</v>
      </c>
      <c r="O14" s="126" t="n">
        <f aca="false">IF($B14="","",H14+L14-M14-N14)</f>
        <v>27.4383561643836</v>
      </c>
      <c r="P14" s="128" t="n">
        <f aca="false">IF($B14="","",O14*G14)</f>
        <v>8025.71917808219</v>
      </c>
      <c r="Q14" s="97" t="n">
        <f aca="false">IF($B14="","",H14*G14)</f>
        <v>10237.5</v>
      </c>
      <c r="R14" s="97" t="n">
        <f aca="false">IF($B14="","",(M14+N14)*G14)</f>
        <v>8775</v>
      </c>
      <c r="S14" s="80" t="str">
        <f aca="false">IF($B14="","",IF(O14&lt;-0.01,"✖ رصيد سالب",IF(O14&gt;F14*2,"⚠ رصيد مرتفع (أكثر من سنتين)",IF(AND(الموظفون!$AE14&lt;&gt;"",الموظفون!$AE14&lt;=cfg_VAL_DATE,O14&gt;0.01),"⚠ منتهي الخدمة برصيد","✔ سليم"))))</f>
        <v>✔ سليم</v>
      </c>
    </row>
    <row r="15" customFormat="false" ht="15" hidden="false" customHeight="false" outlineLevel="0" collapsed="false">
      <c r="B15" s="102" t="str">
        <f aca="false">IF(الموظفون!$B15="","",الموظفون!$B15)</f>
        <v>E010</v>
      </c>
      <c r="C15" s="102" t="str">
        <f aca="false">IF($B15="","",الموظفون!$C15)</f>
        <v>ريم سلطان المطيري</v>
      </c>
      <c r="D15" s="148" t="n">
        <f aca="false">IF($B15="","",الموظفون!$H15)</f>
        <v>46127</v>
      </c>
      <c r="E15" s="153" t="n">
        <f aca="false">IF($B15="","",MAX(0,J15-D15+1-SUMIFS('سجل الإجازات والحالات'!$S$6:$S$505,'سجل الإجازات والحالات'!$B$6:$B$505,$B15))/cfg_DAYS_Y)</f>
        <v>0.463013698630137</v>
      </c>
      <c r="F15" s="110" t="n">
        <f aca="false">IF($B15="","",IF(الموظفون!$T15&lt;&gt;"",الموظفون!$T15,IF(E15&gt;=cfg_LV_TH,cfg_LV_D2,cfg_LV_D1)))</f>
        <v>21</v>
      </c>
      <c r="G15" s="101" t="n">
        <f aca="false">IF($B15="","",الموظفون!$R15/cfg_DAYS_M)</f>
        <v>405</v>
      </c>
      <c r="H15" s="131" t="n">
        <f aca="false">IF($B15="","",N(الموظفون!$AC15))</f>
        <v>0</v>
      </c>
      <c r="I15" s="148" t="n">
        <f aca="false">IF($B15="","",MAX(cfg_Y_START,D15))</f>
        <v>46127</v>
      </c>
      <c r="J15" s="148" t="n">
        <f aca="false">IF($B15="","",IF(OR(الموظفون!$AE15="",الموظفون!$AE15&gt;cfg_VAL_DATE),cfg_VAL_DATE,الموظفون!$AE15))</f>
        <v>46295</v>
      </c>
      <c r="K15" s="110" t="n">
        <f aca="false">IF($B15="","",MAX(0,MAX(0,J15-I15+1)-(SUMIFS('سجل الإجازات والحالات'!$S$6:$S$505,'سجل الإجازات والحالات'!$B$6:$B$505,$B15)-SUMIFS('سجل الإجازات والحالات'!$R$6:$R$505,'سجل الإجازات والحالات'!$B$6:$B$505,$B15))))</f>
        <v>169</v>
      </c>
      <c r="L15" s="131" t="n">
        <f aca="false">IF($B15="","",F15/cfg_DAYS_Y*K15)</f>
        <v>9.72328767123288</v>
      </c>
      <c r="M15" s="131" t="n">
        <f aca="false">IF($B15="","",SUMIFS('سجل الإجازات والحالات'!$T$6:$T$505,'سجل الإجازات والحالات'!$B$6:$B$505,$B15)+SUMIFS('الحركات الشهرية'!$K$6:$K$1005,'الحركات الشهرية'!$B$6:$B$1005,B15,'الحركات الشهرية'!$A$6:$A$1005,"&lt;="&amp;cfg_VAL_M))</f>
        <v>0</v>
      </c>
      <c r="N15" s="131" t="n">
        <f aca="false">IF($B15="","",SUMIFS('الحركات الشهرية'!$L$6:$L$1005,'الحركات الشهرية'!$B$6:$B$1005,B15,'الحركات الشهرية'!$A$6:$A$1005,"&lt;="&amp;cfg_VAL_M))</f>
        <v>0</v>
      </c>
      <c r="O15" s="131" t="n">
        <f aca="false">IF($B15="","",H15+L15-M15-N15)</f>
        <v>9.72328767123288</v>
      </c>
      <c r="P15" s="133" t="n">
        <f aca="false">IF($B15="","",O15*G15)</f>
        <v>3937.93150684932</v>
      </c>
      <c r="Q15" s="101" t="n">
        <f aca="false">IF($B15="","",H15*G15)</f>
        <v>0</v>
      </c>
      <c r="R15" s="101" t="n">
        <f aca="false">IF($B15="","",(M15+N15)*G15)</f>
        <v>0</v>
      </c>
      <c r="S15" s="102" t="str">
        <f aca="false">IF($B15="","",IF(O15&lt;-0.01,"✖ رصيد سالب",IF(O15&gt;F15*2,"⚠ رصيد مرتفع (أكثر من سنتين)",IF(AND(الموظفون!$AE15&lt;&gt;"",الموظفون!$AE15&lt;=cfg_VAL_DATE,O15&gt;0.01),"⚠ منتهي الخدمة برصيد","✔ سليم"))))</f>
        <v>✔ سليم</v>
      </c>
    </row>
    <row r="16" customFormat="false" ht="15" hidden="false" customHeight="false" outlineLevel="0" collapsed="false">
      <c r="B16" s="80" t="str">
        <f aca="false">IF(الموظفون!$B16="","",الموظفون!$B16)</f>
        <v>E011</v>
      </c>
      <c r="C16" s="80" t="str">
        <f aca="false">IF($B16="","",الموظفون!$C16)</f>
        <v>جون ماتيو</v>
      </c>
      <c r="D16" s="147" t="n">
        <f aca="false">IF($B16="","",الموظفون!$H16)</f>
        <v>43525</v>
      </c>
      <c r="E16" s="152" t="n">
        <f aca="false">IF($B16="","",MAX(0,J16-D16+1-SUMIFS('سجل الإجازات والحالات'!$S$6:$S$505,'سجل الإجازات والحالات'!$B$6:$B$505,$B16))/cfg_DAYS_Y)</f>
        <v>7.33972602739726</v>
      </c>
      <c r="F16" s="57" t="n">
        <f aca="false">IF($B16="","",IF(الموظفون!$T16&lt;&gt;"",الموظفون!$T16,IF(E16&gt;=cfg_LV_TH,cfg_LV_D2,cfg_LV_D1)))</f>
        <v>30</v>
      </c>
      <c r="G16" s="97" t="n">
        <f aca="false">IF($B16="","",الموظفون!$R16/cfg_DAYS_M)</f>
        <v>225</v>
      </c>
      <c r="H16" s="126" t="n">
        <f aca="false">IF($B16="","",N(الموظفون!$AC16))</f>
        <v>22</v>
      </c>
      <c r="I16" s="147" t="n">
        <f aca="false">IF($B16="","",MAX(cfg_Y_START,D16))</f>
        <v>46023</v>
      </c>
      <c r="J16" s="147" t="n">
        <f aca="false">IF($B16="","",IF(OR(الموظفون!$AE16="",الموظفون!$AE16&gt;cfg_VAL_DATE),cfg_VAL_DATE,الموظفون!$AE16))</f>
        <v>46203</v>
      </c>
      <c r="K16" s="57" t="n">
        <f aca="false">IF($B16="","",MAX(0,MAX(0,J16-I16+1)-(SUMIFS('سجل الإجازات والحالات'!$S$6:$S$505,'سجل الإجازات والحالات'!$B$6:$B$505,$B16)-SUMIFS('سجل الإجازات والحالات'!$R$6:$R$505,'سجل الإجازات والحالات'!$B$6:$B$505,$B16))))</f>
        <v>181</v>
      </c>
      <c r="L16" s="126" t="n">
        <f aca="false">IF($B16="","",F16/cfg_DAYS_Y*K16)</f>
        <v>14.8767123287671</v>
      </c>
      <c r="M16" s="126" t="n">
        <f aca="false">IF($B16="","",SUMIFS('سجل الإجازات والحالات'!$T$6:$T$505,'سجل الإجازات والحالات'!$B$6:$B$505,$B16)+SUMIFS('الحركات الشهرية'!$K$6:$K$1005,'الحركات الشهرية'!$B$6:$B$1005,B16,'الحركات الشهرية'!$A$6:$A$1005,"&lt;="&amp;cfg_VAL_M))</f>
        <v>0</v>
      </c>
      <c r="N16" s="126" t="n">
        <f aca="false">IF($B16="","",SUMIFS('الحركات الشهرية'!$L$6:$L$1005,'الحركات الشهرية'!$B$6:$B$1005,B16,'الحركات الشهرية'!$A$6:$A$1005,"&lt;="&amp;cfg_VAL_M))</f>
        <v>36.8767123287671</v>
      </c>
      <c r="O16" s="126" t="n">
        <f aca="false">IF($B16="","",H16+L16-M16-N16)</f>
        <v>0</v>
      </c>
      <c r="P16" s="128" t="n">
        <f aca="false">IF($B16="","",O16*G16)</f>
        <v>0</v>
      </c>
      <c r="Q16" s="97" t="n">
        <f aca="false">IF($B16="","",H16*G16)</f>
        <v>4950</v>
      </c>
      <c r="R16" s="97" t="n">
        <f aca="false">IF($B16="","",(M16+N16)*G16)</f>
        <v>8297.2602739726</v>
      </c>
      <c r="S16" s="80" t="str">
        <f aca="false">IF($B16="","",IF(O16&lt;-0.01,"✖ رصيد سالب",IF(O16&gt;F16*2,"⚠ رصيد مرتفع (أكثر من سنتين)",IF(AND(الموظفون!$AE16&lt;&gt;"",الموظفون!$AE16&lt;=cfg_VAL_DATE,O16&gt;0.01),"⚠ منتهي الخدمة برصيد","✔ سليم"))))</f>
        <v>✔ سليم</v>
      </c>
    </row>
    <row r="17" customFormat="false" ht="15" hidden="false" customHeight="false" outlineLevel="0" collapsed="false">
      <c r="B17" s="102" t="str">
        <f aca="false">IF(الموظفون!$B17="","",الموظفون!$B17)</f>
        <v>E012</v>
      </c>
      <c r="C17" s="102" t="str">
        <f aca="false">IF($B17="","",الموظفون!$C17)</f>
        <v>عمر حسين البيشي</v>
      </c>
      <c r="D17" s="148" t="n">
        <f aca="false">IF($B17="","",الموظفون!$H17)</f>
        <v>44752</v>
      </c>
      <c r="E17" s="153" t="n">
        <f aca="false">IF($B17="","",MAX(0,J17-D17+1-SUMIFS('سجل الإجازات والحالات'!$S$6:$S$505,'سجل الإجازات والحالات'!$B$6:$B$505,$B17))/cfg_DAYS_Y)</f>
        <v>4.23013698630137</v>
      </c>
      <c r="F17" s="110" t="n">
        <f aca="false">IF($B17="","",IF(الموظفون!$T17&lt;&gt;"",الموظفون!$T17,IF(E17&gt;=cfg_LV_TH,cfg_LV_D2,cfg_LV_D1)))</f>
        <v>21</v>
      </c>
      <c r="G17" s="101" t="n">
        <f aca="false">IF($B17="","",الموظفون!$R17/cfg_DAYS_M)</f>
        <v>540</v>
      </c>
      <c r="H17" s="131" t="n">
        <f aca="false">IF($B17="","",N(الموظفون!$AC17))</f>
        <v>10</v>
      </c>
      <c r="I17" s="148" t="n">
        <f aca="false">IF($B17="","",MAX(cfg_Y_START,D17))</f>
        <v>46023</v>
      </c>
      <c r="J17" s="148" t="n">
        <f aca="false">IF($B17="","",IF(OR(الموظفون!$AE17="",الموظفون!$AE17&gt;cfg_VAL_DATE),cfg_VAL_DATE,الموظفون!$AE17))</f>
        <v>46295</v>
      </c>
      <c r="K17" s="110" t="n">
        <f aca="false">IF($B17="","",MAX(0,MAX(0,J17-I17+1)-(SUMIFS('سجل الإجازات والحالات'!$S$6:$S$505,'سجل الإجازات والحالات'!$B$6:$B$505,$B17)-SUMIFS('سجل الإجازات والحالات'!$R$6:$R$505,'سجل الإجازات والحالات'!$B$6:$B$505,$B17))))</f>
        <v>273</v>
      </c>
      <c r="L17" s="131" t="n">
        <f aca="false">IF($B17="","",F17/cfg_DAYS_Y*K17)</f>
        <v>15.7068493150685</v>
      </c>
      <c r="M17" s="131" t="n">
        <f aca="false">IF($B17="","",SUMIFS('سجل الإجازات والحالات'!$T$6:$T$505,'سجل الإجازات والحالات'!$B$6:$B$505,$B17)+SUMIFS('الحركات الشهرية'!$K$6:$K$1005,'الحركات الشهرية'!$B$6:$B$1005,B17,'الحركات الشهرية'!$A$6:$A$1005,"&lt;="&amp;cfg_VAL_M))</f>
        <v>0</v>
      </c>
      <c r="N17" s="131" t="n">
        <f aca="false">IF($B17="","",SUMIFS('الحركات الشهرية'!$L$6:$L$1005,'الحركات الشهرية'!$B$6:$B$1005,B17,'الحركات الشهرية'!$A$6:$A$1005,"&lt;="&amp;cfg_VAL_M))</f>
        <v>0</v>
      </c>
      <c r="O17" s="131" t="n">
        <f aca="false">IF($B17="","",H17+L17-M17-N17)</f>
        <v>25.7068493150685</v>
      </c>
      <c r="P17" s="133" t="n">
        <f aca="false">IF($B17="","",O17*G17)</f>
        <v>13881.698630137</v>
      </c>
      <c r="Q17" s="101" t="n">
        <f aca="false">IF($B17="","",H17*G17)</f>
        <v>5400</v>
      </c>
      <c r="R17" s="101" t="n">
        <f aca="false">IF($B17="","",(M17+N17)*G17)</f>
        <v>0</v>
      </c>
      <c r="S17" s="102" t="str">
        <f aca="false">IF($B17="","",IF(O17&lt;-0.01,"✖ رصيد سالب",IF(O17&gt;F17*2,"⚠ رصيد مرتفع (أكثر من سنتين)",IF(AND(الموظفون!$AE17&lt;&gt;"",الموظفون!$AE17&lt;=cfg_VAL_DATE,O17&gt;0.01),"⚠ منتهي الخدمة برصيد","✔ سليم"))))</f>
        <v>✔ سليم</v>
      </c>
    </row>
    <row r="18" customFormat="false" ht="15" hidden="false" customHeight="false" outlineLevel="0" collapsed="false">
      <c r="B18" s="80" t="str">
        <f aca="false">IF(الموظفون!$B18="","",الموظفون!$B18)</f>
        <v/>
      </c>
      <c r="C18" s="80" t="str">
        <f aca="false">IF($B18="","",الموظفون!$C18)</f>
        <v/>
      </c>
      <c r="D18" s="147" t="str">
        <f aca="false">IF($B18="","",الموظفون!$H18)</f>
        <v/>
      </c>
      <c r="E18" s="152" t="str">
        <f aca="false">IF($B18="","",MAX(0,J18-D18+1-SUMIFS('سجل الإجازات والحالات'!$S$6:$S$505,'سجل الإجازات والحالات'!$B$6:$B$505,$B18))/cfg_DAYS_Y)</f>
        <v/>
      </c>
      <c r="F18" s="57" t="str">
        <f aca="false">IF($B18="","",IF(الموظفون!$T18&lt;&gt;"",الموظفون!$T18,IF(E18&gt;=cfg_LV_TH,cfg_LV_D2,cfg_LV_D1)))</f>
        <v/>
      </c>
      <c r="G18" s="97" t="str">
        <f aca="false">IF($B18="","",الموظفون!$R18/cfg_DAYS_M)</f>
        <v/>
      </c>
      <c r="H18" s="126" t="str">
        <f aca="false">IF($B18="","",N(الموظفون!$AC18))</f>
        <v/>
      </c>
      <c r="I18" s="147" t="str">
        <f aca="false">IF($B18="","",MAX(cfg_Y_START,D18))</f>
        <v/>
      </c>
      <c r="J18" s="147" t="str">
        <f aca="false">IF($B18="","",IF(OR(الموظفون!$AE18="",الموظفون!$AE18&gt;cfg_VAL_DATE),cfg_VAL_DATE,الموظفون!$AE18))</f>
        <v/>
      </c>
      <c r="K18" s="57" t="str">
        <f aca="false">IF($B18="","",MAX(0,MAX(0,J18-I18+1)-(SUMIFS('سجل الإجازات والحالات'!$S$6:$S$505,'سجل الإجازات والحالات'!$B$6:$B$505,$B18)-SUMIFS('سجل الإجازات والحالات'!$R$6:$R$505,'سجل الإجازات والحالات'!$B$6:$B$505,$B18))))</f>
        <v/>
      </c>
      <c r="L18" s="126" t="str">
        <f aca="false">IF($B18="","",F18/cfg_DAYS_Y*K18)</f>
        <v/>
      </c>
      <c r="M18" s="126" t="str">
        <f aca="false">IF($B18="","",SUMIFS('سجل الإجازات والحالات'!$T$6:$T$505,'سجل الإجازات والحالات'!$B$6:$B$505,$B18)+SUMIFS('الحركات الشهرية'!$K$6:$K$1005,'الحركات الشهرية'!$B$6:$B$1005,B18,'الحركات الشهرية'!$A$6:$A$1005,"&lt;="&amp;cfg_VAL_M))</f>
        <v/>
      </c>
      <c r="N18" s="126" t="str">
        <f aca="false">IF($B18="","",SUMIFS('الحركات الشهرية'!$L$6:$L$1005,'الحركات الشهرية'!$B$6:$B$1005,B18,'الحركات الشهرية'!$A$6:$A$1005,"&lt;="&amp;cfg_VAL_M))</f>
        <v/>
      </c>
      <c r="O18" s="126" t="str">
        <f aca="false">IF($B18="","",H18+L18-M18-N18)</f>
        <v/>
      </c>
      <c r="P18" s="128" t="str">
        <f aca="false">IF($B18="","",O18*G18)</f>
        <v/>
      </c>
      <c r="Q18" s="97" t="str">
        <f aca="false">IF($B18="","",H18*G18)</f>
        <v/>
      </c>
      <c r="R18" s="97" t="str">
        <f aca="false">IF($B18="","",(M18+N18)*G18)</f>
        <v/>
      </c>
      <c r="S18" s="80" t="str">
        <f aca="false">IF($B18="","",IF(O18&lt;-0.01,"✖ رصيد سالب",IF(O18&gt;F18*2,"⚠ رصيد مرتفع (أكثر من سنتين)",IF(AND(الموظفون!$AE18&lt;&gt;"",الموظفون!$AE18&lt;=cfg_VAL_DATE,O18&gt;0.01),"⚠ منتهي الخدمة برصيد","✔ سليم"))))</f>
        <v/>
      </c>
    </row>
    <row r="19" customFormat="false" ht="15" hidden="false" customHeight="false" outlineLevel="0" collapsed="false">
      <c r="B19" s="102" t="str">
        <f aca="false">IF(الموظفون!$B19="","",الموظفون!$B19)</f>
        <v/>
      </c>
      <c r="C19" s="102" t="str">
        <f aca="false">IF($B19="","",الموظفون!$C19)</f>
        <v/>
      </c>
      <c r="D19" s="148" t="str">
        <f aca="false">IF($B19="","",الموظفون!$H19)</f>
        <v/>
      </c>
      <c r="E19" s="153" t="str">
        <f aca="false">IF($B19="","",MAX(0,J19-D19+1-SUMIFS('سجل الإجازات والحالات'!$S$6:$S$505,'سجل الإجازات والحالات'!$B$6:$B$505,$B19))/cfg_DAYS_Y)</f>
        <v/>
      </c>
      <c r="F19" s="110" t="str">
        <f aca="false">IF($B19="","",IF(الموظفون!$T19&lt;&gt;"",الموظفون!$T19,IF(E19&gt;=cfg_LV_TH,cfg_LV_D2,cfg_LV_D1)))</f>
        <v/>
      </c>
      <c r="G19" s="101" t="str">
        <f aca="false">IF($B19="","",الموظفون!$R19/cfg_DAYS_M)</f>
        <v/>
      </c>
      <c r="H19" s="131" t="str">
        <f aca="false">IF($B19="","",N(الموظفون!$AC19))</f>
        <v/>
      </c>
      <c r="I19" s="148" t="str">
        <f aca="false">IF($B19="","",MAX(cfg_Y_START,D19))</f>
        <v/>
      </c>
      <c r="J19" s="148" t="str">
        <f aca="false">IF($B19="","",IF(OR(الموظفون!$AE19="",الموظفون!$AE19&gt;cfg_VAL_DATE),cfg_VAL_DATE,الموظفون!$AE19))</f>
        <v/>
      </c>
      <c r="K19" s="110" t="str">
        <f aca="false">IF($B19="","",MAX(0,MAX(0,J19-I19+1)-(SUMIFS('سجل الإجازات والحالات'!$S$6:$S$505,'سجل الإجازات والحالات'!$B$6:$B$505,$B19)-SUMIFS('سجل الإجازات والحالات'!$R$6:$R$505,'سجل الإجازات والحالات'!$B$6:$B$505,$B19))))</f>
        <v/>
      </c>
      <c r="L19" s="131" t="str">
        <f aca="false">IF($B19="","",F19/cfg_DAYS_Y*K19)</f>
        <v/>
      </c>
      <c r="M19" s="131" t="str">
        <f aca="false">IF($B19="","",SUMIFS('سجل الإجازات والحالات'!$T$6:$T$505,'سجل الإجازات والحالات'!$B$6:$B$505,$B19)+SUMIFS('الحركات الشهرية'!$K$6:$K$1005,'الحركات الشهرية'!$B$6:$B$1005,B19,'الحركات الشهرية'!$A$6:$A$1005,"&lt;="&amp;cfg_VAL_M))</f>
        <v/>
      </c>
      <c r="N19" s="131" t="str">
        <f aca="false">IF($B19="","",SUMIFS('الحركات الشهرية'!$L$6:$L$1005,'الحركات الشهرية'!$B$6:$B$1005,B19,'الحركات الشهرية'!$A$6:$A$1005,"&lt;="&amp;cfg_VAL_M))</f>
        <v/>
      </c>
      <c r="O19" s="131" t="str">
        <f aca="false">IF($B19="","",H19+L19-M19-N19)</f>
        <v/>
      </c>
      <c r="P19" s="133" t="str">
        <f aca="false">IF($B19="","",O19*G19)</f>
        <v/>
      </c>
      <c r="Q19" s="101" t="str">
        <f aca="false">IF($B19="","",H19*G19)</f>
        <v/>
      </c>
      <c r="R19" s="101" t="str">
        <f aca="false">IF($B19="","",(M19+N19)*G19)</f>
        <v/>
      </c>
      <c r="S19" s="102" t="str">
        <f aca="false">IF($B19="","",IF(O19&lt;-0.01,"✖ رصيد سالب",IF(O19&gt;F19*2,"⚠ رصيد مرتفع (أكثر من سنتين)",IF(AND(الموظفون!$AE19&lt;&gt;"",الموظفون!$AE19&lt;=cfg_VAL_DATE,O19&gt;0.01),"⚠ منتهي الخدمة برصيد","✔ سليم"))))</f>
        <v/>
      </c>
    </row>
    <row r="20" customFormat="false" ht="15" hidden="false" customHeight="false" outlineLevel="0" collapsed="false">
      <c r="B20" s="80" t="str">
        <f aca="false">IF(الموظفون!$B20="","",الموظفون!$B20)</f>
        <v/>
      </c>
      <c r="C20" s="80" t="str">
        <f aca="false">IF($B20="","",الموظفون!$C20)</f>
        <v/>
      </c>
      <c r="D20" s="147" t="str">
        <f aca="false">IF($B20="","",الموظفون!$H20)</f>
        <v/>
      </c>
      <c r="E20" s="152" t="str">
        <f aca="false">IF($B20="","",MAX(0,J20-D20+1-SUMIFS('سجل الإجازات والحالات'!$S$6:$S$505,'سجل الإجازات والحالات'!$B$6:$B$505,$B20))/cfg_DAYS_Y)</f>
        <v/>
      </c>
      <c r="F20" s="57" t="str">
        <f aca="false">IF($B20="","",IF(الموظفون!$T20&lt;&gt;"",الموظفون!$T20,IF(E20&gt;=cfg_LV_TH,cfg_LV_D2,cfg_LV_D1)))</f>
        <v/>
      </c>
      <c r="G20" s="97" t="str">
        <f aca="false">IF($B20="","",الموظفون!$R20/cfg_DAYS_M)</f>
        <v/>
      </c>
      <c r="H20" s="126" t="str">
        <f aca="false">IF($B20="","",N(الموظفون!$AC20))</f>
        <v/>
      </c>
      <c r="I20" s="147" t="str">
        <f aca="false">IF($B20="","",MAX(cfg_Y_START,D20))</f>
        <v/>
      </c>
      <c r="J20" s="147" t="str">
        <f aca="false">IF($B20="","",IF(OR(الموظفون!$AE20="",الموظفون!$AE20&gt;cfg_VAL_DATE),cfg_VAL_DATE,الموظفون!$AE20))</f>
        <v/>
      </c>
      <c r="K20" s="57" t="str">
        <f aca="false">IF($B20="","",MAX(0,MAX(0,J20-I20+1)-(SUMIFS('سجل الإجازات والحالات'!$S$6:$S$505,'سجل الإجازات والحالات'!$B$6:$B$505,$B20)-SUMIFS('سجل الإجازات والحالات'!$R$6:$R$505,'سجل الإجازات والحالات'!$B$6:$B$505,$B20))))</f>
        <v/>
      </c>
      <c r="L20" s="126" t="str">
        <f aca="false">IF($B20="","",F20/cfg_DAYS_Y*K20)</f>
        <v/>
      </c>
      <c r="M20" s="126" t="str">
        <f aca="false">IF($B20="","",SUMIFS('سجل الإجازات والحالات'!$T$6:$T$505,'سجل الإجازات والحالات'!$B$6:$B$505,$B20)+SUMIFS('الحركات الشهرية'!$K$6:$K$1005,'الحركات الشهرية'!$B$6:$B$1005,B20,'الحركات الشهرية'!$A$6:$A$1005,"&lt;="&amp;cfg_VAL_M))</f>
        <v/>
      </c>
      <c r="N20" s="126" t="str">
        <f aca="false">IF($B20="","",SUMIFS('الحركات الشهرية'!$L$6:$L$1005,'الحركات الشهرية'!$B$6:$B$1005,B20,'الحركات الشهرية'!$A$6:$A$1005,"&lt;="&amp;cfg_VAL_M))</f>
        <v/>
      </c>
      <c r="O20" s="126" t="str">
        <f aca="false">IF($B20="","",H20+L20-M20-N20)</f>
        <v/>
      </c>
      <c r="P20" s="128" t="str">
        <f aca="false">IF($B20="","",O20*G20)</f>
        <v/>
      </c>
      <c r="Q20" s="97" t="str">
        <f aca="false">IF($B20="","",H20*G20)</f>
        <v/>
      </c>
      <c r="R20" s="97" t="str">
        <f aca="false">IF($B20="","",(M20+N20)*G20)</f>
        <v/>
      </c>
      <c r="S20" s="80" t="str">
        <f aca="false">IF($B20="","",IF(O20&lt;-0.01,"✖ رصيد سالب",IF(O20&gt;F20*2,"⚠ رصيد مرتفع (أكثر من سنتين)",IF(AND(الموظفون!$AE20&lt;&gt;"",الموظفون!$AE20&lt;=cfg_VAL_DATE,O20&gt;0.01),"⚠ منتهي الخدمة برصيد","✔ سليم"))))</f>
        <v/>
      </c>
    </row>
    <row r="21" customFormat="false" ht="15" hidden="false" customHeight="false" outlineLevel="0" collapsed="false">
      <c r="B21" s="102" t="str">
        <f aca="false">IF(الموظفون!$B21="","",الموظفون!$B21)</f>
        <v/>
      </c>
      <c r="C21" s="102" t="str">
        <f aca="false">IF($B21="","",الموظفون!$C21)</f>
        <v/>
      </c>
      <c r="D21" s="148" t="str">
        <f aca="false">IF($B21="","",الموظفون!$H21)</f>
        <v/>
      </c>
      <c r="E21" s="153" t="str">
        <f aca="false">IF($B21="","",MAX(0,J21-D21+1-SUMIFS('سجل الإجازات والحالات'!$S$6:$S$505,'سجل الإجازات والحالات'!$B$6:$B$505,$B21))/cfg_DAYS_Y)</f>
        <v/>
      </c>
      <c r="F21" s="110" t="str">
        <f aca="false">IF($B21="","",IF(الموظفون!$T21&lt;&gt;"",الموظفون!$T21,IF(E21&gt;=cfg_LV_TH,cfg_LV_D2,cfg_LV_D1)))</f>
        <v/>
      </c>
      <c r="G21" s="101" t="str">
        <f aca="false">IF($B21="","",الموظفون!$R21/cfg_DAYS_M)</f>
        <v/>
      </c>
      <c r="H21" s="131" t="str">
        <f aca="false">IF($B21="","",N(الموظفون!$AC21))</f>
        <v/>
      </c>
      <c r="I21" s="148" t="str">
        <f aca="false">IF($B21="","",MAX(cfg_Y_START,D21))</f>
        <v/>
      </c>
      <c r="J21" s="148" t="str">
        <f aca="false">IF($B21="","",IF(OR(الموظفون!$AE21="",الموظفون!$AE21&gt;cfg_VAL_DATE),cfg_VAL_DATE,الموظفون!$AE21))</f>
        <v/>
      </c>
      <c r="K21" s="110" t="str">
        <f aca="false">IF($B21="","",MAX(0,MAX(0,J21-I21+1)-(SUMIFS('سجل الإجازات والحالات'!$S$6:$S$505,'سجل الإجازات والحالات'!$B$6:$B$505,$B21)-SUMIFS('سجل الإجازات والحالات'!$R$6:$R$505,'سجل الإجازات والحالات'!$B$6:$B$505,$B21))))</f>
        <v/>
      </c>
      <c r="L21" s="131" t="str">
        <f aca="false">IF($B21="","",F21/cfg_DAYS_Y*K21)</f>
        <v/>
      </c>
      <c r="M21" s="131" t="str">
        <f aca="false">IF($B21="","",SUMIFS('سجل الإجازات والحالات'!$T$6:$T$505,'سجل الإجازات والحالات'!$B$6:$B$505,$B21)+SUMIFS('الحركات الشهرية'!$K$6:$K$1005,'الحركات الشهرية'!$B$6:$B$1005,B21,'الحركات الشهرية'!$A$6:$A$1005,"&lt;="&amp;cfg_VAL_M))</f>
        <v/>
      </c>
      <c r="N21" s="131" t="str">
        <f aca="false">IF($B21="","",SUMIFS('الحركات الشهرية'!$L$6:$L$1005,'الحركات الشهرية'!$B$6:$B$1005,B21,'الحركات الشهرية'!$A$6:$A$1005,"&lt;="&amp;cfg_VAL_M))</f>
        <v/>
      </c>
      <c r="O21" s="131" t="str">
        <f aca="false">IF($B21="","",H21+L21-M21-N21)</f>
        <v/>
      </c>
      <c r="P21" s="133" t="str">
        <f aca="false">IF($B21="","",O21*G21)</f>
        <v/>
      </c>
      <c r="Q21" s="101" t="str">
        <f aca="false">IF($B21="","",H21*G21)</f>
        <v/>
      </c>
      <c r="R21" s="101" t="str">
        <f aca="false">IF($B21="","",(M21+N21)*G21)</f>
        <v/>
      </c>
      <c r="S21" s="102" t="str">
        <f aca="false">IF($B21="","",IF(O21&lt;-0.01,"✖ رصيد سالب",IF(O21&gt;F21*2,"⚠ رصيد مرتفع (أكثر من سنتين)",IF(AND(الموظفون!$AE21&lt;&gt;"",الموظفون!$AE21&lt;=cfg_VAL_DATE,O21&gt;0.01),"⚠ منتهي الخدمة برصيد","✔ سليم"))))</f>
        <v/>
      </c>
    </row>
    <row r="22" customFormat="false" ht="15" hidden="false" customHeight="false" outlineLevel="0" collapsed="false">
      <c r="B22" s="80" t="str">
        <f aca="false">IF(الموظفون!$B22="","",الموظفون!$B22)</f>
        <v/>
      </c>
      <c r="C22" s="80" t="str">
        <f aca="false">IF($B22="","",الموظفون!$C22)</f>
        <v/>
      </c>
      <c r="D22" s="147" t="str">
        <f aca="false">IF($B22="","",الموظفون!$H22)</f>
        <v/>
      </c>
      <c r="E22" s="152" t="str">
        <f aca="false">IF($B22="","",MAX(0,J22-D22+1-SUMIFS('سجل الإجازات والحالات'!$S$6:$S$505,'سجل الإجازات والحالات'!$B$6:$B$505,$B22))/cfg_DAYS_Y)</f>
        <v/>
      </c>
      <c r="F22" s="57" t="str">
        <f aca="false">IF($B22="","",IF(الموظفون!$T22&lt;&gt;"",الموظفون!$T22,IF(E22&gt;=cfg_LV_TH,cfg_LV_D2,cfg_LV_D1)))</f>
        <v/>
      </c>
      <c r="G22" s="97" t="str">
        <f aca="false">IF($B22="","",الموظفون!$R22/cfg_DAYS_M)</f>
        <v/>
      </c>
      <c r="H22" s="126" t="str">
        <f aca="false">IF($B22="","",N(الموظفون!$AC22))</f>
        <v/>
      </c>
      <c r="I22" s="147" t="str">
        <f aca="false">IF($B22="","",MAX(cfg_Y_START,D22))</f>
        <v/>
      </c>
      <c r="J22" s="147" t="str">
        <f aca="false">IF($B22="","",IF(OR(الموظفون!$AE22="",الموظفون!$AE22&gt;cfg_VAL_DATE),cfg_VAL_DATE,الموظفون!$AE22))</f>
        <v/>
      </c>
      <c r="K22" s="57" t="str">
        <f aca="false">IF($B22="","",MAX(0,MAX(0,J22-I22+1)-(SUMIFS('سجل الإجازات والحالات'!$S$6:$S$505,'سجل الإجازات والحالات'!$B$6:$B$505,$B22)-SUMIFS('سجل الإجازات والحالات'!$R$6:$R$505,'سجل الإجازات والحالات'!$B$6:$B$505,$B22))))</f>
        <v/>
      </c>
      <c r="L22" s="126" t="str">
        <f aca="false">IF($B22="","",F22/cfg_DAYS_Y*K22)</f>
        <v/>
      </c>
      <c r="M22" s="126" t="str">
        <f aca="false">IF($B22="","",SUMIFS('سجل الإجازات والحالات'!$T$6:$T$505,'سجل الإجازات والحالات'!$B$6:$B$505,$B22)+SUMIFS('الحركات الشهرية'!$K$6:$K$1005,'الحركات الشهرية'!$B$6:$B$1005,B22,'الحركات الشهرية'!$A$6:$A$1005,"&lt;="&amp;cfg_VAL_M))</f>
        <v/>
      </c>
      <c r="N22" s="126" t="str">
        <f aca="false">IF($B22="","",SUMIFS('الحركات الشهرية'!$L$6:$L$1005,'الحركات الشهرية'!$B$6:$B$1005,B22,'الحركات الشهرية'!$A$6:$A$1005,"&lt;="&amp;cfg_VAL_M))</f>
        <v/>
      </c>
      <c r="O22" s="126" t="str">
        <f aca="false">IF($B22="","",H22+L22-M22-N22)</f>
        <v/>
      </c>
      <c r="P22" s="128" t="str">
        <f aca="false">IF($B22="","",O22*G22)</f>
        <v/>
      </c>
      <c r="Q22" s="97" t="str">
        <f aca="false">IF($B22="","",H22*G22)</f>
        <v/>
      </c>
      <c r="R22" s="97" t="str">
        <f aca="false">IF($B22="","",(M22+N22)*G22)</f>
        <v/>
      </c>
      <c r="S22" s="80" t="str">
        <f aca="false">IF($B22="","",IF(O22&lt;-0.01,"✖ رصيد سالب",IF(O22&gt;F22*2,"⚠ رصيد مرتفع (أكثر من سنتين)",IF(AND(الموظفون!$AE22&lt;&gt;"",الموظفون!$AE22&lt;=cfg_VAL_DATE,O22&gt;0.01),"⚠ منتهي الخدمة برصيد","✔ سليم"))))</f>
        <v/>
      </c>
    </row>
    <row r="23" customFormat="false" ht="15" hidden="false" customHeight="false" outlineLevel="0" collapsed="false">
      <c r="B23" s="102" t="str">
        <f aca="false">IF(الموظفون!$B23="","",الموظفون!$B23)</f>
        <v/>
      </c>
      <c r="C23" s="102" t="str">
        <f aca="false">IF($B23="","",الموظفون!$C23)</f>
        <v/>
      </c>
      <c r="D23" s="148" t="str">
        <f aca="false">IF($B23="","",الموظفون!$H23)</f>
        <v/>
      </c>
      <c r="E23" s="153" t="str">
        <f aca="false">IF($B23="","",MAX(0,J23-D23+1-SUMIFS('سجل الإجازات والحالات'!$S$6:$S$505,'سجل الإجازات والحالات'!$B$6:$B$505,$B23))/cfg_DAYS_Y)</f>
        <v/>
      </c>
      <c r="F23" s="110" t="str">
        <f aca="false">IF($B23="","",IF(الموظفون!$T23&lt;&gt;"",الموظفون!$T23,IF(E23&gt;=cfg_LV_TH,cfg_LV_D2,cfg_LV_D1)))</f>
        <v/>
      </c>
      <c r="G23" s="101" t="str">
        <f aca="false">IF($B23="","",الموظفون!$R23/cfg_DAYS_M)</f>
        <v/>
      </c>
      <c r="H23" s="131" t="str">
        <f aca="false">IF($B23="","",N(الموظفون!$AC23))</f>
        <v/>
      </c>
      <c r="I23" s="148" t="str">
        <f aca="false">IF($B23="","",MAX(cfg_Y_START,D23))</f>
        <v/>
      </c>
      <c r="J23" s="148" t="str">
        <f aca="false">IF($B23="","",IF(OR(الموظفون!$AE23="",الموظفون!$AE23&gt;cfg_VAL_DATE),cfg_VAL_DATE,الموظفون!$AE23))</f>
        <v/>
      </c>
      <c r="K23" s="110" t="str">
        <f aca="false">IF($B23="","",MAX(0,MAX(0,J23-I23+1)-(SUMIFS('سجل الإجازات والحالات'!$S$6:$S$505,'سجل الإجازات والحالات'!$B$6:$B$505,$B23)-SUMIFS('سجل الإجازات والحالات'!$R$6:$R$505,'سجل الإجازات والحالات'!$B$6:$B$505,$B23))))</f>
        <v/>
      </c>
      <c r="L23" s="131" t="str">
        <f aca="false">IF($B23="","",F23/cfg_DAYS_Y*K23)</f>
        <v/>
      </c>
      <c r="M23" s="131" t="str">
        <f aca="false">IF($B23="","",SUMIFS('سجل الإجازات والحالات'!$T$6:$T$505,'سجل الإجازات والحالات'!$B$6:$B$505,$B23)+SUMIFS('الحركات الشهرية'!$K$6:$K$1005,'الحركات الشهرية'!$B$6:$B$1005,B23,'الحركات الشهرية'!$A$6:$A$1005,"&lt;="&amp;cfg_VAL_M))</f>
        <v/>
      </c>
      <c r="N23" s="131" t="str">
        <f aca="false">IF($B23="","",SUMIFS('الحركات الشهرية'!$L$6:$L$1005,'الحركات الشهرية'!$B$6:$B$1005,B23,'الحركات الشهرية'!$A$6:$A$1005,"&lt;="&amp;cfg_VAL_M))</f>
        <v/>
      </c>
      <c r="O23" s="131" t="str">
        <f aca="false">IF($B23="","",H23+L23-M23-N23)</f>
        <v/>
      </c>
      <c r="P23" s="133" t="str">
        <f aca="false">IF($B23="","",O23*G23)</f>
        <v/>
      </c>
      <c r="Q23" s="101" t="str">
        <f aca="false">IF($B23="","",H23*G23)</f>
        <v/>
      </c>
      <c r="R23" s="101" t="str">
        <f aca="false">IF($B23="","",(M23+N23)*G23)</f>
        <v/>
      </c>
      <c r="S23" s="102" t="str">
        <f aca="false">IF($B23="","",IF(O23&lt;-0.01,"✖ رصيد سالب",IF(O23&gt;F23*2,"⚠ رصيد مرتفع (أكثر من سنتين)",IF(AND(الموظفون!$AE23&lt;&gt;"",الموظفون!$AE23&lt;=cfg_VAL_DATE,O23&gt;0.01),"⚠ منتهي الخدمة برصيد","✔ سليم"))))</f>
        <v/>
      </c>
    </row>
    <row r="24" customFormat="false" ht="15" hidden="false" customHeight="false" outlineLevel="0" collapsed="false">
      <c r="B24" s="80" t="str">
        <f aca="false">IF(الموظفون!$B24="","",الموظفون!$B24)</f>
        <v/>
      </c>
      <c r="C24" s="80" t="str">
        <f aca="false">IF($B24="","",الموظفون!$C24)</f>
        <v/>
      </c>
      <c r="D24" s="147" t="str">
        <f aca="false">IF($B24="","",الموظفون!$H24)</f>
        <v/>
      </c>
      <c r="E24" s="152" t="str">
        <f aca="false">IF($B24="","",MAX(0,J24-D24+1-SUMIFS('سجل الإجازات والحالات'!$S$6:$S$505,'سجل الإجازات والحالات'!$B$6:$B$505,$B24))/cfg_DAYS_Y)</f>
        <v/>
      </c>
      <c r="F24" s="57" t="str">
        <f aca="false">IF($B24="","",IF(الموظفون!$T24&lt;&gt;"",الموظفون!$T24,IF(E24&gt;=cfg_LV_TH,cfg_LV_D2,cfg_LV_D1)))</f>
        <v/>
      </c>
      <c r="G24" s="97" t="str">
        <f aca="false">IF($B24="","",الموظفون!$R24/cfg_DAYS_M)</f>
        <v/>
      </c>
      <c r="H24" s="126" t="str">
        <f aca="false">IF($B24="","",N(الموظفون!$AC24))</f>
        <v/>
      </c>
      <c r="I24" s="147" t="str">
        <f aca="false">IF($B24="","",MAX(cfg_Y_START,D24))</f>
        <v/>
      </c>
      <c r="J24" s="147" t="str">
        <f aca="false">IF($B24="","",IF(OR(الموظفون!$AE24="",الموظفون!$AE24&gt;cfg_VAL_DATE),cfg_VAL_DATE,الموظفون!$AE24))</f>
        <v/>
      </c>
      <c r="K24" s="57" t="str">
        <f aca="false">IF($B24="","",MAX(0,MAX(0,J24-I24+1)-(SUMIFS('سجل الإجازات والحالات'!$S$6:$S$505,'سجل الإجازات والحالات'!$B$6:$B$505,$B24)-SUMIFS('سجل الإجازات والحالات'!$R$6:$R$505,'سجل الإجازات والحالات'!$B$6:$B$505,$B24))))</f>
        <v/>
      </c>
      <c r="L24" s="126" t="str">
        <f aca="false">IF($B24="","",F24/cfg_DAYS_Y*K24)</f>
        <v/>
      </c>
      <c r="M24" s="126" t="str">
        <f aca="false">IF($B24="","",SUMIFS('سجل الإجازات والحالات'!$T$6:$T$505,'سجل الإجازات والحالات'!$B$6:$B$505,$B24)+SUMIFS('الحركات الشهرية'!$K$6:$K$1005,'الحركات الشهرية'!$B$6:$B$1005,B24,'الحركات الشهرية'!$A$6:$A$1005,"&lt;="&amp;cfg_VAL_M))</f>
        <v/>
      </c>
      <c r="N24" s="126" t="str">
        <f aca="false">IF($B24="","",SUMIFS('الحركات الشهرية'!$L$6:$L$1005,'الحركات الشهرية'!$B$6:$B$1005,B24,'الحركات الشهرية'!$A$6:$A$1005,"&lt;="&amp;cfg_VAL_M))</f>
        <v/>
      </c>
      <c r="O24" s="126" t="str">
        <f aca="false">IF($B24="","",H24+L24-M24-N24)</f>
        <v/>
      </c>
      <c r="P24" s="128" t="str">
        <f aca="false">IF($B24="","",O24*G24)</f>
        <v/>
      </c>
      <c r="Q24" s="97" t="str">
        <f aca="false">IF($B24="","",H24*G24)</f>
        <v/>
      </c>
      <c r="R24" s="97" t="str">
        <f aca="false">IF($B24="","",(M24+N24)*G24)</f>
        <v/>
      </c>
      <c r="S24" s="80" t="str">
        <f aca="false">IF($B24="","",IF(O24&lt;-0.01,"✖ رصيد سالب",IF(O24&gt;F24*2,"⚠ رصيد مرتفع (أكثر من سنتين)",IF(AND(الموظفون!$AE24&lt;&gt;"",الموظفون!$AE24&lt;=cfg_VAL_DATE,O24&gt;0.01),"⚠ منتهي الخدمة برصيد","✔ سليم"))))</f>
        <v/>
      </c>
    </row>
    <row r="25" customFormat="false" ht="15" hidden="false" customHeight="false" outlineLevel="0" collapsed="false">
      <c r="B25" s="102" t="str">
        <f aca="false">IF(الموظفون!$B25="","",الموظفون!$B25)</f>
        <v/>
      </c>
      <c r="C25" s="102" t="str">
        <f aca="false">IF($B25="","",الموظفون!$C25)</f>
        <v/>
      </c>
      <c r="D25" s="148" t="str">
        <f aca="false">IF($B25="","",الموظفون!$H25)</f>
        <v/>
      </c>
      <c r="E25" s="153" t="str">
        <f aca="false">IF($B25="","",MAX(0,J25-D25+1-SUMIFS('سجل الإجازات والحالات'!$S$6:$S$505,'سجل الإجازات والحالات'!$B$6:$B$505,$B25))/cfg_DAYS_Y)</f>
        <v/>
      </c>
      <c r="F25" s="110" t="str">
        <f aca="false">IF($B25="","",IF(الموظفون!$T25&lt;&gt;"",الموظفون!$T25,IF(E25&gt;=cfg_LV_TH,cfg_LV_D2,cfg_LV_D1)))</f>
        <v/>
      </c>
      <c r="G25" s="101" t="str">
        <f aca="false">IF($B25="","",الموظفون!$R25/cfg_DAYS_M)</f>
        <v/>
      </c>
      <c r="H25" s="131" t="str">
        <f aca="false">IF($B25="","",N(الموظفون!$AC25))</f>
        <v/>
      </c>
      <c r="I25" s="148" t="str">
        <f aca="false">IF($B25="","",MAX(cfg_Y_START,D25))</f>
        <v/>
      </c>
      <c r="J25" s="148" t="str">
        <f aca="false">IF($B25="","",IF(OR(الموظفون!$AE25="",الموظفون!$AE25&gt;cfg_VAL_DATE),cfg_VAL_DATE,الموظفون!$AE25))</f>
        <v/>
      </c>
      <c r="K25" s="110" t="str">
        <f aca="false">IF($B25="","",MAX(0,MAX(0,J25-I25+1)-(SUMIFS('سجل الإجازات والحالات'!$S$6:$S$505,'سجل الإجازات والحالات'!$B$6:$B$505,$B25)-SUMIFS('سجل الإجازات والحالات'!$R$6:$R$505,'سجل الإجازات والحالات'!$B$6:$B$505,$B25))))</f>
        <v/>
      </c>
      <c r="L25" s="131" t="str">
        <f aca="false">IF($B25="","",F25/cfg_DAYS_Y*K25)</f>
        <v/>
      </c>
      <c r="M25" s="131" t="str">
        <f aca="false">IF($B25="","",SUMIFS('سجل الإجازات والحالات'!$T$6:$T$505,'سجل الإجازات والحالات'!$B$6:$B$505,$B25)+SUMIFS('الحركات الشهرية'!$K$6:$K$1005,'الحركات الشهرية'!$B$6:$B$1005,B25,'الحركات الشهرية'!$A$6:$A$1005,"&lt;="&amp;cfg_VAL_M))</f>
        <v/>
      </c>
      <c r="N25" s="131" t="str">
        <f aca="false">IF($B25="","",SUMIFS('الحركات الشهرية'!$L$6:$L$1005,'الحركات الشهرية'!$B$6:$B$1005,B25,'الحركات الشهرية'!$A$6:$A$1005,"&lt;="&amp;cfg_VAL_M))</f>
        <v/>
      </c>
      <c r="O25" s="131" t="str">
        <f aca="false">IF($B25="","",H25+L25-M25-N25)</f>
        <v/>
      </c>
      <c r="P25" s="133" t="str">
        <f aca="false">IF($B25="","",O25*G25)</f>
        <v/>
      </c>
      <c r="Q25" s="101" t="str">
        <f aca="false">IF($B25="","",H25*G25)</f>
        <v/>
      </c>
      <c r="R25" s="101" t="str">
        <f aca="false">IF($B25="","",(M25+N25)*G25)</f>
        <v/>
      </c>
      <c r="S25" s="102" t="str">
        <f aca="false">IF($B25="","",IF(O25&lt;-0.01,"✖ رصيد سالب",IF(O25&gt;F25*2,"⚠ رصيد مرتفع (أكثر من سنتين)",IF(AND(الموظفون!$AE25&lt;&gt;"",الموظفون!$AE25&lt;=cfg_VAL_DATE,O25&gt;0.01),"⚠ منتهي الخدمة برصيد","✔ سليم"))))</f>
        <v/>
      </c>
    </row>
    <row r="26" customFormat="false" ht="15" hidden="false" customHeight="false" outlineLevel="0" collapsed="false">
      <c r="B26" s="80" t="str">
        <f aca="false">IF(الموظفون!$B26="","",الموظفون!$B26)</f>
        <v/>
      </c>
      <c r="C26" s="80" t="str">
        <f aca="false">IF($B26="","",الموظفون!$C26)</f>
        <v/>
      </c>
      <c r="D26" s="147" t="str">
        <f aca="false">IF($B26="","",الموظفون!$H26)</f>
        <v/>
      </c>
      <c r="E26" s="152" t="str">
        <f aca="false">IF($B26="","",MAX(0,J26-D26+1-SUMIFS('سجل الإجازات والحالات'!$S$6:$S$505,'سجل الإجازات والحالات'!$B$6:$B$505,$B26))/cfg_DAYS_Y)</f>
        <v/>
      </c>
      <c r="F26" s="57" t="str">
        <f aca="false">IF($B26="","",IF(الموظفون!$T26&lt;&gt;"",الموظفون!$T26,IF(E26&gt;=cfg_LV_TH,cfg_LV_D2,cfg_LV_D1)))</f>
        <v/>
      </c>
      <c r="G26" s="97" t="str">
        <f aca="false">IF($B26="","",الموظفون!$R26/cfg_DAYS_M)</f>
        <v/>
      </c>
      <c r="H26" s="126" t="str">
        <f aca="false">IF($B26="","",N(الموظفون!$AC26))</f>
        <v/>
      </c>
      <c r="I26" s="147" t="str">
        <f aca="false">IF($B26="","",MAX(cfg_Y_START,D26))</f>
        <v/>
      </c>
      <c r="J26" s="147" t="str">
        <f aca="false">IF($B26="","",IF(OR(الموظفون!$AE26="",الموظفون!$AE26&gt;cfg_VAL_DATE),cfg_VAL_DATE,الموظفون!$AE26))</f>
        <v/>
      </c>
      <c r="K26" s="57" t="str">
        <f aca="false">IF($B26="","",MAX(0,MAX(0,J26-I26+1)-(SUMIFS('سجل الإجازات والحالات'!$S$6:$S$505,'سجل الإجازات والحالات'!$B$6:$B$505,$B26)-SUMIFS('سجل الإجازات والحالات'!$R$6:$R$505,'سجل الإجازات والحالات'!$B$6:$B$505,$B26))))</f>
        <v/>
      </c>
      <c r="L26" s="126" t="str">
        <f aca="false">IF($B26="","",F26/cfg_DAYS_Y*K26)</f>
        <v/>
      </c>
      <c r="M26" s="126" t="str">
        <f aca="false">IF($B26="","",SUMIFS('سجل الإجازات والحالات'!$T$6:$T$505,'سجل الإجازات والحالات'!$B$6:$B$505,$B26)+SUMIFS('الحركات الشهرية'!$K$6:$K$1005,'الحركات الشهرية'!$B$6:$B$1005,B26,'الحركات الشهرية'!$A$6:$A$1005,"&lt;="&amp;cfg_VAL_M))</f>
        <v/>
      </c>
      <c r="N26" s="126" t="str">
        <f aca="false">IF($B26="","",SUMIFS('الحركات الشهرية'!$L$6:$L$1005,'الحركات الشهرية'!$B$6:$B$1005,B26,'الحركات الشهرية'!$A$6:$A$1005,"&lt;="&amp;cfg_VAL_M))</f>
        <v/>
      </c>
      <c r="O26" s="126" t="str">
        <f aca="false">IF($B26="","",H26+L26-M26-N26)</f>
        <v/>
      </c>
      <c r="P26" s="128" t="str">
        <f aca="false">IF($B26="","",O26*G26)</f>
        <v/>
      </c>
      <c r="Q26" s="97" t="str">
        <f aca="false">IF($B26="","",H26*G26)</f>
        <v/>
      </c>
      <c r="R26" s="97" t="str">
        <f aca="false">IF($B26="","",(M26+N26)*G26)</f>
        <v/>
      </c>
      <c r="S26" s="80" t="str">
        <f aca="false">IF($B26="","",IF(O26&lt;-0.01,"✖ رصيد سالب",IF(O26&gt;F26*2,"⚠ رصيد مرتفع (أكثر من سنتين)",IF(AND(الموظفون!$AE26&lt;&gt;"",الموظفون!$AE26&lt;=cfg_VAL_DATE,O26&gt;0.01),"⚠ منتهي الخدمة برصيد","✔ سليم"))))</f>
        <v/>
      </c>
    </row>
    <row r="27" customFormat="false" ht="15" hidden="false" customHeight="false" outlineLevel="0" collapsed="false">
      <c r="B27" s="102" t="str">
        <f aca="false">IF(الموظفون!$B27="","",الموظفون!$B27)</f>
        <v/>
      </c>
      <c r="C27" s="102" t="str">
        <f aca="false">IF($B27="","",الموظفون!$C27)</f>
        <v/>
      </c>
      <c r="D27" s="148" t="str">
        <f aca="false">IF($B27="","",الموظفون!$H27)</f>
        <v/>
      </c>
      <c r="E27" s="153" t="str">
        <f aca="false">IF($B27="","",MAX(0,J27-D27+1-SUMIFS('سجل الإجازات والحالات'!$S$6:$S$505,'سجل الإجازات والحالات'!$B$6:$B$505,$B27))/cfg_DAYS_Y)</f>
        <v/>
      </c>
      <c r="F27" s="110" t="str">
        <f aca="false">IF($B27="","",IF(الموظفون!$T27&lt;&gt;"",الموظفون!$T27,IF(E27&gt;=cfg_LV_TH,cfg_LV_D2,cfg_LV_D1)))</f>
        <v/>
      </c>
      <c r="G27" s="101" t="str">
        <f aca="false">IF($B27="","",الموظفون!$R27/cfg_DAYS_M)</f>
        <v/>
      </c>
      <c r="H27" s="131" t="str">
        <f aca="false">IF($B27="","",N(الموظفون!$AC27))</f>
        <v/>
      </c>
      <c r="I27" s="148" t="str">
        <f aca="false">IF($B27="","",MAX(cfg_Y_START,D27))</f>
        <v/>
      </c>
      <c r="J27" s="148" t="str">
        <f aca="false">IF($B27="","",IF(OR(الموظفون!$AE27="",الموظفون!$AE27&gt;cfg_VAL_DATE),cfg_VAL_DATE,الموظفون!$AE27))</f>
        <v/>
      </c>
      <c r="K27" s="110" t="str">
        <f aca="false">IF($B27="","",MAX(0,MAX(0,J27-I27+1)-(SUMIFS('سجل الإجازات والحالات'!$S$6:$S$505,'سجل الإجازات والحالات'!$B$6:$B$505,$B27)-SUMIFS('سجل الإجازات والحالات'!$R$6:$R$505,'سجل الإجازات والحالات'!$B$6:$B$505,$B27))))</f>
        <v/>
      </c>
      <c r="L27" s="131" t="str">
        <f aca="false">IF($B27="","",F27/cfg_DAYS_Y*K27)</f>
        <v/>
      </c>
      <c r="M27" s="131" t="str">
        <f aca="false">IF($B27="","",SUMIFS('سجل الإجازات والحالات'!$T$6:$T$505,'سجل الإجازات والحالات'!$B$6:$B$505,$B27)+SUMIFS('الحركات الشهرية'!$K$6:$K$1005,'الحركات الشهرية'!$B$6:$B$1005,B27,'الحركات الشهرية'!$A$6:$A$1005,"&lt;="&amp;cfg_VAL_M))</f>
        <v/>
      </c>
      <c r="N27" s="131" t="str">
        <f aca="false">IF($B27="","",SUMIFS('الحركات الشهرية'!$L$6:$L$1005,'الحركات الشهرية'!$B$6:$B$1005,B27,'الحركات الشهرية'!$A$6:$A$1005,"&lt;="&amp;cfg_VAL_M))</f>
        <v/>
      </c>
      <c r="O27" s="131" t="str">
        <f aca="false">IF($B27="","",H27+L27-M27-N27)</f>
        <v/>
      </c>
      <c r="P27" s="133" t="str">
        <f aca="false">IF($B27="","",O27*G27)</f>
        <v/>
      </c>
      <c r="Q27" s="101" t="str">
        <f aca="false">IF($B27="","",H27*G27)</f>
        <v/>
      </c>
      <c r="R27" s="101" t="str">
        <f aca="false">IF($B27="","",(M27+N27)*G27)</f>
        <v/>
      </c>
      <c r="S27" s="102" t="str">
        <f aca="false">IF($B27="","",IF(O27&lt;-0.01,"✖ رصيد سالب",IF(O27&gt;F27*2,"⚠ رصيد مرتفع (أكثر من سنتين)",IF(AND(الموظفون!$AE27&lt;&gt;"",الموظفون!$AE27&lt;=cfg_VAL_DATE,O27&gt;0.01),"⚠ منتهي الخدمة برصيد","✔ سليم"))))</f>
        <v/>
      </c>
    </row>
    <row r="28" customFormat="false" ht="15" hidden="false" customHeight="false" outlineLevel="0" collapsed="false">
      <c r="B28" s="80" t="str">
        <f aca="false">IF(الموظفون!$B28="","",الموظفون!$B28)</f>
        <v/>
      </c>
      <c r="C28" s="80" t="str">
        <f aca="false">IF($B28="","",الموظفون!$C28)</f>
        <v/>
      </c>
      <c r="D28" s="147" t="str">
        <f aca="false">IF($B28="","",الموظفون!$H28)</f>
        <v/>
      </c>
      <c r="E28" s="152" t="str">
        <f aca="false">IF($B28="","",MAX(0,J28-D28+1-SUMIFS('سجل الإجازات والحالات'!$S$6:$S$505,'سجل الإجازات والحالات'!$B$6:$B$505,$B28))/cfg_DAYS_Y)</f>
        <v/>
      </c>
      <c r="F28" s="57" t="str">
        <f aca="false">IF($B28="","",IF(الموظفون!$T28&lt;&gt;"",الموظفون!$T28,IF(E28&gt;=cfg_LV_TH,cfg_LV_D2,cfg_LV_D1)))</f>
        <v/>
      </c>
      <c r="G28" s="97" t="str">
        <f aca="false">IF($B28="","",الموظفون!$R28/cfg_DAYS_M)</f>
        <v/>
      </c>
      <c r="H28" s="126" t="str">
        <f aca="false">IF($B28="","",N(الموظفون!$AC28))</f>
        <v/>
      </c>
      <c r="I28" s="147" t="str">
        <f aca="false">IF($B28="","",MAX(cfg_Y_START,D28))</f>
        <v/>
      </c>
      <c r="J28" s="147" t="str">
        <f aca="false">IF($B28="","",IF(OR(الموظفون!$AE28="",الموظفون!$AE28&gt;cfg_VAL_DATE),cfg_VAL_DATE,الموظفون!$AE28))</f>
        <v/>
      </c>
      <c r="K28" s="57" t="str">
        <f aca="false">IF($B28="","",MAX(0,MAX(0,J28-I28+1)-(SUMIFS('سجل الإجازات والحالات'!$S$6:$S$505,'سجل الإجازات والحالات'!$B$6:$B$505,$B28)-SUMIFS('سجل الإجازات والحالات'!$R$6:$R$505,'سجل الإجازات والحالات'!$B$6:$B$505,$B28))))</f>
        <v/>
      </c>
      <c r="L28" s="126" t="str">
        <f aca="false">IF($B28="","",F28/cfg_DAYS_Y*K28)</f>
        <v/>
      </c>
      <c r="M28" s="126" t="str">
        <f aca="false">IF($B28="","",SUMIFS('سجل الإجازات والحالات'!$T$6:$T$505,'سجل الإجازات والحالات'!$B$6:$B$505,$B28)+SUMIFS('الحركات الشهرية'!$K$6:$K$1005,'الحركات الشهرية'!$B$6:$B$1005,B28,'الحركات الشهرية'!$A$6:$A$1005,"&lt;="&amp;cfg_VAL_M))</f>
        <v/>
      </c>
      <c r="N28" s="126" t="str">
        <f aca="false">IF($B28="","",SUMIFS('الحركات الشهرية'!$L$6:$L$1005,'الحركات الشهرية'!$B$6:$B$1005,B28,'الحركات الشهرية'!$A$6:$A$1005,"&lt;="&amp;cfg_VAL_M))</f>
        <v/>
      </c>
      <c r="O28" s="126" t="str">
        <f aca="false">IF($B28="","",H28+L28-M28-N28)</f>
        <v/>
      </c>
      <c r="P28" s="128" t="str">
        <f aca="false">IF($B28="","",O28*G28)</f>
        <v/>
      </c>
      <c r="Q28" s="97" t="str">
        <f aca="false">IF($B28="","",H28*G28)</f>
        <v/>
      </c>
      <c r="R28" s="97" t="str">
        <f aca="false">IF($B28="","",(M28+N28)*G28)</f>
        <v/>
      </c>
      <c r="S28" s="80" t="str">
        <f aca="false">IF($B28="","",IF(O28&lt;-0.01,"✖ رصيد سالب",IF(O28&gt;F28*2,"⚠ رصيد مرتفع (أكثر من سنتين)",IF(AND(الموظفون!$AE28&lt;&gt;"",الموظفون!$AE28&lt;=cfg_VAL_DATE,O28&gt;0.01),"⚠ منتهي الخدمة برصيد","✔ سليم"))))</f>
        <v/>
      </c>
    </row>
    <row r="29" customFormat="false" ht="15" hidden="false" customHeight="false" outlineLevel="0" collapsed="false">
      <c r="B29" s="102" t="str">
        <f aca="false">IF(الموظفون!$B29="","",الموظفون!$B29)</f>
        <v/>
      </c>
      <c r="C29" s="102" t="str">
        <f aca="false">IF($B29="","",الموظفون!$C29)</f>
        <v/>
      </c>
      <c r="D29" s="148" t="str">
        <f aca="false">IF($B29="","",الموظفون!$H29)</f>
        <v/>
      </c>
      <c r="E29" s="153" t="str">
        <f aca="false">IF($B29="","",MAX(0,J29-D29+1-SUMIFS('سجل الإجازات والحالات'!$S$6:$S$505,'سجل الإجازات والحالات'!$B$6:$B$505,$B29))/cfg_DAYS_Y)</f>
        <v/>
      </c>
      <c r="F29" s="110" t="str">
        <f aca="false">IF($B29="","",IF(الموظفون!$T29&lt;&gt;"",الموظفون!$T29,IF(E29&gt;=cfg_LV_TH,cfg_LV_D2,cfg_LV_D1)))</f>
        <v/>
      </c>
      <c r="G29" s="101" t="str">
        <f aca="false">IF($B29="","",الموظفون!$R29/cfg_DAYS_M)</f>
        <v/>
      </c>
      <c r="H29" s="131" t="str">
        <f aca="false">IF($B29="","",N(الموظفون!$AC29))</f>
        <v/>
      </c>
      <c r="I29" s="148" t="str">
        <f aca="false">IF($B29="","",MAX(cfg_Y_START,D29))</f>
        <v/>
      </c>
      <c r="J29" s="148" t="str">
        <f aca="false">IF($B29="","",IF(OR(الموظفون!$AE29="",الموظفون!$AE29&gt;cfg_VAL_DATE),cfg_VAL_DATE,الموظفون!$AE29))</f>
        <v/>
      </c>
      <c r="K29" s="110" t="str">
        <f aca="false">IF($B29="","",MAX(0,MAX(0,J29-I29+1)-(SUMIFS('سجل الإجازات والحالات'!$S$6:$S$505,'سجل الإجازات والحالات'!$B$6:$B$505,$B29)-SUMIFS('سجل الإجازات والحالات'!$R$6:$R$505,'سجل الإجازات والحالات'!$B$6:$B$505,$B29))))</f>
        <v/>
      </c>
      <c r="L29" s="131" t="str">
        <f aca="false">IF($B29="","",F29/cfg_DAYS_Y*K29)</f>
        <v/>
      </c>
      <c r="M29" s="131" t="str">
        <f aca="false">IF($B29="","",SUMIFS('سجل الإجازات والحالات'!$T$6:$T$505,'سجل الإجازات والحالات'!$B$6:$B$505,$B29)+SUMIFS('الحركات الشهرية'!$K$6:$K$1005,'الحركات الشهرية'!$B$6:$B$1005,B29,'الحركات الشهرية'!$A$6:$A$1005,"&lt;="&amp;cfg_VAL_M))</f>
        <v/>
      </c>
      <c r="N29" s="131" t="str">
        <f aca="false">IF($B29="","",SUMIFS('الحركات الشهرية'!$L$6:$L$1005,'الحركات الشهرية'!$B$6:$B$1005,B29,'الحركات الشهرية'!$A$6:$A$1005,"&lt;="&amp;cfg_VAL_M))</f>
        <v/>
      </c>
      <c r="O29" s="131" t="str">
        <f aca="false">IF($B29="","",H29+L29-M29-N29)</f>
        <v/>
      </c>
      <c r="P29" s="133" t="str">
        <f aca="false">IF($B29="","",O29*G29)</f>
        <v/>
      </c>
      <c r="Q29" s="101" t="str">
        <f aca="false">IF($B29="","",H29*G29)</f>
        <v/>
      </c>
      <c r="R29" s="101" t="str">
        <f aca="false">IF($B29="","",(M29+N29)*G29)</f>
        <v/>
      </c>
      <c r="S29" s="102" t="str">
        <f aca="false">IF($B29="","",IF(O29&lt;-0.01,"✖ رصيد سالب",IF(O29&gt;F29*2,"⚠ رصيد مرتفع (أكثر من سنتين)",IF(AND(الموظفون!$AE29&lt;&gt;"",الموظفون!$AE29&lt;=cfg_VAL_DATE,O29&gt;0.01),"⚠ منتهي الخدمة برصيد","✔ سليم"))))</f>
        <v/>
      </c>
    </row>
    <row r="30" customFormat="false" ht="15" hidden="false" customHeight="false" outlineLevel="0" collapsed="false">
      <c r="B30" s="80" t="str">
        <f aca="false">IF(الموظفون!$B30="","",الموظفون!$B30)</f>
        <v/>
      </c>
      <c r="C30" s="80" t="str">
        <f aca="false">IF($B30="","",الموظفون!$C30)</f>
        <v/>
      </c>
      <c r="D30" s="147" t="str">
        <f aca="false">IF($B30="","",الموظفون!$H30)</f>
        <v/>
      </c>
      <c r="E30" s="152" t="str">
        <f aca="false">IF($B30="","",MAX(0,J30-D30+1-SUMIFS('سجل الإجازات والحالات'!$S$6:$S$505,'سجل الإجازات والحالات'!$B$6:$B$505,$B30))/cfg_DAYS_Y)</f>
        <v/>
      </c>
      <c r="F30" s="57" t="str">
        <f aca="false">IF($B30="","",IF(الموظفون!$T30&lt;&gt;"",الموظفون!$T30,IF(E30&gt;=cfg_LV_TH,cfg_LV_D2,cfg_LV_D1)))</f>
        <v/>
      </c>
      <c r="G30" s="97" t="str">
        <f aca="false">IF($B30="","",الموظفون!$R30/cfg_DAYS_M)</f>
        <v/>
      </c>
      <c r="H30" s="126" t="str">
        <f aca="false">IF($B30="","",N(الموظفون!$AC30))</f>
        <v/>
      </c>
      <c r="I30" s="147" t="str">
        <f aca="false">IF($B30="","",MAX(cfg_Y_START,D30))</f>
        <v/>
      </c>
      <c r="J30" s="147" t="str">
        <f aca="false">IF($B30="","",IF(OR(الموظفون!$AE30="",الموظفون!$AE30&gt;cfg_VAL_DATE),cfg_VAL_DATE,الموظفون!$AE30))</f>
        <v/>
      </c>
      <c r="K30" s="57" t="str">
        <f aca="false">IF($B30="","",MAX(0,MAX(0,J30-I30+1)-(SUMIFS('سجل الإجازات والحالات'!$S$6:$S$505,'سجل الإجازات والحالات'!$B$6:$B$505,$B30)-SUMIFS('سجل الإجازات والحالات'!$R$6:$R$505,'سجل الإجازات والحالات'!$B$6:$B$505,$B30))))</f>
        <v/>
      </c>
      <c r="L30" s="126" t="str">
        <f aca="false">IF($B30="","",F30/cfg_DAYS_Y*K30)</f>
        <v/>
      </c>
      <c r="M30" s="126" t="str">
        <f aca="false">IF($B30="","",SUMIFS('سجل الإجازات والحالات'!$T$6:$T$505,'سجل الإجازات والحالات'!$B$6:$B$505,$B30)+SUMIFS('الحركات الشهرية'!$K$6:$K$1005,'الحركات الشهرية'!$B$6:$B$1005,B30,'الحركات الشهرية'!$A$6:$A$1005,"&lt;="&amp;cfg_VAL_M))</f>
        <v/>
      </c>
      <c r="N30" s="126" t="str">
        <f aca="false">IF($B30="","",SUMIFS('الحركات الشهرية'!$L$6:$L$1005,'الحركات الشهرية'!$B$6:$B$1005,B30,'الحركات الشهرية'!$A$6:$A$1005,"&lt;="&amp;cfg_VAL_M))</f>
        <v/>
      </c>
      <c r="O30" s="126" t="str">
        <f aca="false">IF($B30="","",H30+L30-M30-N30)</f>
        <v/>
      </c>
      <c r="P30" s="128" t="str">
        <f aca="false">IF($B30="","",O30*G30)</f>
        <v/>
      </c>
      <c r="Q30" s="97" t="str">
        <f aca="false">IF($B30="","",H30*G30)</f>
        <v/>
      </c>
      <c r="R30" s="97" t="str">
        <f aca="false">IF($B30="","",(M30+N30)*G30)</f>
        <v/>
      </c>
      <c r="S30" s="80" t="str">
        <f aca="false">IF($B30="","",IF(O30&lt;-0.01,"✖ رصيد سالب",IF(O30&gt;F30*2,"⚠ رصيد مرتفع (أكثر من سنتين)",IF(AND(الموظفون!$AE30&lt;&gt;"",الموظفون!$AE30&lt;=cfg_VAL_DATE,O30&gt;0.01),"⚠ منتهي الخدمة برصيد","✔ سليم"))))</f>
        <v/>
      </c>
    </row>
    <row r="31" customFormat="false" ht="15" hidden="false" customHeight="false" outlineLevel="0" collapsed="false">
      <c r="B31" s="102" t="str">
        <f aca="false">IF(الموظفون!$B31="","",الموظفون!$B31)</f>
        <v/>
      </c>
      <c r="C31" s="102" t="str">
        <f aca="false">IF($B31="","",الموظفون!$C31)</f>
        <v/>
      </c>
      <c r="D31" s="148" t="str">
        <f aca="false">IF($B31="","",الموظفون!$H31)</f>
        <v/>
      </c>
      <c r="E31" s="153" t="str">
        <f aca="false">IF($B31="","",MAX(0,J31-D31+1-SUMIFS('سجل الإجازات والحالات'!$S$6:$S$505,'سجل الإجازات والحالات'!$B$6:$B$505,$B31))/cfg_DAYS_Y)</f>
        <v/>
      </c>
      <c r="F31" s="110" t="str">
        <f aca="false">IF($B31="","",IF(الموظفون!$T31&lt;&gt;"",الموظفون!$T31,IF(E31&gt;=cfg_LV_TH,cfg_LV_D2,cfg_LV_D1)))</f>
        <v/>
      </c>
      <c r="G31" s="101" t="str">
        <f aca="false">IF($B31="","",الموظفون!$R31/cfg_DAYS_M)</f>
        <v/>
      </c>
      <c r="H31" s="131" t="str">
        <f aca="false">IF($B31="","",N(الموظفون!$AC31))</f>
        <v/>
      </c>
      <c r="I31" s="148" t="str">
        <f aca="false">IF($B31="","",MAX(cfg_Y_START,D31))</f>
        <v/>
      </c>
      <c r="J31" s="148" t="str">
        <f aca="false">IF($B31="","",IF(OR(الموظفون!$AE31="",الموظفون!$AE31&gt;cfg_VAL_DATE),cfg_VAL_DATE,الموظفون!$AE31))</f>
        <v/>
      </c>
      <c r="K31" s="110" t="str">
        <f aca="false">IF($B31="","",MAX(0,MAX(0,J31-I31+1)-(SUMIFS('سجل الإجازات والحالات'!$S$6:$S$505,'سجل الإجازات والحالات'!$B$6:$B$505,$B31)-SUMIFS('سجل الإجازات والحالات'!$R$6:$R$505,'سجل الإجازات والحالات'!$B$6:$B$505,$B31))))</f>
        <v/>
      </c>
      <c r="L31" s="131" t="str">
        <f aca="false">IF($B31="","",F31/cfg_DAYS_Y*K31)</f>
        <v/>
      </c>
      <c r="M31" s="131" t="str">
        <f aca="false">IF($B31="","",SUMIFS('سجل الإجازات والحالات'!$T$6:$T$505,'سجل الإجازات والحالات'!$B$6:$B$505,$B31)+SUMIFS('الحركات الشهرية'!$K$6:$K$1005,'الحركات الشهرية'!$B$6:$B$1005,B31,'الحركات الشهرية'!$A$6:$A$1005,"&lt;="&amp;cfg_VAL_M))</f>
        <v/>
      </c>
      <c r="N31" s="131" t="str">
        <f aca="false">IF($B31="","",SUMIFS('الحركات الشهرية'!$L$6:$L$1005,'الحركات الشهرية'!$B$6:$B$1005,B31,'الحركات الشهرية'!$A$6:$A$1005,"&lt;="&amp;cfg_VAL_M))</f>
        <v/>
      </c>
      <c r="O31" s="131" t="str">
        <f aca="false">IF($B31="","",H31+L31-M31-N31)</f>
        <v/>
      </c>
      <c r="P31" s="133" t="str">
        <f aca="false">IF($B31="","",O31*G31)</f>
        <v/>
      </c>
      <c r="Q31" s="101" t="str">
        <f aca="false">IF($B31="","",H31*G31)</f>
        <v/>
      </c>
      <c r="R31" s="101" t="str">
        <f aca="false">IF($B31="","",(M31+N31)*G31)</f>
        <v/>
      </c>
      <c r="S31" s="102" t="str">
        <f aca="false">IF($B31="","",IF(O31&lt;-0.01,"✖ رصيد سالب",IF(O31&gt;F31*2,"⚠ رصيد مرتفع (أكثر من سنتين)",IF(AND(الموظفون!$AE31&lt;&gt;"",الموظفون!$AE31&lt;=cfg_VAL_DATE,O31&gt;0.01),"⚠ منتهي الخدمة برصيد","✔ سليم"))))</f>
        <v/>
      </c>
    </row>
    <row r="32" customFormat="false" ht="15" hidden="false" customHeight="false" outlineLevel="0" collapsed="false">
      <c r="B32" s="80" t="str">
        <f aca="false">IF(الموظفون!$B32="","",الموظفون!$B32)</f>
        <v/>
      </c>
      <c r="C32" s="80" t="str">
        <f aca="false">IF($B32="","",الموظفون!$C32)</f>
        <v/>
      </c>
      <c r="D32" s="147" t="str">
        <f aca="false">IF($B32="","",الموظفون!$H32)</f>
        <v/>
      </c>
      <c r="E32" s="152" t="str">
        <f aca="false">IF($B32="","",MAX(0,J32-D32+1-SUMIFS('سجل الإجازات والحالات'!$S$6:$S$505,'سجل الإجازات والحالات'!$B$6:$B$505,$B32))/cfg_DAYS_Y)</f>
        <v/>
      </c>
      <c r="F32" s="57" t="str">
        <f aca="false">IF($B32="","",IF(الموظفون!$T32&lt;&gt;"",الموظفون!$T32,IF(E32&gt;=cfg_LV_TH,cfg_LV_D2,cfg_LV_D1)))</f>
        <v/>
      </c>
      <c r="G32" s="97" t="str">
        <f aca="false">IF($B32="","",الموظفون!$R32/cfg_DAYS_M)</f>
        <v/>
      </c>
      <c r="H32" s="126" t="str">
        <f aca="false">IF($B32="","",N(الموظفون!$AC32))</f>
        <v/>
      </c>
      <c r="I32" s="147" t="str">
        <f aca="false">IF($B32="","",MAX(cfg_Y_START,D32))</f>
        <v/>
      </c>
      <c r="J32" s="147" t="str">
        <f aca="false">IF($B32="","",IF(OR(الموظفون!$AE32="",الموظفون!$AE32&gt;cfg_VAL_DATE),cfg_VAL_DATE,الموظفون!$AE32))</f>
        <v/>
      </c>
      <c r="K32" s="57" t="str">
        <f aca="false">IF($B32="","",MAX(0,MAX(0,J32-I32+1)-(SUMIFS('سجل الإجازات والحالات'!$S$6:$S$505,'سجل الإجازات والحالات'!$B$6:$B$505,$B32)-SUMIFS('سجل الإجازات والحالات'!$R$6:$R$505,'سجل الإجازات والحالات'!$B$6:$B$505,$B32))))</f>
        <v/>
      </c>
      <c r="L32" s="126" t="str">
        <f aca="false">IF($B32="","",F32/cfg_DAYS_Y*K32)</f>
        <v/>
      </c>
      <c r="M32" s="126" t="str">
        <f aca="false">IF($B32="","",SUMIFS('سجل الإجازات والحالات'!$T$6:$T$505,'سجل الإجازات والحالات'!$B$6:$B$505,$B32)+SUMIFS('الحركات الشهرية'!$K$6:$K$1005,'الحركات الشهرية'!$B$6:$B$1005,B32,'الحركات الشهرية'!$A$6:$A$1005,"&lt;="&amp;cfg_VAL_M))</f>
        <v/>
      </c>
      <c r="N32" s="126" t="str">
        <f aca="false">IF($B32="","",SUMIFS('الحركات الشهرية'!$L$6:$L$1005,'الحركات الشهرية'!$B$6:$B$1005,B32,'الحركات الشهرية'!$A$6:$A$1005,"&lt;="&amp;cfg_VAL_M))</f>
        <v/>
      </c>
      <c r="O32" s="126" t="str">
        <f aca="false">IF($B32="","",H32+L32-M32-N32)</f>
        <v/>
      </c>
      <c r="P32" s="128" t="str">
        <f aca="false">IF($B32="","",O32*G32)</f>
        <v/>
      </c>
      <c r="Q32" s="97" t="str">
        <f aca="false">IF($B32="","",H32*G32)</f>
        <v/>
      </c>
      <c r="R32" s="97" t="str">
        <f aca="false">IF($B32="","",(M32+N32)*G32)</f>
        <v/>
      </c>
      <c r="S32" s="80" t="str">
        <f aca="false">IF($B32="","",IF(O32&lt;-0.01,"✖ رصيد سالب",IF(O32&gt;F32*2,"⚠ رصيد مرتفع (أكثر من سنتين)",IF(AND(الموظفون!$AE32&lt;&gt;"",الموظفون!$AE32&lt;=cfg_VAL_DATE,O32&gt;0.01),"⚠ منتهي الخدمة برصيد","✔ سليم"))))</f>
        <v/>
      </c>
    </row>
    <row r="33" customFormat="false" ht="15" hidden="false" customHeight="false" outlineLevel="0" collapsed="false">
      <c r="B33" s="102" t="str">
        <f aca="false">IF(الموظفون!$B33="","",الموظفون!$B33)</f>
        <v/>
      </c>
      <c r="C33" s="102" t="str">
        <f aca="false">IF($B33="","",الموظفون!$C33)</f>
        <v/>
      </c>
      <c r="D33" s="148" t="str">
        <f aca="false">IF($B33="","",الموظفون!$H33)</f>
        <v/>
      </c>
      <c r="E33" s="153" t="str">
        <f aca="false">IF($B33="","",MAX(0,J33-D33+1-SUMIFS('سجل الإجازات والحالات'!$S$6:$S$505,'سجل الإجازات والحالات'!$B$6:$B$505,$B33))/cfg_DAYS_Y)</f>
        <v/>
      </c>
      <c r="F33" s="110" t="str">
        <f aca="false">IF($B33="","",IF(الموظفون!$T33&lt;&gt;"",الموظفون!$T33,IF(E33&gt;=cfg_LV_TH,cfg_LV_D2,cfg_LV_D1)))</f>
        <v/>
      </c>
      <c r="G33" s="101" t="str">
        <f aca="false">IF($B33="","",الموظفون!$R33/cfg_DAYS_M)</f>
        <v/>
      </c>
      <c r="H33" s="131" t="str">
        <f aca="false">IF($B33="","",N(الموظفون!$AC33))</f>
        <v/>
      </c>
      <c r="I33" s="148" t="str">
        <f aca="false">IF($B33="","",MAX(cfg_Y_START,D33))</f>
        <v/>
      </c>
      <c r="J33" s="148" t="str">
        <f aca="false">IF($B33="","",IF(OR(الموظفون!$AE33="",الموظفون!$AE33&gt;cfg_VAL_DATE),cfg_VAL_DATE,الموظفون!$AE33))</f>
        <v/>
      </c>
      <c r="K33" s="110" t="str">
        <f aca="false">IF($B33="","",MAX(0,MAX(0,J33-I33+1)-(SUMIFS('سجل الإجازات والحالات'!$S$6:$S$505,'سجل الإجازات والحالات'!$B$6:$B$505,$B33)-SUMIFS('سجل الإجازات والحالات'!$R$6:$R$505,'سجل الإجازات والحالات'!$B$6:$B$505,$B33))))</f>
        <v/>
      </c>
      <c r="L33" s="131" t="str">
        <f aca="false">IF($B33="","",F33/cfg_DAYS_Y*K33)</f>
        <v/>
      </c>
      <c r="M33" s="131" t="str">
        <f aca="false">IF($B33="","",SUMIFS('سجل الإجازات والحالات'!$T$6:$T$505,'سجل الإجازات والحالات'!$B$6:$B$505,$B33)+SUMIFS('الحركات الشهرية'!$K$6:$K$1005,'الحركات الشهرية'!$B$6:$B$1005,B33,'الحركات الشهرية'!$A$6:$A$1005,"&lt;="&amp;cfg_VAL_M))</f>
        <v/>
      </c>
      <c r="N33" s="131" t="str">
        <f aca="false">IF($B33="","",SUMIFS('الحركات الشهرية'!$L$6:$L$1005,'الحركات الشهرية'!$B$6:$B$1005,B33,'الحركات الشهرية'!$A$6:$A$1005,"&lt;="&amp;cfg_VAL_M))</f>
        <v/>
      </c>
      <c r="O33" s="131" t="str">
        <f aca="false">IF($B33="","",H33+L33-M33-N33)</f>
        <v/>
      </c>
      <c r="P33" s="133" t="str">
        <f aca="false">IF($B33="","",O33*G33)</f>
        <v/>
      </c>
      <c r="Q33" s="101" t="str">
        <f aca="false">IF($B33="","",H33*G33)</f>
        <v/>
      </c>
      <c r="R33" s="101" t="str">
        <f aca="false">IF($B33="","",(M33+N33)*G33)</f>
        <v/>
      </c>
      <c r="S33" s="102" t="str">
        <f aca="false">IF($B33="","",IF(O33&lt;-0.01,"✖ رصيد سالب",IF(O33&gt;F33*2,"⚠ رصيد مرتفع (أكثر من سنتين)",IF(AND(الموظفون!$AE33&lt;&gt;"",الموظفون!$AE33&lt;=cfg_VAL_DATE,O33&gt;0.01),"⚠ منتهي الخدمة برصيد","✔ سليم"))))</f>
        <v/>
      </c>
    </row>
    <row r="34" customFormat="false" ht="15" hidden="false" customHeight="false" outlineLevel="0" collapsed="false">
      <c r="B34" s="80" t="str">
        <f aca="false">IF(الموظفون!$B34="","",الموظفون!$B34)</f>
        <v/>
      </c>
      <c r="C34" s="80" t="str">
        <f aca="false">IF($B34="","",الموظفون!$C34)</f>
        <v/>
      </c>
      <c r="D34" s="147" t="str">
        <f aca="false">IF($B34="","",الموظفون!$H34)</f>
        <v/>
      </c>
      <c r="E34" s="152" t="str">
        <f aca="false">IF($B34="","",MAX(0,J34-D34+1-SUMIFS('سجل الإجازات والحالات'!$S$6:$S$505,'سجل الإجازات والحالات'!$B$6:$B$505,$B34))/cfg_DAYS_Y)</f>
        <v/>
      </c>
      <c r="F34" s="57" t="str">
        <f aca="false">IF($B34="","",IF(الموظفون!$T34&lt;&gt;"",الموظفون!$T34,IF(E34&gt;=cfg_LV_TH,cfg_LV_D2,cfg_LV_D1)))</f>
        <v/>
      </c>
      <c r="G34" s="97" t="str">
        <f aca="false">IF($B34="","",الموظفون!$R34/cfg_DAYS_M)</f>
        <v/>
      </c>
      <c r="H34" s="126" t="str">
        <f aca="false">IF($B34="","",N(الموظفون!$AC34))</f>
        <v/>
      </c>
      <c r="I34" s="147" t="str">
        <f aca="false">IF($B34="","",MAX(cfg_Y_START,D34))</f>
        <v/>
      </c>
      <c r="J34" s="147" t="str">
        <f aca="false">IF($B34="","",IF(OR(الموظفون!$AE34="",الموظفون!$AE34&gt;cfg_VAL_DATE),cfg_VAL_DATE,الموظفون!$AE34))</f>
        <v/>
      </c>
      <c r="K34" s="57" t="str">
        <f aca="false">IF($B34="","",MAX(0,MAX(0,J34-I34+1)-(SUMIFS('سجل الإجازات والحالات'!$S$6:$S$505,'سجل الإجازات والحالات'!$B$6:$B$505,$B34)-SUMIFS('سجل الإجازات والحالات'!$R$6:$R$505,'سجل الإجازات والحالات'!$B$6:$B$505,$B34))))</f>
        <v/>
      </c>
      <c r="L34" s="126" t="str">
        <f aca="false">IF($B34="","",F34/cfg_DAYS_Y*K34)</f>
        <v/>
      </c>
      <c r="M34" s="126" t="str">
        <f aca="false">IF($B34="","",SUMIFS('سجل الإجازات والحالات'!$T$6:$T$505,'سجل الإجازات والحالات'!$B$6:$B$505,$B34)+SUMIFS('الحركات الشهرية'!$K$6:$K$1005,'الحركات الشهرية'!$B$6:$B$1005,B34,'الحركات الشهرية'!$A$6:$A$1005,"&lt;="&amp;cfg_VAL_M))</f>
        <v/>
      </c>
      <c r="N34" s="126" t="str">
        <f aca="false">IF($B34="","",SUMIFS('الحركات الشهرية'!$L$6:$L$1005,'الحركات الشهرية'!$B$6:$B$1005,B34,'الحركات الشهرية'!$A$6:$A$1005,"&lt;="&amp;cfg_VAL_M))</f>
        <v/>
      </c>
      <c r="O34" s="126" t="str">
        <f aca="false">IF($B34="","",H34+L34-M34-N34)</f>
        <v/>
      </c>
      <c r="P34" s="128" t="str">
        <f aca="false">IF($B34="","",O34*G34)</f>
        <v/>
      </c>
      <c r="Q34" s="97" t="str">
        <f aca="false">IF($B34="","",H34*G34)</f>
        <v/>
      </c>
      <c r="R34" s="97" t="str">
        <f aca="false">IF($B34="","",(M34+N34)*G34)</f>
        <v/>
      </c>
      <c r="S34" s="80" t="str">
        <f aca="false">IF($B34="","",IF(O34&lt;-0.01,"✖ رصيد سالب",IF(O34&gt;F34*2,"⚠ رصيد مرتفع (أكثر من سنتين)",IF(AND(الموظفون!$AE34&lt;&gt;"",الموظفون!$AE34&lt;=cfg_VAL_DATE,O34&gt;0.01),"⚠ منتهي الخدمة برصيد","✔ سليم"))))</f>
        <v/>
      </c>
    </row>
    <row r="35" customFormat="false" ht="15" hidden="false" customHeight="false" outlineLevel="0" collapsed="false">
      <c r="B35" s="102" t="str">
        <f aca="false">IF(الموظفون!$B35="","",الموظفون!$B35)</f>
        <v/>
      </c>
      <c r="C35" s="102" t="str">
        <f aca="false">IF($B35="","",الموظفون!$C35)</f>
        <v/>
      </c>
      <c r="D35" s="148" t="str">
        <f aca="false">IF($B35="","",الموظفون!$H35)</f>
        <v/>
      </c>
      <c r="E35" s="153" t="str">
        <f aca="false">IF($B35="","",MAX(0,J35-D35+1-SUMIFS('سجل الإجازات والحالات'!$S$6:$S$505,'سجل الإجازات والحالات'!$B$6:$B$505,$B35))/cfg_DAYS_Y)</f>
        <v/>
      </c>
      <c r="F35" s="110" t="str">
        <f aca="false">IF($B35="","",IF(الموظفون!$T35&lt;&gt;"",الموظفون!$T35,IF(E35&gt;=cfg_LV_TH,cfg_LV_D2,cfg_LV_D1)))</f>
        <v/>
      </c>
      <c r="G35" s="101" t="str">
        <f aca="false">IF($B35="","",الموظفون!$R35/cfg_DAYS_M)</f>
        <v/>
      </c>
      <c r="H35" s="131" t="str">
        <f aca="false">IF($B35="","",N(الموظفون!$AC35))</f>
        <v/>
      </c>
      <c r="I35" s="148" t="str">
        <f aca="false">IF($B35="","",MAX(cfg_Y_START,D35))</f>
        <v/>
      </c>
      <c r="J35" s="148" t="str">
        <f aca="false">IF($B35="","",IF(OR(الموظفون!$AE35="",الموظفون!$AE35&gt;cfg_VAL_DATE),cfg_VAL_DATE,الموظفون!$AE35))</f>
        <v/>
      </c>
      <c r="K35" s="110" t="str">
        <f aca="false">IF($B35="","",MAX(0,MAX(0,J35-I35+1)-(SUMIFS('سجل الإجازات والحالات'!$S$6:$S$505,'سجل الإجازات والحالات'!$B$6:$B$505,$B35)-SUMIFS('سجل الإجازات والحالات'!$R$6:$R$505,'سجل الإجازات والحالات'!$B$6:$B$505,$B35))))</f>
        <v/>
      </c>
      <c r="L35" s="131" t="str">
        <f aca="false">IF($B35="","",F35/cfg_DAYS_Y*K35)</f>
        <v/>
      </c>
      <c r="M35" s="131" t="str">
        <f aca="false">IF($B35="","",SUMIFS('سجل الإجازات والحالات'!$T$6:$T$505,'سجل الإجازات والحالات'!$B$6:$B$505,$B35)+SUMIFS('الحركات الشهرية'!$K$6:$K$1005,'الحركات الشهرية'!$B$6:$B$1005,B35,'الحركات الشهرية'!$A$6:$A$1005,"&lt;="&amp;cfg_VAL_M))</f>
        <v/>
      </c>
      <c r="N35" s="131" t="str">
        <f aca="false">IF($B35="","",SUMIFS('الحركات الشهرية'!$L$6:$L$1005,'الحركات الشهرية'!$B$6:$B$1005,B35,'الحركات الشهرية'!$A$6:$A$1005,"&lt;="&amp;cfg_VAL_M))</f>
        <v/>
      </c>
      <c r="O35" s="131" t="str">
        <f aca="false">IF($B35="","",H35+L35-M35-N35)</f>
        <v/>
      </c>
      <c r="P35" s="133" t="str">
        <f aca="false">IF($B35="","",O35*G35)</f>
        <v/>
      </c>
      <c r="Q35" s="101" t="str">
        <f aca="false">IF($B35="","",H35*G35)</f>
        <v/>
      </c>
      <c r="R35" s="101" t="str">
        <f aca="false">IF($B35="","",(M35+N35)*G35)</f>
        <v/>
      </c>
      <c r="S35" s="102" t="str">
        <f aca="false">IF($B35="","",IF(O35&lt;-0.01,"✖ رصيد سالب",IF(O35&gt;F35*2,"⚠ رصيد مرتفع (أكثر من سنتين)",IF(AND(الموظفون!$AE35&lt;&gt;"",الموظفون!$AE35&lt;=cfg_VAL_DATE,O35&gt;0.01),"⚠ منتهي الخدمة برصيد","✔ سليم"))))</f>
        <v/>
      </c>
    </row>
    <row r="36" customFormat="false" ht="15" hidden="false" customHeight="false" outlineLevel="0" collapsed="false">
      <c r="B36" s="80" t="str">
        <f aca="false">IF(الموظفون!$B36="","",الموظفون!$B36)</f>
        <v/>
      </c>
      <c r="C36" s="80" t="str">
        <f aca="false">IF($B36="","",الموظفون!$C36)</f>
        <v/>
      </c>
      <c r="D36" s="147" t="str">
        <f aca="false">IF($B36="","",الموظفون!$H36)</f>
        <v/>
      </c>
      <c r="E36" s="152" t="str">
        <f aca="false">IF($B36="","",MAX(0,J36-D36+1-SUMIFS('سجل الإجازات والحالات'!$S$6:$S$505,'سجل الإجازات والحالات'!$B$6:$B$505,$B36))/cfg_DAYS_Y)</f>
        <v/>
      </c>
      <c r="F36" s="57" t="str">
        <f aca="false">IF($B36="","",IF(الموظفون!$T36&lt;&gt;"",الموظفون!$T36,IF(E36&gt;=cfg_LV_TH,cfg_LV_D2,cfg_LV_D1)))</f>
        <v/>
      </c>
      <c r="G36" s="97" t="str">
        <f aca="false">IF($B36="","",الموظفون!$R36/cfg_DAYS_M)</f>
        <v/>
      </c>
      <c r="H36" s="126" t="str">
        <f aca="false">IF($B36="","",N(الموظفون!$AC36))</f>
        <v/>
      </c>
      <c r="I36" s="147" t="str">
        <f aca="false">IF($B36="","",MAX(cfg_Y_START,D36))</f>
        <v/>
      </c>
      <c r="J36" s="147" t="str">
        <f aca="false">IF($B36="","",IF(OR(الموظفون!$AE36="",الموظفون!$AE36&gt;cfg_VAL_DATE),cfg_VAL_DATE,الموظفون!$AE36))</f>
        <v/>
      </c>
      <c r="K36" s="57" t="str">
        <f aca="false">IF($B36="","",MAX(0,MAX(0,J36-I36+1)-(SUMIFS('سجل الإجازات والحالات'!$S$6:$S$505,'سجل الإجازات والحالات'!$B$6:$B$505,$B36)-SUMIFS('سجل الإجازات والحالات'!$R$6:$R$505,'سجل الإجازات والحالات'!$B$6:$B$505,$B36))))</f>
        <v/>
      </c>
      <c r="L36" s="126" t="str">
        <f aca="false">IF($B36="","",F36/cfg_DAYS_Y*K36)</f>
        <v/>
      </c>
      <c r="M36" s="126" t="str">
        <f aca="false">IF($B36="","",SUMIFS('سجل الإجازات والحالات'!$T$6:$T$505,'سجل الإجازات والحالات'!$B$6:$B$505,$B36)+SUMIFS('الحركات الشهرية'!$K$6:$K$1005,'الحركات الشهرية'!$B$6:$B$1005,B36,'الحركات الشهرية'!$A$6:$A$1005,"&lt;="&amp;cfg_VAL_M))</f>
        <v/>
      </c>
      <c r="N36" s="126" t="str">
        <f aca="false">IF($B36="","",SUMIFS('الحركات الشهرية'!$L$6:$L$1005,'الحركات الشهرية'!$B$6:$B$1005,B36,'الحركات الشهرية'!$A$6:$A$1005,"&lt;="&amp;cfg_VAL_M))</f>
        <v/>
      </c>
      <c r="O36" s="126" t="str">
        <f aca="false">IF($B36="","",H36+L36-M36-N36)</f>
        <v/>
      </c>
      <c r="P36" s="128" t="str">
        <f aca="false">IF($B36="","",O36*G36)</f>
        <v/>
      </c>
      <c r="Q36" s="97" t="str">
        <f aca="false">IF($B36="","",H36*G36)</f>
        <v/>
      </c>
      <c r="R36" s="97" t="str">
        <f aca="false">IF($B36="","",(M36+N36)*G36)</f>
        <v/>
      </c>
      <c r="S36" s="80" t="str">
        <f aca="false">IF($B36="","",IF(O36&lt;-0.01,"✖ رصيد سالب",IF(O36&gt;F36*2,"⚠ رصيد مرتفع (أكثر من سنتين)",IF(AND(الموظفون!$AE36&lt;&gt;"",الموظفون!$AE36&lt;=cfg_VAL_DATE,O36&gt;0.01),"⚠ منتهي الخدمة برصيد","✔ سليم"))))</f>
        <v/>
      </c>
    </row>
    <row r="37" customFormat="false" ht="15" hidden="false" customHeight="false" outlineLevel="0" collapsed="false">
      <c r="B37" s="102" t="str">
        <f aca="false">IF(الموظفون!$B37="","",الموظفون!$B37)</f>
        <v/>
      </c>
      <c r="C37" s="102" t="str">
        <f aca="false">IF($B37="","",الموظفون!$C37)</f>
        <v/>
      </c>
      <c r="D37" s="148" t="str">
        <f aca="false">IF($B37="","",الموظفون!$H37)</f>
        <v/>
      </c>
      <c r="E37" s="153" t="str">
        <f aca="false">IF($B37="","",MAX(0,J37-D37+1-SUMIFS('سجل الإجازات والحالات'!$S$6:$S$505,'سجل الإجازات والحالات'!$B$6:$B$505,$B37))/cfg_DAYS_Y)</f>
        <v/>
      </c>
      <c r="F37" s="110" t="str">
        <f aca="false">IF($B37="","",IF(الموظفون!$T37&lt;&gt;"",الموظفون!$T37,IF(E37&gt;=cfg_LV_TH,cfg_LV_D2,cfg_LV_D1)))</f>
        <v/>
      </c>
      <c r="G37" s="101" t="str">
        <f aca="false">IF($B37="","",الموظفون!$R37/cfg_DAYS_M)</f>
        <v/>
      </c>
      <c r="H37" s="131" t="str">
        <f aca="false">IF($B37="","",N(الموظفون!$AC37))</f>
        <v/>
      </c>
      <c r="I37" s="148" t="str">
        <f aca="false">IF($B37="","",MAX(cfg_Y_START,D37))</f>
        <v/>
      </c>
      <c r="J37" s="148" t="str">
        <f aca="false">IF($B37="","",IF(OR(الموظفون!$AE37="",الموظفون!$AE37&gt;cfg_VAL_DATE),cfg_VAL_DATE,الموظفون!$AE37))</f>
        <v/>
      </c>
      <c r="K37" s="110" t="str">
        <f aca="false">IF($B37="","",MAX(0,MAX(0,J37-I37+1)-(SUMIFS('سجل الإجازات والحالات'!$S$6:$S$505,'سجل الإجازات والحالات'!$B$6:$B$505,$B37)-SUMIFS('سجل الإجازات والحالات'!$R$6:$R$505,'سجل الإجازات والحالات'!$B$6:$B$505,$B37))))</f>
        <v/>
      </c>
      <c r="L37" s="131" t="str">
        <f aca="false">IF($B37="","",F37/cfg_DAYS_Y*K37)</f>
        <v/>
      </c>
      <c r="M37" s="131" t="str">
        <f aca="false">IF($B37="","",SUMIFS('سجل الإجازات والحالات'!$T$6:$T$505,'سجل الإجازات والحالات'!$B$6:$B$505,$B37)+SUMIFS('الحركات الشهرية'!$K$6:$K$1005,'الحركات الشهرية'!$B$6:$B$1005,B37,'الحركات الشهرية'!$A$6:$A$1005,"&lt;="&amp;cfg_VAL_M))</f>
        <v/>
      </c>
      <c r="N37" s="131" t="str">
        <f aca="false">IF($B37="","",SUMIFS('الحركات الشهرية'!$L$6:$L$1005,'الحركات الشهرية'!$B$6:$B$1005,B37,'الحركات الشهرية'!$A$6:$A$1005,"&lt;="&amp;cfg_VAL_M))</f>
        <v/>
      </c>
      <c r="O37" s="131" t="str">
        <f aca="false">IF($B37="","",H37+L37-M37-N37)</f>
        <v/>
      </c>
      <c r="P37" s="133" t="str">
        <f aca="false">IF($B37="","",O37*G37)</f>
        <v/>
      </c>
      <c r="Q37" s="101" t="str">
        <f aca="false">IF($B37="","",H37*G37)</f>
        <v/>
      </c>
      <c r="R37" s="101" t="str">
        <f aca="false">IF($B37="","",(M37+N37)*G37)</f>
        <v/>
      </c>
      <c r="S37" s="102" t="str">
        <f aca="false">IF($B37="","",IF(O37&lt;-0.01,"✖ رصيد سالب",IF(O37&gt;F37*2,"⚠ رصيد مرتفع (أكثر من سنتين)",IF(AND(الموظفون!$AE37&lt;&gt;"",الموظفون!$AE37&lt;=cfg_VAL_DATE,O37&gt;0.01),"⚠ منتهي الخدمة برصيد","✔ سليم"))))</f>
        <v/>
      </c>
    </row>
    <row r="38" customFormat="false" ht="15" hidden="false" customHeight="false" outlineLevel="0" collapsed="false">
      <c r="B38" s="80" t="str">
        <f aca="false">IF(الموظفون!$B38="","",الموظفون!$B38)</f>
        <v/>
      </c>
      <c r="C38" s="80" t="str">
        <f aca="false">IF($B38="","",الموظفون!$C38)</f>
        <v/>
      </c>
      <c r="D38" s="147" t="str">
        <f aca="false">IF($B38="","",الموظفون!$H38)</f>
        <v/>
      </c>
      <c r="E38" s="152" t="str">
        <f aca="false">IF($B38="","",MAX(0,J38-D38+1-SUMIFS('سجل الإجازات والحالات'!$S$6:$S$505,'سجل الإجازات والحالات'!$B$6:$B$505,$B38))/cfg_DAYS_Y)</f>
        <v/>
      </c>
      <c r="F38" s="57" t="str">
        <f aca="false">IF($B38="","",IF(الموظفون!$T38&lt;&gt;"",الموظفون!$T38,IF(E38&gt;=cfg_LV_TH,cfg_LV_D2,cfg_LV_D1)))</f>
        <v/>
      </c>
      <c r="G38" s="97" t="str">
        <f aca="false">IF($B38="","",الموظفون!$R38/cfg_DAYS_M)</f>
        <v/>
      </c>
      <c r="H38" s="126" t="str">
        <f aca="false">IF($B38="","",N(الموظفون!$AC38))</f>
        <v/>
      </c>
      <c r="I38" s="147" t="str">
        <f aca="false">IF($B38="","",MAX(cfg_Y_START,D38))</f>
        <v/>
      </c>
      <c r="J38" s="147" t="str">
        <f aca="false">IF($B38="","",IF(OR(الموظفون!$AE38="",الموظفون!$AE38&gt;cfg_VAL_DATE),cfg_VAL_DATE,الموظفون!$AE38))</f>
        <v/>
      </c>
      <c r="K38" s="57" t="str">
        <f aca="false">IF($B38="","",MAX(0,MAX(0,J38-I38+1)-(SUMIFS('سجل الإجازات والحالات'!$S$6:$S$505,'سجل الإجازات والحالات'!$B$6:$B$505,$B38)-SUMIFS('سجل الإجازات والحالات'!$R$6:$R$505,'سجل الإجازات والحالات'!$B$6:$B$505,$B38))))</f>
        <v/>
      </c>
      <c r="L38" s="126" t="str">
        <f aca="false">IF($B38="","",F38/cfg_DAYS_Y*K38)</f>
        <v/>
      </c>
      <c r="M38" s="126" t="str">
        <f aca="false">IF($B38="","",SUMIFS('سجل الإجازات والحالات'!$T$6:$T$505,'سجل الإجازات والحالات'!$B$6:$B$505,$B38)+SUMIFS('الحركات الشهرية'!$K$6:$K$1005,'الحركات الشهرية'!$B$6:$B$1005,B38,'الحركات الشهرية'!$A$6:$A$1005,"&lt;="&amp;cfg_VAL_M))</f>
        <v/>
      </c>
      <c r="N38" s="126" t="str">
        <f aca="false">IF($B38="","",SUMIFS('الحركات الشهرية'!$L$6:$L$1005,'الحركات الشهرية'!$B$6:$B$1005,B38,'الحركات الشهرية'!$A$6:$A$1005,"&lt;="&amp;cfg_VAL_M))</f>
        <v/>
      </c>
      <c r="O38" s="126" t="str">
        <f aca="false">IF($B38="","",H38+L38-M38-N38)</f>
        <v/>
      </c>
      <c r="P38" s="128" t="str">
        <f aca="false">IF($B38="","",O38*G38)</f>
        <v/>
      </c>
      <c r="Q38" s="97" t="str">
        <f aca="false">IF($B38="","",H38*G38)</f>
        <v/>
      </c>
      <c r="R38" s="97" t="str">
        <f aca="false">IF($B38="","",(M38+N38)*G38)</f>
        <v/>
      </c>
      <c r="S38" s="80" t="str">
        <f aca="false">IF($B38="","",IF(O38&lt;-0.01,"✖ رصيد سالب",IF(O38&gt;F38*2,"⚠ رصيد مرتفع (أكثر من سنتين)",IF(AND(الموظفون!$AE38&lt;&gt;"",الموظفون!$AE38&lt;=cfg_VAL_DATE,O38&gt;0.01),"⚠ منتهي الخدمة برصيد","✔ سليم"))))</f>
        <v/>
      </c>
    </row>
    <row r="39" customFormat="false" ht="15" hidden="false" customHeight="false" outlineLevel="0" collapsed="false">
      <c r="B39" s="102" t="str">
        <f aca="false">IF(الموظفون!$B39="","",الموظفون!$B39)</f>
        <v/>
      </c>
      <c r="C39" s="102" t="str">
        <f aca="false">IF($B39="","",الموظفون!$C39)</f>
        <v/>
      </c>
      <c r="D39" s="148" t="str">
        <f aca="false">IF($B39="","",الموظفون!$H39)</f>
        <v/>
      </c>
      <c r="E39" s="153" t="str">
        <f aca="false">IF($B39="","",MAX(0,J39-D39+1-SUMIFS('سجل الإجازات والحالات'!$S$6:$S$505,'سجل الإجازات والحالات'!$B$6:$B$505,$B39))/cfg_DAYS_Y)</f>
        <v/>
      </c>
      <c r="F39" s="110" t="str">
        <f aca="false">IF($B39="","",IF(الموظفون!$T39&lt;&gt;"",الموظفون!$T39,IF(E39&gt;=cfg_LV_TH,cfg_LV_D2,cfg_LV_D1)))</f>
        <v/>
      </c>
      <c r="G39" s="101" t="str">
        <f aca="false">IF($B39="","",الموظفون!$R39/cfg_DAYS_M)</f>
        <v/>
      </c>
      <c r="H39" s="131" t="str">
        <f aca="false">IF($B39="","",N(الموظفون!$AC39))</f>
        <v/>
      </c>
      <c r="I39" s="148" t="str">
        <f aca="false">IF($B39="","",MAX(cfg_Y_START,D39))</f>
        <v/>
      </c>
      <c r="J39" s="148" t="str">
        <f aca="false">IF($B39="","",IF(OR(الموظفون!$AE39="",الموظفون!$AE39&gt;cfg_VAL_DATE),cfg_VAL_DATE,الموظفون!$AE39))</f>
        <v/>
      </c>
      <c r="K39" s="110" t="str">
        <f aca="false">IF($B39="","",MAX(0,MAX(0,J39-I39+1)-(SUMIFS('سجل الإجازات والحالات'!$S$6:$S$505,'سجل الإجازات والحالات'!$B$6:$B$505,$B39)-SUMIFS('سجل الإجازات والحالات'!$R$6:$R$505,'سجل الإجازات والحالات'!$B$6:$B$505,$B39))))</f>
        <v/>
      </c>
      <c r="L39" s="131" t="str">
        <f aca="false">IF($B39="","",F39/cfg_DAYS_Y*K39)</f>
        <v/>
      </c>
      <c r="M39" s="131" t="str">
        <f aca="false">IF($B39="","",SUMIFS('سجل الإجازات والحالات'!$T$6:$T$505,'سجل الإجازات والحالات'!$B$6:$B$505,$B39)+SUMIFS('الحركات الشهرية'!$K$6:$K$1005,'الحركات الشهرية'!$B$6:$B$1005,B39,'الحركات الشهرية'!$A$6:$A$1005,"&lt;="&amp;cfg_VAL_M))</f>
        <v/>
      </c>
      <c r="N39" s="131" t="str">
        <f aca="false">IF($B39="","",SUMIFS('الحركات الشهرية'!$L$6:$L$1005,'الحركات الشهرية'!$B$6:$B$1005,B39,'الحركات الشهرية'!$A$6:$A$1005,"&lt;="&amp;cfg_VAL_M))</f>
        <v/>
      </c>
      <c r="O39" s="131" t="str">
        <f aca="false">IF($B39="","",H39+L39-M39-N39)</f>
        <v/>
      </c>
      <c r="P39" s="133" t="str">
        <f aca="false">IF($B39="","",O39*G39)</f>
        <v/>
      </c>
      <c r="Q39" s="101" t="str">
        <f aca="false">IF($B39="","",H39*G39)</f>
        <v/>
      </c>
      <c r="R39" s="101" t="str">
        <f aca="false">IF($B39="","",(M39+N39)*G39)</f>
        <v/>
      </c>
      <c r="S39" s="102" t="str">
        <f aca="false">IF($B39="","",IF(O39&lt;-0.01,"✖ رصيد سالب",IF(O39&gt;F39*2,"⚠ رصيد مرتفع (أكثر من سنتين)",IF(AND(الموظفون!$AE39&lt;&gt;"",الموظفون!$AE39&lt;=cfg_VAL_DATE,O39&gt;0.01),"⚠ منتهي الخدمة برصيد","✔ سليم"))))</f>
        <v/>
      </c>
    </row>
    <row r="40" customFormat="false" ht="15" hidden="false" customHeight="false" outlineLevel="0" collapsed="false">
      <c r="B40" s="80" t="str">
        <f aca="false">IF(الموظفون!$B40="","",الموظفون!$B40)</f>
        <v/>
      </c>
      <c r="C40" s="80" t="str">
        <f aca="false">IF($B40="","",الموظفون!$C40)</f>
        <v/>
      </c>
      <c r="D40" s="147" t="str">
        <f aca="false">IF($B40="","",الموظفون!$H40)</f>
        <v/>
      </c>
      <c r="E40" s="152" t="str">
        <f aca="false">IF($B40="","",MAX(0,J40-D40+1-SUMIFS('سجل الإجازات والحالات'!$S$6:$S$505,'سجل الإجازات والحالات'!$B$6:$B$505,$B40))/cfg_DAYS_Y)</f>
        <v/>
      </c>
      <c r="F40" s="57" t="str">
        <f aca="false">IF($B40="","",IF(الموظفون!$T40&lt;&gt;"",الموظفون!$T40,IF(E40&gt;=cfg_LV_TH,cfg_LV_D2,cfg_LV_D1)))</f>
        <v/>
      </c>
      <c r="G40" s="97" t="str">
        <f aca="false">IF($B40="","",الموظفون!$R40/cfg_DAYS_M)</f>
        <v/>
      </c>
      <c r="H40" s="126" t="str">
        <f aca="false">IF($B40="","",N(الموظفون!$AC40))</f>
        <v/>
      </c>
      <c r="I40" s="147" t="str">
        <f aca="false">IF($B40="","",MAX(cfg_Y_START,D40))</f>
        <v/>
      </c>
      <c r="J40" s="147" t="str">
        <f aca="false">IF($B40="","",IF(OR(الموظفون!$AE40="",الموظفون!$AE40&gt;cfg_VAL_DATE),cfg_VAL_DATE,الموظفون!$AE40))</f>
        <v/>
      </c>
      <c r="K40" s="57" t="str">
        <f aca="false">IF($B40="","",MAX(0,MAX(0,J40-I40+1)-(SUMIFS('سجل الإجازات والحالات'!$S$6:$S$505,'سجل الإجازات والحالات'!$B$6:$B$505,$B40)-SUMIFS('سجل الإجازات والحالات'!$R$6:$R$505,'سجل الإجازات والحالات'!$B$6:$B$505,$B40))))</f>
        <v/>
      </c>
      <c r="L40" s="126" t="str">
        <f aca="false">IF($B40="","",F40/cfg_DAYS_Y*K40)</f>
        <v/>
      </c>
      <c r="M40" s="126" t="str">
        <f aca="false">IF($B40="","",SUMIFS('سجل الإجازات والحالات'!$T$6:$T$505,'سجل الإجازات والحالات'!$B$6:$B$505,$B40)+SUMIFS('الحركات الشهرية'!$K$6:$K$1005,'الحركات الشهرية'!$B$6:$B$1005,B40,'الحركات الشهرية'!$A$6:$A$1005,"&lt;="&amp;cfg_VAL_M))</f>
        <v/>
      </c>
      <c r="N40" s="126" t="str">
        <f aca="false">IF($B40="","",SUMIFS('الحركات الشهرية'!$L$6:$L$1005,'الحركات الشهرية'!$B$6:$B$1005,B40,'الحركات الشهرية'!$A$6:$A$1005,"&lt;="&amp;cfg_VAL_M))</f>
        <v/>
      </c>
      <c r="O40" s="126" t="str">
        <f aca="false">IF($B40="","",H40+L40-M40-N40)</f>
        <v/>
      </c>
      <c r="P40" s="128" t="str">
        <f aca="false">IF($B40="","",O40*G40)</f>
        <v/>
      </c>
      <c r="Q40" s="97" t="str">
        <f aca="false">IF($B40="","",H40*G40)</f>
        <v/>
      </c>
      <c r="R40" s="97" t="str">
        <f aca="false">IF($B40="","",(M40+N40)*G40)</f>
        <v/>
      </c>
      <c r="S40" s="80" t="str">
        <f aca="false">IF($B40="","",IF(O40&lt;-0.01,"✖ رصيد سالب",IF(O40&gt;F40*2,"⚠ رصيد مرتفع (أكثر من سنتين)",IF(AND(الموظفون!$AE40&lt;&gt;"",الموظفون!$AE40&lt;=cfg_VAL_DATE,O40&gt;0.01),"⚠ منتهي الخدمة برصيد","✔ سليم"))))</f>
        <v/>
      </c>
    </row>
    <row r="41" customFormat="false" ht="15" hidden="false" customHeight="false" outlineLevel="0" collapsed="false">
      <c r="B41" s="102" t="str">
        <f aca="false">IF(الموظفون!$B41="","",الموظفون!$B41)</f>
        <v/>
      </c>
      <c r="C41" s="102" t="str">
        <f aca="false">IF($B41="","",الموظفون!$C41)</f>
        <v/>
      </c>
      <c r="D41" s="148" t="str">
        <f aca="false">IF($B41="","",الموظفون!$H41)</f>
        <v/>
      </c>
      <c r="E41" s="153" t="str">
        <f aca="false">IF($B41="","",MAX(0,J41-D41+1-SUMIFS('سجل الإجازات والحالات'!$S$6:$S$505,'سجل الإجازات والحالات'!$B$6:$B$505,$B41))/cfg_DAYS_Y)</f>
        <v/>
      </c>
      <c r="F41" s="110" t="str">
        <f aca="false">IF($B41="","",IF(الموظفون!$T41&lt;&gt;"",الموظفون!$T41,IF(E41&gt;=cfg_LV_TH,cfg_LV_D2,cfg_LV_D1)))</f>
        <v/>
      </c>
      <c r="G41" s="101" t="str">
        <f aca="false">IF($B41="","",الموظفون!$R41/cfg_DAYS_M)</f>
        <v/>
      </c>
      <c r="H41" s="131" t="str">
        <f aca="false">IF($B41="","",N(الموظفون!$AC41))</f>
        <v/>
      </c>
      <c r="I41" s="148" t="str">
        <f aca="false">IF($B41="","",MAX(cfg_Y_START,D41))</f>
        <v/>
      </c>
      <c r="J41" s="148" t="str">
        <f aca="false">IF($B41="","",IF(OR(الموظفون!$AE41="",الموظفون!$AE41&gt;cfg_VAL_DATE),cfg_VAL_DATE,الموظفون!$AE41))</f>
        <v/>
      </c>
      <c r="K41" s="110" t="str">
        <f aca="false">IF($B41="","",MAX(0,MAX(0,J41-I41+1)-(SUMIFS('سجل الإجازات والحالات'!$S$6:$S$505,'سجل الإجازات والحالات'!$B$6:$B$505,$B41)-SUMIFS('سجل الإجازات والحالات'!$R$6:$R$505,'سجل الإجازات والحالات'!$B$6:$B$505,$B41))))</f>
        <v/>
      </c>
      <c r="L41" s="131" t="str">
        <f aca="false">IF($B41="","",F41/cfg_DAYS_Y*K41)</f>
        <v/>
      </c>
      <c r="M41" s="131" t="str">
        <f aca="false">IF($B41="","",SUMIFS('سجل الإجازات والحالات'!$T$6:$T$505,'سجل الإجازات والحالات'!$B$6:$B$505,$B41)+SUMIFS('الحركات الشهرية'!$K$6:$K$1005,'الحركات الشهرية'!$B$6:$B$1005,B41,'الحركات الشهرية'!$A$6:$A$1005,"&lt;="&amp;cfg_VAL_M))</f>
        <v/>
      </c>
      <c r="N41" s="131" t="str">
        <f aca="false">IF($B41="","",SUMIFS('الحركات الشهرية'!$L$6:$L$1005,'الحركات الشهرية'!$B$6:$B$1005,B41,'الحركات الشهرية'!$A$6:$A$1005,"&lt;="&amp;cfg_VAL_M))</f>
        <v/>
      </c>
      <c r="O41" s="131" t="str">
        <f aca="false">IF($B41="","",H41+L41-M41-N41)</f>
        <v/>
      </c>
      <c r="P41" s="133" t="str">
        <f aca="false">IF($B41="","",O41*G41)</f>
        <v/>
      </c>
      <c r="Q41" s="101" t="str">
        <f aca="false">IF($B41="","",H41*G41)</f>
        <v/>
      </c>
      <c r="R41" s="101" t="str">
        <f aca="false">IF($B41="","",(M41+N41)*G41)</f>
        <v/>
      </c>
      <c r="S41" s="102" t="str">
        <f aca="false">IF($B41="","",IF(O41&lt;-0.01,"✖ رصيد سالب",IF(O41&gt;F41*2,"⚠ رصيد مرتفع (أكثر من سنتين)",IF(AND(الموظفون!$AE41&lt;&gt;"",الموظفون!$AE41&lt;=cfg_VAL_DATE,O41&gt;0.01),"⚠ منتهي الخدمة برصيد","✔ سليم"))))</f>
        <v/>
      </c>
    </row>
    <row r="42" customFormat="false" ht="15" hidden="false" customHeight="false" outlineLevel="0" collapsed="false">
      <c r="B42" s="80" t="str">
        <f aca="false">IF(الموظفون!$B42="","",الموظفون!$B42)</f>
        <v/>
      </c>
      <c r="C42" s="80" t="str">
        <f aca="false">IF($B42="","",الموظفون!$C42)</f>
        <v/>
      </c>
      <c r="D42" s="147" t="str">
        <f aca="false">IF($B42="","",الموظفون!$H42)</f>
        <v/>
      </c>
      <c r="E42" s="152" t="str">
        <f aca="false">IF($B42="","",MAX(0,J42-D42+1-SUMIFS('سجل الإجازات والحالات'!$S$6:$S$505,'سجل الإجازات والحالات'!$B$6:$B$505,$B42))/cfg_DAYS_Y)</f>
        <v/>
      </c>
      <c r="F42" s="57" t="str">
        <f aca="false">IF($B42="","",IF(الموظفون!$T42&lt;&gt;"",الموظفون!$T42,IF(E42&gt;=cfg_LV_TH,cfg_LV_D2,cfg_LV_D1)))</f>
        <v/>
      </c>
      <c r="G42" s="97" t="str">
        <f aca="false">IF($B42="","",الموظفون!$R42/cfg_DAYS_M)</f>
        <v/>
      </c>
      <c r="H42" s="126" t="str">
        <f aca="false">IF($B42="","",N(الموظفون!$AC42))</f>
        <v/>
      </c>
      <c r="I42" s="147" t="str">
        <f aca="false">IF($B42="","",MAX(cfg_Y_START,D42))</f>
        <v/>
      </c>
      <c r="J42" s="147" t="str">
        <f aca="false">IF($B42="","",IF(OR(الموظفون!$AE42="",الموظفون!$AE42&gt;cfg_VAL_DATE),cfg_VAL_DATE,الموظفون!$AE42))</f>
        <v/>
      </c>
      <c r="K42" s="57" t="str">
        <f aca="false">IF($B42="","",MAX(0,MAX(0,J42-I42+1)-(SUMIFS('سجل الإجازات والحالات'!$S$6:$S$505,'سجل الإجازات والحالات'!$B$6:$B$505,$B42)-SUMIFS('سجل الإجازات والحالات'!$R$6:$R$505,'سجل الإجازات والحالات'!$B$6:$B$505,$B42))))</f>
        <v/>
      </c>
      <c r="L42" s="126" t="str">
        <f aca="false">IF($B42="","",F42/cfg_DAYS_Y*K42)</f>
        <v/>
      </c>
      <c r="M42" s="126" t="str">
        <f aca="false">IF($B42="","",SUMIFS('سجل الإجازات والحالات'!$T$6:$T$505,'سجل الإجازات والحالات'!$B$6:$B$505,$B42)+SUMIFS('الحركات الشهرية'!$K$6:$K$1005,'الحركات الشهرية'!$B$6:$B$1005,B42,'الحركات الشهرية'!$A$6:$A$1005,"&lt;="&amp;cfg_VAL_M))</f>
        <v/>
      </c>
      <c r="N42" s="126" t="str">
        <f aca="false">IF($B42="","",SUMIFS('الحركات الشهرية'!$L$6:$L$1005,'الحركات الشهرية'!$B$6:$B$1005,B42,'الحركات الشهرية'!$A$6:$A$1005,"&lt;="&amp;cfg_VAL_M))</f>
        <v/>
      </c>
      <c r="O42" s="126" t="str">
        <f aca="false">IF($B42="","",H42+L42-M42-N42)</f>
        <v/>
      </c>
      <c r="P42" s="128" t="str">
        <f aca="false">IF($B42="","",O42*G42)</f>
        <v/>
      </c>
      <c r="Q42" s="97" t="str">
        <f aca="false">IF($B42="","",H42*G42)</f>
        <v/>
      </c>
      <c r="R42" s="97" t="str">
        <f aca="false">IF($B42="","",(M42+N42)*G42)</f>
        <v/>
      </c>
      <c r="S42" s="80" t="str">
        <f aca="false">IF($B42="","",IF(O42&lt;-0.01,"✖ رصيد سالب",IF(O42&gt;F42*2,"⚠ رصيد مرتفع (أكثر من سنتين)",IF(AND(الموظفون!$AE42&lt;&gt;"",الموظفون!$AE42&lt;=cfg_VAL_DATE,O42&gt;0.01),"⚠ منتهي الخدمة برصيد","✔ سليم"))))</f>
        <v/>
      </c>
    </row>
    <row r="43" customFormat="false" ht="15" hidden="false" customHeight="false" outlineLevel="0" collapsed="false">
      <c r="B43" s="102" t="str">
        <f aca="false">IF(الموظفون!$B43="","",الموظفون!$B43)</f>
        <v/>
      </c>
      <c r="C43" s="102" t="str">
        <f aca="false">IF($B43="","",الموظفون!$C43)</f>
        <v/>
      </c>
      <c r="D43" s="148" t="str">
        <f aca="false">IF($B43="","",الموظفون!$H43)</f>
        <v/>
      </c>
      <c r="E43" s="153" t="str">
        <f aca="false">IF($B43="","",MAX(0,J43-D43+1-SUMIFS('سجل الإجازات والحالات'!$S$6:$S$505,'سجل الإجازات والحالات'!$B$6:$B$505,$B43))/cfg_DAYS_Y)</f>
        <v/>
      </c>
      <c r="F43" s="110" t="str">
        <f aca="false">IF($B43="","",IF(الموظفون!$T43&lt;&gt;"",الموظفون!$T43,IF(E43&gt;=cfg_LV_TH,cfg_LV_D2,cfg_LV_D1)))</f>
        <v/>
      </c>
      <c r="G43" s="101" t="str">
        <f aca="false">IF($B43="","",الموظفون!$R43/cfg_DAYS_M)</f>
        <v/>
      </c>
      <c r="H43" s="131" t="str">
        <f aca="false">IF($B43="","",N(الموظفون!$AC43))</f>
        <v/>
      </c>
      <c r="I43" s="148" t="str">
        <f aca="false">IF($B43="","",MAX(cfg_Y_START,D43))</f>
        <v/>
      </c>
      <c r="J43" s="148" t="str">
        <f aca="false">IF($B43="","",IF(OR(الموظفون!$AE43="",الموظفون!$AE43&gt;cfg_VAL_DATE),cfg_VAL_DATE,الموظفون!$AE43))</f>
        <v/>
      </c>
      <c r="K43" s="110" t="str">
        <f aca="false">IF($B43="","",MAX(0,MAX(0,J43-I43+1)-(SUMIFS('سجل الإجازات والحالات'!$S$6:$S$505,'سجل الإجازات والحالات'!$B$6:$B$505,$B43)-SUMIFS('سجل الإجازات والحالات'!$R$6:$R$505,'سجل الإجازات والحالات'!$B$6:$B$505,$B43))))</f>
        <v/>
      </c>
      <c r="L43" s="131" t="str">
        <f aca="false">IF($B43="","",F43/cfg_DAYS_Y*K43)</f>
        <v/>
      </c>
      <c r="M43" s="131" t="str">
        <f aca="false">IF($B43="","",SUMIFS('سجل الإجازات والحالات'!$T$6:$T$505,'سجل الإجازات والحالات'!$B$6:$B$505,$B43)+SUMIFS('الحركات الشهرية'!$K$6:$K$1005,'الحركات الشهرية'!$B$6:$B$1005,B43,'الحركات الشهرية'!$A$6:$A$1005,"&lt;="&amp;cfg_VAL_M))</f>
        <v/>
      </c>
      <c r="N43" s="131" t="str">
        <f aca="false">IF($B43="","",SUMIFS('الحركات الشهرية'!$L$6:$L$1005,'الحركات الشهرية'!$B$6:$B$1005,B43,'الحركات الشهرية'!$A$6:$A$1005,"&lt;="&amp;cfg_VAL_M))</f>
        <v/>
      </c>
      <c r="O43" s="131" t="str">
        <f aca="false">IF($B43="","",H43+L43-M43-N43)</f>
        <v/>
      </c>
      <c r="P43" s="133" t="str">
        <f aca="false">IF($B43="","",O43*G43)</f>
        <v/>
      </c>
      <c r="Q43" s="101" t="str">
        <f aca="false">IF($B43="","",H43*G43)</f>
        <v/>
      </c>
      <c r="R43" s="101" t="str">
        <f aca="false">IF($B43="","",(M43+N43)*G43)</f>
        <v/>
      </c>
      <c r="S43" s="102" t="str">
        <f aca="false">IF($B43="","",IF(O43&lt;-0.01,"✖ رصيد سالب",IF(O43&gt;F43*2,"⚠ رصيد مرتفع (أكثر من سنتين)",IF(AND(الموظفون!$AE43&lt;&gt;"",الموظفون!$AE43&lt;=cfg_VAL_DATE,O43&gt;0.01),"⚠ منتهي الخدمة برصيد","✔ سليم"))))</f>
        <v/>
      </c>
    </row>
    <row r="44" customFormat="false" ht="15" hidden="false" customHeight="false" outlineLevel="0" collapsed="false">
      <c r="B44" s="80" t="str">
        <f aca="false">IF(الموظفون!$B44="","",الموظفون!$B44)</f>
        <v/>
      </c>
      <c r="C44" s="80" t="str">
        <f aca="false">IF($B44="","",الموظفون!$C44)</f>
        <v/>
      </c>
      <c r="D44" s="147" t="str">
        <f aca="false">IF($B44="","",الموظفون!$H44)</f>
        <v/>
      </c>
      <c r="E44" s="152" t="str">
        <f aca="false">IF($B44="","",MAX(0,J44-D44+1-SUMIFS('سجل الإجازات والحالات'!$S$6:$S$505,'سجل الإجازات والحالات'!$B$6:$B$505,$B44))/cfg_DAYS_Y)</f>
        <v/>
      </c>
      <c r="F44" s="57" t="str">
        <f aca="false">IF($B44="","",IF(الموظفون!$T44&lt;&gt;"",الموظفون!$T44,IF(E44&gt;=cfg_LV_TH,cfg_LV_D2,cfg_LV_D1)))</f>
        <v/>
      </c>
      <c r="G44" s="97" t="str">
        <f aca="false">IF($B44="","",الموظفون!$R44/cfg_DAYS_M)</f>
        <v/>
      </c>
      <c r="H44" s="126" t="str">
        <f aca="false">IF($B44="","",N(الموظفون!$AC44))</f>
        <v/>
      </c>
      <c r="I44" s="147" t="str">
        <f aca="false">IF($B44="","",MAX(cfg_Y_START,D44))</f>
        <v/>
      </c>
      <c r="J44" s="147" t="str">
        <f aca="false">IF($B44="","",IF(OR(الموظفون!$AE44="",الموظفون!$AE44&gt;cfg_VAL_DATE),cfg_VAL_DATE,الموظفون!$AE44))</f>
        <v/>
      </c>
      <c r="K44" s="57" t="str">
        <f aca="false">IF($B44="","",MAX(0,MAX(0,J44-I44+1)-(SUMIFS('سجل الإجازات والحالات'!$S$6:$S$505,'سجل الإجازات والحالات'!$B$6:$B$505,$B44)-SUMIFS('سجل الإجازات والحالات'!$R$6:$R$505,'سجل الإجازات والحالات'!$B$6:$B$505,$B44))))</f>
        <v/>
      </c>
      <c r="L44" s="126" t="str">
        <f aca="false">IF($B44="","",F44/cfg_DAYS_Y*K44)</f>
        <v/>
      </c>
      <c r="M44" s="126" t="str">
        <f aca="false">IF($B44="","",SUMIFS('سجل الإجازات والحالات'!$T$6:$T$505,'سجل الإجازات والحالات'!$B$6:$B$505,$B44)+SUMIFS('الحركات الشهرية'!$K$6:$K$1005,'الحركات الشهرية'!$B$6:$B$1005,B44,'الحركات الشهرية'!$A$6:$A$1005,"&lt;="&amp;cfg_VAL_M))</f>
        <v/>
      </c>
      <c r="N44" s="126" t="str">
        <f aca="false">IF($B44="","",SUMIFS('الحركات الشهرية'!$L$6:$L$1005,'الحركات الشهرية'!$B$6:$B$1005,B44,'الحركات الشهرية'!$A$6:$A$1005,"&lt;="&amp;cfg_VAL_M))</f>
        <v/>
      </c>
      <c r="O44" s="126" t="str">
        <f aca="false">IF($B44="","",H44+L44-M44-N44)</f>
        <v/>
      </c>
      <c r="P44" s="128" t="str">
        <f aca="false">IF($B44="","",O44*G44)</f>
        <v/>
      </c>
      <c r="Q44" s="97" t="str">
        <f aca="false">IF($B44="","",H44*G44)</f>
        <v/>
      </c>
      <c r="R44" s="97" t="str">
        <f aca="false">IF($B44="","",(M44+N44)*G44)</f>
        <v/>
      </c>
      <c r="S44" s="80" t="str">
        <f aca="false">IF($B44="","",IF(O44&lt;-0.01,"✖ رصيد سالب",IF(O44&gt;F44*2,"⚠ رصيد مرتفع (أكثر من سنتين)",IF(AND(الموظفون!$AE44&lt;&gt;"",الموظفون!$AE44&lt;=cfg_VAL_DATE,O44&gt;0.01),"⚠ منتهي الخدمة برصيد","✔ سليم"))))</f>
        <v/>
      </c>
    </row>
    <row r="45" customFormat="false" ht="15" hidden="false" customHeight="false" outlineLevel="0" collapsed="false">
      <c r="B45" s="102" t="str">
        <f aca="false">IF(الموظفون!$B45="","",الموظفون!$B45)</f>
        <v/>
      </c>
      <c r="C45" s="102" t="str">
        <f aca="false">IF($B45="","",الموظفون!$C45)</f>
        <v/>
      </c>
      <c r="D45" s="148" t="str">
        <f aca="false">IF($B45="","",الموظفون!$H45)</f>
        <v/>
      </c>
      <c r="E45" s="153" t="str">
        <f aca="false">IF($B45="","",MAX(0,J45-D45+1-SUMIFS('سجل الإجازات والحالات'!$S$6:$S$505,'سجل الإجازات والحالات'!$B$6:$B$505,$B45))/cfg_DAYS_Y)</f>
        <v/>
      </c>
      <c r="F45" s="110" t="str">
        <f aca="false">IF($B45="","",IF(الموظفون!$T45&lt;&gt;"",الموظفون!$T45,IF(E45&gt;=cfg_LV_TH,cfg_LV_D2,cfg_LV_D1)))</f>
        <v/>
      </c>
      <c r="G45" s="101" t="str">
        <f aca="false">IF($B45="","",الموظفون!$R45/cfg_DAYS_M)</f>
        <v/>
      </c>
      <c r="H45" s="131" t="str">
        <f aca="false">IF($B45="","",N(الموظفون!$AC45))</f>
        <v/>
      </c>
      <c r="I45" s="148" t="str">
        <f aca="false">IF($B45="","",MAX(cfg_Y_START,D45))</f>
        <v/>
      </c>
      <c r="J45" s="148" t="str">
        <f aca="false">IF($B45="","",IF(OR(الموظفون!$AE45="",الموظفون!$AE45&gt;cfg_VAL_DATE),cfg_VAL_DATE,الموظفون!$AE45))</f>
        <v/>
      </c>
      <c r="K45" s="110" t="str">
        <f aca="false">IF($B45="","",MAX(0,MAX(0,J45-I45+1)-(SUMIFS('سجل الإجازات والحالات'!$S$6:$S$505,'سجل الإجازات والحالات'!$B$6:$B$505,$B45)-SUMIFS('سجل الإجازات والحالات'!$R$6:$R$505,'سجل الإجازات والحالات'!$B$6:$B$505,$B45))))</f>
        <v/>
      </c>
      <c r="L45" s="131" t="str">
        <f aca="false">IF($B45="","",F45/cfg_DAYS_Y*K45)</f>
        <v/>
      </c>
      <c r="M45" s="131" t="str">
        <f aca="false">IF($B45="","",SUMIFS('سجل الإجازات والحالات'!$T$6:$T$505,'سجل الإجازات والحالات'!$B$6:$B$505,$B45)+SUMIFS('الحركات الشهرية'!$K$6:$K$1005,'الحركات الشهرية'!$B$6:$B$1005,B45,'الحركات الشهرية'!$A$6:$A$1005,"&lt;="&amp;cfg_VAL_M))</f>
        <v/>
      </c>
      <c r="N45" s="131" t="str">
        <f aca="false">IF($B45="","",SUMIFS('الحركات الشهرية'!$L$6:$L$1005,'الحركات الشهرية'!$B$6:$B$1005,B45,'الحركات الشهرية'!$A$6:$A$1005,"&lt;="&amp;cfg_VAL_M))</f>
        <v/>
      </c>
      <c r="O45" s="131" t="str">
        <f aca="false">IF($B45="","",H45+L45-M45-N45)</f>
        <v/>
      </c>
      <c r="P45" s="133" t="str">
        <f aca="false">IF($B45="","",O45*G45)</f>
        <v/>
      </c>
      <c r="Q45" s="101" t="str">
        <f aca="false">IF($B45="","",H45*G45)</f>
        <v/>
      </c>
      <c r="R45" s="101" t="str">
        <f aca="false">IF($B45="","",(M45+N45)*G45)</f>
        <v/>
      </c>
      <c r="S45" s="102" t="str">
        <f aca="false">IF($B45="","",IF(O45&lt;-0.01,"✖ رصيد سالب",IF(O45&gt;F45*2,"⚠ رصيد مرتفع (أكثر من سنتين)",IF(AND(الموظفون!$AE45&lt;&gt;"",الموظفون!$AE45&lt;=cfg_VAL_DATE,O45&gt;0.01),"⚠ منتهي الخدمة برصيد","✔ سليم"))))</f>
        <v/>
      </c>
    </row>
    <row r="46" customFormat="false" ht="15" hidden="false" customHeight="false" outlineLevel="0" collapsed="false">
      <c r="B46" s="80" t="str">
        <f aca="false">IF(الموظفون!$B46="","",الموظفون!$B46)</f>
        <v/>
      </c>
      <c r="C46" s="80" t="str">
        <f aca="false">IF($B46="","",الموظفون!$C46)</f>
        <v/>
      </c>
      <c r="D46" s="147" t="str">
        <f aca="false">IF($B46="","",الموظفون!$H46)</f>
        <v/>
      </c>
      <c r="E46" s="152" t="str">
        <f aca="false">IF($B46="","",MAX(0,J46-D46+1-SUMIFS('سجل الإجازات والحالات'!$S$6:$S$505,'سجل الإجازات والحالات'!$B$6:$B$505,$B46))/cfg_DAYS_Y)</f>
        <v/>
      </c>
      <c r="F46" s="57" t="str">
        <f aca="false">IF($B46="","",IF(الموظفون!$T46&lt;&gt;"",الموظفون!$T46,IF(E46&gt;=cfg_LV_TH,cfg_LV_D2,cfg_LV_D1)))</f>
        <v/>
      </c>
      <c r="G46" s="97" t="str">
        <f aca="false">IF($B46="","",الموظفون!$R46/cfg_DAYS_M)</f>
        <v/>
      </c>
      <c r="H46" s="126" t="str">
        <f aca="false">IF($B46="","",N(الموظفون!$AC46))</f>
        <v/>
      </c>
      <c r="I46" s="147" t="str">
        <f aca="false">IF($B46="","",MAX(cfg_Y_START,D46))</f>
        <v/>
      </c>
      <c r="J46" s="147" t="str">
        <f aca="false">IF($B46="","",IF(OR(الموظفون!$AE46="",الموظفون!$AE46&gt;cfg_VAL_DATE),cfg_VAL_DATE,الموظفون!$AE46))</f>
        <v/>
      </c>
      <c r="K46" s="57" t="str">
        <f aca="false">IF($B46="","",MAX(0,MAX(0,J46-I46+1)-(SUMIFS('سجل الإجازات والحالات'!$S$6:$S$505,'سجل الإجازات والحالات'!$B$6:$B$505,$B46)-SUMIFS('سجل الإجازات والحالات'!$R$6:$R$505,'سجل الإجازات والحالات'!$B$6:$B$505,$B46))))</f>
        <v/>
      </c>
      <c r="L46" s="126" t="str">
        <f aca="false">IF($B46="","",F46/cfg_DAYS_Y*K46)</f>
        <v/>
      </c>
      <c r="M46" s="126" t="str">
        <f aca="false">IF($B46="","",SUMIFS('سجل الإجازات والحالات'!$T$6:$T$505,'سجل الإجازات والحالات'!$B$6:$B$505,$B46)+SUMIFS('الحركات الشهرية'!$K$6:$K$1005,'الحركات الشهرية'!$B$6:$B$1005,B46,'الحركات الشهرية'!$A$6:$A$1005,"&lt;="&amp;cfg_VAL_M))</f>
        <v/>
      </c>
      <c r="N46" s="126" t="str">
        <f aca="false">IF($B46="","",SUMIFS('الحركات الشهرية'!$L$6:$L$1005,'الحركات الشهرية'!$B$6:$B$1005,B46,'الحركات الشهرية'!$A$6:$A$1005,"&lt;="&amp;cfg_VAL_M))</f>
        <v/>
      </c>
      <c r="O46" s="126" t="str">
        <f aca="false">IF($B46="","",H46+L46-M46-N46)</f>
        <v/>
      </c>
      <c r="P46" s="128" t="str">
        <f aca="false">IF($B46="","",O46*G46)</f>
        <v/>
      </c>
      <c r="Q46" s="97" t="str">
        <f aca="false">IF($B46="","",H46*G46)</f>
        <v/>
      </c>
      <c r="R46" s="97" t="str">
        <f aca="false">IF($B46="","",(M46+N46)*G46)</f>
        <v/>
      </c>
      <c r="S46" s="80" t="str">
        <f aca="false">IF($B46="","",IF(O46&lt;-0.01,"✖ رصيد سالب",IF(O46&gt;F46*2,"⚠ رصيد مرتفع (أكثر من سنتين)",IF(AND(الموظفون!$AE46&lt;&gt;"",الموظفون!$AE46&lt;=cfg_VAL_DATE,O46&gt;0.01),"⚠ منتهي الخدمة برصيد","✔ سليم"))))</f>
        <v/>
      </c>
    </row>
    <row r="47" customFormat="false" ht="15" hidden="false" customHeight="false" outlineLevel="0" collapsed="false">
      <c r="B47" s="102" t="str">
        <f aca="false">IF(الموظفون!$B47="","",الموظفون!$B47)</f>
        <v/>
      </c>
      <c r="C47" s="102" t="str">
        <f aca="false">IF($B47="","",الموظفون!$C47)</f>
        <v/>
      </c>
      <c r="D47" s="148" t="str">
        <f aca="false">IF($B47="","",الموظفون!$H47)</f>
        <v/>
      </c>
      <c r="E47" s="153" t="str">
        <f aca="false">IF($B47="","",MAX(0,J47-D47+1-SUMIFS('سجل الإجازات والحالات'!$S$6:$S$505,'سجل الإجازات والحالات'!$B$6:$B$505,$B47))/cfg_DAYS_Y)</f>
        <v/>
      </c>
      <c r="F47" s="110" t="str">
        <f aca="false">IF($B47="","",IF(الموظفون!$T47&lt;&gt;"",الموظفون!$T47,IF(E47&gt;=cfg_LV_TH,cfg_LV_D2,cfg_LV_D1)))</f>
        <v/>
      </c>
      <c r="G47" s="101" t="str">
        <f aca="false">IF($B47="","",الموظفون!$R47/cfg_DAYS_M)</f>
        <v/>
      </c>
      <c r="H47" s="131" t="str">
        <f aca="false">IF($B47="","",N(الموظفون!$AC47))</f>
        <v/>
      </c>
      <c r="I47" s="148" t="str">
        <f aca="false">IF($B47="","",MAX(cfg_Y_START,D47))</f>
        <v/>
      </c>
      <c r="J47" s="148" t="str">
        <f aca="false">IF($B47="","",IF(OR(الموظفون!$AE47="",الموظفون!$AE47&gt;cfg_VAL_DATE),cfg_VAL_DATE,الموظفون!$AE47))</f>
        <v/>
      </c>
      <c r="K47" s="110" t="str">
        <f aca="false">IF($B47="","",MAX(0,MAX(0,J47-I47+1)-(SUMIFS('سجل الإجازات والحالات'!$S$6:$S$505,'سجل الإجازات والحالات'!$B$6:$B$505,$B47)-SUMIFS('سجل الإجازات والحالات'!$R$6:$R$505,'سجل الإجازات والحالات'!$B$6:$B$505,$B47))))</f>
        <v/>
      </c>
      <c r="L47" s="131" t="str">
        <f aca="false">IF($B47="","",F47/cfg_DAYS_Y*K47)</f>
        <v/>
      </c>
      <c r="M47" s="131" t="str">
        <f aca="false">IF($B47="","",SUMIFS('سجل الإجازات والحالات'!$T$6:$T$505,'سجل الإجازات والحالات'!$B$6:$B$505,$B47)+SUMIFS('الحركات الشهرية'!$K$6:$K$1005,'الحركات الشهرية'!$B$6:$B$1005,B47,'الحركات الشهرية'!$A$6:$A$1005,"&lt;="&amp;cfg_VAL_M))</f>
        <v/>
      </c>
      <c r="N47" s="131" t="str">
        <f aca="false">IF($B47="","",SUMIFS('الحركات الشهرية'!$L$6:$L$1005,'الحركات الشهرية'!$B$6:$B$1005,B47,'الحركات الشهرية'!$A$6:$A$1005,"&lt;="&amp;cfg_VAL_M))</f>
        <v/>
      </c>
      <c r="O47" s="131" t="str">
        <f aca="false">IF($B47="","",H47+L47-M47-N47)</f>
        <v/>
      </c>
      <c r="P47" s="133" t="str">
        <f aca="false">IF($B47="","",O47*G47)</f>
        <v/>
      </c>
      <c r="Q47" s="101" t="str">
        <f aca="false">IF($B47="","",H47*G47)</f>
        <v/>
      </c>
      <c r="R47" s="101" t="str">
        <f aca="false">IF($B47="","",(M47+N47)*G47)</f>
        <v/>
      </c>
      <c r="S47" s="102" t="str">
        <f aca="false">IF($B47="","",IF(O47&lt;-0.01,"✖ رصيد سالب",IF(O47&gt;F47*2,"⚠ رصيد مرتفع (أكثر من سنتين)",IF(AND(الموظفون!$AE47&lt;&gt;"",الموظفون!$AE47&lt;=cfg_VAL_DATE,O47&gt;0.01),"⚠ منتهي الخدمة برصيد","✔ سليم"))))</f>
        <v/>
      </c>
    </row>
    <row r="48" customFormat="false" ht="15" hidden="false" customHeight="false" outlineLevel="0" collapsed="false">
      <c r="B48" s="80" t="str">
        <f aca="false">IF(الموظفون!$B48="","",الموظفون!$B48)</f>
        <v/>
      </c>
      <c r="C48" s="80" t="str">
        <f aca="false">IF($B48="","",الموظفون!$C48)</f>
        <v/>
      </c>
      <c r="D48" s="147" t="str">
        <f aca="false">IF($B48="","",الموظفون!$H48)</f>
        <v/>
      </c>
      <c r="E48" s="152" t="str">
        <f aca="false">IF($B48="","",MAX(0,J48-D48+1-SUMIFS('سجل الإجازات والحالات'!$S$6:$S$505,'سجل الإجازات والحالات'!$B$6:$B$505,$B48))/cfg_DAYS_Y)</f>
        <v/>
      </c>
      <c r="F48" s="57" t="str">
        <f aca="false">IF($B48="","",IF(الموظفون!$T48&lt;&gt;"",الموظفون!$T48,IF(E48&gt;=cfg_LV_TH,cfg_LV_D2,cfg_LV_D1)))</f>
        <v/>
      </c>
      <c r="G48" s="97" t="str">
        <f aca="false">IF($B48="","",الموظفون!$R48/cfg_DAYS_M)</f>
        <v/>
      </c>
      <c r="H48" s="126" t="str">
        <f aca="false">IF($B48="","",N(الموظفون!$AC48))</f>
        <v/>
      </c>
      <c r="I48" s="147" t="str">
        <f aca="false">IF($B48="","",MAX(cfg_Y_START,D48))</f>
        <v/>
      </c>
      <c r="J48" s="147" t="str">
        <f aca="false">IF($B48="","",IF(OR(الموظفون!$AE48="",الموظفون!$AE48&gt;cfg_VAL_DATE),cfg_VAL_DATE,الموظفون!$AE48))</f>
        <v/>
      </c>
      <c r="K48" s="57" t="str">
        <f aca="false">IF($B48="","",MAX(0,MAX(0,J48-I48+1)-(SUMIFS('سجل الإجازات والحالات'!$S$6:$S$505,'سجل الإجازات والحالات'!$B$6:$B$505,$B48)-SUMIFS('سجل الإجازات والحالات'!$R$6:$R$505,'سجل الإجازات والحالات'!$B$6:$B$505,$B48))))</f>
        <v/>
      </c>
      <c r="L48" s="126" t="str">
        <f aca="false">IF($B48="","",F48/cfg_DAYS_Y*K48)</f>
        <v/>
      </c>
      <c r="M48" s="126" t="str">
        <f aca="false">IF($B48="","",SUMIFS('سجل الإجازات والحالات'!$T$6:$T$505,'سجل الإجازات والحالات'!$B$6:$B$505,$B48)+SUMIFS('الحركات الشهرية'!$K$6:$K$1005,'الحركات الشهرية'!$B$6:$B$1005,B48,'الحركات الشهرية'!$A$6:$A$1005,"&lt;="&amp;cfg_VAL_M))</f>
        <v/>
      </c>
      <c r="N48" s="126" t="str">
        <f aca="false">IF($B48="","",SUMIFS('الحركات الشهرية'!$L$6:$L$1005,'الحركات الشهرية'!$B$6:$B$1005,B48,'الحركات الشهرية'!$A$6:$A$1005,"&lt;="&amp;cfg_VAL_M))</f>
        <v/>
      </c>
      <c r="O48" s="126" t="str">
        <f aca="false">IF($B48="","",H48+L48-M48-N48)</f>
        <v/>
      </c>
      <c r="P48" s="128" t="str">
        <f aca="false">IF($B48="","",O48*G48)</f>
        <v/>
      </c>
      <c r="Q48" s="97" t="str">
        <f aca="false">IF($B48="","",H48*G48)</f>
        <v/>
      </c>
      <c r="R48" s="97" t="str">
        <f aca="false">IF($B48="","",(M48+N48)*G48)</f>
        <v/>
      </c>
      <c r="S48" s="80" t="str">
        <f aca="false">IF($B48="","",IF(O48&lt;-0.01,"✖ رصيد سالب",IF(O48&gt;F48*2,"⚠ رصيد مرتفع (أكثر من سنتين)",IF(AND(الموظفون!$AE48&lt;&gt;"",الموظفون!$AE48&lt;=cfg_VAL_DATE,O48&gt;0.01),"⚠ منتهي الخدمة برصيد","✔ سليم"))))</f>
        <v/>
      </c>
    </row>
    <row r="49" customFormat="false" ht="15" hidden="false" customHeight="false" outlineLevel="0" collapsed="false">
      <c r="B49" s="102" t="str">
        <f aca="false">IF(الموظفون!$B49="","",الموظفون!$B49)</f>
        <v/>
      </c>
      <c r="C49" s="102" t="str">
        <f aca="false">IF($B49="","",الموظفون!$C49)</f>
        <v/>
      </c>
      <c r="D49" s="148" t="str">
        <f aca="false">IF($B49="","",الموظفون!$H49)</f>
        <v/>
      </c>
      <c r="E49" s="153" t="str">
        <f aca="false">IF($B49="","",MAX(0,J49-D49+1-SUMIFS('سجل الإجازات والحالات'!$S$6:$S$505,'سجل الإجازات والحالات'!$B$6:$B$505,$B49))/cfg_DAYS_Y)</f>
        <v/>
      </c>
      <c r="F49" s="110" t="str">
        <f aca="false">IF($B49="","",IF(الموظفون!$T49&lt;&gt;"",الموظفون!$T49,IF(E49&gt;=cfg_LV_TH,cfg_LV_D2,cfg_LV_D1)))</f>
        <v/>
      </c>
      <c r="G49" s="101" t="str">
        <f aca="false">IF($B49="","",الموظفون!$R49/cfg_DAYS_M)</f>
        <v/>
      </c>
      <c r="H49" s="131" t="str">
        <f aca="false">IF($B49="","",N(الموظفون!$AC49))</f>
        <v/>
      </c>
      <c r="I49" s="148" t="str">
        <f aca="false">IF($B49="","",MAX(cfg_Y_START,D49))</f>
        <v/>
      </c>
      <c r="J49" s="148" t="str">
        <f aca="false">IF($B49="","",IF(OR(الموظفون!$AE49="",الموظفون!$AE49&gt;cfg_VAL_DATE),cfg_VAL_DATE,الموظفون!$AE49))</f>
        <v/>
      </c>
      <c r="K49" s="110" t="str">
        <f aca="false">IF($B49="","",MAX(0,MAX(0,J49-I49+1)-(SUMIFS('سجل الإجازات والحالات'!$S$6:$S$505,'سجل الإجازات والحالات'!$B$6:$B$505,$B49)-SUMIFS('سجل الإجازات والحالات'!$R$6:$R$505,'سجل الإجازات والحالات'!$B$6:$B$505,$B49))))</f>
        <v/>
      </c>
      <c r="L49" s="131" t="str">
        <f aca="false">IF($B49="","",F49/cfg_DAYS_Y*K49)</f>
        <v/>
      </c>
      <c r="M49" s="131" t="str">
        <f aca="false">IF($B49="","",SUMIFS('سجل الإجازات والحالات'!$T$6:$T$505,'سجل الإجازات والحالات'!$B$6:$B$505,$B49)+SUMIFS('الحركات الشهرية'!$K$6:$K$1005,'الحركات الشهرية'!$B$6:$B$1005,B49,'الحركات الشهرية'!$A$6:$A$1005,"&lt;="&amp;cfg_VAL_M))</f>
        <v/>
      </c>
      <c r="N49" s="131" t="str">
        <f aca="false">IF($B49="","",SUMIFS('الحركات الشهرية'!$L$6:$L$1005,'الحركات الشهرية'!$B$6:$B$1005,B49,'الحركات الشهرية'!$A$6:$A$1005,"&lt;="&amp;cfg_VAL_M))</f>
        <v/>
      </c>
      <c r="O49" s="131" t="str">
        <f aca="false">IF($B49="","",H49+L49-M49-N49)</f>
        <v/>
      </c>
      <c r="P49" s="133" t="str">
        <f aca="false">IF($B49="","",O49*G49)</f>
        <v/>
      </c>
      <c r="Q49" s="101" t="str">
        <f aca="false">IF($B49="","",H49*G49)</f>
        <v/>
      </c>
      <c r="R49" s="101" t="str">
        <f aca="false">IF($B49="","",(M49+N49)*G49)</f>
        <v/>
      </c>
      <c r="S49" s="102" t="str">
        <f aca="false">IF($B49="","",IF(O49&lt;-0.01,"✖ رصيد سالب",IF(O49&gt;F49*2,"⚠ رصيد مرتفع (أكثر من سنتين)",IF(AND(الموظفون!$AE49&lt;&gt;"",الموظفون!$AE49&lt;=cfg_VAL_DATE,O49&gt;0.01),"⚠ منتهي الخدمة برصيد","✔ سليم"))))</f>
        <v/>
      </c>
    </row>
    <row r="50" customFormat="false" ht="15" hidden="false" customHeight="false" outlineLevel="0" collapsed="false">
      <c r="B50" s="80" t="str">
        <f aca="false">IF(الموظفون!$B50="","",الموظفون!$B50)</f>
        <v/>
      </c>
      <c r="C50" s="80" t="str">
        <f aca="false">IF($B50="","",الموظفون!$C50)</f>
        <v/>
      </c>
      <c r="D50" s="147" t="str">
        <f aca="false">IF($B50="","",الموظفون!$H50)</f>
        <v/>
      </c>
      <c r="E50" s="152" t="str">
        <f aca="false">IF($B50="","",MAX(0,J50-D50+1-SUMIFS('سجل الإجازات والحالات'!$S$6:$S$505,'سجل الإجازات والحالات'!$B$6:$B$505,$B50))/cfg_DAYS_Y)</f>
        <v/>
      </c>
      <c r="F50" s="57" t="str">
        <f aca="false">IF($B50="","",IF(الموظفون!$T50&lt;&gt;"",الموظفون!$T50,IF(E50&gt;=cfg_LV_TH,cfg_LV_D2,cfg_LV_D1)))</f>
        <v/>
      </c>
      <c r="G50" s="97" t="str">
        <f aca="false">IF($B50="","",الموظفون!$R50/cfg_DAYS_M)</f>
        <v/>
      </c>
      <c r="H50" s="126" t="str">
        <f aca="false">IF($B50="","",N(الموظفون!$AC50))</f>
        <v/>
      </c>
      <c r="I50" s="147" t="str">
        <f aca="false">IF($B50="","",MAX(cfg_Y_START,D50))</f>
        <v/>
      </c>
      <c r="J50" s="147" t="str">
        <f aca="false">IF($B50="","",IF(OR(الموظفون!$AE50="",الموظفون!$AE50&gt;cfg_VAL_DATE),cfg_VAL_DATE,الموظفون!$AE50))</f>
        <v/>
      </c>
      <c r="K50" s="57" t="str">
        <f aca="false">IF($B50="","",MAX(0,MAX(0,J50-I50+1)-(SUMIFS('سجل الإجازات والحالات'!$S$6:$S$505,'سجل الإجازات والحالات'!$B$6:$B$505,$B50)-SUMIFS('سجل الإجازات والحالات'!$R$6:$R$505,'سجل الإجازات والحالات'!$B$6:$B$505,$B50))))</f>
        <v/>
      </c>
      <c r="L50" s="126" t="str">
        <f aca="false">IF($B50="","",F50/cfg_DAYS_Y*K50)</f>
        <v/>
      </c>
      <c r="M50" s="126" t="str">
        <f aca="false">IF($B50="","",SUMIFS('سجل الإجازات والحالات'!$T$6:$T$505,'سجل الإجازات والحالات'!$B$6:$B$505,$B50)+SUMIFS('الحركات الشهرية'!$K$6:$K$1005,'الحركات الشهرية'!$B$6:$B$1005,B50,'الحركات الشهرية'!$A$6:$A$1005,"&lt;="&amp;cfg_VAL_M))</f>
        <v/>
      </c>
      <c r="N50" s="126" t="str">
        <f aca="false">IF($B50="","",SUMIFS('الحركات الشهرية'!$L$6:$L$1005,'الحركات الشهرية'!$B$6:$B$1005,B50,'الحركات الشهرية'!$A$6:$A$1005,"&lt;="&amp;cfg_VAL_M))</f>
        <v/>
      </c>
      <c r="O50" s="126" t="str">
        <f aca="false">IF($B50="","",H50+L50-M50-N50)</f>
        <v/>
      </c>
      <c r="P50" s="128" t="str">
        <f aca="false">IF($B50="","",O50*G50)</f>
        <v/>
      </c>
      <c r="Q50" s="97" t="str">
        <f aca="false">IF($B50="","",H50*G50)</f>
        <v/>
      </c>
      <c r="R50" s="97" t="str">
        <f aca="false">IF($B50="","",(M50+N50)*G50)</f>
        <v/>
      </c>
      <c r="S50" s="80" t="str">
        <f aca="false">IF($B50="","",IF(O50&lt;-0.01,"✖ رصيد سالب",IF(O50&gt;F50*2,"⚠ رصيد مرتفع (أكثر من سنتين)",IF(AND(الموظفون!$AE50&lt;&gt;"",الموظفون!$AE50&lt;=cfg_VAL_DATE,O50&gt;0.01),"⚠ منتهي الخدمة برصيد","✔ سليم"))))</f>
        <v/>
      </c>
    </row>
    <row r="51" customFormat="false" ht="15" hidden="false" customHeight="false" outlineLevel="0" collapsed="false">
      <c r="B51" s="102" t="str">
        <f aca="false">IF(الموظفون!$B51="","",الموظفون!$B51)</f>
        <v/>
      </c>
      <c r="C51" s="102" t="str">
        <f aca="false">IF($B51="","",الموظفون!$C51)</f>
        <v/>
      </c>
      <c r="D51" s="148" t="str">
        <f aca="false">IF($B51="","",الموظفون!$H51)</f>
        <v/>
      </c>
      <c r="E51" s="153" t="str">
        <f aca="false">IF($B51="","",MAX(0,J51-D51+1-SUMIFS('سجل الإجازات والحالات'!$S$6:$S$505,'سجل الإجازات والحالات'!$B$6:$B$505,$B51))/cfg_DAYS_Y)</f>
        <v/>
      </c>
      <c r="F51" s="110" t="str">
        <f aca="false">IF($B51="","",IF(الموظفون!$T51&lt;&gt;"",الموظفون!$T51,IF(E51&gt;=cfg_LV_TH,cfg_LV_D2,cfg_LV_D1)))</f>
        <v/>
      </c>
      <c r="G51" s="101" t="str">
        <f aca="false">IF($B51="","",الموظفون!$R51/cfg_DAYS_M)</f>
        <v/>
      </c>
      <c r="H51" s="131" t="str">
        <f aca="false">IF($B51="","",N(الموظفون!$AC51))</f>
        <v/>
      </c>
      <c r="I51" s="148" t="str">
        <f aca="false">IF($B51="","",MAX(cfg_Y_START,D51))</f>
        <v/>
      </c>
      <c r="J51" s="148" t="str">
        <f aca="false">IF($B51="","",IF(OR(الموظفون!$AE51="",الموظفون!$AE51&gt;cfg_VAL_DATE),cfg_VAL_DATE,الموظفون!$AE51))</f>
        <v/>
      </c>
      <c r="K51" s="110" t="str">
        <f aca="false">IF($B51="","",MAX(0,MAX(0,J51-I51+1)-(SUMIFS('سجل الإجازات والحالات'!$S$6:$S$505,'سجل الإجازات والحالات'!$B$6:$B$505,$B51)-SUMIFS('سجل الإجازات والحالات'!$R$6:$R$505,'سجل الإجازات والحالات'!$B$6:$B$505,$B51))))</f>
        <v/>
      </c>
      <c r="L51" s="131" t="str">
        <f aca="false">IF($B51="","",F51/cfg_DAYS_Y*K51)</f>
        <v/>
      </c>
      <c r="M51" s="131" t="str">
        <f aca="false">IF($B51="","",SUMIFS('سجل الإجازات والحالات'!$T$6:$T$505,'سجل الإجازات والحالات'!$B$6:$B$505,$B51)+SUMIFS('الحركات الشهرية'!$K$6:$K$1005,'الحركات الشهرية'!$B$6:$B$1005,B51,'الحركات الشهرية'!$A$6:$A$1005,"&lt;="&amp;cfg_VAL_M))</f>
        <v/>
      </c>
      <c r="N51" s="131" t="str">
        <f aca="false">IF($B51="","",SUMIFS('الحركات الشهرية'!$L$6:$L$1005,'الحركات الشهرية'!$B$6:$B$1005,B51,'الحركات الشهرية'!$A$6:$A$1005,"&lt;="&amp;cfg_VAL_M))</f>
        <v/>
      </c>
      <c r="O51" s="131" t="str">
        <f aca="false">IF($B51="","",H51+L51-M51-N51)</f>
        <v/>
      </c>
      <c r="P51" s="133" t="str">
        <f aca="false">IF($B51="","",O51*G51)</f>
        <v/>
      </c>
      <c r="Q51" s="101" t="str">
        <f aca="false">IF($B51="","",H51*G51)</f>
        <v/>
      </c>
      <c r="R51" s="101" t="str">
        <f aca="false">IF($B51="","",(M51+N51)*G51)</f>
        <v/>
      </c>
      <c r="S51" s="102" t="str">
        <f aca="false">IF($B51="","",IF(O51&lt;-0.01,"✖ رصيد سالب",IF(O51&gt;F51*2,"⚠ رصيد مرتفع (أكثر من سنتين)",IF(AND(الموظفون!$AE51&lt;&gt;"",الموظفون!$AE51&lt;=cfg_VAL_DATE,O51&gt;0.01),"⚠ منتهي الخدمة برصيد","✔ سليم"))))</f>
        <v/>
      </c>
    </row>
    <row r="52" customFormat="false" ht="15" hidden="false" customHeight="false" outlineLevel="0" collapsed="false">
      <c r="B52" s="80" t="str">
        <f aca="false">IF(الموظفون!$B52="","",الموظفون!$B52)</f>
        <v/>
      </c>
      <c r="C52" s="80" t="str">
        <f aca="false">IF($B52="","",الموظفون!$C52)</f>
        <v/>
      </c>
      <c r="D52" s="147" t="str">
        <f aca="false">IF($B52="","",الموظفون!$H52)</f>
        <v/>
      </c>
      <c r="E52" s="152" t="str">
        <f aca="false">IF($B52="","",MAX(0,J52-D52+1-SUMIFS('سجل الإجازات والحالات'!$S$6:$S$505,'سجل الإجازات والحالات'!$B$6:$B$505,$B52))/cfg_DAYS_Y)</f>
        <v/>
      </c>
      <c r="F52" s="57" t="str">
        <f aca="false">IF($B52="","",IF(الموظفون!$T52&lt;&gt;"",الموظفون!$T52,IF(E52&gt;=cfg_LV_TH,cfg_LV_D2,cfg_LV_D1)))</f>
        <v/>
      </c>
      <c r="G52" s="97" t="str">
        <f aca="false">IF($B52="","",الموظفون!$R52/cfg_DAYS_M)</f>
        <v/>
      </c>
      <c r="H52" s="126" t="str">
        <f aca="false">IF($B52="","",N(الموظفون!$AC52))</f>
        <v/>
      </c>
      <c r="I52" s="147" t="str">
        <f aca="false">IF($B52="","",MAX(cfg_Y_START,D52))</f>
        <v/>
      </c>
      <c r="J52" s="147" t="str">
        <f aca="false">IF($B52="","",IF(OR(الموظفون!$AE52="",الموظفون!$AE52&gt;cfg_VAL_DATE),cfg_VAL_DATE,الموظفون!$AE52))</f>
        <v/>
      </c>
      <c r="K52" s="57" t="str">
        <f aca="false">IF($B52="","",MAX(0,MAX(0,J52-I52+1)-(SUMIFS('سجل الإجازات والحالات'!$S$6:$S$505,'سجل الإجازات والحالات'!$B$6:$B$505,$B52)-SUMIFS('سجل الإجازات والحالات'!$R$6:$R$505,'سجل الإجازات والحالات'!$B$6:$B$505,$B52))))</f>
        <v/>
      </c>
      <c r="L52" s="126" t="str">
        <f aca="false">IF($B52="","",F52/cfg_DAYS_Y*K52)</f>
        <v/>
      </c>
      <c r="M52" s="126" t="str">
        <f aca="false">IF($B52="","",SUMIFS('سجل الإجازات والحالات'!$T$6:$T$505,'سجل الإجازات والحالات'!$B$6:$B$505,$B52)+SUMIFS('الحركات الشهرية'!$K$6:$K$1005,'الحركات الشهرية'!$B$6:$B$1005,B52,'الحركات الشهرية'!$A$6:$A$1005,"&lt;="&amp;cfg_VAL_M))</f>
        <v/>
      </c>
      <c r="N52" s="126" t="str">
        <f aca="false">IF($B52="","",SUMIFS('الحركات الشهرية'!$L$6:$L$1005,'الحركات الشهرية'!$B$6:$B$1005,B52,'الحركات الشهرية'!$A$6:$A$1005,"&lt;="&amp;cfg_VAL_M))</f>
        <v/>
      </c>
      <c r="O52" s="126" t="str">
        <f aca="false">IF($B52="","",H52+L52-M52-N52)</f>
        <v/>
      </c>
      <c r="P52" s="128" t="str">
        <f aca="false">IF($B52="","",O52*G52)</f>
        <v/>
      </c>
      <c r="Q52" s="97" t="str">
        <f aca="false">IF($B52="","",H52*G52)</f>
        <v/>
      </c>
      <c r="R52" s="97" t="str">
        <f aca="false">IF($B52="","",(M52+N52)*G52)</f>
        <v/>
      </c>
      <c r="S52" s="80" t="str">
        <f aca="false">IF($B52="","",IF(O52&lt;-0.01,"✖ رصيد سالب",IF(O52&gt;F52*2,"⚠ رصيد مرتفع (أكثر من سنتين)",IF(AND(الموظفون!$AE52&lt;&gt;"",الموظفون!$AE52&lt;=cfg_VAL_DATE,O52&gt;0.01),"⚠ منتهي الخدمة برصيد","✔ سليم"))))</f>
        <v/>
      </c>
    </row>
    <row r="53" customFormat="false" ht="15" hidden="false" customHeight="false" outlineLevel="0" collapsed="false">
      <c r="B53" s="102" t="str">
        <f aca="false">IF(الموظفون!$B53="","",الموظفون!$B53)</f>
        <v/>
      </c>
      <c r="C53" s="102" t="str">
        <f aca="false">IF($B53="","",الموظفون!$C53)</f>
        <v/>
      </c>
      <c r="D53" s="148" t="str">
        <f aca="false">IF($B53="","",الموظفون!$H53)</f>
        <v/>
      </c>
      <c r="E53" s="153" t="str">
        <f aca="false">IF($B53="","",MAX(0,J53-D53+1-SUMIFS('سجل الإجازات والحالات'!$S$6:$S$505,'سجل الإجازات والحالات'!$B$6:$B$505,$B53))/cfg_DAYS_Y)</f>
        <v/>
      </c>
      <c r="F53" s="110" t="str">
        <f aca="false">IF($B53="","",IF(الموظفون!$T53&lt;&gt;"",الموظفون!$T53,IF(E53&gt;=cfg_LV_TH,cfg_LV_D2,cfg_LV_D1)))</f>
        <v/>
      </c>
      <c r="G53" s="101" t="str">
        <f aca="false">IF($B53="","",الموظفون!$R53/cfg_DAYS_M)</f>
        <v/>
      </c>
      <c r="H53" s="131" t="str">
        <f aca="false">IF($B53="","",N(الموظفون!$AC53))</f>
        <v/>
      </c>
      <c r="I53" s="148" t="str">
        <f aca="false">IF($B53="","",MAX(cfg_Y_START,D53))</f>
        <v/>
      </c>
      <c r="J53" s="148" t="str">
        <f aca="false">IF($B53="","",IF(OR(الموظفون!$AE53="",الموظفون!$AE53&gt;cfg_VAL_DATE),cfg_VAL_DATE,الموظفون!$AE53))</f>
        <v/>
      </c>
      <c r="K53" s="110" t="str">
        <f aca="false">IF($B53="","",MAX(0,MAX(0,J53-I53+1)-(SUMIFS('سجل الإجازات والحالات'!$S$6:$S$505,'سجل الإجازات والحالات'!$B$6:$B$505,$B53)-SUMIFS('سجل الإجازات والحالات'!$R$6:$R$505,'سجل الإجازات والحالات'!$B$6:$B$505,$B53))))</f>
        <v/>
      </c>
      <c r="L53" s="131" t="str">
        <f aca="false">IF($B53="","",F53/cfg_DAYS_Y*K53)</f>
        <v/>
      </c>
      <c r="M53" s="131" t="str">
        <f aca="false">IF($B53="","",SUMIFS('سجل الإجازات والحالات'!$T$6:$T$505,'سجل الإجازات والحالات'!$B$6:$B$505,$B53)+SUMIFS('الحركات الشهرية'!$K$6:$K$1005,'الحركات الشهرية'!$B$6:$B$1005,B53,'الحركات الشهرية'!$A$6:$A$1005,"&lt;="&amp;cfg_VAL_M))</f>
        <v/>
      </c>
      <c r="N53" s="131" t="str">
        <f aca="false">IF($B53="","",SUMIFS('الحركات الشهرية'!$L$6:$L$1005,'الحركات الشهرية'!$B$6:$B$1005,B53,'الحركات الشهرية'!$A$6:$A$1005,"&lt;="&amp;cfg_VAL_M))</f>
        <v/>
      </c>
      <c r="O53" s="131" t="str">
        <f aca="false">IF($B53="","",H53+L53-M53-N53)</f>
        <v/>
      </c>
      <c r="P53" s="133" t="str">
        <f aca="false">IF($B53="","",O53*G53)</f>
        <v/>
      </c>
      <c r="Q53" s="101" t="str">
        <f aca="false">IF($B53="","",H53*G53)</f>
        <v/>
      </c>
      <c r="R53" s="101" t="str">
        <f aca="false">IF($B53="","",(M53+N53)*G53)</f>
        <v/>
      </c>
      <c r="S53" s="102" t="str">
        <f aca="false">IF($B53="","",IF(O53&lt;-0.01,"✖ رصيد سالب",IF(O53&gt;F53*2,"⚠ رصيد مرتفع (أكثر من سنتين)",IF(AND(الموظفون!$AE53&lt;&gt;"",الموظفون!$AE53&lt;=cfg_VAL_DATE,O53&gt;0.01),"⚠ منتهي الخدمة برصيد","✔ سليم"))))</f>
        <v/>
      </c>
    </row>
    <row r="54" customFormat="false" ht="15" hidden="false" customHeight="false" outlineLevel="0" collapsed="false">
      <c r="B54" s="80" t="str">
        <f aca="false">IF(الموظفون!$B54="","",الموظفون!$B54)</f>
        <v/>
      </c>
      <c r="C54" s="80" t="str">
        <f aca="false">IF($B54="","",الموظفون!$C54)</f>
        <v/>
      </c>
      <c r="D54" s="147" t="str">
        <f aca="false">IF($B54="","",الموظفون!$H54)</f>
        <v/>
      </c>
      <c r="E54" s="152" t="str">
        <f aca="false">IF($B54="","",MAX(0,J54-D54+1-SUMIFS('سجل الإجازات والحالات'!$S$6:$S$505,'سجل الإجازات والحالات'!$B$6:$B$505,$B54))/cfg_DAYS_Y)</f>
        <v/>
      </c>
      <c r="F54" s="57" t="str">
        <f aca="false">IF($B54="","",IF(الموظفون!$T54&lt;&gt;"",الموظفون!$T54,IF(E54&gt;=cfg_LV_TH,cfg_LV_D2,cfg_LV_D1)))</f>
        <v/>
      </c>
      <c r="G54" s="97" t="str">
        <f aca="false">IF($B54="","",الموظفون!$R54/cfg_DAYS_M)</f>
        <v/>
      </c>
      <c r="H54" s="126" t="str">
        <f aca="false">IF($B54="","",N(الموظفون!$AC54))</f>
        <v/>
      </c>
      <c r="I54" s="147" t="str">
        <f aca="false">IF($B54="","",MAX(cfg_Y_START,D54))</f>
        <v/>
      </c>
      <c r="J54" s="147" t="str">
        <f aca="false">IF($B54="","",IF(OR(الموظفون!$AE54="",الموظفون!$AE54&gt;cfg_VAL_DATE),cfg_VAL_DATE,الموظفون!$AE54))</f>
        <v/>
      </c>
      <c r="K54" s="57" t="str">
        <f aca="false">IF($B54="","",MAX(0,MAX(0,J54-I54+1)-(SUMIFS('سجل الإجازات والحالات'!$S$6:$S$505,'سجل الإجازات والحالات'!$B$6:$B$505,$B54)-SUMIFS('سجل الإجازات والحالات'!$R$6:$R$505,'سجل الإجازات والحالات'!$B$6:$B$505,$B54))))</f>
        <v/>
      </c>
      <c r="L54" s="126" t="str">
        <f aca="false">IF($B54="","",F54/cfg_DAYS_Y*K54)</f>
        <v/>
      </c>
      <c r="M54" s="126" t="str">
        <f aca="false">IF($B54="","",SUMIFS('سجل الإجازات والحالات'!$T$6:$T$505,'سجل الإجازات والحالات'!$B$6:$B$505,$B54)+SUMIFS('الحركات الشهرية'!$K$6:$K$1005,'الحركات الشهرية'!$B$6:$B$1005,B54,'الحركات الشهرية'!$A$6:$A$1005,"&lt;="&amp;cfg_VAL_M))</f>
        <v/>
      </c>
      <c r="N54" s="126" t="str">
        <f aca="false">IF($B54="","",SUMIFS('الحركات الشهرية'!$L$6:$L$1005,'الحركات الشهرية'!$B$6:$B$1005,B54,'الحركات الشهرية'!$A$6:$A$1005,"&lt;="&amp;cfg_VAL_M))</f>
        <v/>
      </c>
      <c r="O54" s="126" t="str">
        <f aca="false">IF($B54="","",H54+L54-M54-N54)</f>
        <v/>
      </c>
      <c r="P54" s="128" t="str">
        <f aca="false">IF($B54="","",O54*G54)</f>
        <v/>
      </c>
      <c r="Q54" s="97" t="str">
        <f aca="false">IF($B54="","",H54*G54)</f>
        <v/>
      </c>
      <c r="R54" s="97" t="str">
        <f aca="false">IF($B54="","",(M54+N54)*G54)</f>
        <v/>
      </c>
      <c r="S54" s="80" t="str">
        <f aca="false">IF($B54="","",IF(O54&lt;-0.01,"✖ رصيد سالب",IF(O54&gt;F54*2,"⚠ رصيد مرتفع (أكثر من سنتين)",IF(AND(الموظفون!$AE54&lt;&gt;"",الموظفون!$AE54&lt;=cfg_VAL_DATE,O54&gt;0.01),"⚠ منتهي الخدمة برصيد","✔ سليم"))))</f>
        <v/>
      </c>
    </row>
    <row r="55" customFormat="false" ht="15" hidden="false" customHeight="false" outlineLevel="0" collapsed="false">
      <c r="B55" s="102" t="str">
        <f aca="false">IF(الموظفون!$B55="","",الموظفون!$B55)</f>
        <v/>
      </c>
      <c r="C55" s="102" t="str">
        <f aca="false">IF($B55="","",الموظفون!$C55)</f>
        <v/>
      </c>
      <c r="D55" s="148" t="str">
        <f aca="false">IF($B55="","",الموظفون!$H55)</f>
        <v/>
      </c>
      <c r="E55" s="153" t="str">
        <f aca="false">IF($B55="","",MAX(0,J55-D55+1-SUMIFS('سجل الإجازات والحالات'!$S$6:$S$505,'سجل الإجازات والحالات'!$B$6:$B$505,$B55))/cfg_DAYS_Y)</f>
        <v/>
      </c>
      <c r="F55" s="110" t="str">
        <f aca="false">IF($B55="","",IF(الموظفون!$T55&lt;&gt;"",الموظفون!$T55,IF(E55&gt;=cfg_LV_TH,cfg_LV_D2,cfg_LV_D1)))</f>
        <v/>
      </c>
      <c r="G55" s="101" t="str">
        <f aca="false">IF($B55="","",الموظفون!$R55/cfg_DAYS_M)</f>
        <v/>
      </c>
      <c r="H55" s="131" t="str">
        <f aca="false">IF($B55="","",N(الموظفون!$AC55))</f>
        <v/>
      </c>
      <c r="I55" s="148" t="str">
        <f aca="false">IF($B55="","",MAX(cfg_Y_START,D55))</f>
        <v/>
      </c>
      <c r="J55" s="148" t="str">
        <f aca="false">IF($B55="","",IF(OR(الموظفون!$AE55="",الموظفون!$AE55&gt;cfg_VAL_DATE),cfg_VAL_DATE,الموظفون!$AE55))</f>
        <v/>
      </c>
      <c r="K55" s="110" t="str">
        <f aca="false">IF($B55="","",MAX(0,MAX(0,J55-I55+1)-(SUMIFS('سجل الإجازات والحالات'!$S$6:$S$505,'سجل الإجازات والحالات'!$B$6:$B$505,$B55)-SUMIFS('سجل الإجازات والحالات'!$R$6:$R$505,'سجل الإجازات والحالات'!$B$6:$B$505,$B55))))</f>
        <v/>
      </c>
      <c r="L55" s="131" t="str">
        <f aca="false">IF($B55="","",F55/cfg_DAYS_Y*K55)</f>
        <v/>
      </c>
      <c r="M55" s="131" t="str">
        <f aca="false">IF($B55="","",SUMIFS('سجل الإجازات والحالات'!$T$6:$T$505,'سجل الإجازات والحالات'!$B$6:$B$505,$B55)+SUMIFS('الحركات الشهرية'!$K$6:$K$1005,'الحركات الشهرية'!$B$6:$B$1005,B55,'الحركات الشهرية'!$A$6:$A$1005,"&lt;="&amp;cfg_VAL_M))</f>
        <v/>
      </c>
      <c r="N55" s="131" t="str">
        <f aca="false">IF($B55="","",SUMIFS('الحركات الشهرية'!$L$6:$L$1005,'الحركات الشهرية'!$B$6:$B$1005,B55,'الحركات الشهرية'!$A$6:$A$1005,"&lt;="&amp;cfg_VAL_M))</f>
        <v/>
      </c>
      <c r="O55" s="131" t="str">
        <f aca="false">IF($B55="","",H55+L55-M55-N55)</f>
        <v/>
      </c>
      <c r="P55" s="133" t="str">
        <f aca="false">IF($B55="","",O55*G55)</f>
        <v/>
      </c>
      <c r="Q55" s="101" t="str">
        <f aca="false">IF($B55="","",H55*G55)</f>
        <v/>
      </c>
      <c r="R55" s="101" t="str">
        <f aca="false">IF($B55="","",(M55+N55)*G55)</f>
        <v/>
      </c>
      <c r="S55" s="102" t="str">
        <f aca="false">IF($B55="","",IF(O55&lt;-0.01,"✖ رصيد سالب",IF(O55&gt;F55*2,"⚠ رصيد مرتفع (أكثر من سنتين)",IF(AND(الموظفون!$AE55&lt;&gt;"",الموظفون!$AE55&lt;=cfg_VAL_DATE,O55&gt;0.01),"⚠ منتهي الخدمة برصيد","✔ سليم"))))</f>
        <v/>
      </c>
    </row>
    <row r="56" customFormat="false" ht="15" hidden="false" customHeight="false" outlineLevel="0" collapsed="false">
      <c r="B56" s="80" t="str">
        <f aca="false">IF(الموظفون!$B56="","",الموظفون!$B56)</f>
        <v/>
      </c>
      <c r="C56" s="80" t="str">
        <f aca="false">IF($B56="","",الموظفون!$C56)</f>
        <v/>
      </c>
      <c r="D56" s="147" t="str">
        <f aca="false">IF($B56="","",الموظفون!$H56)</f>
        <v/>
      </c>
      <c r="E56" s="152" t="str">
        <f aca="false">IF($B56="","",MAX(0,J56-D56+1-SUMIFS('سجل الإجازات والحالات'!$S$6:$S$505,'سجل الإجازات والحالات'!$B$6:$B$505,$B56))/cfg_DAYS_Y)</f>
        <v/>
      </c>
      <c r="F56" s="57" t="str">
        <f aca="false">IF($B56="","",IF(الموظفون!$T56&lt;&gt;"",الموظفون!$T56,IF(E56&gt;=cfg_LV_TH,cfg_LV_D2,cfg_LV_D1)))</f>
        <v/>
      </c>
      <c r="G56" s="97" t="str">
        <f aca="false">IF($B56="","",الموظفون!$R56/cfg_DAYS_M)</f>
        <v/>
      </c>
      <c r="H56" s="126" t="str">
        <f aca="false">IF($B56="","",N(الموظفون!$AC56))</f>
        <v/>
      </c>
      <c r="I56" s="147" t="str">
        <f aca="false">IF($B56="","",MAX(cfg_Y_START,D56))</f>
        <v/>
      </c>
      <c r="J56" s="147" t="str">
        <f aca="false">IF($B56="","",IF(OR(الموظفون!$AE56="",الموظفون!$AE56&gt;cfg_VAL_DATE),cfg_VAL_DATE,الموظفون!$AE56))</f>
        <v/>
      </c>
      <c r="K56" s="57" t="str">
        <f aca="false">IF($B56="","",MAX(0,MAX(0,J56-I56+1)-(SUMIFS('سجل الإجازات والحالات'!$S$6:$S$505,'سجل الإجازات والحالات'!$B$6:$B$505,$B56)-SUMIFS('سجل الإجازات والحالات'!$R$6:$R$505,'سجل الإجازات والحالات'!$B$6:$B$505,$B56))))</f>
        <v/>
      </c>
      <c r="L56" s="126" t="str">
        <f aca="false">IF($B56="","",F56/cfg_DAYS_Y*K56)</f>
        <v/>
      </c>
      <c r="M56" s="126" t="str">
        <f aca="false">IF($B56="","",SUMIFS('سجل الإجازات والحالات'!$T$6:$T$505,'سجل الإجازات والحالات'!$B$6:$B$505,$B56)+SUMIFS('الحركات الشهرية'!$K$6:$K$1005,'الحركات الشهرية'!$B$6:$B$1005,B56,'الحركات الشهرية'!$A$6:$A$1005,"&lt;="&amp;cfg_VAL_M))</f>
        <v/>
      </c>
      <c r="N56" s="126" t="str">
        <f aca="false">IF($B56="","",SUMIFS('الحركات الشهرية'!$L$6:$L$1005,'الحركات الشهرية'!$B$6:$B$1005,B56,'الحركات الشهرية'!$A$6:$A$1005,"&lt;="&amp;cfg_VAL_M))</f>
        <v/>
      </c>
      <c r="O56" s="126" t="str">
        <f aca="false">IF($B56="","",H56+L56-M56-N56)</f>
        <v/>
      </c>
      <c r="P56" s="128" t="str">
        <f aca="false">IF($B56="","",O56*G56)</f>
        <v/>
      </c>
      <c r="Q56" s="97" t="str">
        <f aca="false">IF($B56="","",H56*G56)</f>
        <v/>
      </c>
      <c r="R56" s="97" t="str">
        <f aca="false">IF($B56="","",(M56+N56)*G56)</f>
        <v/>
      </c>
      <c r="S56" s="80" t="str">
        <f aca="false">IF($B56="","",IF(O56&lt;-0.01,"✖ رصيد سالب",IF(O56&gt;F56*2,"⚠ رصيد مرتفع (أكثر من سنتين)",IF(AND(الموظفون!$AE56&lt;&gt;"",الموظفون!$AE56&lt;=cfg_VAL_DATE,O56&gt;0.01),"⚠ منتهي الخدمة برصيد","✔ سليم"))))</f>
        <v/>
      </c>
    </row>
    <row r="57" customFormat="false" ht="15" hidden="false" customHeight="false" outlineLevel="0" collapsed="false">
      <c r="B57" s="102" t="str">
        <f aca="false">IF(الموظفون!$B57="","",الموظفون!$B57)</f>
        <v/>
      </c>
      <c r="C57" s="102" t="str">
        <f aca="false">IF($B57="","",الموظفون!$C57)</f>
        <v/>
      </c>
      <c r="D57" s="148" t="str">
        <f aca="false">IF($B57="","",الموظفون!$H57)</f>
        <v/>
      </c>
      <c r="E57" s="153" t="str">
        <f aca="false">IF($B57="","",MAX(0,J57-D57+1-SUMIFS('سجل الإجازات والحالات'!$S$6:$S$505,'سجل الإجازات والحالات'!$B$6:$B$505,$B57))/cfg_DAYS_Y)</f>
        <v/>
      </c>
      <c r="F57" s="110" t="str">
        <f aca="false">IF($B57="","",IF(الموظفون!$T57&lt;&gt;"",الموظفون!$T57,IF(E57&gt;=cfg_LV_TH,cfg_LV_D2,cfg_LV_D1)))</f>
        <v/>
      </c>
      <c r="G57" s="101" t="str">
        <f aca="false">IF($B57="","",الموظفون!$R57/cfg_DAYS_M)</f>
        <v/>
      </c>
      <c r="H57" s="131" t="str">
        <f aca="false">IF($B57="","",N(الموظفون!$AC57))</f>
        <v/>
      </c>
      <c r="I57" s="148" t="str">
        <f aca="false">IF($B57="","",MAX(cfg_Y_START,D57))</f>
        <v/>
      </c>
      <c r="J57" s="148" t="str">
        <f aca="false">IF($B57="","",IF(OR(الموظفون!$AE57="",الموظفون!$AE57&gt;cfg_VAL_DATE),cfg_VAL_DATE,الموظفون!$AE57))</f>
        <v/>
      </c>
      <c r="K57" s="110" t="str">
        <f aca="false">IF($B57="","",MAX(0,MAX(0,J57-I57+1)-(SUMIFS('سجل الإجازات والحالات'!$S$6:$S$505,'سجل الإجازات والحالات'!$B$6:$B$505,$B57)-SUMIFS('سجل الإجازات والحالات'!$R$6:$R$505,'سجل الإجازات والحالات'!$B$6:$B$505,$B57))))</f>
        <v/>
      </c>
      <c r="L57" s="131" t="str">
        <f aca="false">IF($B57="","",F57/cfg_DAYS_Y*K57)</f>
        <v/>
      </c>
      <c r="M57" s="131" t="str">
        <f aca="false">IF($B57="","",SUMIFS('سجل الإجازات والحالات'!$T$6:$T$505,'سجل الإجازات والحالات'!$B$6:$B$505,$B57)+SUMIFS('الحركات الشهرية'!$K$6:$K$1005,'الحركات الشهرية'!$B$6:$B$1005,B57,'الحركات الشهرية'!$A$6:$A$1005,"&lt;="&amp;cfg_VAL_M))</f>
        <v/>
      </c>
      <c r="N57" s="131" t="str">
        <f aca="false">IF($B57="","",SUMIFS('الحركات الشهرية'!$L$6:$L$1005,'الحركات الشهرية'!$B$6:$B$1005,B57,'الحركات الشهرية'!$A$6:$A$1005,"&lt;="&amp;cfg_VAL_M))</f>
        <v/>
      </c>
      <c r="O57" s="131" t="str">
        <f aca="false">IF($B57="","",H57+L57-M57-N57)</f>
        <v/>
      </c>
      <c r="P57" s="133" t="str">
        <f aca="false">IF($B57="","",O57*G57)</f>
        <v/>
      </c>
      <c r="Q57" s="101" t="str">
        <f aca="false">IF($B57="","",H57*G57)</f>
        <v/>
      </c>
      <c r="R57" s="101" t="str">
        <f aca="false">IF($B57="","",(M57+N57)*G57)</f>
        <v/>
      </c>
      <c r="S57" s="102" t="str">
        <f aca="false">IF($B57="","",IF(O57&lt;-0.01,"✖ رصيد سالب",IF(O57&gt;F57*2,"⚠ رصيد مرتفع (أكثر من سنتين)",IF(AND(الموظفون!$AE57&lt;&gt;"",الموظفون!$AE57&lt;=cfg_VAL_DATE,O57&gt;0.01),"⚠ منتهي الخدمة برصيد","✔ سليم"))))</f>
        <v/>
      </c>
    </row>
    <row r="58" customFormat="false" ht="15" hidden="false" customHeight="false" outlineLevel="0" collapsed="false">
      <c r="B58" s="80" t="str">
        <f aca="false">IF(الموظفون!$B58="","",الموظفون!$B58)</f>
        <v/>
      </c>
      <c r="C58" s="80" t="str">
        <f aca="false">IF($B58="","",الموظفون!$C58)</f>
        <v/>
      </c>
      <c r="D58" s="147" t="str">
        <f aca="false">IF($B58="","",الموظفون!$H58)</f>
        <v/>
      </c>
      <c r="E58" s="152" t="str">
        <f aca="false">IF($B58="","",MAX(0,J58-D58+1-SUMIFS('سجل الإجازات والحالات'!$S$6:$S$505,'سجل الإجازات والحالات'!$B$6:$B$505,$B58))/cfg_DAYS_Y)</f>
        <v/>
      </c>
      <c r="F58" s="57" t="str">
        <f aca="false">IF($B58="","",IF(الموظفون!$T58&lt;&gt;"",الموظفون!$T58,IF(E58&gt;=cfg_LV_TH,cfg_LV_D2,cfg_LV_D1)))</f>
        <v/>
      </c>
      <c r="G58" s="97" t="str">
        <f aca="false">IF($B58="","",الموظفون!$R58/cfg_DAYS_M)</f>
        <v/>
      </c>
      <c r="H58" s="126" t="str">
        <f aca="false">IF($B58="","",N(الموظفون!$AC58))</f>
        <v/>
      </c>
      <c r="I58" s="147" t="str">
        <f aca="false">IF($B58="","",MAX(cfg_Y_START,D58))</f>
        <v/>
      </c>
      <c r="J58" s="147" t="str">
        <f aca="false">IF($B58="","",IF(OR(الموظفون!$AE58="",الموظفون!$AE58&gt;cfg_VAL_DATE),cfg_VAL_DATE,الموظفون!$AE58))</f>
        <v/>
      </c>
      <c r="K58" s="57" t="str">
        <f aca="false">IF($B58="","",MAX(0,MAX(0,J58-I58+1)-(SUMIFS('سجل الإجازات والحالات'!$S$6:$S$505,'سجل الإجازات والحالات'!$B$6:$B$505,$B58)-SUMIFS('سجل الإجازات والحالات'!$R$6:$R$505,'سجل الإجازات والحالات'!$B$6:$B$505,$B58))))</f>
        <v/>
      </c>
      <c r="L58" s="126" t="str">
        <f aca="false">IF($B58="","",F58/cfg_DAYS_Y*K58)</f>
        <v/>
      </c>
      <c r="M58" s="126" t="str">
        <f aca="false">IF($B58="","",SUMIFS('سجل الإجازات والحالات'!$T$6:$T$505,'سجل الإجازات والحالات'!$B$6:$B$505,$B58)+SUMIFS('الحركات الشهرية'!$K$6:$K$1005,'الحركات الشهرية'!$B$6:$B$1005,B58,'الحركات الشهرية'!$A$6:$A$1005,"&lt;="&amp;cfg_VAL_M))</f>
        <v/>
      </c>
      <c r="N58" s="126" t="str">
        <f aca="false">IF($B58="","",SUMIFS('الحركات الشهرية'!$L$6:$L$1005,'الحركات الشهرية'!$B$6:$B$1005,B58,'الحركات الشهرية'!$A$6:$A$1005,"&lt;="&amp;cfg_VAL_M))</f>
        <v/>
      </c>
      <c r="O58" s="126" t="str">
        <f aca="false">IF($B58="","",H58+L58-M58-N58)</f>
        <v/>
      </c>
      <c r="P58" s="128" t="str">
        <f aca="false">IF($B58="","",O58*G58)</f>
        <v/>
      </c>
      <c r="Q58" s="97" t="str">
        <f aca="false">IF($B58="","",H58*G58)</f>
        <v/>
      </c>
      <c r="R58" s="97" t="str">
        <f aca="false">IF($B58="","",(M58+N58)*G58)</f>
        <v/>
      </c>
      <c r="S58" s="80" t="str">
        <f aca="false">IF($B58="","",IF(O58&lt;-0.01,"✖ رصيد سالب",IF(O58&gt;F58*2,"⚠ رصيد مرتفع (أكثر من سنتين)",IF(AND(الموظفون!$AE58&lt;&gt;"",الموظفون!$AE58&lt;=cfg_VAL_DATE,O58&gt;0.01),"⚠ منتهي الخدمة برصيد","✔ سليم"))))</f>
        <v/>
      </c>
    </row>
    <row r="59" customFormat="false" ht="15" hidden="false" customHeight="false" outlineLevel="0" collapsed="false">
      <c r="B59" s="102" t="str">
        <f aca="false">IF(الموظفون!$B59="","",الموظفون!$B59)</f>
        <v/>
      </c>
      <c r="C59" s="102" t="str">
        <f aca="false">IF($B59="","",الموظفون!$C59)</f>
        <v/>
      </c>
      <c r="D59" s="148" t="str">
        <f aca="false">IF($B59="","",الموظفون!$H59)</f>
        <v/>
      </c>
      <c r="E59" s="153" t="str">
        <f aca="false">IF($B59="","",MAX(0,J59-D59+1-SUMIFS('سجل الإجازات والحالات'!$S$6:$S$505,'سجل الإجازات والحالات'!$B$6:$B$505,$B59))/cfg_DAYS_Y)</f>
        <v/>
      </c>
      <c r="F59" s="110" t="str">
        <f aca="false">IF($B59="","",IF(الموظفون!$T59&lt;&gt;"",الموظفون!$T59,IF(E59&gt;=cfg_LV_TH,cfg_LV_D2,cfg_LV_D1)))</f>
        <v/>
      </c>
      <c r="G59" s="101" t="str">
        <f aca="false">IF($B59="","",الموظفون!$R59/cfg_DAYS_M)</f>
        <v/>
      </c>
      <c r="H59" s="131" t="str">
        <f aca="false">IF($B59="","",N(الموظفون!$AC59))</f>
        <v/>
      </c>
      <c r="I59" s="148" t="str">
        <f aca="false">IF($B59="","",MAX(cfg_Y_START,D59))</f>
        <v/>
      </c>
      <c r="J59" s="148" t="str">
        <f aca="false">IF($B59="","",IF(OR(الموظفون!$AE59="",الموظفون!$AE59&gt;cfg_VAL_DATE),cfg_VAL_DATE,الموظفون!$AE59))</f>
        <v/>
      </c>
      <c r="K59" s="110" t="str">
        <f aca="false">IF($B59="","",MAX(0,MAX(0,J59-I59+1)-(SUMIFS('سجل الإجازات والحالات'!$S$6:$S$505,'سجل الإجازات والحالات'!$B$6:$B$505,$B59)-SUMIFS('سجل الإجازات والحالات'!$R$6:$R$505,'سجل الإجازات والحالات'!$B$6:$B$505,$B59))))</f>
        <v/>
      </c>
      <c r="L59" s="131" t="str">
        <f aca="false">IF($B59="","",F59/cfg_DAYS_Y*K59)</f>
        <v/>
      </c>
      <c r="M59" s="131" t="str">
        <f aca="false">IF($B59="","",SUMIFS('سجل الإجازات والحالات'!$T$6:$T$505,'سجل الإجازات والحالات'!$B$6:$B$505,$B59)+SUMIFS('الحركات الشهرية'!$K$6:$K$1005,'الحركات الشهرية'!$B$6:$B$1005,B59,'الحركات الشهرية'!$A$6:$A$1005,"&lt;="&amp;cfg_VAL_M))</f>
        <v/>
      </c>
      <c r="N59" s="131" t="str">
        <f aca="false">IF($B59="","",SUMIFS('الحركات الشهرية'!$L$6:$L$1005,'الحركات الشهرية'!$B$6:$B$1005,B59,'الحركات الشهرية'!$A$6:$A$1005,"&lt;="&amp;cfg_VAL_M))</f>
        <v/>
      </c>
      <c r="O59" s="131" t="str">
        <f aca="false">IF($B59="","",H59+L59-M59-N59)</f>
        <v/>
      </c>
      <c r="P59" s="133" t="str">
        <f aca="false">IF($B59="","",O59*G59)</f>
        <v/>
      </c>
      <c r="Q59" s="101" t="str">
        <f aca="false">IF($B59="","",H59*G59)</f>
        <v/>
      </c>
      <c r="R59" s="101" t="str">
        <f aca="false">IF($B59="","",(M59+N59)*G59)</f>
        <v/>
      </c>
      <c r="S59" s="102" t="str">
        <f aca="false">IF($B59="","",IF(O59&lt;-0.01,"✖ رصيد سالب",IF(O59&gt;F59*2,"⚠ رصيد مرتفع (أكثر من سنتين)",IF(AND(الموظفون!$AE59&lt;&gt;"",الموظفون!$AE59&lt;=cfg_VAL_DATE,O59&gt;0.01),"⚠ منتهي الخدمة برصيد","✔ سليم"))))</f>
        <v/>
      </c>
    </row>
    <row r="60" customFormat="false" ht="15" hidden="false" customHeight="false" outlineLevel="0" collapsed="false">
      <c r="B60" s="80" t="str">
        <f aca="false">IF(الموظفون!$B60="","",الموظفون!$B60)</f>
        <v/>
      </c>
      <c r="C60" s="80" t="str">
        <f aca="false">IF($B60="","",الموظفون!$C60)</f>
        <v/>
      </c>
      <c r="D60" s="147" t="str">
        <f aca="false">IF($B60="","",الموظفون!$H60)</f>
        <v/>
      </c>
      <c r="E60" s="152" t="str">
        <f aca="false">IF($B60="","",MAX(0,J60-D60+1-SUMIFS('سجل الإجازات والحالات'!$S$6:$S$505,'سجل الإجازات والحالات'!$B$6:$B$505,$B60))/cfg_DAYS_Y)</f>
        <v/>
      </c>
      <c r="F60" s="57" t="str">
        <f aca="false">IF($B60="","",IF(الموظفون!$T60&lt;&gt;"",الموظفون!$T60,IF(E60&gt;=cfg_LV_TH,cfg_LV_D2,cfg_LV_D1)))</f>
        <v/>
      </c>
      <c r="G60" s="97" t="str">
        <f aca="false">IF($B60="","",الموظفون!$R60/cfg_DAYS_M)</f>
        <v/>
      </c>
      <c r="H60" s="126" t="str">
        <f aca="false">IF($B60="","",N(الموظفون!$AC60))</f>
        <v/>
      </c>
      <c r="I60" s="147" t="str">
        <f aca="false">IF($B60="","",MAX(cfg_Y_START,D60))</f>
        <v/>
      </c>
      <c r="J60" s="147" t="str">
        <f aca="false">IF($B60="","",IF(OR(الموظفون!$AE60="",الموظفون!$AE60&gt;cfg_VAL_DATE),cfg_VAL_DATE,الموظفون!$AE60))</f>
        <v/>
      </c>
      <c r="K60" s="57" t="str">
        <f aca="false">IF($B60="","",MAX(0,MAX(0,J60-I60+1)-(SUMIFS('سجل الإجازات والحالات'!$S$6:$S$505,'سجل الإجازات والحالات'!$B$6:$B$505,$B60)-SUMIFS('سجل الإجازات والحالات'!$R$6:$R$505,'سجل الإجازات والحالات'!$B$6:$B$505,$B60))))</f>
        <v/>
      </c>
      <c r="L60" s="126" t="str">
        <f aca="false">IF($B60="","",F60/cfg_DAYS_Y*K60)</f>
        <v/>
      </c>
      <c r="M60" s="126" t="str">
        <f aca="false">IF($B60="","",SUMIFS('سجل الإجازات والحالات'!$T$6:$T$505,'سجل الإجازات والحالات'!$B$6:$B$505,$B60)+SUMIFS('الحركات الشهرية'!$K$6:$K$1005,'الحركات الشهرية'!$B$6:$B$1005,B60,'الحركات الشهرية'!$A$6:$A$1005,"&lt;="&amp;cfg_VAL_M))</f>
        <v/>
      </c>
      <c r="N60" s="126" t="str">
        <f aca="false">IF($B60="","",SUMIFS('الحركات الشهرية'!$L$6:$L$1005,'الحركات الشهرية'!$B$6:$B$1005,B60,'الحركات الشهرية'!$A$6:$A$1005,"&lt;="&amp;cfg_VAL_M))</f>
        <v/>
      </c>
      <c r="O60" s="126" t="str">
        <f aca="false">IF($B60="","",H60+L60-M60-N60)</f>
        <v/>
      </c>
      <c r="P60" s="128" t="str">
        <f aca="false">IF($B60="","",O60*G60)</f>
        <v/>
      </c>
      <c r="Q60" s="97" t="str">
        <f aca="false">IF($B60="","",H60*G60)</f>
        <v/>
      </c>
      <c r="R60" s="97" t="str">
        <f aca="false">IF($B60="","",(M60+N60)*G60)</f>
        <v/>
      </c>
      <c r="S60" s="80" t="str">
        <f aca="false">IF($B60="","",IF(O60&lt;-0.01,"✖ رصيد سالب",IF(O60&gt;F60*2,"⚠ رصيد مرتفع (أكثر من سنتين)",IF(AND(الموظفون!$AE60&lt;&gt;"",الموظفون!$AE60&lt;=cfg_VAL_DATE,O60&gt;0.01),"⚠ منتهي الخدمة برصيد","✔ سليم"))))</f>
        <v/>
      </c>
    </row>
    <row r="61" customFormat="false" ht="15" hidden="false" customHeight="false" outlineLevel="0" collapsed="false">
      <c r="B61" s="102" t="str">
        <f aca="false">IF(الموظفون!$B61="","",الموظفون!$B61)</f>
        <v/>
      </c>
      <c r="C61" s="102" t="str">
        <f aca="false">IF($B61="","",الموظفون!$C61)</f>
        <v/>
      </c>
      <c r="D61" s="148" t="str">
        <f aca="false">IF($B61="","",الموظفون!$H61)</f>
        <v/>
      </c>
      <c r="E61" s="153" t="str">
        <f aca="false">IF($B61="","",MAX(0,J61-D61+1-SUMIFS('سجل الإجازات والحالات'!$S$6:$S$505,'سجل الإجازات والحالات'!$B$6:$B$505,$B61))/cfg_DAYS_Y)</f>
        <v/>
      </c>
      <c r="F61" s="110" t="str">
        <f aca="false">IF($B61="","",IF(الموظفون!$T61&lt;&gt;"",الموظفون!$T61,IF(E61&gt;=cfg_LV_TH,cfg_LV_D2,cfg_LV_D1)))</f>
        <v/>
      </c>
      <c r="G61" s="101" t="str">
        <f aca="false">IF($B61="","",الموظفون!$R61/cfg_DAYS_M)</f>
        <v/>
      </c>
      <c r="H61" s="131" t="str">
        <f aca="false">IF($B61="","",N(الموظفون!$AC61))</f>
        <v/>
      </c>
      <c r="I61" s="148" t="str">
        <f aca="false">IF($B61="","",MAX(cfg_Y_START,D61))</f>
        <v/>
      </c>
      <c r="J61" s="148" t="str">
        <f aca="false">IF($B61="","",IF(OR(الموظفون!$AE61="",الموظفون!$AE61&gt;cfg_VAL_DATE),cfg_VAL_DATE,الموظفون!$AE61))</f>
        <v/>
      </c>
      <c r="K61" s="110" t="str">
        <f aca="false">IF($B61="","",MAX(0,MAX(0,J61-I61+1)-(SUMIFS('سجل الإجازات والحالات'!$S$6:$S$505,'سجل الإجازات والحالات'!$B$6:$B$505,$B61)-SUMIFS('سجل الإجازات والحالات'!$R$6:$R$505,'سجل الإجازات والحالات'!$B$6:$B$505,$B61))))</f>
        <v/>
      </c>
      <c r="L61" s="131" t="str">
        <f aca="false">IF($B61="","",F61/cfg_DAYS_Y*K61)</f>
        <v/>
      </c>
      <c r="M61" s="131" t="str">
        <f aca="false">IF($B61="","",SUMIFS('سجل الإجازات والحالات'!$T$6:$T$505,'سجل الإجازات والحالات'!$B$6:$B$505,$B61)+SUMIFS('الحركات الشهرية'!$K$6:$K$1005,'الحركات الشهرية'!$B$6:$B$1005,B61,'الحركات الشهرية'!$A$6:$A$1005,"&lt;="&amp;cfg_VAL_M))</f>
        <v/>
      </c>
      <c r="N61" s="131" t="str">
        <f aca="false">IF($B61="","",SUMIFS('الحركات الشهرية'!$L$6:$L$1005,'الحركات الشهرية'!$B$6:$B$1005,B61,'الحركات الشهرية'!$A$6:$A$1005,"&lt;="&amp;cfg_VAL_M))</f>
        <v/>
      </c>
      <c r="O61" s="131" t="str">
        <f aca="false">IF($B61="","",H61+L61-M61-N61)</f>
        <v/>
      </c>
      <c r="P61" s="133" t="str">
        <f aca="false">IF($B61="","",O61*G61)</f>
        <v/>
      </c>
      <c r="Q61" s="101" t="str">
        <f aca="false">IF($B61="","",H61*G61)</f>
        <v/>
      </c>
      <c r="R61" s="101" t="str">
        <f aca="false">IF($B61="","",(M61+N61)*G61)</f>
        <v/>
      </c>
      <c r="S61" s="102" t="str">
        <f aca="false">IF($B61="","",IF(O61&lt;-0.01,"✖ رصيد سالب",IF(O61&gt;F61*2,"⚠ رصيد مرتفع (أكثر من سنتين)",IF(AND(الموظفون!$AE61&lt;&gt;"",الموظفون!$AE61&lt;=cfg_VAL_DATE,O61&gt;0.01),"⚠ منتهي الخدمة برصيد","✔ سليم"))))</f>
        <v/>
      </c>
    </row>
    <row r="62" customFormat="false" ht="15" hidden="false" customHeight="false" outlineLevel="0" collapsed="false">
      <c r="B62" s="80" t="str">
        <f aca="false">IF(الموظفون!$B62="","",الموظفون!$B62)</f>
        <v/>
      </c>
      <c r="C62" s="80" t="str">
        <f aca="false">IF($B62="","",الموظفون!$C62)</f>
        <v/>
      </c>
      <c r="D62" s="147" t="str">
        <f aca="false">IF($B62="","",الموظفون!$H62)</f>
        <v/>
      </c>
      <c r="E62" s="152" t="str">
        <f aca="false">IF($B62="","",MAX(0,J62-D62+1-SUMIFS('سجل الإجازات والحالات'!$S$6:$S$505,'سجل الإجازات والحالات'!$B$6:$B$505,$B62))/cfg_DAYS_Y)</f>
        <v/>
      </c>
      <c r="F62" s="57" t="str">
        <f aca="false">IF($B62="","",IF(الموظفون!$T62&lt;&gt;"",الموظفون!$T62,IF(E62&gt;=cfg_LV_TH,cfg_LV_D2,cfg_LV_D1)))</f>
        <v/>
      </c>
      <c r="G62" s="97" t="str">
        <f aca="false">IF($B62="","",الموظفون!$R62/cfg_DAYS_M)</f>
        <v/>
      </c>
      <c r="H62" s="126" t="str">
        <f aca="false">IF($B62="","",N(الموظفون!$AC62))</f>
        <v/>
      </c>
      <c r="I62" s="147" t="str">
        <f aca="false">IF($B62="","",MAX(cfg_Y_START,D62))</f>
        <v/>
      </c>
      <c r="J62" s="147" t="str">
        <f aca="false">IF($B62="","",IF(OR(الموظفون!$AE62="",الموظفون!$AE62&gt;cfg_VAL_DATE),cfg_VAL_DATE,الموظفون!$AE62))</f>
        <v/>
      </c>
      <c r="K62" s="57" t="str">
        <f aca="false">IF($B62="","",MAX(0,MAX(0,J62-I62+1)-(SUMIFS('سجل الإجازات والحالات'!$S$6:$S$505,'سجل الإجازات والحالات'!$B$6:$B$505,$B62)-SUMIFS('سجل الإجازات والحالات'!$R$6:$R$505,'سجل الإجازات والحالات'!$B$6:$B$505,$B62))))</f>
        <v/>
      </c>
      <c r="L62" s="126" t="str">
        <f aca="false">IF($B62="","",F62/cfg_DAYS_Y*K62)</f>
        <v/>
      </c>
      <c r="M62" s="126" t="str">
        <f aca="false">IF($B62="","",SUMIFS('سجل الإجازات والحالات'!$T$6:$T$505,'سجل الإجازات والحالات'!$B$6:$B$505,$B62)+SUMIFS('الحركات الشهرية'!$K$6:$K$1005,'الحركات الشهرية'!$B$6:$B$1005,B62,'الحركات الشهرية'!$A$6:$A$1005,"&lt;="&amp;cfg_VAL_M))</f>
        <v/>
      </c>
      <c r="N62" s="126" t="str">
        <f aca="false">IF($B62="","",SUMIFS('الحركات الشهرية'!$L$6:$L$1005,'الحركات الشهرية'!$B$6:$B$1005,B62,'الحركات الشهرية'!$A$6:$A$1005,"&lt;="&amp;cfg_VAL_M))</f>
        <v/>
      </c>
      <c r="O62" s="126" t="str">
        <f aca="false">IF($B62="","",H62+L62-M62-N62)</f>
        <v/>
      </c>
      <c r="P62" s="128" t="str">
        <f aca="false">IF($B62="","",O62*G62)</f>
        <v/>
      </c>
      <c r="Q62" s="97" t="str">
        <f aca="false">IF($B62="","",H62*G62)</f>
        <v/>
      </c>
      <c r="R62" s="97" t="str">
        <f aca="false">IF($B62="","",(M62+N62)*G62)</f>
        <v/>
      </c>
      <c r="S62" s="80" t="str">
        <f aca="false">IF($B62="","",IF(O62&lt;-0.01,"✖ رصيد سالب",IF(O62&gt;F62*2,"⚠ رصيد مرتفع (أكثر من سنتين)",IF(AND(الموظفون!$AE62&lt;&gt;"",الموظفون!$AE62&lt;=cfg_VAL_DATE,O62&gt;0.01),"⚠ منتهي الخدمة برصيد","✔ سليم"))))</f>
        <v/>
      </c>
    </row>
    <row r="63" customFormat="false" ht="15" hidden="false" customHeight="false" outlineLevel="0" collapsed="false">
      <c r="B63" s="102" t="str">
        <f aca="false">IF(الموظفون!$B63="","",الموظفون!$B63)</f>
        <v/>
      </c>
      <c r="C63" s="102" t="str">
        <f aca="false">IF($B63="","",الموظفون!$C63)</f>
        <v/>
      </c>
      <c r="D63" s="148" t="str">
        <f aca="false">IF($B63="","",الموظفون!$H63)</f>
        <v/>
      </c>
      <c r="E63" s="153" t="str">
        <f aca="false">IF($B63="","",MAX(0,J63-D63+1-SUMIFS('سجل الإجازات والحالات'!$S$6:$S$505,'سجل الإجازات والحالات'!$B$6:$B$505,$B63))/cfg_DAYS_Y)</f>
        <v/>
      </c>
      <c r="F63" s="110" t="str">
        <f aca="false">IF($B63="","",IF(الموظفون!$T63&lt;&gt;"",الموظفون!$T63,IF(E63&gt;=cfg_LV_TH,cfg_LV_D2,cfg_LV_D1)))</f>
        <v/>
      </c>
      <c r="G63" s="101" t="str">
        <f aca="false">IF($B63="","",الموظفون!$R63/cfg_DAYS_M)</f>
        <v/>
      </c>
      <c r="H63" s="131" t="str">
        <f aca="false">IF($B63="","",N(الموظفون!$AC63))</f>
        <v/>
      </c>
      <c r="I63" s="148" t="str">
        <f aca="false">IF($B63="","",MAX(cfg_Y_START,D63))</f>
        <v/>
      </c>
      <c r="J63" s="148" t="str">
        <f aca="false">IF($B63="","",IF(OR(الموظفون!$AE63="",الموظفون!$AE63&gt;cfg_VAL_DATE),cfg_VAL_DATE,الموظفون!$AE63))</f>
        <v/>
      </c>
      <c r="K63" s="110" t="str">
        <f aca="false">IF($B63="","",MAX(0,MAX(0,J63-I63+1)-(SUMIFS('سجل الإجازات والحالات'!$S$6:$S$505,'سجل الإجازات والحالات'!$B$6:$B$505,$B63)-SUMIFS('سجل الإجازات والحالات'!$R$6:$R$505,'سجل الإجازات والحالات'!$B$6:$B$505,$B63))))</f>
        <v/>
      </c>
      <c r="L63" s="131" t="str">
        <f aca="false">IF($B63="","",F63/cfg_DAYS_Y*K63)</f>
        <v/>
      </c>
      <c r="M63" s="131" t="str">
        <f aca="false">IF($B63="","",SUMIFS('سجل الإجازات والحالات'!$T$6:$T$505,'سجل الإجازات والحالات'!$B$6:$B$505,$B63)+SUMIFS('الحركات الشهرية'!$K$6:$K$1005,'الحركات الشهرية'!$B$6:$B$1005,B63,'الحركات الشهرية'!$A$6:$A$1005,"&lt;="&amp;cfg_VAL_M))</f>
        <v/>
      </c>
      <c r="N63" s="131" t="str">
        <f aca="false">IF($B63="","",SUMIFS('الحركات الشهرية'!$L$6:$L$1005,'الحركات الشهرية'!$B$6:$B$1005,B63,'الحركات الشهرية'!$A$6:$A$1005,"&lt;="&amp;cfg_VAL_M))</f>
        <v/>
      </c>
      <c r="O63" s="131" t="str">
        <f aca="false">IF($B63="","",H63+L63-M63-N63)</f>
        <v/>
      </c>
      <c r="P63" s="133" t="str">
        <f aca="false">IF($B63="","",O63*G63)</f>
        <v/>
      </c>
      <c r="Q63" s="101" t="str">
        <f aca="false">IF($B63="","",H63*G63)</f>
        <v/>
      </c>
      <c r="R63" s="101" t="str">
        <f aca="false">IF($B63="","",(M63+N63)*G63)</f>
        <v/>
      </c>
      <c r="S63" s="102" t="str">
        <f aca="false">IF($B63="","",IF(O63&lt;-0.01,"✖ رصيد سالب",IF(O63&gt;F63*2,"⚠ رصيد مرتفع (أكثر من سنتين)",IF(AND(الموظفون!$AE63&lt;&gt;"",الموظفون!$AE63&lt;=cfg_VAL_DATE,O63&gt;0.01),"⚠ منتهي الخدمة برصيد","✔ سليم"))))</f>
        <v/>
      </c>
    </row>
    <row r="64" customFormat="false" ht="15" hidden="false" customHeight="false" outlineLevel="0" collapsed="false">
      <c r="B64" s="80" t="str">
        <f aca="false">IF(الموظفون!$B64="","",الموظفون!$B64)</f>
        <v/>
      </c>
      <c r="C64" s="80" t="str">
        <f aca="false">IF($B64="","",الموظفون!$C64)</f>
        <v/>
      </c>
      <c r="D64" s="147" t="str">
        <f aca="false">IF($B64="","",الموظفون!$H64)</f>
        <v/>
      </c>
      <c r="E64" s="152" t="str">
        <f aca="false">IF($B64="","",MAX(0,J64-D64+1-SUMIFS('سجل الإجازات والحالات'!$S$6:$S$505,'سجل الإجازات والحالات'!$B$6:$B$505,$B64))/cfg_DAYS_Y)</f>
        <v/>
      </c>
      <c r="F64" s="57" t="str">
        <f aca="false">IF($B64="","",IF(الموظفون!$T64&lt;&gt;"",الموظفون!$T64,IF(E64&gt;=cfg_LV_TH,cfg_LV_D2,cfg_LV_D1)))</f>
        <v/>
      </c>
      <c r="G64" s="97" t="str">
        <f aca="false">IF($B64="","",الموظفون!$R64/cfg_DAYS_M)</f>
        <v/>
      </c>
      <c r="H64" s="126" t="str">
        <f aca="false">IF($B64="","",N(الموظفون!$AC64))</f>
        <v/>
      </c>
      <c r="I64" s="147" t="str">
        <f aca="false">IF($B64="","",MAX(cfg_Y_START,D64))</f>
        <v/>
      </c>
      <c r="J64" s="147" t="str">
        <f aca="false">IF($B64="","",IF(OR(الموظفون!$AE64="",الموظفون!$AE64&gt;cfg_VAL_DATE),cfg_VAL_DATE,الموظفون!$AE64))</f>
        <v/>
      </c>
      <c r="K64" s="57" t="str">
        <f aca="false">IF($B64="","",MAX(0,MAX(0,J64-I64+1)-(SUMIFS('سجل الإجازات والحالات'!$S$6:$S$505,'سجل الإجازات والحالات'!$B$6:$B$505,$B64)-SUMIFS('سجل الإجازات والحالات'!$R$6:$R$505,'سجل الإجازات والحالات'!$B$6:$B$505,$B64))))</f>
        <v/>
      </c>
      <c r="L64" s="126" t="str">
        <f aca="false">IF($B64="","",F64/cfg_DAYS_Y*K64)</f>
        <v/>
      </c>
      <c r="M64" s="126" t="str">
        <f aca="false">IF($B64="","",SUMIFS('سجل الإجازات والحالات'!$T$6:$T$505,'سجل الإجازات والحالات'!$B$6:$B$505,$B64)+SUMIFS('الحركات الشهرية'!$K$6:$K$1005,'الحركات الشهرية'!$B$6:$B$1005,B64,'الحركات الشهرية'!$A$6:$A$1005,"&lt;="&amp;cfg_VAL_M))</f>
        <v/>
      </c>
      <c r="N64" s="126" t="str">
        <f aca="false">IF($B64="","",SUMIFS('الحركات الشهرية'!$L$6:$L$1005,'الحركات الشهرية'!$B$6:$B$1005,B64,'الحركات الشهرية'!$A$6:$A$1005,"&lt;="&amp;cfg_VAL_M))</f>
        <v/>
      </c>
      <c r="O64" s="126" t="str">
        <f aca="false">IF($B64="","",H64+L64-M64-N64)</f>
        <v/>
      </c>
      <c r="P64" s="128" t="str">
        <f aca="false">IF($B64="","",O64*G64)</f>
        <v/>
      </c>
      <c r="Q64" s="97" t="str">
        <f aca="false">IF($B64="","",H64*G64)</f>
        <v/>
      </c>
      <c r="R64" s="97" t="str">
        <f aca="false">IF($B64="","",(M64+N64)*G64)</f>
        <v/>
      </c>
      <c r="S64" s="80" t="str">
        <f aca="false">IF($B64="","",IF(O64&lt;-0.01,"✖ رصيد سالب",IF(O64&gt;F64*2,"⚠ رصيد مرتفع (أكثر من سنتين)",IF(AND(الموظفون!$AE64&lt;&gt;"",الموظفون!$AE64&lt;=cfg_VAL_DATE,O64&gt;0.01),"⚠ منتهي الخدمة برصيد","✔ سليم"))))</f>
        <v/>
      </c>
    </row>
    <row r="65" customFormat="false" ht="15" hidden="false" customHeight="false" outlineLevel="0" collapsed="false">
      <c r="B65" s="102" t="str">
        <f aca="false">IF(الموظفون!$B65="","",الموظفون!$B65)</f>
        <v/>
      </c>
      <c r="C65" s="102" t="str">
        <f aca="false">IF($B65="","",الموظفون!$C65)</f>
        <v/>
      </c>
      <c r="D65" s="148" t="str">
        <f aca="false">IF($B65="","",الموظفون!$H65)</f>
        <v/>
      </c>
      <c r="E65" s="153" t="str">
        <f aca="false">IF($B65="","",MAX(0,J65-D65+1-SUMIFS('سجل الإجازات والحالات'!$S$6:$S$505,'سجل الإجازات والحالات'!$B$6:$B$505,$B65))/cfg_DAYS_Y)</f>
        <v/>
      </c>
      <c r="F65" s="110" t="str">
        <f aca="false">IF($B65="","",IF(الموظفون!$T65&lt;&gt;"",الموظفون!$T65,IF(E65&gt;=cfg_LV_TH,cfg_LV_D2,cfg_LV_D1)))</f>
        <v/>
      </c>
      <c r="G65" s="101" t="str">
        <f aca="false">IF($B65="","",الموظفون!$R65/cfg_DAYS_M)</f>
        <v/>
      </c>
      <c r="H65" s="131" t="str">
        <f aca="false">IF($B65="","",N(الموظفون!$AC65))</f>
        <v/>
      </c>
      <c r="I65" s="148" t="str">
        <f aca="false">IF($B65="","",MAX(cfg_Y_START,D65))</f>
        <v/>
      </c>
      <c r="J65" s="148" t="str">
        <f aca="false">IF($B65="","",IF(OR(الموظفون!$AE65="",الموظفون!$AE65&gt;cfg_VAL_DATE),cfg_VAL_DATE,الموظفون!$AE65))</f>
        <v/>
      </c>
      <c r="K65" s="110" t="str">
        <f aca="false">IF($B65="","",MAX(0,MAX(0,J65-I65+1)-(SUMIFS('سجل الإجازات والحالات'!$S$6:$S$505,'سجل الإجازات والحالات'!$B$6:$B$505,$B65)-SUMIFS('سجل الإجازات والحالات'!$R$6:$R$505,'سجل الإجازات والحالات'!$B$6:$B$505,$B65))))</f>
        <v/>
      </c>
      <c r="L65" s="131" t="str">
        <f aca="false">IF($B65="","",F65/cfg_DAYS_Y*K65)</f>
        <v/>
      </c>
      <c r="M65" s="131" t="str">
        <f aca="false">IF($B65="","",SUMIFS('سجل الإجازات والحالات'!$T$6:$T$505,'سجل الإجازات والحالات'!$B$6:$B$505,$B65)+SUMIFS('الحركات الشهرية'!$K$6:$K$1005,'الحركات الشهرية'!$B$6:$B$1005,B65,'الحركات الشهرية'!$A$6:$A$1005,"&lt;="&amp;cfg_VAL_M))</f>
        <v/>
      </c>
      <c r="N65" s="131" t="str">
        <f aca="false">IF($B65="","",SUMIFS('الحركات الشهرية'!$L$6:$L$1005,'الحركات الشهرية'!$B$6:$B$1005,B65,'الحركات الشهرية'!$A$6:$A$1005,"&lt;="&amp;cfg_VAL_M))</f>
        <v/>
      </c>
      <c r="O65" s="131" t="str">
        <f aca="false">IF($B65="","",H65+L65-M65-N65)</f>
        <v/>
      </c>
      <c r="P65" s="133" t="str">
        <f aca="false">IF($B65="","",O65*G65)</f>
        <v/>
      </c>
      <c r="Q65" s="101" t="str">
        <f aca="false">IF($B65="","",H65*G65)</f>
        <v/>
      </c>
      <c r="R65" s="101" t="str">
        <f aca="false">IF($B65="","",(M65+N65)*G65)</f>
        <v/>
      </c>
      <c r="S65" s="102" t="str">
        <f aca="false">IF($B65="","",IF(O65&lt;-0.01,"✖ رصيد سالب",IF(O65&gt;F65*2,"⚠ رصيد مرتفع (أكثر من سنتين)",IF(AND(الموظفون!$AE65&lt;&gt;"",الموظفون!$AE65&lt;=cfg_VAL_DATE,O65&gt;0.01),"⚠ منتهي الخدمة برصيد","✔ سليم"))))</f>
        <v/>
      </c>
    </row>
    <row r="66" customFormat="false" ht="15" hidden="false" customHeight="false" outlineLevel="0" collapsed="false">
      <c r="B66" s="80" t="str">
        <f aca="false">IF(الموظفون!$B66="","",الموظفون!$B66)</f>
        <v/>
      </c>
      <c r="C66" s="80" t="str">
        <f aca="false">IF($B66="","",الموظفون!$C66)</f>
        <v/>
      </c>
      <c r="D66" s="147" t="str">
        <f aca="false">IF($B66="","",الموظفون!$H66)</f>
        <v/>
      </c>
      <c r="E66" s="152" t="str">
        <f aca="false">IF($B66="","",MAX(0,J66-D66+1-SUMIFS('سجل الإجازات والحالات'!$S$6:$S$505,'سجل الإجازات والحالات'!$B$6:$B$505,$B66))/cfg_DAYS_Y)</f>
        <v/>
      </c>
      <c r="F66" s="57" t="str">
        <f aca="false">IF($B66="","",IF(الموظفون!$T66&lt;&gt;"",الموظفون!$T66,IF(E66&gt;=cfg_LV_TH,cfg_LV_D2,cfg_LV_D1)))</f>
        <v/>
      </c>
      <c r="G66" s="97" t="str">
        <f aca="false">IF($B66="","",الموظفون!$R66/cfg_DAYS_M)</f>
        <v/>
      </c>
      <c r="H66" s="126" t="str">
        <f aca="false">IF($B66="","",N(الموظفون!$AC66))</f>
        <v/>
      </c>
      <c r="I66" s="147" t="str">
        <f aca="false">IF($B66="","",MAX(cfg_Y_START,D66))</f>
        <v/>
      </c>
      <c r="J66" s="147" t="str">
        <f aca="false">IF($B66="","",IF(OR(الموظفون!$AE66="",الموظفون!$AE66&gt;cfg_VAL_DATE),cfg_VAL_DATE,الموظفون!$AE66))</f>
        <v/>
      </c>
      <c r="K66" s="57" t="str">
        <f aca="false">IF($B66="","",MAX(0,MAX(0,J66-I66+1)-(SUMIFS('سجل الإجازات والحالات'!$S$6:$S$505,'سجل الإجازات والحالات'!$B$6:$B$505,$B66)-SUMIFS('سجل الإجازات والحالات'!$R$6:$R$505,'سجل الإجازات والحالات'!$B$6:$B$505,$B66))))</f>
        <v/>
      </c>
      <c r="L66" s="126" t="str">
        <f aca="false">IF($B66="","",F66/cfg_DAYS_Y*K66)</f>
        <v/>
      </c>
      <c r="M66" s="126" t="str">
        <f aca="false">IF($B66="","",SUMIFS('سجل الإجازات والحالات'!$T$6:$T$505,'سجل الإجازات والحالات'!$B$6:$B$505,$B66)+SUMIFS('الحركات الشهرية'!$K$6:$K$1005,'الحركات الشهرية'!$B$6:$B$1005,B66,'الحركات الشهرية'!$A$6:$A$1005,"&lt;="&amp;cfg_VAL_M))</f>
        <v/>
      </c>
      <c r="N66" s="126" t="str">
        <f aca="false">IF($B66="","",SUMIFS('الحركات الشهرية'!$L$6:$L$1005,'الحركات الشهرية'!$B$6:$B$1005,B66,'الحركات الشهرية'!$A$6:$A$1005,"&lt;="&amp;cfg_VAL_M))</f>
        <v/>
      </c>
      <c r="O66" s="126" t="str">
        <f aca="false">IF($B66="","",H66+L66-M66-N66)</f>
        <v/>
      </c>
      <c r="P66" s="128" t="str">
        <f aca="false">IF($B66="","",O66*G66)</f>
        <v/>
      </c>
      <c r="Q66" s="97" t="str">
        <f aca="false">IF($B66="","",H66*G66)</f>
        <v/>
      </c>
      <c r="R66" s="97" t="str">
        <f aca="false">IF($B66="","",(M66+N66)*G66)</f>
        <v/>
      </c>
      <c r="S66" s="80" t="str">
        <f aca="false">IF($B66="","",IF(O66&lt;-0.01,"✖ رصيد سالب",IF(O66&gt;F66*2,"⚠ رصيد مرتفع (أكثر من سنتين)",IF(AND(الموظفون!$AE66&lt;&gt;"",الموظفون!$AE66&lt;=cfg_VAL_DATE,O66&gt;0.01),"⚠ منتهي الخدمة برصيد","✔ سليم"))))</f>
        <v/>
      </c>
    </row>
    <row r="67" customFormat="false" ht="15" hidden="false" customHeight="false" outlineLevel="0" collapsed="false">
      <c r="B67" s="102" t="str">
        <f aca="false">IF(الموظفون!$B67="","",الموظفون!$B67)</f>
        <v/>
      </c>
      <c r="C67" s="102" t="str">
        <f aca="false">IF($B67="","",الموظفون!$C67)</f>
        <v/>
      </c>
      <c r="D67" s="148" t="str">
        <f aca="false">IF($B67="","",الموظفون!$H67)</f>
        <v/>
      </c>
      <c r="E67" s="153" t="str">
        <f aca="false">IF($B67="","",MAX(0,J67-D67+1-SUMIFS('سجل الإجازات والحالات'!$S$6:$S$505,'سجل الإجازات والحالات'!$B$6:$B$505,$B67))/cfg_DAYS_Y)</f>
        <v/>
      </c>
      <c r="F67" s="110" t="str">
        <f aca="false">IF($B67="","",IF(الموظفون!$T67&lt;&gt;"",الموظفون!$T67,IF(E67&gt;=cfg_LV_TH,cfg_LV_D2,cfg_LV_D1)))</f>
        <v/>
      </c>
      <c r="G67" s="101" t="str">
        <f aca="false">IF($B67="","",الموظفون!$R67/cfg_DAYS_M)</f>
        <v/>
      </c>
      <c r="H67" s="131" t="str">
        <f aca="false">IF($B67="","",N(الموظفون!$AC67))</f>
        <v/>
      </c>
      <c r="I67" s="148" t="str">
        <f aca="false">IF($B67="","",MAX(cfg_Y_START,D67))</f>
        <v/>
      </c>
      <c r="J67" s="148" t="str">
        <f aca="false">IF($B67="","",IF(OR(الموظفون!$AE67="",الموظفون!$AE67&gt;cfg_VAL_DATE),cfg_VAL_DATE,الموظفون!$AE67))</f>
        <v/>
      </c>
      <c r="K67" s="110" t="str">
        <f aca="false">IF($B67="","",MAX(0,MAX(0,J67-I67+1)-(SUMIFS('سجل الإجازات والحالات'!$S$6:$S$505,'سجل الإجازات والحالات'!$B$6:$B$505,$B67)-SUMIFS('سجل الإجازات والحالات'!$R$6:$R$505,'سجل الإجازات والحالات'!$B$6:$B$505,$B67))))</f>
        <v/>
      </c>
      <c r="L67" s="131" t="str">
        <f aca="false">IF($B67="","",F67/cfg_DAYS_Y*K67)</f>
        <v/>
      </c>
      <c r="M67" s="131" t="str">
        <f aca="false">IF($B67="","",SUMIFS('سجل الإجازات والحالات'!$T$6:$T$505,'سجل الإجازات والحالات'!$B$6:$B$505,$B67)+SUMIFS('الحركات الشهرية'!$K$6:$K$1005,'الحركات الشهرية'!$B$6:$B$1005,B67,'الحركات الشهرية'!$A$6:$A$1005,"&lt;="&amp;cfg_VAL_M))</f>
        <v/>
      </c>
      <c r="N67" s="131" t="str">
        <f aca="false">IF($B67="","",SUMIFS('الحركات الشهرية'!$L$6:$L$1005,'الحركات الشهرية'!$B$6:$B$1005,B67,'الحركات الشهرية'!$A$6:$A$1005,"&lt;="&amp;cfg_VAL_M))</f>
        <v/>
      </c>
      <c r="O67" s="131" t="str">
        <f aca="false">IF($B67="","",H67+L67-M67-N67)</f>
        <v/>
      </c>
      <c r="P67" s="133" t="str">
        <f aca="false">IF($B67="","",O67*G67)</f>
        <v/>
      </c>
      <c r="Q67" s="101" t="str">
        <f aca="false">IF($B67="","",H67*G67)</f>
        <v/>
      </c>
      <c r="R67" s="101" t="str">
        <f aca="false">IF($B67="","",(M67+N67)*G67)</f>
        <v/>
      </c>
      <c r="S67" s="102" t="str">
        <f aca="false">IF($B67="","",IF(O67&lt;-0.01,"✖ رصيد سالب",IF(O67&gt;F67*2,"⚠ رصيد مرتفع (أكثر من سنتين)",IF(AND(الموظفون!$AE67&lt;&gt;"",الموظفون!$AE67&lt;=cfg_VAL_DATE,O67&gt;0.01),"⚠ منتهي الخدمة برصيد","✔ سليم"))))</f>
        <v/>
      </c>
    </row>
    <row r="68" customFormat="false" ht="15" hidden="false" customHeight="false" outlineLevel="0" collapsed="false">
      <c r="B68" s="80" t="str">
        <f aca="false">IF(الموظفون!$B68="","",الموظفون!$B68)</f>
        <v/>
      </c>
      <c r="C68" s="80" t="str">
        <f aca="false">IF($B68="","",الموظفون!$C68)</f>
        <v/>
      </c>
      <c r="D68" s="147" t="str">
        <f aca="false">IF($B68="","",الموظفون!$H68)</f>
        <v/>
      </c>
      <c r="E68" s="152" t="str">
        <f aca="false">IF($B68="","",MAX(0,J68-D68+1-SUMIFS('سجل الإجازات والحالات'!$S$6:$S$505,'سجل الإجازات والحالات'!$B$6:$B$505,$B68))/cfg_DAYS_Y)</f>
        <v/>
      </c>
      <c r="F68" s="57" t="str">
        <f aca="false">IF($B68="","",IF(الموظفون!$T68&lt;&gt;"",الموظفون!$T68,IF(E68&gt;=cfg_LV_TH,cfg_LV_D2,cfg_LV_D1)))</f>
        <v/>
      </c>
      <c r="G68" s="97" t="str">
        <f aca="false">IF($B68="","",الموظفون!$R68/cfg_DAYS_M)</f>
        <v/>
      </c>
      <c r="H68" s="126" t="str">
        <f aca="false">IF($B68="","",N(الموظفون!$AC68))</f>
        <v/>
      </c>
      <c r="I68" s="147" t="str">
        <f aca="false">IF($B68="","",MAX(cfg_Y_START,D68))</f>
        <v/>
      </c>
      <c r="J68" s="147" t="str">
        <f aca="false">IF($B68="","",IF(OR(الموظفون!$AE68="",الموظفون!$AE68&gt;cfg_VAL_DATE),cfg_VAL_DATE,الموظفون!$AE68))</f>
        <v/>
      </c>
      <c r="K68" s="57" t="str">
        <f aca="false">IF($B68="","",MAX(0,MAX(0,J68-I68+1)-(SUMIFS('سجل الإجازات والحالات'!$S$6:$S$505,'سجل الإجازات والحالات'!$B$6:$B$505,$B68)-SUMIFS('سجل الإجازات والحالات'!$R$6:$R$505,'سجل الإجازات والحالات'!$B$6:$B$505,$B68))))</f>
        <v/>
      </c>
      <c r="L68" s="126" t="str">
        <f aca="false">IF($B68="","",F68/cfg_DAYS_Y*K68)</f>
        <v/>
      </c>
      <c r="M68" s="126" t="str">
        <f aca="false">IF($B68="","",SUMIFS('سجل الإجازات والحالات'!$T$6:$T$505,'سجل الإجازات والحالات'!$B$6:$B$505,$B68)+SUMIFS('الحركات الشهرية'!$K$6:$K$1005,'الحركات الشهرية'!$B$6:$B$1005,B68,'الحركات الشهرية'!$A$6:$A$1005,"&lt;="&amp;cfg_VAL_M))</f>
        <v/>
      </c>
      <c r="N68" s="126" t="str">
        <f aca="false">IF($B68="","",SUMIFS('الحركات الشهرية'!$L$6:$L$1005,'الحركات الشهرية'!$B$6:$B$1005,B68,'الحركات الشهرية'!$A$6:$A$1005,"&lt;="&amp;cfg_VAL_M))</f>
        <v/>
      </c>
      <c r="O68" s="126" t="str">
        <f aca="false">IF($B68="","",H68+L68-M68-N68)</f>
        <v/>
      </c>
      <c r="P68" s="128" t="str">
        <f aca="false">IF($B68="","",O68*G68)</f>
        <v/>
      </c>
      <c r="Q68" s="97" t="str">
        <f aca="false">IF($B68="","",H68*G68)</f>
        <v/>
      </c>
      <c r="R68" s="97" t="str">
        <f aca="false">IF($B68="","",(M68+N68)*G68)</f>
        <v/>
      </c>
      <c r="S68" s="80" t="str">
        <f aca="false">IF($B68="","",IF(O68&lt;-0.01,"✖ رصيد سالب",IF(O68&gt;F68*2,"⚠ رصيد مرتفع (أكثر من سنتين)",IF(AND(الموظفون!$AE68&lt;&gt;"",الموظفون!$AE68&lt;=cfg_VAL_DATE,O68&gt;0.01),"⚠ منتهي الخدمة برصيد","✔ سليم"))))</f>
        <v/>
      </c>
    </row>
    <row r="69" customFormat="false" ht="15" hidden="false" customHeight="false" outlineLevel="0" collapsed="false">
      <c r="B69" s="102" t="str">
        <f aca="false">IF(الموظفون!$B69="","",الموظفون!$B69)</f>
        <v/>
      </c>
      <c r="C69" s="102" t="str">
        <f aca="false">IF($B69="","",الموظفون!$C69)</f>
        <v/>
      </c>
      <c r="D69" s="148" t="str">
        <f aca="false">IF($B69="","",الموظفون!$H69)</f>
        <v/>
      </c>
      <c r="E69" s="153" t="str">
        <f aca="false">IF($B69="","",MAX(0,J69-D69+1-SUMIFS('سجل الإجازات والحالات'!$S$6:$S$505,'سجل الإجازات والحالات'!$B$6:$B$505,$B69))/cfg_DAYS_Y)</f>
        <v/>
      </c>
      <c r="F69" s="110" t="str">
        <f aca="false">IF($B69="","",IF(الموظفون!$T69&lt;&gt;"",الموظفون!$T69,IF(E69&gt;=cfg_LV_TH,cfg_LV_D2,cfg_LV_D1)))</f>
        <v/>
      </c>
      <c r="G69" s="101" t="str">
        <f aca="false">IF($B69="","",الموظفون!$R69/cfg_DAYS_M)</f>
        <v/>
      </c>
      <c r="H69" s="131" t="str">
        <f aca="false">IF($B69="","",N(الموظفون!$AC69))</f>
        <v/>
      </c>
      <c r="I69" s="148" t="str">
        <f aca="false">IF($B69="","",MAX(cfg_Y_START,D69))</f>
        <v/>
      </c>
      <c r="J69" s="148" t="str">
        <f aca="false">IF($B69="","",IF(OR(الموظفون!$AE69="",الموظفون!$AE69&gt;cfg_VAL_DATE),cfg_VAL_DATE,الموظفون!$AE69))</f>
        <v/>
      </c>
      <c r="K69" s="110" t="str">
        <f aca="false">IF($B69="","",MAX(0,MAX(0,J69-I69+1)-(SUMIFS('سجل الإجازات والحالات'!$S$6:$S$505,'سجل الإجازات والحالات'!$B$6:$B$505,$B69)-SUMIFS('سجل الإجازات والحالات'!$R$6:$R$505,'سجل الإجازات والحالات'!$B$6:$B$505,$B69))))</f>
        <v/>
      </c>
      <c r="L69" s="131" t="str">
        <f aca="false">IF($B69="","",F69/cfg_DAYS_Y*K69)</f>
        <v/>
      </c>
      <c r="M69" s="131" t="str">
        <f aca="false">IF($B69="","",SUMIFS('سجل الإجازات والحالات'!$T$6:$T$505,'سجل الإجازات والحالات'!$B$6:$B$505,$B69)+SUMIFS('الحركات الشهرية'!$K$6:$K$1005,'الحركات الشهرية'!$B$6:$B$1005,B69,'الحركات الشهرية'!$A$6:$A$1005,"&lt;="&amp;cfg_VAL_M))</f>
        <v/>
      </c>
      <c r="N69" s="131" t="str">
        <f aca="false">IF($B69="","",SUMIFS('الحركات الشهرية'!$L$6:$L$1005,'الحركات الشهرية'!$B$6:$B$1005,B69,'الحركات الشهرية'!$A$6:$A$1005,"&lt;="&amp;cfg_VAL_M))</f>
        <v/>
      </c>
      <c r="O69" s="131" t="str">
        <f aca="false">IF($B69="","",H69+L69-M69-N69)</f>
        <v/>
      </c>
      <c r="P69" s="133" t="str">
        <f aca="false">IF($B69="","",O69*G69)</f>
        <v/>
      </c>
      <c r="Q69" s="101" t="str">
        <f aca="false">IF($B69="","",H69*G69)</f>
        <v/>
      </c>
      <c r="R69" s="101" t="str">
        <f aca="false">IF($B69="","",(M69+N69)*G69)</f>
        <v/>
      </c>
      <c r="S69" s="102" t="str">
        <f aca="false">IF($B69="","",IF(O69&lt;-0.01,"✖ رصيد سالب",IF(O69&gt;F69*2,"⚠ رصيد مرتفع (أكثر من سنتين)",IF(AND(الموظفون!$AE69&lt;&gt;"",الموظفون!$AE69&lt;=cfg_VAL_DATE,O69&gt;0.01),"⚠ منتهي الخدمة برصيد","✔ سليم"))))</f>
        <v/>
      </c>
    </row>
    <row r="70" customFormat="false" ht="15" hidden="false" customHeight="false" outlineLevel="0" collapsed="false">
      <c r="B70" s="80" t="str">
        <f aca="false">IF(الموظفون!$B70="","",الموظفون!$B70)</f>
        <v/>
      </c>
      <c r="C70" s="80" t="str">
        <f aca="false">IF($B70="","",الموظفون!$C70)</f>
        <v/>
      </c>
      <c r="D70" s="147" t="str">
        <f aca="false">IF($B70="","",الموظفون!$H70)</f>
        <v/>
      </c>
      <c r="E70" s="152" t="str">
        <f aca="false">IF($B70="","",MAX(0,J70-D70+1-SUMIFS('سجل الإجازات والحالات'!$S$6:$S$505,'سجل الإجازات والحالات'!$B$6:$B$505,$B70))/cfg_DAYS_Y)</f>
        <v/>
      </c>
      <c r="F70" s="57" t="str">
        <f aca="false">IF($B70="","",IF(الموظفون!$T70&lt;&gt;"",الموظفون!$T70,IF(E70&gt;=cfg_LV_TH,cfg_LV_D2,cfg_LV_D1)))</f>
        <v/>
      </c>
      <c r="G70" s="97" t="str">
        <f aca="false">IF($B70="","",الموظفون!$R70/cfg_DAYS_M)</f>
        <v/>
      </c>
      <c r="H70" s="126" t="str">
        <f aca="false">IF($B70="","",N(الموظفون!$AC70))</f>
        <v/>
      </c>
      <c r="I70" s="147" t="str">
        <f aca="false">IF($B70="","",MAX(cfg_Y_START,D70))</f>
        <v/>
      </c>
      <c r="J70" s="147" t="str">
        <f aca="false">IF($B70="","",IF(OR(الموظفون!$AE70="",الموظفون!$AE70&gt;cfg_VAL_DATE),cfg_VAL_DATE,الموظفون!$AE70))</f>
        <v/>
      </c>
      <c r="K70" s="57" t="str">
        <f aca="false">IF($B70="","",MAX(0,MAX(0,J70-I70+1)-(SUMIFS('سجل الإجازات والحالات'!$S$6:$S$505,'سجل الإجازات والحالات'!$B$6:$B$505,$B70)-SUMIFS('سجل الإجازات والحالات'!$R$6:$R$505,'سجل الإجازات والحالات'!$B$6:$B$505,$B70))))</f>
        <v/>
      </c>
      <c r="L70" s="126" t="str">
        <f aca="false">IF($B70="","",F70/cfg_DAYS_Y*K70)</f>
        <v/>
      </c>
      <c r="M70" s="126" t="str">
        <f aca="false">IF($B70="","",SUMIFS('سجل الإجازات والحالات'!$T$6:$T$505,'سجل الإجازات والحالات'!$B$6:$B$505,$B70)+SUMIFS('الحركات الشهرية'!$K$6:$K$1005,'الحركات الشهرية'!$B$6:$B$1005,B70,'الحركات الشهرية'!$A$6:$A$1005,"&lt;="&amp;cfg_VAL_M))</f>
        <v/>
      </c>
      <c r="N70" s="126" t="str">
        <f aca="false">IF($B70="","",SUMIFS('الحركات الشهرية'!$L$6:$L$1005,'الحركات الشهرية'!$B$6:$B$1005,B70,'الحركات الشهرية'!$A$6:$A$1005,"&lt;="&amp;cfg_VAL_M))</f>
        <v/>
      </c>
      <c r="O70" s="126" t="str">
        <f aca="false">IF($B70="","",H70+L70-M70-N70)</f>
        <v/>
      </c>
      <c r="P70" s="128" t="str">
        <f aca="false">IF($B70="","",O70*G70)</f>
        <v/>
      </c>
      <c r="Q70" s="97" t="str">
        <f aca="false">IF($B70="","",H70*G70)</f>
        <v/>
      </c>
      <c r="R70" s="97" t="str">
        <f aca="false">IF($B70="","",(M70+N70)*G70)</f>
        <v/>
      </c>
      <c r="S70" s="80" t="str">
        <f aca="false">IF($B70="","",IF(O70&lt;-0.01,"✖ رصيد سالب",IF(O70&gt;F70*2,"⚠ رصيد مرتفع (أكثر من سنتين)",IF(AND(الموظفون!$AE70&lt;&gt;"",الموظفون!$AE70&lt;=cfg_VAL_DATE,O70&gt;0.01),"⚠ منتهي الخدمة برصيد","✔ سليم"))))</f>
        <v/>
      </c>
    </row>
    <row r="71" customFormat="false" ht="15" hidden="false" customHeight="false" outlineLevel="0" collapsed="false">
      <c r="B71" s="102" t="str">
        <f aca="false">IF(الموظفون!$B71="","",الموظفون!$B71)</f>
        <v/>
      </c>
      <c r="C71" s="102" t="str">
        <f aca="false">IF($B71="","",الموظفون!$C71)</f>
        <v/>
      </c>
      <c r="D71" s="148" t="str">
        <f aca="false">IF($B71="","",الموظفون!$H71)</f>
        <v/>
      </c>
      <c r="E71" s="153" t="str">
        <f aca="false">IF($B71="","",MAX(0,J71-D71+1-SUMIFS('سجل الإجازات والحالات'!$S$6:$S$505,'سجل الإجازات والحالات'!$B$6:$B$505,$B71))/cfg_DAYS_Y)</f>
        <v/>
      </c>
      <c r="F71" s="110" t="str">
        <f aca="false">IF($B71="","",IF(الموظفون!$T71&lt;&gt;"",الموظفون!$T71,IF(E71&gt;=cfg_LV_TH,cfg_LV_D2,cfg_LV_D1)))</f>
        <v/>
      </c>
      <c r="G71" s="101" t="str">
        <f aca="false">IF($B71="","",الموظفون!$R71/cfg_DAYS_M)</f>
        <v/>
      </c>
      <c r="H71" s="131" t="str">
        <f aca="false">IF($B71="","",N(الموظفون!$AC71))</f>
        <v/>
      </c>
      <c r="I71" s="148" t="str">
        <f aca="false">IF($B71="","",MAX(cfg_Y_START,D71))</f>
        <v/>
      </c>
      <c r="J71" s="148" t="str">
        <f aca="false">IF($B71="","",IF(OR(الموظفون!$AE71="",الموظفون!$AE71&gt;cfg_VAL_DATE),cfg_VAL_DATE,الموظفون!$AE71))</f>
        <v/>
      </c>
      <c r="K71" s="110" t="str">
        <f aca="false">IF($B71="","",MAX(0,MAX(0,J71-I71+1)-(SUMIFS('سجل الإجازات والحالات'!$S$6:$S$505,'سجل الإجازات والحالات'!$B$6:$B$505,$B71)-SUMIFS('سجل الإجازات والحالات'!$R$6:$R$505,'سجل الإجازات والحالات'!$B$6:$B$505,$B71))))</f>
        <v/>
      </c>
      <c r="L71" s="131" t="str">
        <f aca="false">IF($B71="","",F71/cfg_DAYS_Y*K71)</f>
        <v/>
      </c>
      <c r="M71" s="131" t="str">
        <f aca="false">IF($B71="","",SUMIFS('سجل الإجازات والحالات'!$T$6:$T$505,'سجل الإجازات والحالات'!$B$6:$B$505,$B71)+SUMIFS('الحركات الشهرية'!$K$6:$K$1005,'الحركات الشهرية'!$B$6:$B$1005,B71,'الحركات الشهرية'!$A$6:$A$1005,"&lt;="&amp;cfg_VAL_M))</f>
        <v/>
      </c>
      <c r="N71" s="131" t="str">
        <f aca="false">IF($B71="","",SUMIFS('الحركات الشهرية'!$L$6:$L$1005,'الحركات الشهرية'!$B$6:$B$1005,B71,'الحركات الشهرية'!$A$6:$A$1005,"&lt;="&amp;cfg_VAL_M))</f>
        <v/>
      </c>
      <c r="O71" s="131" t="str">
        <f aca="false">IF($B71="","",H71+L71-M71-N71)</f>
        <v/>
      </c>
      <c r="P71" s="133" t="str">
        <f aca="false">IF($B71="","",O71*G71)</f>
        <v/>
      </c>
      <c r="Q71" s="101" t="str">
        <f aca="false">IF($B71="","",H71*G71)</f>
        <v/>
      </c>
      <c r="R71" s="101" t="str">
        <f aca="false">IF($B71="","",(M71+N71)*G71)</f>
        <v/>
      </c>
      <c r="S71" s="102" t="str">
        <f aca="false">IF($B71="","",IF(O71&lt;-0.01,"✖ رصيد سالب",IF(O71&gt;F71*2,"⚠ رصيد مرتفع (أكثر من سنتين)",IF(AND(الموظفون!$AE71&lt;&gt;"",الموظفون!$AE71&lt;=cfg_VAL_DATE,O71&gt;0.01),"⚠ منتهي الخدمة برصيد","✔ سليم"))))</f>
        <v/>
      </c>
    </row>
    <row r="72" customFormat="false" ht="15" hidden="false" customHeight="false" outlineLevel="0" collapsed="false">
      <c r="B72" s="80" t="str">
        <f aca="false">IF(الموظفون!$B72="","",الموظفون!$B72)</f>
        <v/>
      </c>
      <c r="C72" s="80" t="str">
        <f aca="false">IF($B72="","",الموظفون!$C72)</f>
        <v/>
      </c>
      <c r="D72" s="147" t="str">
        <f aca="false">IF($B72="","",الموظفون!$H72)</f>
        <v/>
      </c>
      <c r="E72" s="152" t="str">
        <f aca="false">IF($B72="","",MAX(0,J72-D72+1-SUMIFS('سجل الإجازات والحالات'!$S$6:$S$505,'سجل الإجازات والحالات'!$B$6:$B$505,$B72))/cfg_DAYS_Y)</f>
        <v/>
      </c>
      <c r="F72" s="57" t="str">
        <f aca="false">IF($B72="","",IF(الموظفون!$T72&lt;&gt;"",الموظفون!$T72,IF(E72&gt;=cfg_LV_TH,cfg_LV_D2,cfg_LV_D1)))</f>
        <v/>
      </c>
      <c r="G72" s="97" t="str">
        <f aca="false">IF($B72="","",الموظفون!$R72/cfg_DAYS_M)</f>
        <v/>
      </c>
      <c r="H72" s="126" t="str">
        <f aca="false">IF($B72="","",N(الموظفون!$AC72))</f>
        <v/>
      </c>
      <c r="I72" s="147" t="str">
        <f aca="false">IF($B72="","",MAX(cfg_Y_START,D72))</f>
        <v/>
      </c>
      <c r="J72" s="147" t="str">
        <f aca="false">IF($B72="","",IF(OR(الموظفون!$AE72="",الموظفون!$AE72&gt;cfg_VAL_DATE),cfg_VAL_DATE,الموظفون!$AE72))</f>
        <v/>
      </c>
      <c r="K72" s="57" t="str">
        <f aca="false">IF($B72="","",MAX(0,MAX(0,J72-I72+1)-(SUMIFS('سجل الإجازات والحالات'!$S$6:$S$505,'سجل الإجازات والحالات'!$B$6:$B$505,$B72)-SUMIFS('سجل الإجازات والحالات'!$R$6:$R$505,'سجل الإجازات والحالات'!$B$6:$B$505,$B72))))</f>
        <v/>
      </c>
      <c r="L72" s="126" t="str">
        <f aca="false">IF($B72="","",F72/cfg_DAYS_Y*K72)</f>
        <v/>
      </c>
      <c r="M72" s="126" t="str">
        <f aca="false">IF($B72="","",SUMIFS('سجل الإجازات والحالات'!$T$6:$T$505,'سجل الإجازات والحالات'!$B$6:$B$505,$B72)+SUMIFS('الحركات الشهرية'!$K$6:$K$1005,'الحركات الشهرية'!$B$6:$B$1005,B72,'الحركات الشهرية'!$A$6:$A$1005,"&lt;="&amp;cfg_VAL_M))</f>
        <v/>
      </c>
      <c r="N72" s="126" t="str">
        <f aca="false">IF($B72="","",SUMIFS('الحركات الشهرية'!$L$6:$L$1005,'الحركات الشهرية'!$B$6:$B$1005,B72,'الحركات الشهرية'!$A$6:$A$1005,"&lt;="&amp;cfg_VAL_M))</f>
        <v/>
      </c>
      <c r="O72" s="126" t="str">
        <f aca="false">IF($B72="","",H72+L72-M72-N72)</f>
        <v/>
      </c>
      <c r="P72" s="128" t="str">
        <f aca="false">IF($B72="","",O72*G72)</f>
        <v/>
      </c>
      <c r="Q72" s="97" t="str">
        <f aca="false">IF($B72="","",H72*G72)</f>
        <v/>
      </c>
      <c r="R72" s="97" t="str">
        <f aca="false">IF($B72="","",(M72+N72)*G72)</f>
        <v/>
      </c>
      <c r="S72" s="80" t="str">
        <f aca="false">IF($B72="","",IF(O72&lt;-0.01,"✖ رصيد سالب",IF(O72&gt;F72*2,"⚠ رصيد مرتفع (أكثر من سنتين)",IF(AND(الموظفون!$AE72&lt;&gt;"",الموظفون!$AE72&lt;=cfg_VAL_DATE,O72&gt;0.01),"⚠ منتهي الخدمة برصيد","✔ سليم"))))</f>
        <v/>
      </c>
    </row>
    <row r="73" customFormat="false" ht="15" hidden="false" customHeight="false" outlineLevel="0" collapsed="false">
      <c r="B73" s="102" t="str">
        <f aca="false">IF(الموظفون!$B73="","",الموظفون!$B73)</f>
        <v/>
      </c>
      <c r="C73" s="102" t="str">
        <f aca="false">IF($B73="","",الموظفون!$C73)</f>
        <v/>
      </c>
      <c r="D73" s="148" t="str">
        <f aca="false">IF($B73="","",الموظفون!$H73)</f>
        <v/>
      </c>
      <c r="E73" s="153" t="str">
        <f aca="false">IF($B73="","",MAX(0,J73-D73+1-SUMIFS('سجل الإجازات والحالات'!$S$6:$S$505,'سجل الإجازات والحالات'!$B$6:$B$505,$B73))/cfg_DAYS_Y)</f>
        <v/>
      </c>
      <c r="F73" s="110" t="str">
        <f aca="false">IF($B73="","",IF(الموظفون!$T73&lt;&gt;"",الموظفون!$T73,IF(E73&gt;=cfg_LV_TH,cfg_LV_D2,cfg_LV_D1)))</f>
        <v/>
      </c>
      <c r="G73" s="101" t="str">
        <f aca="false">IF($B73="","",الموظفون!$R73/cfg_DAYS_M)</f>
        <v/>
      </c>
      <c r="H73" s="131" t="str">
        <f aca="false">IF($B73="","",N(الموظفون!$AC73))</f>
        <v/>
      </c>
      <c r="I73" s="148" t="str">
        <f aca="false">IF($B73="","",MAX(cfg_Y_START,D73))</f>
        <v/>
      </c>
      <c r="J73" s="148" t="str">
        <f aca="false">IF($B73="","",IF(OR(الموظفون!$AE73="",الموظفون!$AE73&gt;cfg_VAL_DATE),cfg_VAL_DATE,الموظفون!$AE73))</f>
        <v/>
      </c>
      <c r="K73" s="110" t="str">
        <f aca="false">IF($B73="","",MAX(0,MAX(0,J73-I73+1)-(SUMIFS('سجل الإجازات والحالات'!$S$6:$S$505,'سجل الإجازات والحالات'!$B$6:$B$505,$B73)-SUMIFS('سجل الإجازات والحالات'!$R$6:$R$505,'سجل الإجازات والحالات'!$B$6:$B$505,$B73))))</f>
        <v/>
      </c>
      <c r="L73" s="131" t="str">
        <f aca="false">IF($B73="","",F73/cfg_DAYS_Y*K73)</f>
        <v/>
      </c>
      <c r="M73" s="131" t="str">
        <f aca="false">IF($B73="","",SUMIFS('سجل الإجازات والحالات'!$T$6:$T$505,'سجل الإجازات والحالات'!$B$6:$B$505,$B73)+SUMIFS('الحركات الشهرية'!$K$6:$K$1005,'الحركات الشهرية'!$B$6:$B$1005,B73,'الحركات الشهرية'!$A$6:$A$1005,"&lt;="&amp;cfg_VAL_M))</f>
        <v/>
      </c>
      <c r="N73" s="131" t="str">
        <f aca="false">IF($B73="","",SUMIFS('الحركات الشهرية'!$L$6:$L$1005,'الحركات الشهرية'!$B$6:$B$1005,B73,'الحركات الشهرية'!$A$6:$A$1005,"&lt;="&amp;cfg_VAL_M))</f>
        <v/>
      </c>
      <c r="O73" s="131" t="str">
        <f aca="false">IF($B73="","",H73+L73-M73-N73)</f>
        <v/>
      </c>
      <c r="P73" s="133" t="str">
        <f aca="false">IF($B73="","",O73*G73)</f>
        <v/>
      </c>
      <c r="Q73" s="101" t="str">
        <f aca="false">IF($B73="","",H73*G73)</f>
        <v/>
      </c>
      <c r="R73" s="101" t="str">
        <f aca="false">IF($B73="","",(M73+N73)*G73)</f>
        <v/>
      </c>
      <c r="S73" s="102" t="str">
        <f aca="false">IF($B73="","",IF(O73&lt;-0.01,"✖ رصيد سالب",IF(O73&gt;F73*2,"⚠ رصيد مرتفع (أكثر من سنتين)",IF(AND(الموظفون!$AE73&lt;&gt;"",الموظفون!$AE73&lt;=cfg_VAL_DATE,O73&gt;0.01),"⚠ منتهي الخدمة برصيد","✔ سليم"))))</f>
        <v/>
      </c>
    </row>
    <row r="74" customFormat="false" ht="15" hidden="false" customHeight="false" outlineLevel="0" collapsed="false">
      <c r="B74" s="80" t="str">
        <f aca="false">IF(الموظفون!$B74="","",الموظفون!$B74)</f>
        <v/>
      </c>
      <c r="C74" s="80" t="str">
        <f aca="false">IF($B74="","",الموظفون!$C74)</f>
        <v/>
      </c>
      <c r="D74" s="147" t="str">
        <f aca="false">IF($B74="","",الموظفون!$H74)</f>
        <v/>
      </c>
      <c r="E74" s="152" t="str">
        <f aca="false">IF($B74="","",MAX(0,J74-D74+1-SUMIFS('سجل الإجازات والحالات'!$S$6:$S$505,'سجل الإجازات والحالات'!$B$6:$B$505,$B74))/cfg_DAYS_Y)</f>
        <v/>
      </c>
      <c r="F74" s="57" t="str">
        <f aca="false">IF($B74="","",IF(الموظفون!$T74&lt;&gt;"",الموظفون!$T74,IF(E74&gt;=cfg_LV_TH,cfg_LV_D2,cfg_LV_D1)))</f>
        <v/>
      </c>
      <c r="G74" s="97" t="str">
        <f aca="false">IF($B74="","",الموظفون!$R74/cfg_DAYS_M)</f>
        <v/>
      </c>
      <c r="H74" s="126" t="str">
        <f aca="false">IF($B74="","",N(الموظفون!$AC74))</f>
        <v/>
      </c>
      <c r="I74" s="147" t="str">
        <f aca="false">IF($B74="","",MAX(cfg_Y_START,D74))</f>
        <v/>
      </c>
      <c r="J74" s="147" t="str">
        <f aca="false">IF($B74="","",IF(OR(الموظفون!$AE74="",الموظفون!$AE74&gt;cfg_VAL_DATE),cfg_VAL_DATE,الموظفون!$AE74))</f>
        <v/>
      </c>
      <c r="K74" s="57" t="str">
        <f aca="false">IF($B74="","",MAX(0,MAX(0,J74-I74+1)-(SUMIFS('سجل الإجازات والحالات'!$S$6:$S$505,'سجل الإجازات والحالات'!$B$6:$B$505,$B74)-SUMIFS('سجل الإجازات والحالات'!$R$6:$R$505,'سجل الإجازات والحالات'!$B$6:$B$505,$B74))))</f>
        <v/>
      </c>
      <c r="L74" s="126" t="str">
        <f aca="false">IF($B74="","",F74/cfg_DAYS_Y*K74)</f>
        <v/>
      </c>
      <c r="M74" s="126" t="str">
        <f aca="false">IF($B74="","",SUMIFS('سجل الإجازات والحالات'!$T$6:$T$505,'سجل الإجازات والحالات'!$B$6:$B$505,$B74)+SUMIFS('الحركات الشهرية'!$K$6:$K$1005,'الحركات الشهرية'!$B$6:$B$1005,B74,'الحركات الشهرية'!$A$6:$A$1005,"&lt;="&amp;cfg_VAL_M))</f>
        <v/>
      </c>
      <c r="N74" s="126" t="str">
        <f aca="false">IF($B74="","",SUMIFS('الحركات الشهرية'!$L$6:$L$1005,'الحركات الشهرية'!$B$6:$B$1005,B74,'الحركات الشهرية'!$A$6:$A$1005,"&lt;="&amp;cfg_VAL_M))</f>
        <v/>
      </c>
      <c r="O74" s="126" t="str">
        <f aca="false">IF($B74="","",H74+L74-M74-N74)</f>
        <v/>
      </c>
      <c r="P74" s="128" t="str">
        <f aca="false">IF($B74="","",O74*G74)</f>
        <v/>
      </c>
      <c r="Q74" s="97" t="str">
        <f aca="false">IF($B74="","",H74*G74)</f>
        <v/>
      </c>
      <c r="R74" s="97" t="str">
        <f aca="false">IF($B74="","",(M74+N74)*G74)</f>
        <v/>
      </c>
      <c r="S74" s="80" t="str">
        <f aca="false">IF($B74="","",IF(O74&lt;-0.01,"✖ رصيد سالب",IF(O74&gt;F74*2,"⚠ رصيد مرتفع (أكثر من سنتين)",IF(AND(الموظفون!$AE74&lt;&gt;"",الموظفون!$AE74&lt;=cfg_VAL_DATE,O74&gt;0.01),"⚠ منتهي الخدمة برصيد","✔ سليم"))))</f>
        <v/>
      </c>
    </row>
    <row r="75" customFormat="false" ht="15" hidden="false" customHeight="false" outlineLevel="0" collapsed="false">
      <c r="B75" s="102" t="str">
        <f aca="false">IF(الموظفون!$B75="","",الموظفون!$B75)</f>
        <v/>
      </c>
      <c r="C75" s="102" t="str">
        <f aca="false">IF($B75="","",الموظفون!$C75)</f>
        <v/>
      </c>
      <c r="D75" s="148" t="str">
        <f aca="false">IF($B75="","",الموظفون!$H75)</f>
        <v/>
      </c>
      <c r="E75" s="153" t="str">
        <f aca="false">IF($B75="","",MAX(0,J75-D75+1-SUMIFS('سجل الإجازات والحالات'!$S$6:$S$505,'سجل الإجازات والحالات'!$B$6:$B$505,$B75))/cfg_DAYS_Y)</f>
        <v/>
      </c>
      <c r="F75" s="110" t="str">
        <f aca="false">IF($B75="","",IF(الموظفون!$T75&lt;&gt;"",الموظفون!$T75,IF(E75&gt;=cfg_LV_TH,cfg_LV_D2,cfg_LV_D1)))</f>
        <v/>
      </c>
      <c r="G75" s="101" t="str">
        <f aca="false">IF($B75="","",الموظفون!$R75/cfg_DAYS_M)</f>
        <v/>
      </c>
      <c r="H75" s="131" t="str">
        <f aca="false">IF($B75="","",N(الموظفون!$AC75))</f>
        <v/>
      </c>
      <c r="I75" s="148" t="str">
        <f aca="false">IF($B75="","",MAX(cfg_Y_START,D75))</f>
        <v/>
      </c>
      <c r="J75" s="148" t="str">
        <f aca="false">IF($B75="","",IF(OR(الموظفون!$AE75="",الموظفون!$AE75&gt;cfg_VAL_DATE),cfg_VAL_DATE,الموظفون!$AE75))</f>
        <v/>
      </c>
      <c r="K75" s="110" t="str">
        <f aca="false">IF($B75="","",MAX(0,MAX(0,J75-I75+1)-(SUMIFS('سجل الإجازات والحالات'!$S$6:$S$505,'سجل الإجازات والحالات'!$B$6:$B$505,$B75)-SUMIFS('سجل الإجازات والحالات'!$R$6:$R$505,'سجل الإجازات والحالات'!$B$6:$B$505,$B75))))</f>
        <v/>
      </c>
      <c r="L75" s="131" t="str">
        <f aca="false">IF($B75="","",F75/cfg_DAYS_Y*K75)</f>
        <v/>
      </c>
      <c r="M75" s="131" t="str">
        <f aca="false">IF($B75="","",SUMIFS('سجل الإجازات والحالات'!$T$6:$T$505,'سجل الإجازات والحالات'!$B$6:$B$505,$B75)+SUMIFS('الحركات الشهرية'!$K$6:$K$1005,'الحركات الشهرية'!$B$6:$B$1005,B75,'الحركات الشهرية'!$A$6:$A$1005,"&lt;="&amp;cfg_VAL_M))</f>
        <v/>
      </c>
      <c r="N75" s="131" t="str">
        <f aca="false">IF($B75="","",SUMIFS('الحركات الشهرية'!$L$6:$L$1005,'الحركات الشهرية'!$B$6:$B$1005,B75,'الحركات الشهرية'!$A$6:$A$1005,"&lt;="&amp;cfg_VAL_M))</f>
        <v/>
      </c>
      <c r="O75" s="131" t="str">
        <f aca="false">IF($B75="","",H75+L75-M75-N75)</f>
        <v/>
      </c>
      <c r="P75" s="133" t="str">
        <f aca="false">IF($B75="","",O75*G75)</f>
        <v/>
      </c>
      <c r="Q75" s="101" t="str">
        <f aca="false">IF($B75="","",H75*G75)</f>
        <v/>
      </c>
      <c r="R75" s="101" t="str">
        <f aca="false">IF($B75="","",(M75+N75)*G75)</f>
        <v/>
      </c>
      <c r="S75" s="102" t="str">
        <f aca="false">IF($B75="","",IF(O75&lt;-0.01,"✖ رصيد سالب",IF(O75&gt;F75*2,"⚠ رصيد مرتفع (أكثر من سنتين)",IF(AND(الموظفون!$AE75&lt;&gt;"",الموظفون!$AE75&lt;=cfg_VAL_DATE,O75&gt;0.01),"⚠ منتهي الخدمة برصيد","✔ سليم"))))</f>
        <v/>
      </c>
    </row>
    <row r="76" customFormat="false" ht="15" hidden="false" customHeight="false" outlineLevel="0" collapsed="false">
      <c r="B76" s="80" t="str">
        <f aca="false">IF(الموظفون!$B76="","",الموظفون!$B76)</f>
        <v/>
      </c>
      <c r="C76" s="80" t="str">
        <f aca="false">IF($B76="","",الموظفون!$C76)</f>
        <v/>
      </c>
      <c r="D76" s="147" t="str">
        <f aca="false">IF($B76="","",الموظفون!$H76)</f>
        <v/>
      </c>
      <c r="E76" s="152" t="str">
        <f aca="false">IF($B76="","",MAX(0,J76-D76+1-SUMIFS('سجل الإجازات والحالات'!$S$6:$S$505,'سجل الإجازات والحالات'!$B$6:$B$505,$B76))/cfg_DAYS_Y)</f>
        <v/>
      </c>
      <c r="F76" s="57" t="str">
        <f aca="false">IF($B76="","",IF(الموظفون!$T76&lt;&gt;"",الموظفون!$T76,IF(E76&gt;=cfg_LV_TH,cfg_LV_D2,cfg_LV_D1)))</f>
        <v/>
      </c>
      <c r="G76" s="97" t="str">
        <f aca="false">IF($B76="","",الموظفون!$R76/cfg_DAYS_M)</f>
        <v/>
      </c>
      <c r="H76" s="126" t="str">
        <f aca="false">IF($B76="","",N(الموظفون!$AC76))</f>
        <v/>
      </c>
      <c r="I76" s="147" t="str">
        <f aca="false">IF($B76="","",MAX(cfg_Y_START,D76))</f>
        <v/>
      </c>
      <c r="J76" s="147" t="str">
        <f aca="false">IF($B76="","",IF(OR(الموظفون!$AE76="",الموظفون!$AE76&gt;cfg_VAL_DATE),cfg_VAL_DATE,الموظفون!$AE76))</f>
        <v/>
      </c>
      <c r="K76" s="57" t="str">
        <f aca="false">IF($B76="","",MAX(0,MAX(0,J76-I76+1)-(SUMIFS('سجل الإجازات والحالات'!$S$6:$S$505,'سجل الإجازات والحالات'!$B$6:$B$505,$B76)-SUMIFS('سجل الإجازات والحالات'!$R$6:$R$505,'سجل الإجازات والحالات'!$B$6:$B$505,$B76))))</f>
        <v/>
      </c>
      <c r="L76" s="126" t="str">
        <f aca="false">IF($B76="","",F76/cfg_DAYS_Y*K76)</f>
        <v/>
      </c>
      <c r="M76" s="126" t="str">
        <f aca="false">IF($B76="","",SUMIFS('سجل الإجازات والحالات'!$T$6:$T$505,'سجل الإجازات والحالات'!$B$6:$B$505,$B76)+SUMIFS('الحركات الشهرية'!$K$6:$K$1005,'الحركات الشهرية'!$B$6:$B$1005,B76,'الحركات الشهرية'!$A$6:$A$1005,"&lt;="&amp;cfg_VAL_M))</f>
        <v/>
      </c>
      <c r="N76" s="126" t="str">
        <f aca="false">IF($B76="","",SUMIFS('الحركات الشهرية'!$L$6:$L$1005,'الحركات الشهرية'!$B$6:$B$1005,B76,'الحركات الشهرية'!$A$6:$A$1005,"&lt;="&amp;cfg_VAL_M))</f>
        <v/>
      </c>
      <c r="O76" s="126" t="str">
        <f aca="false">IF($B76="","",H76+L76-M76-N76)</f>
        <v/>
      </c>
      <c r="P76" s="128" t="str">
        <f aca="false">IF($B76="","",O76*G76)</f>
        <v/>
      </c>
      <c r="Q76" s="97" t="str">
        <f aca="false">IF($B76="","",H76*G76)</f>
        <v/>
      </c>
      <c r="R76" s="97" t="str">
        <f aca="false">IF($B76="","",(M76+N76)*G76)</f>
        <v/>
      </c>
      <c r="S76" s="80" t="str">
        <f aca="false">IF($B76="","",IF(O76&lt;-0.01,"✖ رصيد سالب",IF(O76&gt;F76*2,"⚠ رصيد مرتفع (أكثر من سنتين)",IF(AND(الموظفون!$AE76&lt;&gt;"",الموظفون!$AE76&lt;=cfg_VAL_DATE,O76&gt;0.01),"⚠ منتهي الخدمة برصيد","✔ سليم"))))</f>
        <v/>
      </c>
    </row>
    <row r="77" customFormat="false" ht="15" hidden="false" customHeight="false" outlineLevel="0" collapsed="false">
      <c r="B77" s="102" t="str">
        <f aca="false">IF(الموظفون!$B77="","",الموظفون!$B77)</f>
        <v/>
      </c>
      <c r="C77" s="102" t="str">
        <f aca="false">IF($B77="","",الموظفون!$C77)</f>
        <v/>
      </c>
      <c r="D77" s="148" t="str">
        <f aca="false">IF($B77="","",الموظفون!$H77)</f>
        <v/>
      </c>
      <c r="E77" s="153" t="str">
        <f aca="false">IF($B77="","",MAX(0,J77-D77+1-SUMIFS('سجل الإجازات والحالات'!$S$6:$S$505,'سجل الإجازات والحالات'!$B$6:$B$505,$B77))/cfg_DAYS_Y)</f>
        <v/>
      </c>
      <c r="F77" s="110" t="str">
        <f aca="false">IF($B77="","",IF(الموظفون!$T77&lt;&gt;"",الموظفون!$T77,IF(E77&gt;=cfg_LV_TH,cfg_LV_D2,cfg_LV_D1)))</f>
        <v/>
      </c>
      <c r="G77" s="101" t="str">
        <f aca="false">IF($B77="","",الموظفون!$R77/cfg_DAYS_M)</f>
        <v/>
      </c>
      <c r="H77" s="131" t="str">
        <f aca="false">IF($B77="","",N(الموظفون!$AC77))</f>
        <v/>
      </c>
      <c r="I77" s="148" t="str">
        <f aca="false">IF($B77="","",MAX(cfg_Y_START,D77))</f>
        <v/>
      </c>
      <c r="J77" s="148" t="str">
        <f aca="false">IF($B77="","",IF(OR(الموظفون!$AE77="",الموظفون!$AE77&gt;cfg_VAL_DATE),cfg_VAL_DATE,الموظفون!$AE77))</f>
        <v/>
      </c>
      <c r="K77" s="110" t="str">
        <f aca="false">IF($B77="","",MAX(0,MAX(0,J77-I77+1)-(SUMIFS('سجل الإجازات والحالات'!$S$6:$S$505,'سجل الإجازات والحالات'!$B$6:$B$505,$B77)-SUMIFS('سجل الإجازات والحالات'!$R$6:$R$505,'سجل الإجازات والحالات'!$B$6:$B$505,$B77))))</f>
        <v/>
      </c>
      <c r="L77" s="131" t="str">
        <f aca="false">IF($B77="","",F77/cfg_DAYS_Y*K77)</f>
        <v/>
      </c>
      <c r="M77" s="131" t="str">
        <f aca="false">IF($B77="","",SUMIFS('سجل الإجازات والحالات'!$T$6:$T$505,'سجل الإجازات والحالات'!$B$6:$B$505,$B77)+SUMIFS('الحركات الشهرية'!$K$6:$K$1005,'الحركات الشهرية'!$B$6:$B$1005,B77,'الحركات الشهرية'!$A$6:$A$1005,"&lt;="&amp;cfg_VAL_M))</f>
        <v/>
      </c>
      <c r="N77" s="131" t="str">
        <f aca="false">IF($B77="","",SUMIFS('الحركات الشهرية'!$L$6:$L$1005,'الحركات الشهرية'!$B$6:$B$1005,B77,'الحركات الشهرية'!$A$6:$A$1005,"&lt;="&amp;cfg_VAL_M))</f>
        <v/>
      </c>
      <c r="O77" s="131" t="str">
        <f aca="false">IF($B77="","",H77+L77-M77-N77)</f>
        <v/>
      </c>
      <c r="P77" s="133" t="str">
        <f aca="false">IF($B77="","",O77*G77)</f>
        <v/>
      </c>
      <c r="Q77" s="101" t="str">
        <f aca="false">IF($B77="","",H77*G77)</f>
        <v/>
      </c>
      <c r="R77" s="101" t="str">
        <f aca="false">IF($B77="","",(M77+N77)*G77)</f>
        <v/>
      </c>
      <c r="S77" s="102" t="str">
        <f aca="false">IF($B77="","",IF(O77&lt;-0.01,"✖ رصيد سالب",IF(O77&gt;F77*2,"⚠ رصيد مرتفع (أكثر من سنتين)",IF(AND(الموظفون!$AE77&lt;&gt;"",الموظفون!$AE77&lt;=cfg_VAL_DATE,O77&gt;0.01),"⚠ منتهي الخدمة برصيد","✔ سليم"))))</f>
        <v/>
      </c>
    </row>
    <row r="78" customFormat="false" ht="15" hidden="false" customHeight="false" outlineLevel="0" collapsed="false">
      <c r="B78" s="80" t="str">
        <f aca="false">IF(الموظفون!$B78="","",الموظفون!$B78)</f>
        <v/>
      </c>
      <c r="C78" s="80" t="str">
        <f aca="false">IF($B78="","",الموظفون!$C78)</f>
        <v/>
      </c>
      <c r="D78" s="147" t="str">
        <f aca="false">IF($B78="","",الموظفون!$H78)</f>
        <v/>
      </c>
      <c r="E78" s="152" t="str">
        <f aca="false">IF($B78="","",MAX(0,J78-D78+1-SUMIFS('سجل الإجازات والحالات'!$S$6:$S$505,'سجل الإجازات والحالات'!$B$6:$B$505,$B78))/cfg_DAYS_Y)</f>
        <v/>
      </c>
      <c r="F78" s="57" t="str">
        <f aca="false">IF($B78="","",IF(الموظفون!$T78&lt;&gt;"",الموظفون!$T78,IF(E78&gt;=cfg_LV_TH,cfg_LV_D2,cfg_LV_D1)))</f>
        <v/>
      </c>
      <c r="G78" s="97" t="str">
        <f aca="false">IF($B78="","",الموظفون!$R78/cfg_DAYS_M)</f>
        <v/>
      </c>
      <c r="H78" s="126" t="str">
        <f aca="false">IF($B78="","",N(الموظفون!$AC78))</f>
        <v/>
      </c>
      <c r="I78" s="147" t="str">
        <f aca="false">IF($B78="","",MAX(cfg_Y_START,D78))</f>
        <v/>
      </c>
      <c r="J78" s="147" t="str">
        <f aca="false">IF($B78="","",IF(OR(الموظفون!$AE78="",الموظفون!$AE78&gt;cfg_VAL_DATE),cfg_VAL_DATE,الموظفون!$AE78))</f>
        <v/>
      </c>
      <c r="K78" s="57" t="str">
        <f aca="false">IF($B78="","",MAX(0,MAX(0,J78-I78+1)-(SUMIFS('سجل الإجازات والحالات'!$S$6:$S$505,'سجل الإجازات والحالات'!$B$6:$B$505,$B78)-SUMIFS('سجل الإجازات والحالات'!$R$6:$R$505,'سجل الإجازات والحالات'!$B$6:$B$505,$B78))))</f>
        <v/>
      </c>
      <c r="L78" s="126" t="str">
        <f aca="false">IF($B78="","",F78/cfg_DAYS_Y*K78)</f>
        <v/>
      </c>
      <c r="M78" s="126" t="str">
        <f aca="false">IF($B78="","",SUMIFS('سجل الإجازات والحالات'!$T$6:$T$505,'سجل الإجازات والحالات'!$B$6:$B$505,$B78)+SUMIFS('الحركات الشهرية'!$K$6:$K$1005,'الحركات الشهرية'!$B$6:$B$1005,B78,'الحركات الشهرية'!$A$6:$A$1005,"&lt;="&amp;cfg_VAL_M))</f>
        <v/>
      </c>
      <c r="N78" s="126" t="str">
        <f aca="false">IF($B78="","",SUMIFS('الحركات الشهرية'!$L$6:$L$1005,'الحركات الشهرية'!$B$6:$B$1005,B78,'الحركات الشهرية'!$A$6:$A$1005,"&lt;="&amp;cfg_VAL_M))</f>
        <v/>
      </c>
      <c r="O78" s="126" t="str">
        <f aca="false">IF($B78="","",H78+L78-M78-N78)</f>
        <v/>
      </c>
      <c r="P78" s="128" t="str">
        <f aca="false">IF($B78="","",O78*G78)</f>
        <v/>
      </c>
      <c r="Q78" s="97" t="str">
        <f aca="false">IF($B78="","",H78*G78)</f>
        <v/>
      </c>
      <c r="R78" s="97" t="str">
        <f aca="false">IF($B78="","",(M78+N78)*G78)</f>
        <v/>
      </c>
      <c r="S78" s="80" t="str">
        <f aca="false">IF($B78="","",IF(O78&lt;-0.01,"✖ رصيد سالب",IF(O78&gt;F78*2,"⚠ رصيد مرتفع (أكثر من سنتين)",IF(AND(الموظفون!$AE78&lt;&gt;"",الموظفون!$AE78&lt;=cfg_VAL_DATE,O78&gt;0.01),"⚠ منتهي الخدمة برصيد","✔ سليم"))))</f>
        <v/>
      </c>
    </row>
    <row r="79" customFormat="false" ht="15" hidden="false" customHeight="false" outlineLevel="0" collapsed="false">
      <c r="B79" s="102" t="str">
        <f aca="false">IF(الموظفون!$B79="","",الموظفون!$B79)</f>
        <v/>
      </c>
      <c r="C79" s="102" t="str">
        <f aca="false">IF($B79="","",الموظفون!$C79)</f>
        <v/>
      </c>
      <c r="D79" s="148" t="str">
        <f aca="false">IF($B79="","",الموظفون!$H79)</f>
        <v/>
      </c>
      <c r="E79" s="153" t="str">
        <f aca="false">IF($B79="","",MAX(0,J79-D79+1-SUMIFS('سجل الإجازات والحالات'!$S$6:$S$505,'سجل الإجازات والحالات'!$B$6:$B$505,$B79))/cfg_DAYS_Y)</f>
        <v/>
      </c>
      <c r="F79" s="110" t="str">
        <f aca="false">IF($B79="","",IF(الموظفون!$T79&lt;&gt;"",الموظفون!$T79,IF(E79&gt;=cfg_LV_TH,cfg_LV_D2,cfg_LV_D1)))</f>
        <v/>
      </c>
      <c r="G79" s="101" t="str">
        <f aca="false">IF($B79="","",الموظفون!$R79/cfg_DAYS_M)</f>
        <v/>
      </c>
      <c r="H79" s="131" t="str">
        <f aca="false">IF($B79="","",N(الموظفون!$AC79))</f>
        <v/>
      </c>
      <c r="I79" s="148" t="str">
        <f aca="false">IF($B79="","",MAX(cfg_Y_START,D79))</f>
        <v/>
      </c>
      <c r="J79" s="148" t="str">
        <f aca="false">IF($B79="","",IF(OR(الموظفون!$AE79="",الموظفون!$AE79&gt;cfg_VAL_DATE),cfg_VAL_DATE,الموظفون!$AE79))</f>
        <v/>
      </c>
      <c r="K79" s="110" t="str">
        <f aca="false">IF($B79="","",MAX(0,MAX(0,J79-I79+1)-(SUMIFS('سجل الإجازات والحالات'!$S$6:$S$505,'سجل الإجازات والحالات'!$B$6:$B$505,$B79)-SUMIFS('سجل الإجازات والحالات'!$R$6:$R$505,'سجل الإجازات والحالات'!$B$6:$B$505,$B79))))</f>
        <v/>
      </c>
      <c r="L79" s="131" t="str">
        <f aca="false">IF($B79="","",F79/cfg_DAYS_Y*K79)</f>
        <v/>
      </c>
      <c r="M79" s="131" t="str">
        <f aca="false">IF($B79="","",SUMIFS('سجل الإجازات والحالات'!$T$6:$T$505,'سجل الإجازات والحالات'!$B$6:$B$505,$B79)+SUMIFS('الحركات الشهرية'!$K$6:$K$1005,'الحركات الشهرية'!$B$6:$B$1005,B79,'الحركات الشهرية'!$A$6:$A$1005,"&lt;="&amp;cfg_VAL_M))</f>
        <v/>
      </c>
      <c r="N79" s="131" t="str">
        <f aca="false">IF($B79="","",SUMIFS('الحركات الشهرية'!$L$6:$L$1005,'الحركات الشهرية'!$B$6:$B$1005,B79,'الحركات الشهرية'!$A$6:$A$1005,"&lt;="&amp;cfg_VAL_M))</f>
        <v/>
      </c>
      <c r="O79" s="131" t="str">
        <f aca="false">IF($B79="","",H79+L79-M79-N79)</f>
        <v/>
      </c>
      <c r="P79" s="133" t="str">
        <f aca="false">IF($B79="","",O79*G79)</f>
        <v/>
      </c>
      <c r="Q79" s="101" t="str">
        <f aca="false">IF($B79="","",H79*G79)</f>
        <v/>
      </c>
      <c r="R79" s="101" t="str">
        <f aca="false">IF($B79="","",(M79+N79)*G79)</f>
        <v/>
      </c>
      <c r="S79" s="102" t="str">
        <f aca="false">IF($B79="","",IF(O79&lt;-0.01,"✖ رصيد سالب",IF(O79&gt;F79*2,"⚠ رصيد مرتفع (أكثر من سنتين)",IF(AND(الموظفون!$AE79&lt;&gt;"",الموظفون!$AE79&lt;=cfg_VAL_DATE,O79&gt;0.01),"⚠ منتهي الخدمة برصيد","✔ سليم"))))</f>
        <v/>
      </c>
    </row>
    <row r="80" customFormat="false" ht="15" hidden="false" customHeight="false" outlineLevel="0" collapsed="false">
      <c r="B80" s="80" t="str">
        <f aca="false">IF(الموظفون!$B80="","",الموظفون!$B80)</f>
        <v/>
      </c>
      <c r="C80" s="80" t="str">
        <f aca="false">IF($B80="","",الموظفون!$C80)</f>
        <v/>
      </c>
      <c r="D80" s="147" t="str">
        <f aca="false">IF($B80="","",الموظفون!$H80)</f>
        <v/>
      </c>
      <c r="E80" s="152" t="str">
        <f aca="false">IF($B80="","",MAX(0,J80-D80+1-SUMIFS('سجل الإجازات والحالات'!$S$6:$S$505,'سجل الإجازات والحالات'!$B$6:$B$505,$B80))/cfg_DAYS_Y)</f>
        <v/>
      </c>
      <c r="F80" s="57" t="str">
        <f aca="false">IF($B80="","",IF(الموظفون!$T80&lt;&gt;"",الموظفون!$T80,IF(E80&gt;=cfg_LV_TH,cfg_LV_D2,cfg_LV_D1)))</f>
        <v/>
      </c>
      <c r="G80" s="97" t="str">
        <f aca="false">IF($B80="","",الموظفون!$R80/cfg_DAYS_M)</f>
        <v/>
      </c>
      <c r="H80" s="126" t="str">
        <f aca="false">IF($B80="","",N(الموظفون!$AC80))</f>
        <v/>
      </c>
      <c r="I80" s="147" t="str">
        <f aca="false">IF($B80="","",MAX(cfg_Y_START,D80))</f>
        <v/>
      </c>
      <c r="J80" s="147" t="str">
        <f aca="false">IF($B80="","",IF(OR(الموظفون!$AE80="",الموظفون!$AE80&gt;cfg_VAL_DATE),cfg_VAL_DATE,الموظفون!$AE80))</f>
        <v/>
      </c>
      <c r="K80" s="57" t="str">
        <f aca="false">IF($B80="","",MAX(0,MAX(0,J80-I80+1)-(SUMIFS('سجل الإجازات والحالات'!$S$6:$S$505,'سجل الإجازات والحالات'!$B$6:$B$505,$B80)-SUMIFS('سجل الإجازات والحالات'!$R$6:$R$505,'سجل الإجازات والحالات'!$B$6:$B$505,$B80))))</f>
        <v/>
      </c>
      <c r="L80" s="126" t="str">
        <f aca="false">IF($B80="","",F80/cfg_DAYS_Y*K80)</f>
        <v/>
      </c>
      <c r="M80" s="126" t="str">
        <f aca="false">IF($B80="","",SUMIFS('سجل الإجازات والحالات'!$T$6:$T$505,'سجل الإجازات والحالات'!$B$6:$B$505,$B80)+SUMIFS('الحركات الشهرية'!$K$6:$K$1005,'الحركات الشهرية'!$B$6:$B$1005,B80,'الحركات الشهرية'!$A$6:$A$1005,"&lt;="&amp;cfg_VAL_M))</f>
        <v/>
      </c>
      <c r="N80" s="126" t="str">
        <f aca="false">IF($B80="","",SUMIFS('الحركات الشهرية'!$L$6:$L$1005,'الحركات الشهرية'!$B$6:$B$1005,B80,'الحركات الشهرية'!$A$6:$A$1005,"&lt;="&amp;cfg_VAL_M))</f>
        <v/>
      </c>
      <c r="O80" s="126" t="str">
        <f aca="false">IF($B80="","",H80+L80-M80-N80)</f>
        <v/>
      </c>
      <c r="P80" s="128" t="str">
        <f aca="false">IF($B80="","",O80*G80)</f>
        <v/>
      </c>
      <c r="Q80" s="97" t="str">
        <f aca="false">IF($B80="","",H80*G80)</f>
        <v/>
      </c>
      <c r="R80" s="97" t="str">
        <f aca="false">IF($B80="","",(M80+N80)*G80)</f>
        <v/>
      </c>
      <c r="S80" s="80" t="str">
        <f aca="false">IF($B80="","",IF(O80&lt;-0.01,"✖ رصيد سالب",IF(O80&gt;F80*2,"⚠ رصيد مرتفع (أكثر من سنتين)",IF(AND(الموظفون!$AE80&lt;&gt;"",الموظفون!$AE80&lt;=cfg_VAL_DATE,O80&gt;0.01),"⚠ منتهي الخدمة برصيد","✔ سليم"))))</f>
        <v/>
      </c>
    </row>
    <row r="81" customFormat="false" ht="15" hidden="false" customHeight="false" outlineLevel="0" collapsed="false">
      <c r="B81" s="102" t="str">
        <f aca="false">IF(الموظفون!$B81="","",الموظفون!$B81)</f>
        <v/>
      </c>
      <c r="C81" s="102" t="str">
        <f aca="false">IF($B81="","",الموظفون!$C81)</f>
        <v/>
      </c>
      <c r="D81" s="148" t="str">
        <f aca="false">IF($B81="","",الموظفون!$H81)</f>
        <v/>
      </c>
      <c r="E81" s="153" t="str">
        <f aca="false">IF($B81="","",MAX(0,J81-D81+1-SUMIFS('سجل الإجازات والحالات'!$S$6:$S$505,'سجل الإجازات والحالات'!$B$6:$B$505,$B81))/cfg_DAYS_Y)</f>
        <v/>
      </c>
      <c r="F81" s="110" t="str">
        <f aca="false">IF($B81="","",IF(الموظفون!$T81&lt;&gt;"",الموظفون!$T81,IF(E81&gt;=cfg_LV_TH,cfg_LV_D2,cfg_LV_D1)))</f>
        <v/>
      </c>
      <c r="G81" s="101" t="str">
        <f aca="false">IF($B81="","",الموظفون!$R81/cfg_DAYS_M)</f>
        <v/>
      </c>
      <c r="H81" s="131" t="str">
        <f aca="false">IF($B81="","",N(الموظفون!$AC81))</f>
        <v/>
      </c>
      <c r="I81" s="148" t="str">
        <f aca="false">IF($B81="","",MAX(cfg_Y_START,D81))</f>
        <v/>
      </c>
      <c r="J81" s="148" t="str">
        <f aca="false">IF($B81="","",IF(OR(الموظفون!$AE81="",الموظفون!$AE81&gt;cfg_VAL_DATE),cfg_VAL_DATE,الموظفون!$AE81))</f>
        <v/>
      </c>
      <c r="K81" s="110" t="str">
        <f aca="false">IF($B81="","",MAX(0,MAX(0,J81-I81+1)-(SUMIFS('سجل الإجازات والحالات'!$S$6:$S$505,'سجل الإجازات والحالات'!$B$6:$B$505,$B81)-SUMIFS('سجل الإجازات والحالات'!$R$6:$R$505,'سجل الإجازات والحالات'!$B$6:$B$505,$B81))))</f>
        <v/>
      </c>
      <c r="L81" s="131" t="str">
        <f aca="false">IF($B81="","",F81/cfg_DAYS_Y*K81)</f>
        <v/>
      </c>
      <c r="M81" s="131" t="str">
        <f aca="false">IF($B81="","",SUMIFS('سجل الإجازات والحالات'!$T$6:$T$505,'سجل الإجازات والحالات'!$B$6:$B$505,$B81)+SUMIFS('الحركات الشهرية'!$K$6:$K$1005,'الحركات الشهرية'!$B$6:$B$1005,B81,'الحركات الشهرية'!$A$6:$A$1005,"&lt;="&amp;cfg_VAL_M))</f>
        <v/>
      </c>
      <c r="N81" s="131" t="str">
        <f aca="false">IF($B81="","",SUMIFS('الحركات الشهرية'!$L$6:$L$1005,'الحركات الشهرية'!$B$6:$B$1005,B81,'الحركات الشهرية'!$A$6:$A$1005,"&lt;="&amp;cfg_VAL_M))</f>
        <v/>
      </c>
      <c r="O81" s="131" t="str">
        <f aca="false">IF($B81="","",H81+L81-M81-N81)</f>
        <v/>
      </c>
      <c r="P81" s="133" t="str">
        <f aca="false">IF($B81="","",O81*G81)</f>
        <v/>
      </c>
      <c r="Q81" s="101" t="str">
        <f aca="false">IF($B81="","",H81*G81)</f>
        <v/>
      </c>
      <c r="R81" s="101" t="str">
        <f aca="false">IF($B81="","",(M81+N81)*G81)</f>
        <v/>
      </c>
      <c r="S81" s="102" t="str">
        <f aca="false">IF($B81="","",IF(O81&lt;-0.01,"✖ رصيد سالب",IF(O81&gt;F81*2,"⚠ رصيد مرتفع (أكثر من سنتين)",IF(AND(الموظفون!$AE81&lt;&gt;"",الموظفون!$AE81&lt;=cfg_VAL_DATE,O81&gt;0.01),"⚠ منتهي الخدمة برصيد","✔ سليم"))))</f>
        <v/>
      </c>
    </row>
    <row r="82" customFormat="false" ht="15" hidden="false" customHeight="false" outlineLevel="0" collapsed="false">
      <c r="B82" s="80" t="str">
        <f aca="false">IF(الموظفون!$B82="","",الموظفون!$B82)</f>
        <v/>
      </c>
      <c r="C82" s="80" t="str">
        <f aca="false">IF($B82="","",الموظفون!$C82)</f>
        <v/>
      </c>
      <c r="D82" s="147" t="str">
        <f aca="false">IF($B82="","",الموظفون!$H82)</f>
        <v/>
      </c>
      <c r="E82" s="152" t="str">
        <f aca="false">IF($B82="","",MAX(0,J82-D82+1-SUMIFS('سجل الإجازات والحالات'!$S$6:$S$505,'سجل الإجازات والحالات'!$B$6:$B$505,$B82))/cfg_DAYS_Y)</f>
        <v/>
      </c>
      <c r="F82" s="57" t="str">
        <f aca="false">IF($B82="","",IF(الموظفون!$T82&lt;&gt;"",الموظفون!$T82,IF(E82&gt;=cfg_LV_TH,cfg_LV_D2,cfg_LV_D1)))</f>
        <v/>
      </c>
      <c r="G82" s="97" t="str">
        <f aca="false">IF($B82="","",الموظفون!$R82/cfg_DAYS_M)</f>
        <v/>
      </c>
      <c r="H82" s="126" t="str">
        <f aca="false">IF($B82="","",N(الموظفون!$AC82))</f>
        <v/>
      </c>
      <c r="I82" s="147" t="str">
        <f aca="false">IF($B82="","",MAX(cfg_Y_START,D82))</f>
        <v/>
      </c>
      <c r="J82" s="147" t="str">
        <f aca="false">IF($B82="","",IF(OR(الموظفون!$AE82="",الموظفون!$AE82&gt;cfg_VAL_DATE),cfg_VAL_DATE,الموظفون!$AE82))</f>
        <v/>
      </c>
      <c r="K82" s="57" t="str">
        <f aca="false">IF($B82="","",MAX(0,MAX(0,J82-I82+1)-(SUMIFS('سجل الإجازات والحالات'!$S$6:$S$505,'سجل الإجازات والحالات'!$B$6:$B$505,$B82)-SUMIFS('سجل الإجازات والحالات'!$R$6:$R$505,'سجل الإجازات والحالات'!$B$6:$B$505,$B82))))</f>
        <v/>
      </c>
      <c r="L82" s="126" t="str">
        <f aca="false">IF($B82="","",F82/cfg_DAYS_Y*K82)</f>
        <v/>
      </c>
      <c r="M82" s="126" t="str">
        <f aca="false">IF($B82="","",SUMIFS('سجل الإجازات والحالات'!$T$6:$T$505,'سجل الإجازات والحالات'!$B$6:$B$505,$B82)+SUMIFS('الحركات الشهرية'!$K$6:$K$1005,'الحركات الشهرية'!$B$6:$B$1005,B82,'الحركات الشهرية'!$A$6:$A$1005,"&lt;="&amp;cfg_VAL_M))</f>
        <v/>
      </c>
      <c r="N82" s="126" t="str">
        <f aca="false">IF($B82="","",SUMIFS('الحركات الشهرية'!$L$6:$L$1005,'الحركات الشهرية'!$B$6:$B$1005,B82,'الحركات الشهرية'!$A$6:$A$1005,"&lt;="&amp;cfg_VAL_M))</f>
        <v/>
      </c>
      <c r="O82" s="126" t="str">
        <f aca="false">IF($B82="","",H82+L82-M82-N82)</f>
        <v/>
      </c>
      <c r="P82" s="128" t="str">
        <f aca="false">IF($B82="","",O82*G82)</f>
        <v/>
      </c>
      <c r="Q82" s="97" t="str">
        <f aca="false">IF($B82="","",H82*G82)</f>
        <v/>
      </c>
      <c r="R82" s="97" t="str">
        <f aca="false">IF($B82="","",(M82+N82)*G82)</f>
        <v/>
      </c>
      <c r="S82" s="80" t="str">
        <f aca="false">IF($B82="","",IF(O82&lt;-0.01,"✖ رصيد سالب",IF(O82&gt;F82*2,"⚠ رصيد مرتفع (أكثر من سنتين)",IF(AND(الموظفون!$AE82&lt;&gt;"",الموظفون!$AE82&lt;=cfg_VAL_DATE,O82&gt;0.01),"⚠ منتهي الخدمة برصيد","✔ سليم"))))</f>
        <v/>
      </c>
    </row>
    <row r="83" customFormat="false" ht="15" hidden="false" customHeight="false" outlineLevel="0" collapsed="false">
      <c r="B83" s="102" t="str">
        <f aca="false">IF(الموظفون!$B83="","",الموظفون!$B83)</f>
        <v/>
      </c>
      <c r="C83" s="102" t="str">
        <f aca="false">IF($B83="","",الموظفون!$C83)</f>
        <v/>
      </c>
      <c r="D83" s="148" t="str">
        <f aca="false">IF($B83="","",الموظفون!$H83)</f>
        <v/>
      </c>
      <c r="E83" s="153" t="str">
        <f aca="false">IF($B83="","",MAX(0,J83-D83+1-SUMIFS('سجل الإجازات والحالات'!$S$6:$S$505,'سجل الإجازات والحالات'!$B$6:$B$505,$B83))/cfg_DAYS_Y)</f>
        <v/>
      </c>
      <c r="F83" s="110" t="str">
        <f aca="false">IF($B83="","",IF(الموظفون!$T83&lt;&gt;"",الموظفون!$T83,IF(E83&gt;=cfg_LV_TH,cfg_LV_D2,cfg_LV_D1)))</f>
        <v/>
      </c>
      <c r="G83" s="101" t="str">
        <f aca="false">IF($B83="","",الموظفون!$R83/cfg_DAYS_M)</f>
        <v/>
      </c>
      <c r="H83" s="131" t="str">
        <f aca="false">IF($B83="","",N(الموظفون!$AC83))</f>
        <v/>
      </c>
      <c r="I83" s="148" t="str">
        <f aca="false">IF($B83="","",MAX(cfg_Y_START,D83))</f>
        <v/>
      </c>
      <c r="J83" s="148" t="str">
        <f aca="false">IF($B83="","",IF(OR(الموظفون!$AE83="",الموظفون!$AE83&gt;cfg_VAL_DATE),cfg_VAL_DATE,الموظفون!$AE83))</f>
        <v/>
      </c>
      <c r="K83" s="110" t="str">
        <f aca="false">IF($B83="","",MAX(0,MAX(0,J83-I83+1)-(SUMIFS('سجل الإجازات والحالات'!$S$6:$S$505,'سجل الإجازات والحالات'!$B$6:$B$505,$B83)-SUMIFS('سجل الإجازات والحالات'!$R$6:$R$505,'سجل الإجازات والحالات'!$B$6:$B$505,$B83))))</f>
        <v/>
      </c>
      <c r="L83" s="131" t="str">
        <f aca="false">IF($B83="","",F83/cfg_DAYS_Y*K83)</f>
        <v/>
      </c>
      <c r="M83" s="131" t="str">
        <f aca="false">IF($B83="","",SUMIFS('سجل الإجازات والحالات'!$T$6:$T$505,'سجل الإجازات والحالات'!$B$6:$B$505,$B83)+SUMIFS('الحركات الشهرية'!$K$6:$K$1005,'الحركات الشهرية'!$B$6:$B$1005,B83,'الحركات الشهرية'!$A$6:$A$1005,"&lt;="&amp;cfg_VAL_M))</f>
        <v/>
      </c>
      <c r="N83" s="131" t="str">
        <f aca="false">IF($B83="","",SUMIFS('الحركات الشهرية'!$L$6:$L$1005,'الحركات الشهرية'!$B$6:$B$1005,B83,'الحركات الشهرية'!$A$6:$A$1005,"&lt;="&amp;cfg_VAL_M))</f>
        <v/>
      </c>
      <c r="O83" s="131" t="str">
        <f aca="false">IF($B83="","",H83+L83-M83-N83)</f>
        <v/>
      </c>
      <c r="P83" s="133" t="str">
        <f aca="false">IF($B83="","",O83*G83)</f>
        <v/>
      </c>
      <c r="Q83" s="101" t="str">
        <f aca="false">IF($B83="","",H83*G83)</f>
        <v/>
      </c>
      <c r="R83" s="101" t="str">
        <f aca="false">IF($B83="","",(M83+N83)*G83)</f>
        <v/>
      </c>
      <c r="S83" s="102" t="str">
        <f aca="false">IF($B83="","",IF(O83&lt;-0.01,"✖ رصيد سالب",IF(O83&gt;F83*2,"⚠ رصيد مرتفع (أكثر من سنتين)",IF(AND(الموظفون!$AE83&lt;&gt;"",الموظفون!$AE83&lt;=cfg_VAL_DATE,O83&gt;0.01),"⚠ منتهي الخدمة برصيد","✔ سليم"))))</f>
        <v/>
      </c>
    </row>
    <row r="84" customFormat="false" ht="15" hidden="false" customHeight="false" outlineLevel="0" collapsed="false">
      <c r="B84" s="80" t="str">
        <f aca="false">IF(الموظفون!$B84="","",الموظفون!$B84)</f>
        <v/>
      </c>
      <c r="C84" s="80" t="str">
        <f aca="false">IF($B84="","",الموظفون!$C84)</f>
        <v/>
      </c>
      <c r="D84" s="147" t="str">
        <f aca="false">IF($B84="","",الموظفون!$H84)</f>
        <v/>
      </c>
      <c r="E84" s="152" t="str">
        <f aca="false">IF($B84="","",MAX(0,J84-D84+1-SUMIFS('سجل الإجازات والحالات'!$S$6:$S$505,'سجل الإجازات والحالات'!$B$6:$B$505,$B84))/cfg_DAYS_Y)</f>
        <v/>
      </c>
      <c r="F84" s="57" t="str">
        <f aca="false">IF($B84="","",IF(الموظفون!$T84&lt;&gt;"",الموظفون!$T84,IF(E84&gt;=cfg_LV_TH,cfg_LV_D2,cfg_LV_D1)))</f>
        <v/>
      </c>
      <c r="G84" s="97" t="str">
        <f aca="false">IF($B84="","",الموظفون!$R84/cfg_DAYS_M)</f>
        <v/>
      </c>
      <c r="H84" s="126" t="str">
        <f aca="false">IF($B84="","",N(الموظفون!$AC84))</f>
        <v/>
      </c>
      <c r="I84" s="147" t="str">
        <f aca="false">IF($B84="","",MAX(cfg_Y_START,D84))</f>
        <v/>
      </c>
      <c r="J84" s="147" t="str">
        <f aca="false">IF($B84="","",IF(OR(الموظفون!$AE84="",الموظفون!$AE84&gt;cfg_VAL_DATE),cfg_VAL_DATE,الموظفون!$AE84))</f>
        <v/>
      </c>
      <c r="K84" s="57" t="str">
        <f aca="false">IF($B84="","",MAX(0,MAX(0,J84-I84+1)-(SUMIFS('سجل الإجازات والحالات'!$S$6:$S$505,'سجل الإجازات والحالات'!$B$6:$B$505,$B84)-SUMIFS('سجل الإجازات والحالات'!$R$6:$R$505,'سجل الإجازات والحالات'!$B$6:$B$505,$B84))))</f>
        <v/>
      </c>
      <c r="L84" s="126" t="str">
        <f aca="false">IF($B84="","",F84/cfg_DAYS_Y*K84)</f>
        <v/>
      </c>
      <c r="M84" s="126" t="str">
        <f aca="false">IF($B84="","",SUMIFS('سجل الإجازات والحالات'!$T$6:$T$505,'سجل الإجازات والحالات'!$B$6:$B$505,$B84)+SUMIFS('الحركات الشهرية'!$K$6:$K$1005,'الحركات الشهرية'!$B$6:$B$1005,B84,'الحركات الشهرية'!$A$6:$A$1005,"&lt;="&amp;cfg_VAL_M))</f>
        <v/>
      </c>
      <c r="N84" s="126" t="str">
        <f aca="false">IF($B84="","",SUMIFS('الحركات الشهرية'!$L$6:$L$1005,'الحركات الشهرية'!$B$6:$B$1005,B84,'الحركات الشهرية'!$A$6:$A$1005,"&lt;="&amp;cfg_VAL_M))</f>
        <v/>
      </c>
      <c r="O84" s="126" t="str">
        <f aca="false">IF($B84="","",H84+L84-M84-N84)</f>
        <v/>
      </c>
      <c r="P84" s="128" t="str">
        <f aca="false">IF($B84="","",O84*G84)</f>
        <v/>
      </c>
      <c r="Q84" s="97" t="str">
        <f aca="false">IF($B84="","",H84*G84)</f>
        <v/>
      </c>
      <c r="R84" s="97" t="str">
        <f aca="false">IF($B84="","",(M84+N84)*G84)</f>
        <v/>
      </c>
      <c r="S84" s="80" t="str">
        <f aca="false">IF($B84="","",IF(O84&lt;-0.01,"✖ رصيد سالب",IF(O84&gt;F84*2,"⚠ رصيد مرتفع (أكثر من سنتين)",IF(AND(الموظفون!$AE84&lt;&gt;"",الموظفون!$AE84&lt;=cfg_VAL_DATE,O84&gt;0.01),"⚠ منتهي الخدمة برصيد","✔ سليم"))))</f>
        <v/>
      </c>
    </row>
    <row r="85" customFormat="false" ht="15" hidden="false" customHeight="false" outlineLevel="0" collapsed="false">
      <c r="B85" s="102" t="str">
        <f aca="false">IF(الموظفون!$B85="","",الموظفون!$B85)</f>
        <v/>
      </c>
      <c r="C85" s="102" t="str">
        <f aca="false">IF($B85="","",الموظفون!$C85)</f>
        <v/>
      </c>
      <c r="D85" s="148" t="str">
        <f aca="false">IF($B85="","",الموظفون!$H85)</f>
        <v/>
      </c>
      <c r="E85" s="153" t="str">
        <f aca="false">IF($B85="","",MAX(0,J85-D85+1-SUMIFS('سجل الإجازات والحالات'!$S$6:$S$505,'سجل الإجازات والحالات'!$B$6:$B$505,$B85))/cfg_DAYS_Y)</f>
        <v/>
      </c>
      <c r="F85" s="110" t="str">
        <f aca="false">IF($B85="","",IF(الموظفون!$T85&lt;&gt;"",الموظفون!$T85,IF(E85&gt;=cfg_LV_TH,cfg_LV_D2,cfg_LV_D1)))</f>
        <v/>
      </c>
      <c r="G85" s="101" t="str">
        <f aca="false">IF($B85="","",الموظفون!$R85/cfg_DAYS_M)</f>
        <v/>
      </c>
      <c r="H85" s="131" t="str">
        <f aca="false">IF($B85="","",N(الموظفون!$AC85))</f>
        <v/>
      </c>
      <c r="I85" s="148" t="str">
        <f aca="false">IF($B85="","",MAX(cfg_Y_START,D85))</f>
        <v/>
      </c>
      <c r="J85" s="148" t="str">
        <f aca="false">IF($B85="","",IF(OR(الموظفون!$AE85="",الموظفون!$AE85&gt;cfg_VAL_DATE),cfg_VAL_DATE,الموظفون!$AE85))</f>
        <v/>
      </c>
      <c r="K85" s="110" t="str">
        <f aca="false">IF($B85="","",MAX(0,MAX(0,J85-I85+1)-(SUMIFS('سجل الإجازات والحالات'!$S$6:$S$505,'سجل الإجازات والحالات'!$B$6:$B$505,$B85)-SUMIFS('سجل الإجازات والحالات'!$R$6:$R$505,'سجل الإجازات والحالات'!$B$6:$B$505,$B85))))</f>
        <v/>
      </c>
      <c r="L85" s="131" t="str">
        <f aca="false">IF($B85="","",F85/cfg_DAYS_Y*K85)</f>
        <v/>
      </c>
      <c r="M85" s="131" t="str">
        <f aca="false">IF($B85="","",SUMIFS('سجل الإجازات والحالات'!$T$6:$T$505,'سجل الإجازات والحالات'!$B$6:$B$505,$B85)+SUMIFS('الحركات الشهرية'!$K$6:$K$1005,'الحركات الشهرية'!$B$6:$B$1005,B85,'الحركات الشهرية'!$A$6:$A$1005,"&lt;="&amp;cfg_VAL_M))</f>
        <v/>
      </c>
      <c r="N85" s="131" t="str">
        <f aca="false">IF($B85="","",SUMIFS('الحركات الشهرية'!$L$6:$L$1005,'الحركات الشهرية'!$B$6:$B$1005,B85,'الحركات الشهرية'!$A$6:$A$1005,"&lt;="&amp;cfg_VAL_M))</f>
        <v/>
      </c>
      <c r="O85" s="131" t="str">
        <f aca="false">IF($B85="","",H85+L85-M85-N85)</f>
        <v/>
      </c>
      <c r="P85" s="133" t="str">
        <f aca="false">IF($B85="","",O85*G85)</f>
        <v/>
      </c>
      <c r="Q85" s="101" t="str">
        <f aca="false">IF($B85="","",H85*G85)</f>
        <v/>
      </c>
      <c r="R85" s="101" t="str">
        <f aca="false">IF($B85="","",(M85+N85)*G85)</f>
        <v/>
      </c>
      <c r="S85" s="102" t="str">
        <f aca="false">IF($B85="","",IF(O85&lt;-0.01,"✖ رصيد سالب",IF(O85&gt;F85*2,"⚠ رصيد مرتفع (أكثر من سنتين)",IF(AND(الموظفون!$AE85&lt;&gt;"",الموظفون!$AE85&lt;=cfg_VAL_DATE,O85&gt;0.01),"⚠ منتهي الخدمة برصيد","✔ سليم"))))</f>
        <v/>
      </c>
    </row>
    <row r="86" customFormat="false" ht="15" hidden="false" customHeight="false" outlineLevel="0" collapsed="false">
      <c r="B86" s="80" t="str">
        <f aca="false">IF(الموظفون!$B86="","",الموظفون!$B86)</f>
        <v/>
      </c>
      <c r="C86" s="80" t="str">
        <f aca="false">IF($B86="","",الموظفون!$C86)</f>
        <v/>
      </c>
      <c r="D86" s="147" t="str">
        <f aca="false">IF($B86="","",الموظفون!$H86)</f>
        <v/>
      </c>
      <c r="E86" s="152" t="str">
        <f aca="false">IF($B86="","",MAX(0,J86-D86+1-SUMIFS('سجل الإجازات والحالات'!$S$6:$S$505,'سجل الإجازات والحالات'!$B$6:$B$505,$B86))/cfg_DAYS_Y)</f>
        <v/>
      </c>
      <c r="F86" s="57" t="str">
        <f aca="false">IF($B86="","",IF(الموظفون!$T86&lt;&gt;"",الموظفون!$T86,IF(E86&gt;=cfg_LV_TH,cfg_LV_D2,cfg_LV_D1)))</f>
        <v/>
      </c>
      <c r="G86" s="97" t="str">
        <f aca="false">IF($B86="","",الموظفون!$R86/cfg_DAYS_M)</f>
        <v/>
      </c>
      <c r="H86" s="126" t="str">
        <f aca="false">IF($B86="","",N(الموظفون!$AC86))</f>
        <v/>
      </c>
      <c r="I86" s="147" t="str">
        <f aca="false">IF($B86="","",MAX(cfg_Y_START,D86))</f>
        <v/>
      </c>
      <c r="J86" s="147" t="str">
        <f aca="false">IF($B86="","",IF(OR(الموظفون!$AE86="",الموظفون!$AE86&gt;cfg_VAL_DATE),cfg_VAL_DATE,الموظفون!$AE86))</f>
        <v/>
      </c>
      <c r="K86" s="57" t="str">
        <f aca="false">IF($B86="","",MAX(0,MAX(0,J86-I86+1)-(SUMIFS('سجل الإجازات والحالات'!$S$6:$S$505,'سجل الإجازات والحالات'!$B$6:$B$505,$B86)-SUMIFS('سجل الإجازات والحالات'!$R$6:$R$505,'سجل الإجازات والحالات'!$B$6:$B$505,$B86))))</f>
        <v/>
      </c>
      <c r="L86" s="126" t="str">
        <f aca="false">IF($B86="","",F86/cfg_DAYS_Y*K86)</f>
        <v/>
      </c>
      <c r="M86" s="126" t="str">
        <f aca="false">IF($B86="","",SUMIFS('سجل الإجازات والحالات'!$T$6:$T$505,'سجل الإجازات والحالات'!$B$6:$B$505,$B86)+SUMIFS('الحركات الشهرية'!$K$6:$K$1005,'الحركات الشهرية'!$B$6:$B$1005,B86,'الحركات الشهرية'!$A$6:$A$1005,"&lt;="&amp;cfg_VAL_M))</f>
        <v/>
      </c>
      <c r="N86" s="126" t="str">
        <f aca="false">IF($B86="","",SUMIFS('الحركات الشهرية'!$L$6:$L$1005,'الحركات الشهرية'!$B$6:$B$1005,B86,'الحركات الشهرية'!$A$6:$A$1005,"&lt;="&amp;cfg_VAL_M))</f>
        <v/>
      </c>
      <c r="O86" s="126" t="str">
        <f aca="false">IF($B86="","",H86+L86-M86-N86)</f>
        <v/>
      </c>
      <c r="P86" s="128" t="str">
        <f aca="false">IF($B86="","",O86*G86)</f>
        <v/>
      </c>
      <c r="Q86" s="97" t="str">
        <f aca="false">IF($B86="","",H86*G86)</f>
        <v/>
      </c>
      <c r="R86" s="97" t="str">
        <f aca="false">IF($B86="","",(M86+N86)*G86)</f>
        <v/>
      </c>
      <c r="S86" s="80" t="str">
        <f aca="false">IF($B86="","",IF(O86&lt;-0.01,"✖ رصيد سالب",IF(O86&gt;F86*2,"⚠ رصيد مرتفع (أكثر من سنتين)",IF(AND(الموظفون!$AE86&lt;&gt;"",الموظفون!$AE86&lt;=cfg_VAL_DATE,O86&gt;0.01),"⚠ منتهي الخدمة برصيد","✔ سليم"))))</f>
        <v/>
      </c>
    </row>
    <row r="87" customFormat="false" ht="15" hidden="false" customHeight="false" outlineLevel="0" collapsed="false">
      <c r="B87" s="102" t="str">
        <f aca="false">IF(الموظفون!$B87="","",الموظفون!$B87)</f>
        <v/>
      </c>
      <c r="C87" s="102" t="str">
        <f aca="false">IF($B87="","",الموظفون!$C87)</f>
        <v/>
      </c>
      <c r="D87" s="148" t="str">
        <f aca="false">IF($B87="","",الموظفون!$H87)</f>
        <v/>
      </c>
      <c r="E87" s="153" t="str">
        <f aca="false">IF($B87="","",MAX(0,J87-D87+1-SUMIFS('سجل الإجازات والحالات'!$S$6:$S$505,'سجل الإجازات والحالات'!$B$6:$B$505,$B87))/cfg_DAYS_Y)</f>
        <v/>
      </c>
      <c r="F87" s="110" t="str">
        <f aca="false">IF($B87="","",IF(الموظفون!$T87&lt;&gt;"",الموظفون!$T87,IF(E87&gt;=cfg_LV_TH,cfg_LV_D2,cfg_LV_D1)))</f>
        <v/>
      </c>
      <c r="G87" s="101" t="str">
        <f aca="false">IF($B87="","",الموظفون!$R87/cfg_DAYS_M)</f>
        <v/>
      </c>
      <c r="H87" s="131" t="str">
        <f aca="false">IF($B87="","",N(الموظفون!$AC87))</f>
        <v/>
      </c>
      <c r="I87" s="148" t="str">
        <f aca="false">IF($B87="","",MAX(cfg_Y_START,D87))</f>
        <v/>
      </c>
      <c r="J87" s="148" t="str">
        <f aca="false">IF($B87="","",IF(OR(الموظفون!$AE87="",الموظفون!$AE87&gt;cfg_VAL_DATE),cfg_VAL_DATE,الموظفون!$AE87))</f>
        <v/>
      </c>
      <c r="K87" s="110" t="str">
        <f aca="false">IF($B87="","",MAX(0,MAX(0,J87-I87+1)-(SUMIFS('سجل الإجازات والحالات'!$S$6:$S$505,'سجل الإجازات والحالات'!$B$6:$B$505,$B87)-SUMIFS('سجل الإجازات والحالات'!$R$6:$R$505,'سجل الإجازات والحالات'!$B$6:$B$505,$B87))))</f>
        <v/>
      </c>
      <c r="L87" s="131" t="str">
        <f aca="false">IF($B87="","",F87/cfg_DAYS_Y*K87)</f>
        <v/>
      </c>
      <c r="M87" s="131" t="str">
        <f aca="false">IF($B87="","",SUMIFS('سجل الإجازات والحالات'!$T$6:$T$505,'سجل الإجازات والحالات'!$B$6:$B$505,$B87)+SUMIFS('الحركات الشهرية'!$K$6:$K$1005,'الحركات الشهرية'!$B$6:$B$1005,B87,'الحركات الشهرية'!$A$6:$A$1005,"&lt;="&amp;cfg_VAL_M))</f>
        <v/>
      </c>
      <c r="N87" s="131" t="str">
        <f aca="false">IF($B87="","",SUMIFS('الحركات الشهرية'!$L$6:$L$1005,'الحركات الشهرية'!$B$6:$B$1005,B87,'الحركات الشهرية'!$A$6:$A$1005,"&lt;="&amp;cfg_VAL_M))</f>
        <v/>
      </c>
      <c r="O87" s="131" t="str">
        <f aca="false">IF($B87="","",H87+L87-M87-N87)</f>
        <v/>
      </c>
      <c r="P87" s="133" t="str">
        <f aca="false">IF($B87="","",O87*G87)</f>
        <v/>
      </c>
      <c r="Q87" s="101" t="str">
        <f aca="false">IF($B87="","",H87*G87)</f>
        <v/>
      </c>
      <c r="R87" s="101" t="str">
        <f aca="false">IF($B87="","",(M87+N87)*G87)</f>
        <v/>
      </c>
      <c r="S87" s="102" t="str">
        <f aca="false">IF($B87="","",IF(O87&lt;-0.01,"✖ رصيد سالب",IF(O87&gt;F87*2,"⚠ رصيد مرتفع (أكثر من سنتين)",IF(AND(الموظفون!$AE87&lt;&gt;"",الموظفون!$AE87&lt;=cfg_VAL_DATE,O87&gt;0.01),"⚠ منتهي الخدمة برصيد","✔ سليم"))))</f>
        <v/>
      </c>
    </row>
    <row r="88" customFormat="false" ht="15" hidden="false" customHeight="false" outlineLevel="0" collapsed="false">
      <c r="B88" s="80" t="str">
        <f aca="false">IF(الموظفون!$B88="","",الموظفون!$B88)</f>
        <v/>
      </c>
      <c r="C88" s="80" t="str">
        <f aca="false">IF($B88="","",الموظفون!$C88)</f>
        <v/>
      </c>
      <c r="D88" s="147" t="str">
        <f aca="false">IF($B88="","",الموظفون!$H88)</f>
        <v/>
      </c>
      <c r="E88" s="152" t="str">
        <f aca="false">IF($B88="","",MAX(0,J88-D88+1-SUMIFS('سجل الإجازات والحالات'!$S$6:$S$505,'سجل الإجازات والحالات'!$B$6:$B$505,$B88))/cfg_DAYS_Y)</f>
        <v/>
      </c>
      <c r="F88" s="57" t="str">
        <f aca="false">IF($B88="","",IF(الموظفون!$T88&lt;&gt;"",الموظفون!$T88,IF(E88&gt;=cfg_LV_TH,cfg_LV_D2,cfg_LV_D1)))</f>
        <v/>
      </c>
      <c r="G88" s="97" t="str">
        <f aca="false">IF($B88="","",الموظفون!$R88/cfg_DAYS_M)</f>
        <v/>
      </c>
      <c r="H88" s="126" t="str">
        <f aca="false">IF($B88="","",N(الموظفون!$AC88))</f>
        <v/>
      </c>
      <c r="I88" s="147" t="str">
        <f aca="false">IF($B88="","",MAX(cfg_Y_START,D88))</f>
        <v/>
      </c>
      <c r="J88" s="147" t="str">
        <f aca="false">IF($B88="","",IF(OR(الموظفون!$AE88="",الموظفون!$AE88&gt;cfg_VAL_DATE),cfg_VAL_DATE,الموظفون!$AE88))</f>
        <v/>
      </c>
      <c r="K88" s="57" t="str">
        <f aca="false">IF($B88="","",MAX(0,MAX(0,J88-I88+1)-(SUMIFS('سجل الإجازات والحالات'!$S$6:$S$505,'سجل الإجازات والحالات'!$B$6:$B$505,$B88)-SUMIFS('سجل الإجازات والحالات'!$R$6:$R$505,'سجل الإجازات والحالات'!$B$6:$B$505,$B88))))</f>
        <v/>
      </c>
      <c r="L88" s="126" t="str">
        <f aca="false">IF($B88="","",F88/cfg_DAYS_Y*K88)</f>
        <v/>
      </c>
      <c r="M88" s="126" t="str">
        <f aca="false">IF($B88="","",SUMIFS('سجل الإجازات والحالات'!$T$6:$T$505,'سجل الإجازات والحالات'!$B$6:$B$505,$B88)+SUMIFS('الحركات الشهرية'!$K$6:$K$1005,'الحركات الشهرية'!$B$6:$B$1005,B88,'الحركات الشهرية'!$A$6:$A$1005,"&lt;="&amp;cfg_VAL_M))</f>
        <v/>
      </c>
      <c r="N88" s="126" t="str">
        <f aca="false">IF($B88="","",SUMIFS('الحركات الشهرية'!$L$6:$L$1005,'الحركات الشهرية'!$B$6:$B$1005,B88,'الحركات الشهرية'!$A$6:$A$1005,"&lt;="&amp;cfg_VAL_M))</f>
        <v/>
      </c>
      <c r="O88" s="126" t="str">
        <f aca="false">IF($B88="","",H88+L88-M88-N88)</f>
        <v/>
      </c>
      <c r="P88" s="128" t="str">
        <f aca="false">IF($B88="","",O88*G88)</f>
        <v/>
      </c>
      <c r="Q88" s="97" t="str">
        <f aca="false">IF($B88="","",H88*G88)</f>
        <v/>
      </c>
      <c r="R88" s="97" t="str">
        <f aca="false">IF($B88="","",(M88+N88)*G88)</f>
        <v/>
      </c>
      <c r="S88" s="80" t="str">
        <f aca="false">IF($B88="","",IF(O88&lt;-0.01,"✖ رصيد سالب",IF(O88&gt;F88*2,"⚠ رصيد مرتفع (أكثر من سنتين)",IF(AND(الموظفون!$AE88&lt;&gt;"",الموظفون!$AE88&lt;=cfg_VAL_DATE,O88&gt;0.01),"⚠ منتهي الخدمة برصيد","✔ سليم"))))</f>
        <v/>
      </c>
    </row>
    <row r="89" customFormat="false" ht="15" hidden="false" customHeight="false" outlineLevel="0" collapsed="false">
      <c r="B89" s="102" t="str">
        <f aca="false">IF(الموظفون!$B89="","",الموظفون!$B89)</f>
        <v/>
      </c>
      <c r="C89" s="102" t="str">
        <f aca="false">IF($B89="","",الموظفون!$C89)</f>
        <v/>
      </c>
      <c r="D89" s="148" t="str">
        <f aca="false">IF($B89="","",الموظفون!$H89)</f>
        <v/>
      </c>
      <c r="E89" s="153" t="str">
        <f aca="false">IF($B89="","",MAX(0,J89-D89+1-SUMIFS('سجل الإجازات والحالات'!$S$6:$S$505,'سجل الإجازات والحالات'!$B$6:$B$505,$B89))/cfg_DAYS_Y)</f>
        <v/>
      </c>
      <c r="F89" s="110" t="str">
        <f aca="false">IF($B89="","",IF(الموظفون!$T89&lt;&gt;"",الموظفون!$T89,IF(E89&gt;=cfg_LV_TH,cfg_LV_D2,cfg_LV_D1)))</f>
        <v/>
      </c>
      <c r="G89" s="101" t="str">
        <f aca="false">IF($B89="","",الموظفون!$R89/cfg_DAYS_M)</f>
        <v/>
      </c>
      <c r="H89" s="131" t="str">
        <f aca="false">IF($B89="","",N(الموظفون!$AC89))</f>
        <v/>
      </c>
      <c r="I89" s="148" t="str">
        <f aca="false">IF($B89="","",MAX(cfg_Y_START,D89))</f>
        <v/>
      </c>
      <c r="J89" s="148" t="str">
        <f aca="false">IF($B89="","",IF(OR(الموظفون!$AE89="",الموظفون!$AE89&gt;cfg_VAL_DATE),cfg_VAL_DATE,الموظفون!$AE89))</f>
        <v/>
      </c>
      <c r="K89" s="110" t="str">
        <f aca="false">IF($B89="","",MAX(0,MAX(0,J89-I89+1)-(SUMIFS('سجل الإجازات والحالات'!$S$6:$S$505,'سجل الإجازات والحالات'!$B$6:$B$505,$B89)-SUMIFS('سجل الإجازات والحالات'!$R$6:$R$505,'سجل الإجازات والحالات'!$B$6:$B$505,$B89))))</f>
        <v/>
      </c>
      <c r="L89" s="131" t="str">
        <f aca="false">IF($B89="","",F89/cfg_DAYS_Y*K89)</f>
        <v/>
      </c>
      <c r="M89" s="131" t="str">
        <f aca="false">IF($B89="","",SUMIFS('سجل الإجازات والحالات'!$T$6:$T$505,'سجل الإجازات والحالات'!$B$6:$B$505,$B89)+SUMIFS('الحركات الشهرية'!$K$6:$K$1005,'الحركات الشهرية'!$B$6:$B$1005,B89,'الحركات الشهرية'!$A$6:$A$1005,"&lt;="&amp;cfg_VAL_M))</f>
        <v/>
      </c>
      <c r="N89" s="131" t="str">
        <f aca="false">IF($B89="","",SUMIFS('الحركات الشهرية'!$L$6:$L$1005,'الحركات الشهرية'!$B$6:$B$1005,B89,'الحركات الشهرية'!$A$6:$A$1005,"&lt;="&amp;cfg_VAL_M))</f>
        <v/>
      </c>
      <c r="O89" s="131" t="str">
        <f aca="false">IF($B89="","",H89+L89-M89-N89)</f>
        <v/>
      </c>
      <c r="P89" s="133" t="str">
        <f aca="false">IF($B89="","",O89*G89)</f>
        <v/>
      </c>
      <c r="Q89" s="101" t="str">
        <f aca="false">IF($B89="","",H89*G89)</f>
        <v/>
      </c>
      <c r="R89" s="101" t="str">
        <f aca="false">IF($B89="","",(M89+N89)*G89)</f>
        <v/>
      </c>
      <c r="S89" s="102" t="str">
        <f aca="false">IF($B89="","",IF(O89&lt;-0.01,"✖ رصيد سالب",IF(O89&gt;F89*2,"⚠ رصيد مرتفع (أكثر من سنتين)",IF(AND(الموظفون!$AE89&lt;&gt;"",الموظفون!$AE89&lt;=cfg_VAL_DATE,O89&gt;0.01),"⚠ منتهي الخدمة برصيد","✔ سليم"))))</f>
        <v/>
      </c>
    </row>
    <row r="90" customFormat="false" ht="15" hidden="false" customHeight="false" outlineLevel="0" collapsed="false">
      <c r="B90" s="80" t="str">
        <f aca="false">IF(الموظفون!$B90="","",الموظفون!$B90)</f>
        <v/>
      </c>
      <c r="C90" s="80" t="str">
        <f aca="false">IF($B90="","",الموظفون!$C90)</f>
        <v/>
      </c>
      <c r="D90" s="147" t="str">
        <f aca="false">IF($B90="","",الموظفون!$H90)</f>
        <v/>
      </c>
      <c r="E90" s="152" t="str">
        <f aca="false">IF($B90="","",MAX(0,J90-D90+1-SUMIFS('سجل الإجازات والحالات'!$S$6:$S$505,'سجل الإجازات والحالات'!$B$6:$B$505,$B90))/cfg_DAYS_Y)</f>
        <v/>
      </c>
      <c r="F90" s="57" t="str">
        <f aca="false">IF($B90="","",IF(الموظفون!$T90&lt;&gt;"",الموظفون!$T90,IF(E90&gt;=cfg_LV_TH,cfg_LV_D2,cfg_LV_D1)))</f>
        <v/>
      </c>
      <c r="G90" s="97" t="str">
        <f aca="false">IF($B90="","",الموظفون!$R90/cfg_DAYS_M)</f>
        <v/>
      </c>
      <c r="H90" s="126" t="str">
        <f aca="false">IF($B90="","",N(الموظفون!$AC90))</f>
        <v/>
      </c>
      <c r="I90" s="147" t="str">
        <f aca="false">IF($B90="","",MAX(cfg_Y_START,D90))</f>
        <v/>
      </c>
      <c r="J90" s="147" t="str">
        <f aca="false">IF($B90="","",IF(OR(الموظفون!$AE90="",الموظفون!$AE90&gt;cfg_VAL_DATE),cfg_VAL_DATE,الموظفون!$AE90))</f>
        <v/>
      </c>
      <c r="K90" s="57" t="str">
        <f aca="false">IF($B90="","",MAX(0,MAX(0,J90-I90+1)-(SUMIFS('سجل الإجازات والحالات'!$S$6:$S$505,'سجل الإجازات والحالات'!$B$6:$B$505,$B90)-SUMIFS('سجل الإجازات والحالات'!$R$6:$R$505,'سجل الإجازات والحالات'!$B$6:$B$505,$B90))))</f>
        <v/>
      </c>
      <c r="L90" s="126" t="str">
        <f aca="false">IF($B90="","",F90/cfg_DAYS_Y*K90)</f>
        <v/>
      </c>
      <c r="M90" s="126" t="str">
        <f aca="false">IF($B90="","",SUMIFS('سجل الإجازات والحالات'!$T$6:$T$505,'سجل الإجازات والحالات'!$B$6:$B$505,$B90)+SUMIFS('الحركات الشهرية'!$K$6:$K$1005,'الحركات الشهرية'!$B$6:$B$1005,B90,'الحركات الشهرية'!$A$6:$A$1005,"&lt;="&amp;cfg_VAL_M))</f>
        <v/>
      </c>
      <c r="N90" s="126" t="str">
        <f aca="false">IF($B90="","",SUMIFS('الحركات الشهرية'!$L$6:$L$1005,'الحركات الشهرية'!$B$6:$B$1005,B90,'الحركات الشهرية'!$A$6:$A$1005,"&lt;="&amp;cfg_VAL_M))</f>
        <v/>
      </c>
      <c r="O90" s="126" t="str">
        <f aca="false">IF($B90="","",H90+L90-M90-N90)</f>
        <v/>
      </c>
      <c r="P90" s="128" t="str">
        <f aca="false">IF($B90="","",O90*G90)</f>
        <v/>
      </c>
      <c r="Q90" s="97" t="str">
        <f aca="false">IF($B90="","",H90*G90)</f>
        <v/>
      </c>
      <c r="R90" s="97" t="str">
        <f aca="false">IF($B90="","",(M90+N90)*G90)</f>
        <v/>
      </c>
      <c r="S90" s="80" t="str">
        <f aca="false">IF($B90="","",IF(O90&lt;-0.01,"✖ رصيد سالب",IF(O90&gt;F90*2,"⚠ رصيد مرتفع (أكثر من سنتين)",IF(AND(الموظفون!$AE90&lt;&gt;"",الموظفون!$AE90&lt;=cfg_VAL_DATE,O90&gt;0.01),"⚠ منتهي الخدمة برصيد","✔ سليم"))))</f>
        <v/>
      </c>
    </row>
    <row r="91" customFormat="false" ht="15" hidden="false" customHeight="false" outlineLevel="0" collapsed="false">
      <c r="B91" s="102" t="str">
        <f aca="false">IF(الموظفون!$B91="","",الموظفون!$B91)</f>
        <v/>
      </c>
      <c r="C91" s="102" t="str">
        <f aca="false">IF($B91="","",الموظفون!$C91)</f>
        <v/>
      </c>
      <c r="D91" s="148" t="str">
        <f aca="false">IF($B91="","",الموظفون!$H91)</f>
        <v/>
      </c>
      <c r="E91" s="153" t="str">
        <f aca="false">IF($B91="","",MAX(0,J91-D91+1-SUMIFS('سجل الإجازات والحالات'!$S$6:$S$505,'سجل الإجازات والحالات'!$B$6:$B$505,$B91))/cfg_DAYS_Y)</f>
        <v/>
      </c>
      <c r="F91" s="110" t="str">
        <f aca="false">IF($B91="","",IF(الموظفون!$T91&lt;&gt;"",الموظفون!$T91,IF(E91&gt;=cfg_LV_TH,cfg_LV_D2,cfg_LV_D1)))</f>
        <v/>
      </c>
      <c r="G91" s="101" t="str">
        <f aca="false">IF($B91="","",الموظفون!$R91/cfg_DAYS_M)</f>
        <v/>
      </c>
      <c r="H91" s="131" t="str">
        <f aca="false">IF($B91="","",N(الموظفون!$AC91))</f>
        <v/>
      </c>
      <c r="I91" s="148" t="str">
        <f aca="false">IF($B91="","",MAX(cfg_Y_START,D91))</f>
        <v/>
      </c>
      <c r="J91" s="148" t="str">
        <f aca="false">IF($B91="","",IF(OR(الموظفون!$AE91="",الموظفون!$AE91&gt;cfg_VAL_DATE),cfg_VAL_DATE,الموظفون!$AE91))</f>
        <v/>
      </c>
      <c r="K91" s="110" t="str">
        <f aca="false">IF($B91="","",MAX(0,MAX(0,J91-I91+1)-(SUMIFS('سجل الإجازات والحالات'!$S$6:$S$505,'سجل الإجازات والحالات'!$B$6:$B$505,$B91)-SUMIFS('سجل الإجازات والحالات'!$R$6:$R$505,'سجل الإجازات والحالات'!$B$6:$B$505,$B91))))</f>
        <v/>
      </c>
      <c r="L91" s="131" t="str">
        <f aca="false">IF($B91="","",F91/cfg_DAYS_Y*K91)</f>
        <v/>
      </c>
      <c r="M91" s="131" t="str">
        <f aca="false">IF($B91="","",SUMIFS('سجل الإجازات والحالات'!$T$6:$T$505,'سجل الإجازات والحالات'!$B$6:$B$505,$B91)+SUMIFS('الحركات الشهرية'!$K$6:$K$1005,'الحركات الشهرية'!$B$6:$B$1005,B91,'الحركات الشهرية'!$A$6:$A$1005,"&lt;="&amp;cfg_VAL_M))</f>
        <v/>
      </c>
      <c r="N91" s="131" t="str">
        <f aca="false">IF($B91="","",SUMIFS('الحركات الشهرية'!$L$6:$L$1005,'الحركات الشهرية'!$B$6:$B$1005,B91,'الحركات الشهرية'!$A$6:$A$1005,"&lt;="&amp;cfg_VAL_M))</f>
        <v/>
      </c>
      <c r="O91" s="131" t="str">
        <f aca="false">IF($B91="","",H91+L91-M91-N91)</f>
        <v/>
      </c>
      <c r="P91" s="133" t="str">
        <f aca="false">IF($B91="","",O91*G91)</f>
        <v/>
      </c>
      <c r="Q91" s="101" t="str">
        <f aca="false">IF($B91="","",H91*G91)</f>
        <v/>
      </c>
      <c r="R91" s="101" t="str">
        <f aca="false">IF($B91="","",(M91+N91)*G91)</f>
        <v/>
      </c>
      <c r="S91" s="102" t="str">
        <f aca="false">IF($B91="","",IF(O91&lt;-0.01,"✖ رصيد سالب",IF(O91&gt;F91*2,"⚠ رصيد مرتفع (أكثر من سنتين)",IF(AND(الموظفون!$AE91&lt;&gt;"",الموظفون!$AE91&lt;=cfg_VAL_DATE,O91&gt;0.01),"⚠ منتهي الخدمة برصيد","✔ سليم"))))</f>
        <v/>
      </c>
    </row>
    <row r="92" customFormat="false" ht="15" hidden="false" customHeight="false" outlineLevel="0" collapsed="false">
      <c r="B92" s="80" t="str">
        <f aca="false">IF(الموظفون!$B92="","",الموظفون!$B92)</f>
        <v/>
      </c>
      <c r="C92" s="80" t="str">
        <f aca="false">IF($B92="","",الموظفون!$C92)</f>
        <v/>
      </c>
      <c r="D92" s="147" t="str">
        <f aca="false">IF($B92="","",الموظفون!$H92)</f>
        <v/>
      </c>
      <c r="E92" s="152" t="str">
        <f aca="false">IF($B92="","",MAX(0,J92-D92+1-SUMIFS('سجل الإجازات والحالات'!$S$6:$S$505,'سجل الإجازات والحالات'!$B$6:$B$505,$B92))/cfg_DAYS_Y)</f>
        <v/>
      </c>
      <c r="F92" s="57" t="str">
        <f aca="false">IF($B92="","",IF(الموظفون!$T92&lt;&gt;"",الموظفون!$T92,IF(E92&gt;=cfg_LV_TH,cfg_LV_D2,cfg_LV_D1)))</f>
        <v/>
      </c>
      <c r="G92" s="97" t="str">
        <f aca="false">IF($B92="","",الموظفون!$R92/cfg_DAYS_M)</f>
        <v/>
      </c>
      <c r="H92" s="126" t="str">
        <f aca="false">IF($B92="","",N(الموظفون!$AC92))</f>
        <v/>
      </c>
      <c r="I92" s="147" t="str">
        <f aca="false">IF($B92="","",MAX(cfg_Y_START,D92))</f>
        <v/>
      </c>
      <c r="J92" s="147" t="str">
        <f aca="false">IF($B92="","",IF(OR(الموظفون!$AE92="",الموظفون!$AE92&gt;cfg_VAL_DATE),cfg_VAL_DATE,الموظفون!$AE92))</f>
        <v/>
      </c>
      <c r="K92" s="57" t="str">
        <f aca="false">IF($B92="","",MAX(0,MAX(0,J92-I92+1)-(SUMIFS('سجل الإجازات والحالات'!$S$6:$S$505,'سجل الإجازات والحالات'!$B$6:$B$505,$B92)-SUMIFS('سجل الإجازات والحالات'!$R$6:$R$505,'سجل الإجازات والحالات'!$B$6:$B$505,$B92))))</f>
        <v/>
      </c>
      <c r="L92" s="126" t="str">
        <f aca="false">IF($B92="","",F92/cfg_DAYS_Y*K92)</f>
        <v/>
      </c>
      <c r="M92" s="126" t="str">
        <f aca="false">IF($B92="","",SUMIFS('سجل الإجازات والحالات'!$T$6:$T$505,'سجل الإجازات والحالات'!$B$6:$B$505,$B92)+SUMIFS('الحركات الشهرية'!$K$6:$K$1005,'الحركات الشهرية'!$B$6:$B$1005,B92,'الحركات الشهرية'!$A$6:$A$1005,"&lt;="&amp;cfg_VAL_M))</f>
        <v/>
      </c>
      <c r="N92" s="126" t="str">
        <f aca="false">IF($B92="","",SUMIFS('الحركات الشهرية'!$L$6:$L$1005,'الحركات الشهرية'!$B$6:$B$1005,B92,'الحركات الشهرية'!$A$6:$A$1005,"&lt;="&amp;cfg_VAL_M))</f>
        <v/>
      </c>
      <c r="O92" s="126" t="str">
        <f aca="false">IF($B92="","",H92+L92-M92-N92)</f>
        <v/>
      </c>
      <c r="P92" s="128" t="str">
        <f aca="false">IF($B92="","",O92*G92)</f>
        <v/>
      </c>
      <c r="Q92" s="97" t="str">
        <f aca="false">IF($B92="","",H92*G92)</f>
        <v/>
      </c>
      <c r="R92" s="97" t="str">
        <f aca="false">IF($B92="","",(M92+N92)*G92)</f>
        <v/>
      </c>
      <c r="S92" s="80" t="str">
        <f aca="false">IF($B92="","",IF(O92&lt;-0.01,"✖ رصيد سالب",IF(O92&gt;F92*2,"⚠ رصيد مرتفع (أكثر من سنتين)",IF(AND(الموظفون!$AE92&lt;&gt;"",الموظفون!$AE92&lt;=cfg_VAL_DATE,O92&gt;0.01),"⚠ منتهي الخدمة برصيد","✔ سليم"))))</f>
        <v/>
      </c>
    </row>
    <row r="93" customFormat="false" ht="15" hidden="false" customHeight="false" outlineLevel="0" collapsed="false">
      <c r="B93" s="102" t="str">
        <f aca="false">IF(الموظفون!$B93="","",الموظفون!$B93)</f>
        <v/>
      </c>
      <c r="C93" s="102" t="str">
        <f aca="false">IF($B93="","",الموظفون!$C93)</f>
        <v/>
      </c>
      <c r="D93" s="148" t="str">
        <f aca="false">IF($B93="","",الموظفون!$H93)</f>
        <v/>
      </c>
      <c r="E93" s="153" t="str">
        <f aca="false">IF($B93="","",MAX(0,J93-D93+1-SUMIFS('سجل الإجازات والحالات'!$S$6:$S$505,'سجل الإجازات والحالات'!$B$6:$B$505,$B93))/cfg_DAYS_Y)</f>
        <v/>
      </c>
      <c r="F93" s="110" t="str">
        <f aca="false">IF($B93="","",IF(الموظفون!$T93&lt;&gt;"",الموظفون!$T93,IF(E93&gt;=cfg_LV_TH,cfg_LV_D2,cfg_LV_D1)))</f>
        <v/>
      </c>
      <c r="G93" s="101" t="str">
        <f aca="false">IF($B93="","",الموظفون!$R93/cfg_DAYS_M)</f>
        <v/>
      </c>
      <c r="H93" s="131" t="str">
        <f aca="false">IF($B93="","",N(الموظفون!$AC93))</f>
        <v/>
      </c>
      <c r="I93" s="148" t="str">
        <f aca="false">IF($B93="","",MAX(cfg_Y_START,D93))</f>
        <v/>
      </c>
      <c r="J93" s="148" t="str">
        <f aca="false">IF($B93="","",IF(OR(الموظفون!$AE93="",الموظفون!$AE93&gt;cfg_VAL_DATE),cfg_VAL_DATE,الموظفون!$AE93))</f>
        <v/>
      </c>
      <c r="K93" s="110" t="str">
        <f aca="false">IF($B93="","",MAX(0,MAX(0,J93-I93+1)-(SUMIFS('سجل الإجازات والحالات'!$S$6:$S$505,'سجل الإجازات والحالات'!$B$6:$B$505,$B93)-SUMIFS('سجل الإجازات والحالات'!$R$6:$R$505,'سجل الإجازات والحالات'!$B$6:$B$505,$B93))))</f>
        <v/>
      </c>
      <c r="L93" s="131" t="str">
        <f aca="false">IF($B93="","",F93/cfg_DAYS_Y*K93)</f>
        <v/>
      </c>
      <c r="M93" s="131" t="str">
        <f aca="false">IF($B93="","",SUMIFS('سجل الإجازات والحالات'!$T$6:$T$505,'سجل الإجازات والحالات'!$B$6:$B$505,$B93)+SUMIFS('الحركات الشهرية'!$K$6:$K$1005,'الحركات الشهرية'!$B$6:$B$1005,B93,'الحركات الشهرية'!$A$6:$A$1005,"&lt;="&amp;cfg_VAL_M))</f>
        <v/>
      </c>
      <c r="N93" s="131" t="str">
        <f aca="false">IF($B93="","",SUMIFS('الحركات الشهرية'!$L$6:$L$1005,'الحركات الشهرية'!$B$6:$B$1005,B93,'الحركات الشهرية'!$A$6:$A$1005,"&lt;="&amp;cfg_VAL_M))</f>
        <v/>
      </c>
      <c r="O93" s="131" t="str">
        <f aca="false">IF($B93="","",H93+L93-M93-N93)</f>
        <v/>
      </c>
      <c r="P93" s="133" t="str">
        <f aca="false">IF($B93="","",O93*G93)</f>
        <v/>
      </c>
      <c r="Q93" s="101" t="str">
        <f aca="false">IF($B93="","",H93*G93)</f>
        <v/>
      </c>
      <c r="R93" s="101" t="str">
        <f aca="false">IF($B93="","",(M93+N93)*G93)</f>
        <v/>
      </c>
      <c r="S93" s="102" t="str">
        <f aca="false">IF($B93="","",IF(O93&lt;-0.01,"✖ رصيد سالب",IF(O93&gt;F93*2,"⚠ رصيد مرتفع (أكثر من سنتين)",IF(AND(الموظفون!$AE93&lt;&gt;"",الموظفون!$AE93&lt;=cfg_VAL_DATE,O93&gt;0.01),"⚠ منتهي الخدمة برصيد","✔ سليم"))))</f>
        <v/>
      </c>
    </row>
    <row r="94" customFormat="false" ht="15" hidden="false" customHeight="false" outlineLevel="0" collapsed="false">
      <c r="B94" s="80" t="str">
        <f aca="false">IF(الموظفون!$B94="","",الموظفون!$B94)</f>
        <v/>
      </c>
      <c r="C94" s="80" t="str">
        <f aca="false">IF($B94="","",الموظفون!$C94)</f>
        <v/>
      </c>
      <c r="D94" s="147" t="str">
        <f aca="false">IF($B94="","",الموظفون!$H94)</f>
        <v/>
      </c>
      <c r="E94" s="152" t="str">
        <f aca="false">IF($B94="","",MAX(0,J94-D94+1-SUMIFS('سجل الإجازات والحالات'!$S$6:$S$505,'سجل الإجازات والحالات'!$B$6:$B$505,$B94))/cfg_DAYS_Y)</f>
        <v/>
      </c>
      <c r="F94" s="57" t="str">
        <f aca="false">IF($B94="","",IF(الموظفون!$T94&lt;&gt;"",الموظفون!$T94,IF(E94&gt;=cfg_LV_TH,cfg_LV_D2,cfg_LV_D1)))</f>
        <v/>
      </c>
      <c r="G94" s="97" t="str">
        <f aca="false">IF($B94="","",الموظفون!$R94/cfg_DAYS_M)</f>
        <v/>
      </c>
      <c r="H94" s="126" t="str">
        <f aca="false">IF($B94="","",N(الموظفون!$AC94))</f>
        <v/>
      </c>
      <c r="I94" s="147" t="str">
        <f aca="false">IF($B94="","",MAX(cfg_Y_START,D94))</f>
        <v/>
      </c>
      <c r="J94" s="147" t="str">
        <f aca="false">IF($B94="","",IF(OR(الموظفون!$AE94="",الموظفون!$AE94&gt;cfg_VAL_DATE),cfg_VAL_DATE,الموظفون!$AE94))</f>
        <v/>
      </c>
      <c r="K94" s="57" t="str">
        <f aca="false">IF($B94="","",MAX(0,MAX(0,J94-I94+1)-(SUMIFS('سجل الإجازات والحالات'!$S$6:$S$505,'سجل الإجازات والحالات'!$B$6:$B$505,$B94)-SUMIFS('سجل الإجازات والحالات'!$R$6:$R$505,'سجل الإجازات والحالات'!$B$6:$B$505,$B94))))</f>
        <v/>
      </c>
      <c r="L94" s="126" t="str">
        <f aca="false">IF($B94="","",F94/cfg_DAYS_Y*K94)</f>
        <v/>
      </c>
      <c r="M94" s="126" t="str">
        <f aca="false">IF($B94="","",SUMIFS('سجل الإجازات والحالات'!$T$6:$T$505,'سجل الإجازات والحالات'!$B$6:$B$505,$B94)+SUMIFS('الحركات الشهرية'!$K$6:$K$1005,'الحركات الشهرية'!$B$6:$B$1005,B94,'الحركات الشهرية'!$A$6:$A$1005,"&lt;="&amp;cfg_VAL_M))</f>
        <v/>
      </c>
      <c r="N94" s="126" t="str">
        <f aca="false">IF($B94="","",SUMIFS('الحركات الشهرية'!$L$6:$L$1005,'الحركات الشهرية'!$B$6:$B$1005,B94,'الحركات الشهرية'!$A$6:$A$1005,"&lt;="&amp;cfg_VAL_M))</f>
        <v/>
      </c>
      <c r="O94" s="126" t="str">
        <f aca="false">IF($B94="","",H94+L94-M94-N94)</f>
        <v/>
      </c>
      <c r="P94" s="128" t="str">
        <f aca="false">IF($B94="","",O94*G94)</f>
        <v/>
      </c>
      <c r="Q94" s="97" t="str">
        <f aca="false">IF($B94="","",H94*G94)</f>
        <v/>
      </c>
      <c r="R94" s="97" t="str">
        <f aca="false">IF($B94="","",(M94+N94)*G94)</f>
        <v/>
      </c>
      <c r="S94" s="80" t="str">
        <f aca="false">IF($B94="","",IF(O94&lt;-0.01,"✖ رصيد سالب",IF(O94&gt;F94*2,"⚠ رصيد مرتفع (أكثر من سنتين)",IF(AND(الموظفون!$AE94&lt;&gt;"",الموظفون!$AE94&lt;=cfg_VAL_DATE,O94&gt;0.01),"⚠ منتهي الخدمة برصيد","✔ سليم"))))</f>
        <v/>
      </c>
    </row>
    <row r="95" customFormat="false" ht="15" hidden="false" customHeight="false" outlineLevel="0" collapsed="false">
      <c r="B95" s="102" t="str">
        <f aca="false">IF(الموظفون!$B95="","",الموظفون!$B95)</f>
        <v/>
      </c>
      <c r="C95" s="102" t="str">
        <f aca="false">IF($B95="","",الموظفون!$C95)</f>
        <v/>
      </c>
      <c r="D95" s="148" t="str">
        <f aca="false">IF($B95="","",الموظفون!$H95)</f>
        <v/>
      </c>
      <c r="E95" s="153" t="str">
        <f aca="false">IF($B95="","",MAX(0,J95-D95+1-SUMIFS('سجل الإجازات والحالات'!$S$6:$S$505,'سجل الإجازات والحالات'!$B$6:$B$505,$B95))/cfg_DAYS_Y)</f>
        <v/>
      </c>
      <c r="F95" s="110" t="str">
        <f aca="false">IF($B95="","",IF(الموظفون!$T95&lt;&gt;"",الموظفون!$T95,IF(E95&gt;=cfg_LV_TH,cfg_LV_D2,cfg_LV_D1)))</f>
        <v/>
      </c>
      <c r="G95" s="101" t="str">
        <f aca="false">IF($B95="","",الموظفون!$R95/cfg_DAYS_M)</f>
        <v/>
      </c>
      <c r="H95" s="131" t="str">
        <f aca="false">IF($B95="","",N(الموظفون!$AC95))</f>
        <v/>
      </c>
      <c r="I95" s="148" t="str">
        <f aca="false">IF($B95="","",MAX(cfg_Y_START,D95))</f>
        <v/>
      </c>
      <c r="J95" s="148" t="str">
        <f aca="false">IF($B95="","",IF(OR(الموظفون!$AE95="",الموظفون!$AE95&gt;cfg_VAL_DATE),cfg_VAL_DATE,الموظفون!$AE95))</f>
        <v/>
      </c>
      <c r="K95" s="110" t="str">
        <f aca="false">IF($B95="","",MAX(0,MAX(0,J95-I95+1)-(SUMIFS('سجل الإجازات والحالات'!$S$6:$S$505,'سجل الإجازات والحالات'!$B$6:$B$505,$B95)-SUMIFS('سجل الإجازات والحالات'!$R$6:$R$505,'سجل الإجازات والحالات'!$B$6:$B$505,$B95))))</f>
        <v/>
      </c>
      <c r="L95" s="131" t="str">
        <f aca="false">IF($B95="","",F95/cfg_DAYS_Y*K95)</f>
        <v/>
      </c>
      <c r="M95" s="131" t="str">
        <f aca="false">IF($B95="","",SUMIFS('سجل الإجازات والحالات'!$T$6:$T$505,'سجل الإجازات والحالات'!$B$6:$B$505,$B95)+SUMIFS('الحركات الشهرية'!$K$6:$K$1005,'الحركات الشهرية'!$B$6:$B$1005,B95,'الحركات الشهرية'!$A$6:$A$1005,"&lt;="&amp;cfg_VAL_M))</f>
        <v/>
      </c>
      <c r="N95" s="131" t="str">
        <f aca="false">IF($B95="","",SUMIFS('الحركات الشهرية'!$L$6:$L$1005,'الحركات الشهرية'!$B$6:$B$1005,B95,'الحركات الشهرية'!$A$6:$A$1005,"&lt;="&amp;cfg_VAL_M))</f>
        <v/>
      </c>
      <c r="O95" s="131" t="str">
        <f aca="false">IF($B95="","",H95+L95-M95-N95)</f>
        <v/>
      </c>
      <c r="P95" s="133" t="str">
        <f aca="false">IF($B95="","",O95*G95)</f>
        <v/>
      </c>
      <c r="Q95" s="101" t="str">
        <f aca="false">IF($B95="","",H95*G95)</f>
        <v/>
      </c>
      <c r="R95" s="101" t="str">
        <f aca="false">IF($B95="","",(M95+N95)*G95)</f>
        <v/>
      </c>
      <c r="S95" s="102" t="str">
        <f aca="false">IF($B95="","",IF(O95&lt;-0.01,"✖ رصيد سالب",IF(O95&gt;F95*2,"⚠ رصيد مرتفع (أكثر من سنتين)",IF(AND(الموظفون!$AE95&lt;&gt;"",الموظفون!$AE95&lt;=cfg_VAL_DATE,O95&gt;0.01),"⚠ منتهي الخدمة برصيد","✔ سليم"))))</f>
        <v/>
      </c>
    </row>
    <row r="96" customFormat="false" ht="15" hidden="false" customHeight="false" outlineLevel="0" collapsed="false">
      <c r="B96" s="80" t="str">
        <f aca="false">IF(الموظفون!$B96="","",الموظفون!$B96)</f>
        <v/>
      </c>
      <c r="C96" s="80" t="str">
        <f aca="false">IF($B96="","",الموظفون!$C96)</f>
        <v/>
      </c>
      <c r="D96" s="147" t="str">
        <f aca="false">IF($B96="","",الموظفون!$H96)</f>
        <v/>
      </c>
      <c r="E96" s="152" t="str">
        <f aca="false">IF($B96="","",MAX(0,J96-D96+1-SUMIFS('سجل الإجازات والحالات'!$S$6:$S$505,'سجل الإجازات والحالات'!$B$6:$B$505,$B96))/cfg_DAYS_Y)</f>
        <v/>
      </c>
      <c r="F96" s="57" t="str">
        <f aca="false">IF($B96="","",IF(الموظفون!$T96&lt;&gt;"",الموظفون!$T96,IF(E96&gt;=cfg_LV_TH,cfg_LV_D2,cfg_LV_D1)))</f>
        <v/>
      </c>
      <c r="G96" s="97" t="str">
        <f aca="false">IF($B96="","",الموظفون!$R96/cfg_DAYS_M)</f>
        <v/>
      </c>
      <c r="H96" s="126" t="str">
        <f aca="false">IF($B96="","",N(الموظفون!$AC96))</f>
        <v/>
      </c>
      <c r="I96" s="147" t="str">
        <f aca="false">IF($B96="","",MAX(cfg_Y_START,D96))</f>
        <v/>
      </c>
      <c r="J96" s="147" t="str">
        <f aca="false">IF($B96="","",IF(OR(الموظفون!$AE96="",الموظفون!$AE96&gt;cfg_VAL_DATE),cfg_VAL_DATE,الموظفون!$AE96))</f>
        <v/>
      </c>
      <c r="K96" s="57" t="str">
        <f aca="false">IF($B96="","",MAX(0,MAX(0,J96-I96+1)-(SUMIFS('سجل الإجازات والحالات'!$S$6:$S$505,'سجل الإجازات والحالات'!$B$6:$B$505,$B96)-SUMIFS('سجل الإجازات والحالات'!$R$6:$R$505,'سجل الإجازات والحالات'!$B$6:$B$505,$B96))))</f>
        <v/>
      </c>
      <c r="L96" s="126" t="str">
        <f aca="false">IF($B96="","",F96/cfg_DAYS_Y*K96)</f>
        <v/>
      </c>
      <c r="M96" s="126" t="str">
        <f aca="false">IF($B96="","",SUMIFS('سجل الإجازات والحالات'!$T$6:$T$505,'سجل الإجازات والحالات'!$B$6:$B$505,$B96)+SUMIFS('الحركات الشهرية'!$K$6:$K$1005,'الحركات الشهرية'!$B$6:$B$1005,B96,'الحركات الشهرية'!$A$6:$A$1005,"&lt;="&amp;cfg_VAL_M))</f>
        <v/>
      </c>
      <c r="N96" s="126" t="str">
        <f aca="false">IF($B96="","",SUMIFS('الحركات الشهرية'!$L$6:$L$1005,'الحركات الشهرية'!$B$6:$B$1005,B96,'الحركات الشهرية'!$A$6:$A$1005,"&lt;="&amp;cfg_VAL_M))</f>
        <v/>
      </c>
      <c r="O96" s="126" t="str">
        <f aca="false">IF($B96="","",H96+L96-M96-N96)</f>
        <v/>
      </c>
      <c r="P96" s="128" t="str">
        <f aca="false">IF($B96="","",O96*G96)</f>
        <v/>
      </c>
      <c r="Q96" s="97" t="str">
        <f aca="false">IF($B96="","",H96*G96)</f>
        <v/>
      </c>
      <c r="R96" s="97" t="str">
        <f aca="false">IF($B96="","",(M96+N96)*G96)</f>
        <v/>
      </c>
      <c r="S96" s="80" t="str">
        <f aca="false">IF($B96="","",IF(O96&lt;-0.01,"✖ رصيد سالب",IF(O96&gt;F96*2,"⚠ رصيد مرتفع (أكثر من سنتين)",IF(AND(الموظفون!$AE96&lt;&gt;"",الموظفون!$AE96&lt;=cfg_VAL_DATE,O96&gt;0.01),"⚠ منتهي الخدمة برصيد","✔ سليم"))))</f>
        <v/>
      </c>
    </row>
    <row r="97" customFormat="false" ht="15" hidden="false" customHeight="false" outlineLevel="0" collapsed="false">
      <c r="B97" s="102" t="str">
        <f aca="false">IF(الموظفون!$B97="","",الموظفون!$B97)</f>
        <v/>
      </c>
      <c r="C97" s="102" t="str">
        <f aca="false">IF($B97="","",الموظفون!$C97)</f>
        <v/>
      </c>
      <c r="D97" s="148" t="str">
        <f aca="false">IF($B97="","",الموظفون!$H97)</f>
        <v/>
      </c>
      <c r="E97" s="153" t="str">
        <f aca="false">IF($B97="","",MAX(0,J97-D97+1-SUMIFS('سجل الإجازات والحالات'!$S$6:$S$505,'سجل الإجازات والحالات'!$B$6:$B$505,$B97))/cfg_DAYS_Y)</f>
        <v/>
      </c>
      <c r="F97" s="110" t="str">
        <f aca="false">IF($B97="","",IF(الموظفون!$T97&lt;&gt;"",الموظفون!$T97,IF(E97&gt;=cfg_LV_TH,cfg_LV_D2,cfg_LV_D1)))</f>
        <v/>
      </c>
      <c r="G97" s="101" t="str">
        <f aca="false">IF($B97="","",الموظفون!$R97/cfg_DAYS_M)</f>
        <v/>
      </c>
      <c r="H97" s="131" t="str">
        <f aca="false">IF($B97="","",N(الموظفون!$AC97))</f>
        <v/>
      </c>
      <c r="I97" s="148" t="str">
        <f aca="false">IF($B97="","",MAX(cfg_Y_START,D97))</f>
        <v/>
      </c>
      <c r="J97" s="148" t="str">
        <f aca="false">IF($B97="","",IF(OR(الموظفون!$AE97="",الموظفون!$AE97&gt;cfg_VAL_DATE),cfg_VAL_DATE,الموظفون!$AE97))</f>
        <v/>
      </c>
      <c r="K97" s="110" t="str">
        <f aca="false">IF($B97="","",MAX(0,MAX(0,J97-I97+1)-(SUMIFS('سجل الإجازات والحالات'!$S$6:$S$505,'سجل الإجازات والحالات'!$B$6:$B$505,$B97)-SUMIFS('سجل الإجازات والحالات'!$R$6:$R$505,'سجل الإجازات والحالات'!$B$6:$B$505,$B97))))</f>
        <v/>
      </c>
      <c r="L97" s="131" t="str">
        <f aca="false">IF($B97="","",F97/cfg_DAYS_Y*K97)</f>
        <v/>
      </c>
      <c r="M97" s="131" t="str">
        <f aca="false">IF($B97="","",SUMIFS('سجل الإجازات والحالات'!$T$6:$T$505,'سجل الإجازات والحالات'!$B$6:$B$505,$B97)+SUMIFS('الحركات الشهرية'!$K$6:$K$1005,'الحركات الشهرية'!$B$6:$B$1005,B97,'الحركات الشهرية'!$A$6:$A$1005,"&lt;="&amp;cfg_VAL_M))</f>
        <v/>
      </c>
      <c r="N97" s="131" t="str">
        <f aca="false">IF($B97="","",SUMIFS('الحركات الشهرية'!$L$6:$L$1005,'الحركات الشهرية'!$B$6:$B$1005,B97,'الحركات الشهرية'!$A$6:$A$1005,"&lt;="&amp;cfg_VAL_M))</f>
        <v/>
      </c>
      <c r="O97" s="131" t="str">
        <f aca="false">IF($B97="","",H97+L97-M97-N97)</f>
        <v/>
      </c>
      <c r="P97" s="133" t="str">
        <f aca="false">IF($B97="","",O97*G97)</f>
        <v/>
      </c>
      <c r="Q97" s="101" t="str">
        <f aca="false">IF($B97="","",H97*G97)</f>
        <v/>
      </c>
      <c r="R97" s="101" t="str">
        <f aca="false">IF($B97="","",(M97+N97)*G97)</f>
        <v/>
      </c>
      <c r="S97" s="102" t="str">
        <f aca="false">IF($B97="","",IF(O97&lt;-0.01,"✖ رصيد سالب",IF(O97&gt;F97*2,"⚠ رصيد مرتفع (أكثر من سنتين)",IF(AND(الموظفون!$AE97&lt;&gt;"",الموظفون!$AE97&lt;=cfg_VAL_DATE,O97&gt;0.01),"⚠ منتهي الخدمة برصيد","✔ سليم"))))</f>
        <v/>
      </c>
    </row>
    <row r="98" customFormat="false" ht="15" hidden="false" customHeight="false" outlineLevel="0" collapsed="false">
      <c r="B98" s="80" t="str">
        <f aca="false">IF(الموظفون!$B98="","",الموظفون!$B98)</f>
        <v/>
      </c>
      <c r="C98" s="80" t="str">
        <f aca="false">IF($B98="","",الموظفون!$C98)</f>
        <v/>
      </c>
      <c r="D98" s="147" t="str">
        <f aca="false">IF($B98="","",الموظفون!$H98)</f>
        <v/>
      </c>
      <c r="E98" s="152" t="str">
        <f aca="false">IF($B98="","",MAX(0,J98-D98+1-SUMIFS('سجل الإجازات والحالات'!$S$6:$S$505,'سجل الإجازات والحالات'!$B$6:$B$505,$B98))/cfg_DAYS_Y)</f>
        <v/>
      </c>
      <c r="F98" s="57" t="str">
        <f aca="false">IF($B98="","",IF(الموظفون!$T98&lt;&gt;"",الموظفون!$T98,IF(E98&gt;=cfg_LV_TH,cfg_LV_D2,cfg_LV_D1)))</f>
        <v/>
      </c>
      <c r="G98" s="97" t="str">
        <f aca="false">IF($B98="","",الموظفون!$R98/cfg_DAYS_M)</f>
        <v/>
      </c>
      <c r="H98" s="126" t="str">
        <f aca="false">IF($B98="","",N(الموظفون!$AC98))</f>
        <v/>
      </c>
      <c r="I98" s="147" t="str">
        <f aca="false">IF($B98="","",MAX(cfg_Y_START,D98))</f>
        <v/>
      </c>
      <c r="J98" s="147" t="str">
        <f aca="false">IF($B98="","",IF(OR(الموظفون!$AE98="",الموظفون!$AE98&gt;cfg_VAL_DATE),cfg_VAL_DATE,الموظفون!$AE98))</f>
        <v/>
      </c>
      <c r="K98" s="57" t="str">
        <f aca="false">IF($B98="","",MAX(0,MAX(0,J98-I98+1)-(SUMIFS('سجل الإجازات والحالات'!$S$6:$S$505,'سجل الإجازات والحالات'!$B$6:$B$505,$B98)-SUMIFS('سجل الإجازات والحالات'!$R$6:$R$505,'سجل الإجازات والحالات'!$B$6:$B$505,$B98))))</f>
        <v/>
      </c>
      <c r="L98" s="126" t="str">
        <f aca="false">IF($B98="","",F98/cfg_DAYS_Y*K98)</f>
        <v/>
      </c>
      <c r="M98" s="126" t="str">
        <f aca="false">IF($B98="","",SUMIFS('سجل الإجازات والحالات'!$T$6:$T$505,'سجل الإجازات والحالات'!$B$6:$B$505,$B98)+SUMIFS('الحركات الشهرية'!$K$6:$K$1005,'الحركات الشهرية'!$B$6:$B$1005,B98,'الحركات الشهرية'!$A$6:$A$1005,"&lt;="&amp;cfg_VAL_M))</f>
        <v/>
      </c>
      <c r="N98" s="126" t="str">
        <f aca="false">IF($B98="","",SUMIFS('الحركات الشهرية'!$L$6:$L$1005,'الحركات الشهرية'!$B$6:$B$1005,B98,'الحركات الشهرية'!$A$6:$A$1005,"&lt;="&amp;cfg_VAL_M))</f>
        <v/>
      </c>
      <c r="O98" s="126" t="str">
        <f aca="false">IF($B98="","",H98+L98-M98-N98)</f>
        <v/>
      </c>
      <c r="P98" s="128" t="str">
        <f aca="false">IF($B98="","",O98*G98)</f>
        <v/>
      </c>
      <c r="Q98" s="97" t="str">
        <f aca="false">IF($B98="","",H98*G98)</f>
        <v/>
      </c>
      <c r="R98" s="97" t="str">
        <f aca="false">IF($B98="","",(M98+N98)*G98)</f>
        <v/>
      </c>
      <c r="S98" s="80" t="str">
        <f aca="false">IF($B98="","",IF(O98&lt;-0.01,"✖ رصيد سالب",IF(O98&gt;F98*2,"⚠ رصيد مرتفع (أكثر من سنتين)",IF(AND(الموظفون!$AE98&lt;&gt;"",الموظفون!$AE98&lt;=cfg_VAL_DATE,O98&gt;0.01),"⚠ منتهي الخدمة برصيد","✔ سليم"))))</f>
        <v/>
      </c>
    </row>
    <row r="99" customFormat="false" ht="15" hidden="false" customHeight="false" outlineLevel="0" collapsed="false">
      <c r="B99" s="102" t="str">
        <f aca="false">IF(الموظفون!$B99="","",الموظفون!$B99)</f>
        <v/>
      </c>
      <c r="C99" s="102" t="str">
        <f aca="false">IF($B99="","",الموظفون!$C99)</f>
        <v/>
      </c>
      <c r="D99" s="148" t="str">
        <f aca="false">IF($B99="","",الموظفون!$H99)</f>
        <v/>
      </c>
      <c r="E99" s="153" t="str">
        <f aca="false">IF($B99="","",MAX(0,J99-D99+1-SUMIFS('سجل الإجازات والحالات'!$S$6:$S$505,'سجل الإجازات والحالات'!$B$6:$B$505,$B99))/cfg_DAYS_Y)</f>
        <v/>
      </c>
      <c r="F99" s="110" t="str">
        <f aca="false">IF($B99="","",IF(الموظفون!$T99&lt;&gt;"",الموظفون!$T99,IF(E99&gt;=cfg_LV_TH,cfg_LV_D2,cfg_LV_D1)))</f>
        <v/>
      </c>
      <c r="G99" s="101" t="str">
        <f aca="false">IF($B99="","",الموظفون!$R99/cfg_DAYS_M)</f>
        <v/>
      </c>
      <c r="H99" s="131" t="str">
        <f aca="false">IF($B99="","",N(الموظفون!$AC99))</f>
        <v/>
      </c>
      <c r="I99" s="148" t="str">
        <f aca="false">IF($B99="","",MAX(cfg_Y_START,D99))</f>
        <v/>
      </c>
      <c r="J99" s="148" t="str">
        <f aca="false">IF($B99="","",IF(OR(الموظفون!$AE99="",الموظفون!$AE99&gt;cfg_VAL_DATE),cfg_VAL_DATE,الموظفون!$AE99))</f>
        <v/>
      </c>
      <c r="K99" s="110" t="str">
        <f aca="false">IF($B99="","",MAX(0,MAX(0,J99-I99+1)-(SUMIFS('سجل الإجازات والحالات'!$S$6:$S$505,'سجل الإجازات والحالات'!$B$6:$B$505,$B99)-SUMIFS('سجل الإجازات والحالات'!$R$6:$R$505,'سجل الإجازات والحالات'!$B$6:$B$505,$B99))))</f>
        <v/>
      </c>
      <c r="L99" s="131" t="str">
        <f aca="false">IF($B99="","",F99/cfg_DAYS_Y*K99)</f>
        <v/>
      </c>
      <c r="M99" s="131" t="str">
        <f aca="false">IF($B99="","",SUMIFS('سجل الإجازات والحالات'!$T$6:$T$505,'سجل الإجازات والحالات'!$B$6:$B$505,$B99)+SUMIFS('الحركات الشهرية'!$K$6:$K$1005,'الحركات الشهرية'!$B$6:$B$1005,B99,'الحركات الشهرية'!$A$6:$A$1005,"&lt;="&amp;cfg_VAL_M))</f>
        <v/>
      </c>
      <c r="N99" s="131" t="str">
        <f aca="false">IF($B99="","",SUMIFS('الحركات الشهرية'!$L$6:$L$1005,'الحركات الشهرية'!$B$6:$B$1005,B99,'الحركات الشهرية'!$A$6:$A$1005,"&lt;="&amp;cfg_VAL_M))</f>
        <v/>
      </c>
      <c r="O99" s="131" t="str">
        <f aca="false">IF($B99="","",H99+L99-M99-N99)</f>
        <v/>
      </c>
      <c r="P99" s="133" t="str">
        <f aca="false">IF($B99="","",O99*G99)</f>
        <v/>
      </c>
      <c r="Q99" s="101" t="str">
        <f aca="false">IF($B99="","",H99*G99)</f>
        <v/>
      </c>
      <c r="R99" s="101" t="str">
        <f aca="false">IF($B99="","",(M99+N99)*G99)</f>
        <v/>
      </c>
      <c r="S99" s="102" t="str">
        <f aca="false">IF($B99="","",IF(O99&lt;-0.01,"✖ رصيد سالب",IF(O99&gt;F99*2,"⚠ رصيد مرتفع (أكثر من سنتين)",IF(AND(الموظفون!$AE99&lt;&gt;"",الموظفون!$AE99&lt;=cfg_VAL_DATE,O99&gt;0.01),"⚠ منتهي الخدمة برصيد","✔ سليم"))))</f>
        <v/>
      </c>
    </row>
    <row r="100" customFormat="false" ht="15" hidden="false" customHeight="false" outlineLevel="0" collapsed="false">
      <c r="B100" s="80" t="str">
        <f aca="false">IF(الموظفون!$B100="","",الموظفون!$B100)</f>
        <v/>
      </c>
      <c r="C100" s="80" t="str">
        <f aca="false">IF($B100="","",الموظفون!$C100)</f>
        <v/>
      </c>
      <c r="D100" s="147" t="str">
        <f aca="false">IF($B100="","",الموظفون!$H100)</f>
        <v/>
      </c>
      <c r="E100" s="152" t="str">
        <f aca="false">IF($B100="","",MAX(0,J100-D100+1-SUMIFS('سجل الإجازات والحالات'!$S$6:$S$505,'سجل الإجازات والحالات'!$B$6:$B$505,$B100))/cfg_DAYS_Y)</f>
        <v/>
      </c>
      <c r="F100" s="57" t="str">
        <f aca="false">IF($B100="","",IF(الموظفون!$T100&lt;&gt;"",الموظفون!$T100,IF(E100&gt;=cfg_LV_TH,cfg_LV_D2,cfg_LV_D1)))</f>
        <v/>
      </c>
      <c r="G100" s="97" t="str">
        <f aca="false">IF($B100="","",الموظفون!$R100/cfg_DAYS_M)</f>
        <v/>
      </c>
      <c r="H100" s="126" t="str">
        <f aca="false">IF($B100="","",N(الموظفون!$AC100))</f>
        <v/>
      </c>
      <c r="I100" s="147" t="str">
        <f aca="false">IF($B100="","",MAX(cfg_Y_START,D100))</f>
        <v/>
      </c>
      <c r="J100" s="147" t="str">
        <f aca="false">IF($B100="","",IF(OR(الموظفون!$AE100="",الموظفون!$AE100&gt;cfg_VAL_DATE),cfg_VAL_DATE,الموظفون!$AE100))</f>
        <v/>
      </c>
      <c r="K100" s="57" t="str">
        <f aca="false">IF($B100="","",MAX(0,MAX(0,J100-I100+1)-(SUMIFS('سجل الإجازات والحالات'!$S$6:$S$505,'سجل الإجازات والحالات'!$B$6:$B$505,$B100)-SUMIFS('سجل الإجازات والحالات'!$R$6:$R$505,'سجل الإجازات والحالات'!$B$6:$B$505,$B100))))</f>
        <v/>
      </c>
      <c r="L100" s="126" t="str">
        <f aca="false">IF($B100="","",F100/cfg_DAYS_Y*K100)</f>
        <v/>
      </c>
      <c r="M100" s="126" t="str">
        <f aca="false">IF($B100="","",SUMIFS('سجل الإجازات والحالات'!$T$6:$T$505,'سجل الإجازات والحالات'!$B$6:$B$505,$B100)+SUMIFS('الحركات الشهرية'!$K$6:$K$1005,'الحركات الشهرية'!$B$6:$B$1005,B100,'الحركات الشهرية'!$A$6:$A$1005,"&lt;="&amp;cfg_VAL_M))</f>
        <v/>
      </c>
      <c r="N100" s="126" t="str">
        <f aca="false">IF($B100="","",SUMIFS('الحركات الشهرية'!$L$6:$L$1005,'الحركات الشهرية'!$B$6:$B$1005,B100,'الحركات الشهرية'!$A$6:$A$1005,"&lt;="&amp;cfg_VAL_M))</f>
        <v/>
      </c>
      <c r="O100" s="126" t="str">
        <f aca="false">IF($B100="","",H100+L100-M100-N100)</f>
        <v/>
      </c>
      <c r="P100" s="128" t="str">
        <f aca="false">IF($B100="","",O100*G100)</f>
        <v/>
      </c>
      <c r="Q100" s="97" t="str">
        <f aca="false">IF($B100="","",H100*G100)</f>
        <v/>
      </c>
      <c r="R100" s="97" t="str">
        <f aca="false">IF($B100="","",(M100+N100)*G100)</f>
        <v/>
      </c>
      <c r="S100" s="80" t="str">
        <f aca="false">IF($B100="","",IF(O100&lt;-0.01,"✖ رصيد سالب",IF(O100&gt;F100*2,"⚠ رصيد مرتفع (أكثر من سنتين)",IF(AND(الموظفون!$AE100&lt;&gt;"",الموظفون!$AE100&lt;=cfg_VAL_DATE,O100&gt;0.01),"⚠ منتهي الخدمة برصيد","✔ سليم"))))</f>
        <v/>
      </c>
    </row>
    <row r="101" customFormat="false" ht="15" hidden="false" customHeight="false" outlineLevel="0" collapsed="false">
      <c r="B101" s="102" t="str">
        <f aca="false">IF(الموظفون!$B101="","",الموظفون!$B101)</f>
        <v/>
      </c>
      <c r="C101" s="102" t="str">
        <f aca="false">IF($B101="","",الموظفون!$C101)</f>
        <v/>
      </c>
      <c r="D101" s="148" t="str">
        <f aca="false">IF($B101="","",الموظفون!$H101)</f>
        <v/>
      </c>
      <c r="E101" s="153" t="str">
        <f aca="false">IF($B101="","",MAX(0,J101-D101+1-SUMIFS('سجل الإجازات والحالات'!$S$6:$S$505,'سجل الإجازات والحالات'!$B$6:$B$505,$B101))/cfg_DAYS_Y)</f>
        <v/>
      </c>
      <c r="F101" s="110" t="str">
        <f aca="false">IF($B101="","",IF(الموظفون!$T101&lt;&gt;"",الموظفون!$T101,IF(E101&gt;=cfg_LV_TH,cfg_LV_D2,cfg_LV_D1)))</f>
        <v/>
      </c>
      <c r="G101" s="101" t="str">
        <f aca="false">IF($B101="","",الموظفون!$R101/cfg_DAYS_M)</f>
        <v/>
      </c>
      <c r="H101" s="131" t="str">
        <f aca="false">IF($B101="","",N(الموظفون!$AC101))</f>
        <v/>
      </c>
      <c r="I101" s="148" t="str">
        <f aca="false">IF($B101="","",MAX(cfg_Y_START,D101))</f>
        <v/>
      </c>
      <c r="J101" s="148" t="str">
        <f aca="false">IF($B101="","",IF(OR(الموظفون!$AE101="",الموظفون!$AE101&gt;cfg_VAL_DATE),cfg_VAL_DATE,الموظفون!$AE101))</f>
        <v/>
      </c>
      <c r="K101" s="110" t="str">
        <f aca="false">IF($B101="","",MAX(0,MAX(0,J101-I101+1)-(SUMIFS('سجل الإجازات والحالات'!$S$6:$S$505,'سجل الإجازات والحالات'!$B$6:$B$505,$B101)-SUMIFS('سجل الإجازات والحالات'!$R$6:$R$505,'سجل الإجازات والحالات'!$B$6:$B$505,$B101))))</f>
        <v/>
      </c>
      <c r="L101" s="131" t="str">
        <f aca="false">IF($B101="","",F101/cfg_DAYS_Y*K101)</f>
        <v/>
      </c>
      <c r="M101" s="131" t="str">
        <f aca="false">IF($B101="","",SUMIFS('سجل الإجازات والحالات'!$T$6:$T$505,'سجل الإجازات والحالات'!$B$6:$B$505,$B101)+SUMIFS('الحركات الشهرية'!$K$6:$K$1005,'الحركات الشهرية'!$B$6:$B$1005,B101,'الحركات الشهرية'!$A$6:$A$1005,"&lt;="&amp;cfg_VAL_M))</f>
        <v/>
      </c>
      <c r="N101" s="131" t="str">
        <f aca="false">IF($B101="","",SUMIFS('الحركات الشهرية'!$L$6:$L$1005,'الحركات الشهرية'!$B$6:$B$1005,B101,'الحركات الشهرية'!$A$6:$A$1005,"&lt;="&amp;cfg_VAL_M))</f>
        <v/>
      </c>
      <c r="O101" s="131" t="str">
        <f aca="false">IF($B101="","",H101+L101-M101-N101)</f>
        <v/>
      </c>
      <c r="P101" s="133" t="str">
        <f aca="false">IF($B101="","",O101*G101)</f>
        <v/>
      </c>
      <c r="Q101" s="101" t="str">
        <f aca="false">IF($B101="","",H101*G101)</f>
        <v/>
      </c>
      <c r="R101" s="101" t="str">
        <f aca="false">IF($B101="","",(M101+N101)*G101)</f>
        <v/>
      </c>
      <c r="S101" s="102" t="str">
        <f aca="false">IF($B101="","",IF(O101&lt;-0.01,"✖ رصيد سالب",IF(O101&gt;F101*2,"⚠ رصيد مرتفع (أكثر من سنتين)",IF(AND(الموظفون!$AE101&lt;&gt;"",الموظفون!$AE101&lt;=cfg_VAL_DATE,O101&gt;0.01),"⚠ منتهي الخدمة برصيد","✔ سليم"))))</f>
        <v/>
      </c>
    </row>
    <row r="102" customFormat="false" ht="15" hidden="false" customHeight="false" outlineLevel="0" collapsed="false">
      <c r="B102" s="80" t="str">
        <f aca="false">IF(الموظفون!$B102="","",الموظفون!$B102)</f>
        <v/>
      </c>
      <c r="C102" s="80" t="str">
        <f aca="false">IF($B102="","",الموظفون!$C102)</f>
        <v/>
      </c>
      <c r="D102" s="147" t="str">
        <f aca="false">IF($B102="","",الموظفون!$H102)</f>
        <v/>
      </c>
      <c r="E102" s="152" t="str">
        <f aca="false">IF($B102="","",MAX(0,J102-D102+1-SUMIFS('سجل الإجازات والحالات'!$S$6:$S$505,'سجل الإجازات والحالات'!$B$6:$B$505,$B102))/cfg_DAYS_Y)</f>
        <v/>
      </c>
      <c r="F102" s="57" t="str">
        <f aca="false">IF($B102="","",IF(الموظفون!$T102&lt;&gt;"",الموظفون!$T102,IF(E102&gt;=cfg_LV_TH,cfg_LV_D2,cfg_LV_D1)))</f>
        <v/>
      </c>
      <c r="G102" s="97" t="str">
        <f aca="false">IF($B102="","",الموظفون!$R102/cfg_DAYS_M)</f>
        <v/>
      </c>
      <c r="H102" s="126" t="str">
        <f aca="false">IF($B102="","",N(الموظفون!$AC102))</f>
        <v/>
      </c>
      <c r="I102" s="147" t="str">
        <f aca="false">IF($B102="","",MAX(cfg_Y_START,D102))</f>
        <v/>
      </c>
      <c r="J102" s="147" t="str">
        <f aca="false">IF($B102="","",IF(OR(الموظفون!$AE102="",الموظفون!$AE102&gt;cfg_VAL_DATE),cfg_VAL_DATE,الموظفون!$AE102))</f>
        <v/>
      </c>
      <c r="K102" s="57" t="str">
        <f aca="false">IF($B102="","",MAX(0,MAX(0,J102-I102+1)-(SUMIFS('سجل الإجازات والحالات'!$S$6:$S$505,'سجل الإجازات والحالات'!$B$6:$B$505,$B102)-SUMIFS('سجل الإجازات والحالات'!$R$6:$R$505,'سجل الإجازات والحالات'!$B$6:$B$505,$B102))))</f>
        <v/>
      </c>
      <c r="L102" s="126" t="str">
        <f aca="false">IF($B102="","",F102/cfg_DAYS_Y*K102)</f>
        <v/>
      </c>
      <c r="M102" s="126" t="str">
        <f aca="false">IF($B102="","",SUMIFS('سجل الإجازات والحالات'!$T$6:$T$505,'سجل الإجازات والحالات'!$B$6:$B$505,$B102)+SUMIFS('الحركات الشهرية'!$K$6:$K$1005,'الحركات الشهرية'!$B$6:$B$1005,B102,'الحركات الشهرية'!$A$6:$A$1005,"&lt;="&amp;cfg_VAL_M))</f>
        <v/>
      </c>
      <c r="N102" s="126" t="str">
        <f aca="false">IF($B102="","",SUMIFS('الحركات الشهرية'!$L$6:$L$1005,'الحركات الشهرية'!$B$6:$B$1005,B102,'الحركات الشهرية'!$A$6:$A$1005,"&lt;="&amp;cfg_VAL_M))</f>
        <v/>
      </c>
      <c r="O102" s="126" t="str">
        <f aca="false">IF($B102="","",H102+L102-M102-N102)</f>
        <v/>
      </c>
      <c r="P102" s="128" t="str">
        <f aca="false">IF($B102="","",O102*G102)</f>
        <v/>
      </c>
      <c r="Q102" s="97" t="str">
        <f aca="false">IF($B102="","",H102*G102)</f>
        <v/>
      </c>
      <c r="R102" s="97" t="str">
        <f aca="false">IF($B102="","",(M102+N102)*G102)</f>
        <v/>
      </c>
      <c r="S102" s="80" t="str">
        <f aca="false">IF($B102="","",IF(O102&lt;-0.01,"✖ رصيد سالب",IF(O102&gt;F102*2,"⚠ رصيد مرتفع (أكثر من سنتين)",IF(AND(الموظفون!$AE102&lt;&gt;"",الموظفون!$AE102&lt;=cfg_VAL_DATE,O102&gt;0.01),"⚠ منتهي الخدمة برصيد","✔ سليم"))))</f>
        <v/>
      </c>
    </row>
    <row r="103" customFormat="false" ht="15" hidden="false" customHeight="false" outlineLevel="0" collapsed="false">
      <c r="B103" s="102" t="str">
        <f aca="false">IF(الموظفون!$B103="","",الموظفون!$B103)</f>
        <v/>
      </c>
      <c r="C103" s="102" t="str">
        <f aca="false">IF($B103="","",الموظفون!$C103)</f>
        <v/>
      </c>
      <c r="D103" s="148" t="str">
        <f aca="false">IF($B103="","",الموظفون!$H103)</f>
        <v/>
      </c>
      <c r="E103" s="153" t="str">
        <f aca="false">IF($B103="","",MAX(0,J103-D103+1-SUMIFS('سجل الإجازات والحالات'!$S$6:$S$505,'سجل الإجازات والحالات'!$B$6:$B$505,$B103))/cfg_DAYS_Y)</f>
        <v/>
      </c>
      <c r="F103" s="110" t="str">
        <f aca="false">IF($B103="","",IF(الموظفون!$T103&lt;&gt;"",الموظفون!$T103,IF(E103&gt;=cfg_LV_TH,cfg_LV_D2,cfg_LV_D1)))</f>
        <v/>
      </c>
      <c r="G103" s="101" t="str">
        <f aca="false">IF($B103="","",الموظفون!$R103/cfg_DAYS_M)</f>
        <v/>
      </c>
      <c r="H103" s="131" t="str">
        <f aca="false">IF($B103="","",N(الموظفون!$AC103))</f>
        <v/>
      </c>
      <c r="I103" s="148" t="str">
        <f aca="false">IF($B103="","",MAX(cfg_Y_START,D103))</f>
        <v/>
      </c>
      <c r="J103" s="148" t="str">
        <f aca="false">IF($B103="","",IF(OR(الموظفون!$AE103="",الموظفون!$AE103&gt;cfg_VAL_DATE),cfg_VAL_DATE,الموظفون!$AE103))</f>
        <v/>
      </c>
      <c r="K103" s="110" t="str">
        <f aca="false">IF($B103="","",MAX(0,MAX(0,J103-I103+1)-(SUMIFS('سجل الإجازات والحالات'!$S$6:$S$505,'سجل الإجازات والحالات'!$B$6:$B$505,$B103)-SUMIFS('سجل الإجازات والحالات'!$R$6:$R$505,'سجل الإجازات والحالات'!$B$6:$B$505,$B103))))</f>
        <v/>
      </c>
      <c r="L103" s="131" t="str">
        <f aca="false">IF($B103="","",F103/cfg_DAYS_Y*K103)</f>
        <v/>
      </c>
      <c r="M103" s="131" t="str">
        <f aca="false">IF($B103="","",SUMIFS('سجل الإجازات والحالات'!$T$6:$T$505,'سجل الإجازات والحالات'!$B$6:$B$505,$B103)+SUMIFS('الحركات الشهرية'!$K$6:$K$1005,'الحركات الشهرية'!$B$6:$B$1005,B103,'الحركات الشهرية'!$A$6:$A$1005,"&lt;="&amp;cfg_VAL_M))</f>
        <v/>
      </c>
      <c r="N103" s="131" t="str">
        <f aca="false">IF($B103="","",SUMIFS('الحركات الشهرية'!$L$6:$L$1005,'الحركات الشهرية'!$B$6:$B$1005,B103,'الحركات الشهرية'!$A$6:$A$1005,"&lt;="&amp;cfg_VAL_M))</f>
        <v/>
      </c>
      <c r="O103" s="131" t="str">
        <f aca="false">IF($B103="","",H103+L103-M103-N103)</f>
        <v/>
      </c>
      <c r="P103" s="133" t="str">
        <f aca="false">IF($B103="","",O103*G103)</f>
        <v/>
      </c>
      <c r="Q103" s="101" t="str">
        <f aca="false">IF($B103="","",H103*G103)</f>
        <v/>
      </c>
      <c r="R103" s="101" t="str">
        <f aca="false">IF($B103="","",(M103+N103)*G103)</f>
        <v/>
      </c>
      <c r="S103" s="102" t="str">
        <f aca="false">IF($B103="","",IF(O103&lt;-0.01,"✖ رصيد سالب",IF(O103&gt;F103*2,"⚠ رصيد مرتفع (أكثر من سنتين)",IF(AND(الموظفون!$AE103&lt;&gt;"",الموظفون!$AE103&lt;=cfg_VAL_DATE,O103&gt;0.01),"⚠ منتهي الخدمة برصيد","✔ سليم"))))</f>
        <v/>
      </c>
    </row>
    <row r="104" customFormat="false" ht="15" hidden="false" customHeight="false" outlineLevel="0" collapsed="false">
      <c r="B104" s="80" t="str">
        <f aca="false">IF(الموظفون!$B104="","",الموظفون!$B104)</f>
        <v/>
      </c>
      <c r="C104" s="80" t="str">
        <f aca="false">IF($B104="","",الموظفون!$C104)</f>
        <v/>
      </c>
      <c r="D104" s="147" t="str">
        <f aca="false">IF($B104="","",الموظفون!$H104)</f>
        <v/>
      </c>
      <c r="E104" s="152" t="str">
        <f aca="false">IF($B104="","",MAX(0,J104-D104+1-SUMIFS('سجل الإجازات والحالات'!$S$6:$S$505,'سجل الإجازات والحالات'!$B$6:$B$505,$B104))/cfg_DAYS_Y)</f>
        <v/>
      </c>
      <c r="F104" s="57" t="str">
        <f aca="false">IF($B104="","",IF(الموظفون!$T104&lt;&gt;"",الموظفون!$T104,IF(E104&gt;=cfg_LV_TH,cfg_LV_D2,cfg_LV_D1)))</f>
        <v/>
      </c>
      <c r="G104" s="97" t="str">
        <f aca="false">IF($B104="","",الموظفون!$R104/cfg_DAYS_M)</f>
        <v/>
      </c>
      <c r="H104" s="126" t="str">
        <f aca="false">IF($B104="","",N(الموظفون!$AC104))</f>
        <v/>
      </c>
      <c r="I104" s="147" t="str">
        <f aca="false">IF($B104="","",MAX(cfg_Y_START,D104))</f>
        <v/>
      </c>
      <c r="J104" s="147" t="str">
        <f aca="false">IF($B104="","",IF(OR(الموظفون!$AE104="",الموظفون!$AE104&gt;cfg_VAL_DATE),cfg_VAL_DATE,الموظفون!$AE104))</f>
        <v/>
      </c>
      <c r="K104" s="57" t="str">
        <f aca="false">IF($B104="","",MAX(0,MAX(0,J104-I104+1)-(SUMIFS('سجل الإجازات والحالات'!$S$6:$S$505,'سجل الإجازات والحالات'!$B$6:$B$505,$B104)-SUMIFS('سجل الإجازات والحالات'!$R$6:$R$505,'سجل الإجازات والحالات'!$B$6:$B$505,$B104))))</f>
        <v/>
      </c>
      <c r="L104" s="126" t="str">
        <f aca="false">IF($B104="","",F104/cfg_DAYS_Y*K104)</f>
        <v/>
      </c>
      <c r="M104" s="126" t="str">
        <f aca="false">IF($B104="","",SUMIFS('سجل الإجازات والحالات'!$T$6:$T$505,'سجل الإجازات والحالات'!$B$6:$B$505,$B104)+SUMIFS('الحركات الشهرية'!$K$6:$K$1005,'الحركات الشهرية'!$B$6:$B$1005,B104,'الحركات الشهرية'!$A$6:$A$1005,"&lt;="&amp;cfg_VAL_M))</f>
        <v/>
      </c>
      <c r="N104" s="126" t="str">
        <f aca="false">IF($B104="","",SUMIFS('الحركات الشهرية'!$L$6:$L$1005,'الحركات الشهرية'!$B$6:$B$1005,B104,'الحركات الشهرية'!$A$6:$A$1005,"&lt;="&amp;cfg_VAL_M))</f>
        <v/>
      </c>
      <c r="O104" s="126" t="str">
        <f aca="false">IF($B104="","",H104+L104-M104-N104)</f>
        <v/>
      </c>
      <c r="P104" s="128" t="str">
        <f aca="false">IF($B104="","",O104*G104)</f>
        <v/>
      </c>
      <c r="Q104" s="97" t="str">
        <f aca="false">IF($B104="","",H104*G104)</f>
        <v/>
      </c>
      <c r="R104" s="97" t="str">
        <f aca="false">IF($B104="","",(M104+N104)*G104)</f>
        <v/>
      </c>
      <c r="S104" s="80" t="str">
        <f aca="false">IF($B104="","",IF(O104&lt;-0.01,"✖ رصيد سالب",IF(O104&gt;F104*2,"⚠ رصيد مرتفع (أكثر من سنتين)",IF(AND(الموظفون!$AE104&lt;&gt;"",الموظفون!$AE104&lt;=cfg_VAL_DATE,O104&gt;0.01),"⚠ منتهي الخدمة برصيد","✔ سليم"))))</f>
        <v/>
      </c>
    </row>
    <row r="105" customFormat="false" ht="15" hidden="false" customHeight="false" outlineLevel="0" collapsed="false">
      <c r="B105" s="102" t="str">
        <f aca="false">IF(الموظفون!$B105="","",الموظفون!$B105)</f>
        <v/>
      </c>
      <c r="C105" s="102" t="str">
        <f aca="false">IF($B105="","",الموظفون!$C105)</f>
        <v/>
      </c>
      <c r="D105" s="148" t="str">
        <f aca="false">IF($B105="","",الموظفون!$H105)</f>
        <v/>
      </c>
      <c r="E105" s="153" t="str">
        <f aca="false">IF($B105="","",MAX(0,J105-D105+1-SUMIFS('سجل الإجازات والحالات'!$S$6:$S$505,'سجل الإجازات والحالات'!$B$6:$B$505,$B105))/cfg_DAYS_Y)</f>
        <v/>
      </c>
      <c r="F105" s="110" t="str">
        <f aca="false">IF($B105="","",IF(الموظفون!$T105&lt;&gt;"",الموظفون!$T105,IF(E105&gt;=cfg_LV_TH,cfg_LV_D2,cfg_LV_D1)))</f>
        <v/>
      </c>
      <c r="G105" s="101" t="str">
        <f aca="false">IF($B105="","",الموظفون!$R105/cfg_DAYS_M)</f>
        <v/>
      </c>
      <c r="H105" s="131" t="str">
        <f aca="false">IF($B105="","",N(الموظفون!$AC105))</f>
        <v/>
      </c>
      <c r="I105" s="148" t="str">
        <f aca="false">IF($B105="","",MAX(cfg_Y_START,D105))</f>
        <v/>
      </c>
      <c r="J105" s="148" t="str">
        <f aca="false">IF($B105="","",IF(OR(الموظفون!$AE105="",الموظفون!$AE105&gt;cfg_VAL_DATE),cfg_VAL_DATE,الموظفون!$AE105))</f>
        <v/>
      </c>
      <c r="K105" s="110" t="str">
        <f aca="false">IF($B105="","",MAX(0,MAX(0,J105-I105+1)-(SUMIFS('سجل الإجازات والحالات'!$S$6:$S$505,'سجل الإجازات والحالات'!$B$6:$B$505,$B105)-SUMIFS('سجل الإجازات والحالات'!$R$6:$R$505,'سجل الإجازات والحالات'!$B$6:$B$505,$B105))))</f>
        <v/>
      </c>
      <c r="L105" s="131" t="str">
        <f aca="false">IF($B105="","",F105/cfg_DAYS_Y*K105)</f>
        <v/>
      </c>
      <c r="M105" s="131" t="str">
        <f aca="false">IF($B105="","",SUMIFS('سجل الإجازات والحالات'!$T$6:$T$505,'سجل الإجازات والحالات'!$B$6:$B$505,$B105)+SUMIFS('الحركات الشهرية'!$K$6:$K$1005,'الحركات الشهرية'!$B$6:$B$1005,B105,'الحركات الشهرية'!$A$6:$A$1005,"&lt;="&amp;cfg_VAL_M))</f>
        <v/>
      </c>
      <c r="N105" s="131" t="str">
        <f aca="false">IF($B105="","",SUMIFS('الحركات الشهرية'!$L$6:$L$1005,'الحركات الشهرية'!$B$6:$B$1005,B105,'الحركات الشهرية'!$A$6:$A$1005,"&lt;="&amp;cfg_VAL_M))</f>
        <v/>
      </c>
      <c r="O105" s="131" t="str">
        <f aca="false">IF($B105="","",H105+L105-M105-N105)</f>
        <v/>
      </c>
      <c r="P105" s="133" t="str">
        <f aca="false">IF($B105="","",O105*G105)</f>
        <v/>
      </c>
      <c r="Q105" s="101" t="str">
        <f aca="false">IF($B105="","",H105*G105)</f>
        <v/>
      </c>
      <c r="R105" s="101" t="str">
        <f aca="false">IF($B105="","",(M105+N105)*G105)</f>
        <v/>
      </c>
      <c r="S105" s="102" t="str">
        <f aca="false">IF($B105="","",IF(O105&lt;-0.01,"✖ رصيد سالب",IF(O105&gt;F105*2,"⚠ رصيد مرتفع (أكثر من سنتين)",IF(AND(الموظفون!$AE105&lt;&gt;"",الموظفون!$AE105&lt;=cfg_VAL_DATE,O105&gt;0.01),"⚠ منتهي الخدمة برصيد","✔ سليم"))))</f>
        <v/>
      </c>
    </row>
    <row r="106" customFormat="false" ht="24" hidden="false" customHeight="true" outlineLevel="0" collapsed="false">
      <c r="B106" s="103"/>
      <c r="C106" s="103" t="s">
        <v>127</v>
      </c>
      <c r="D106" s="103"/>
      <c r="E106" s="103"/>
      <c r="F106" s="103"/>
      <c r="G106" s="103"/>
      <c r="H106" s="136" t="n">
        <f aca="false">SUM(H6:H105)</f>
        <v>187</v>
      </c>
      <c r="I106" s="103"/>
      <c r="J106" s="103"/>
      <c r="K106" s="103"/>
      <c r="L106" s="136" t="n">
        <f aca="false">SUM(L6:L105)</f>
        <v>234.443835616438</v>
      </c>
      <c r="M106" s="136" t="n">
        <f aca="false">SUM(M6:M105)</f>
        <v>117</v>
      </c>
      <c r="N106" s="136" t="n">
        <f aca="false">SUM(N6:N105)</f>
        <v>36.8767123287671</v>
      </c>
      <c r="O106" s="136" t="n">
        <f aca="false">SUM(O6:O105)</f>
        <v>267.567123287671</v>
      </c>
      <c r="P106" s="103" t="n">
        <f aca="false">SUM(P6:P105)</f>
        <v>151856.445205479</v>
      </c>
      <c r="Q106" s="103" t="n">
        <f aca="false">SUM(Q6:Q105)</f>
        <v>96547.5</v>
      </c>
      <c r="R106" s="103" t="n">
        <f aca="false">SUM(R6:R105)</f>
        <v>74222.2602739726</v>
      </c>
      <c r="S106" s="103"/>
    </row>
    <row r="107" customFormat="false" ht="39.75" hidden="false" customHeight="true" outlineLevel="0" collapsed="false">
      <c r="B107" s="24" t="s">
        <v>536</v>
      </c>
      <c r="C107" s="24"/>
      <c r="D107" s="24"/>
      <c r="E107" s="24"/>
      <c r="F107" s="24"/>
      <c r="G107" s="24"/>
      <c r="H107" s="24"/>
      <c r="I107" s="24"/>
      <c r="J107" s="24"/>
      <c r="K107" s="24"/>
      <c r="L107" s="24"/>
      <c r="M107" s="24"/>
      <c r="N107" s="24"/>
      <c r="O107" s="24"/>
      <c r="P107" s="24"/>
      <c r="Q107" s="24"/>
      <c r="R107" s="24"/>
      <c r="S107" s="24"/>
    </row>
  </sheetData>
  <mergeCells count="3">
    <mergeCell ref="B1:S1"/>
    <mergeCell ref="B2:S2"/>
    <mergeCell ref="B107:S107"/>
  </mergeCells>
  <conditionalFormatting sqref="S6:S105">
    <cfRule type="expression" priority="2" aboveAverage="0" equalAverage="0" bottom="0" percent="0" rank="0" text="" dxfId="0">
      <formula>ISNUMBER(SEARCH("✔",S6))</formula>
    </cfRule>
    <cfRule type="expression" priority="3" aboveAverage="0" equalAverage="0" bottom="0" percent="0" rank="0" text="" dxfId="1">
      <formula>ISNUMBER(SEARCH("✖",S6))</formula>
    </cfRule>
    <cfRule type="expression" priority="4" aboveAverage="0" equalAverage="0" bottom="0" percent="0" rank="0" text="" dxfId="2">
      <formula>ISNUMBER(SEARCH("⚠",S6))</formula>
    </cfRule>
    <cfRule type="expression" priority="5" aboveAverage="0" equalAverage="0" bottom="0" percent="0" rank="0" text="" dxfId="3">
      <formula>ISNUMBER(SEARCH("✈",S6))</formula>
    </cfRule>
    <cfRule type="expression" priority="6" aboveAverage="0" equalAverage="0" bottom="0" percent="0" rank="0" text="" dxfId="1">
      <formula>ISNUMBER(SEARCH("⛔",S6))</formula>
    </cfRule>
    <cfRule type="expression" priority="7" aboveAverage="0" equalAverage="0" bottom="0" percent="0" rank="0" text="" dxfId="0">
      <formula>ISNUMBER(SEARCH("🌴",S6))</formula>
    </cfRule>
    <cfRule type="expression" priority="8" aboveAverage="0" equalAverage="0" bottom="0" percent="0" rank="0" text="" dxfId="4">
      <formula>ISNUMBER(SEARCH("⏳",S6))</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73E8"/>
    <pageSetUpPr fitToPage="true"/>
  </sheetPr>
  <dimension ref="B1:P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9"/>
    <col collapsed="false" customWidth="true" hidden="false" outlineLevel="0" max="3" min="3" style="0" width="24"/>
    <col collapsed="false" customWidth="true" hidden="false" outlineLevel="0" max="4" min="4" style="0" width="9"/>
    <col collapsed="false" customWidth="true" hidden="false" outlineLevel="0" max="5" min="5" style="0" width="12"/>
    <col collapsed="false" customWidth="true" hidden="false" outlineLevel="0" max="6" min="6" style="0" width="9"/>
    <col collapsed="false" customWidth="true" hidden="false" outlineLevel="0" max="7" min="7" style="0" width="11"/>
    <col collapsed="false" customWidth="true" hidden="false" outlineLevel="0" max="9" min="8" style="0" width="12"/>
    <col collapsed="false" customWidth="true" hidden="false" outlineLevel="0" max="10" min="10" style="0" width="9"/>
    <col collapsed="false" customWidth="true" hidden="false" outlineLevel="0" max="13" min="11" style="0" width="13"/>
    <col collapsed="false" customWidth="true" hidden="false" outlineLevel="0" max="14" min="14" style="0" width="14"/>
    <col collapsed="false" customWidth="true" hidden="false" outlineLevel="0" max="15" min="15" style="0" width="10"/>
    <col collapsed="false" customWidth="true" hidden="false" outlineLevel="0" max="16" min="16" style="0" width="22"/>
  </cols>
  <sheetData>
    <row r="1" customFormat="false" ht="37.5" hidden="false" customHeight="true" outlineLevel="0" collapsed="false">
      <c r="B1" s="1" t="str">
        <f aca="false">"✈ مخصص تذاكر السفر كما في "&amp;TEXT(cfg_VAL_DATE,"yyyy/mm/dd")</f>
        <v>✈ مخصص تذاكر السفر كما في 2026/09/30</v>
      </c>
      <c r="C1" s="1"/>
      <c r="D1" s="1"/>
      <c r="E1" s="1"/>
      <c r="F1" s="1"/>
      <c r="G1" s="1"/>
      <c r="H1" s="1"/>
      <c r="I1" s="1"/>
      <c r="J1" s="1"/>
      <c r="K1" s="1"/>
      <c r="L1" s="1"/>
      <c r="M1" s="1"/>
      <c r="N1" s="1"/>
      <c r="O1" s="1"/>
      <c r="P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row>
    <row r="3" customFormat="false" ht="25.5" hidden="false" customHeight="true" outlineLevel="0" collapsed="false">
      <c r="B3" s="25" t="s">
        <v>80</v>
      </c>
      <c r="C3" s="12" t="s">
        <v>138</v>
      </c>
      <c r="D3" s="26" t="s">
        <v>81</v>
      </c>
      <c r="E3" s="26" t="s">
        <v>82</v>
      </c>
      <c r="F3" s="27" t="s">
        <v>83</v>
      </c>
      <c r="G3" s="26" t="s">
        <v>84</v>
      </c>
      <c r="H3" s="28" t="s">
        <v>85</v>
      </c>
      <c r="I3" s="26" t="s">
        <v>39</v>
      </c>
      <c r="J3" s="26" t="s">
        <v>139</v>
      </c>
    </row>
    <row r="4" customFormat="false" ht="7.5" hidden="false" customHeight="true" outlineLevel="0" collapsed="false"/>
    <row r="5" customFormat="false" ht="51.75" hidden="false" customHeight="true" outlineLevel="0" collapsed="false">
      <c r="B5" s="154" t="s">
        <v>486</v>
      </c>
      <c r="C5" s="154" t="s">
        <v>274</v>
      </c>
      <c r="D5" s="154" t="s">
        <v>537</v>
      </c>
      <c r="E5" s="154" t="s">
        <v>538</v>
      </c>
      <c r="F5" s="154" t="s">
        <v>539</v>
      </c>
      <c r="G5" s="154" t="s">
        <v>501</v>
      </c>
      <c r="H5" s="154" t="s">
        <v>526</v>
      </c>
      <c r="I5" s="154" t="s">
        <v>527</v>
      </c>
      <c r="J5" s="154" t="s">
        <v>528</v>
      </c>
      <c r="K5" s="154" t="s">
        <v>517</v>
      </c>
      <c r="L5" s="154" t="s">
        <v>540</v>
      </c>
      <c r="M5" s="154" t="s">
        <v>541</v>
      </c>
      <c r="N5" s="154" t="s">
        <v>519</v>
      </c>
      <c r="O5" s="154" t="s">
        <v>542</v>
      </c>
      <c r="P5" s="154" t="s">
        <v>520</v>
      </c>
    </row>
    <row r="6" customFormat="false" ht="15" hidden="false" customHeight="false" outlineLevel="0" collapsed="false">
      <c r="B6" s="80" t="str">
        <f aca="false">IF(الموظفون!$B6="","",الموظفون!$B6)</f>
        <v>E001</v>
      </c>
      <c r="C6" s="80" t="str">
        <f aca="false">IF($B6="","",الموظفون!$C6)</f>
        <v>عبدالله محمد العتيبي</v>
      </c>
      <c r="D6" s="80" t="str">
        <f aca="false">IF($B6="","",IF(الموظفون!$U6="نعم","نعم","لا"))</f>
        <v>لا</v>
      </c>
      <c r="E6" s="97" t="n">
        <f aca="false">IF($B6="","",N(الموظفون!$V6))</f>
        <v>0</v>
      </c>
      <c r="F6" s="57" t="n">
        <f aca="false">IF($B6="","",N(الموظفون!$W6))</f>
        <v>12</v>
      </c>
      <c r="G6" s="97" t="n">
        <f aca="false">IF($B6="","",IF(AND(D6="نعم",F6&gt;0),E6/F6,0))</f>
        <v>0</v>
      </c>
      <c r="H6" s="147" t="n">
        <f aca="false">IF($B6="","",MAX(cfg_Y_START,الموظفون!$H6))</f>
        <v>46023</v>
      </c>
      <c r="I6" s="147" t="n">
        <f aca="false">IF($B6="","",IF(OR(الموظفون!$AE6="",الموظفون!$AE6&gt;cfg_VAL_DATE),cfg_VAL_DATE,الموظفون!$AE6))</f>
        <v>46295</v>
      </c>
      <c r="J6" s="57" t="n">
        <f aca="false">IF($B6="","",MAX(0,MAX(0,I6-H6+1)-(SUMIFS('سجل الإجازات والحالات'!$S$6:$S$505,'سجل الإجازات والحالات'!$B$6:$B$505,$B6)-SUMIFS('سجل الإجازات والحالات'!$R$6:$R$505,'سجل الإجازات والحالات'!$B$6:$B$505,$B6))))</f>
        <v>273</v>
      </c>
      <c r="K6" s="97" t="n">
        <f aca="false">IF($B6="","",G6*12/cfg_DAYS_Y*J6)</f>
        <v>0</v>
      </c>
      <c r="L6" s="97" t="n">
        <f aca="false">IF($B6="","",N(الموظفون!$AD6))</f>
        <v>0</v>
      </c>
      <c r="M6" s="97" t="n">
        <f aca="false">IF($B6="","",SUMIFS('الحركات الشهرية'!$M$6:$M$1005,'الحركات الشهرية'!$B$6:$B$1005,B6,'الحركات الشهرية'!$A$6:$A$1005,"&lt;="&amp;cfg_VAL_M))</f>
        <v>0</v>
      </c>
      <c r="N6" s="155" t="n">
        <f aca="false">IF($B6="","",L6+K6-M6)</f>
        <v>0</v>
      </c>
      <c r="O6" s="152" t="n">
        <f aca="false">IF($B6="","",IF(E6&gt;0,N6/E6,0))</f>
        <v>0</v>
      </c>
      <c r="P6" s="80" t="str">
        <f aca="false">IF($B6="","",IF(AND(D6="لا",N6&lt;&gt;0),"⚠ غير مستحق وله رصيد",IF(N6&lt;-0.01,"✖ استخدام أكثر من المكوّن",IF(AND(D6="نعم",O6&gt;=1),"⚠ تذكرة مستحقة للصرف","✔ سليم"))))</f>
        <v>✔ سليم</v>
      </c>
    </row>
    <row r="7" customFormat="false" ht="15" hidden="false" customHeight="false" outlineLevel="0" collapsed="false">
      <c r="B7" s="102" t="str">
        <f aca="false">IF(الموظفون!$B7="","",الموظفون!$B7)</f>
        <v>E002</v>
      </c>
      <c r="C7" s="102" t="str">
        <f aca="false">IF($B7="","",الموظفون!$C7)</f>
        <v>أحمد سعيد القحطاني</v>
      </c>
      <c r="D7" s="102" t="str">
        <f aca="false">IF($B7="","",IF(الموظفون!$U7="نعم","نعم","لا"))</f>
        <v>لا</v>
      </c>
      <c r="E7" s="101" t="n">
        <f aca="false">IF($B7="","",N(الموظفون!$V7))</f>
        <v>0</v>
      </c>
      <c r="F7" s="110" t="n">
        <f aca="false">IF($B7="","",N(الموظفون!$W7))</f>
        <v>12</v>
      </c>
      <c r="G7" s="101" t="n">
        <f aca="false">IF($B7="","",IF(AND(D7="نعم",F7&gt;0),E7/F7,0))</f>
        <v>0</v>
      </c>
      <c r="H7" s="148" t="n">
        <f aca="false">IF($B7="","",MAX(cfg_Y_START,الموظفون!$H7))</f>
        <v>46023</v>
      </c>
      <c r="I7" s="148" t="n">
        <f aca="false">IF($B7="","",IF(OR(الموظفون!$AE7="",الموظفون!$AE7&gt;cfg_VAL_DATE),cfg_VAL_DATE,الموظفون!$AE7))</f>
        <v>46295</v>
      </c>
      <c r="J7" s="110" t="n">
        <f aca="false">IF($B7="","",MAX(0,MAX(0,I7-H7+1)-(SUMIFS('سجل الإجازات والحالات'!$S$6:$S$505,'سجل الإجازات والحالات'!$B$6:$B$505,$B7)-SUMIFS('سجل الإجازات والحالات'!$R$6:$R$505,'سجل الإجازات والحالات'!$B$6:$B$505,$B7))))</f>
        <v>273</v>
      </c>
      <c r="K7" s="101" t="n">
        <f aca="false">IF($B7="","",G7*12/cfg_DAYS_Y*J7)</f>
        <v>0</v>
      </c>
      <c r="L7" s="101" t="n">
        <f aca="false">IF($B7="","",N(الموظفون!$AD7))</f>
        <v>0</v>
      </c>
      <c r="M7" s="101" t="n">
        <f aca="false">IF($B7="","",SUMIFS('الحركات الشهرية'!$M$6:$M$1005,'الحركات الشهرية'!$B$6:$B$1005,B7,'الحركات الشهرية'!$A$6:$A$1005,"&lt;="&amp;cfg_VAL_M))</f>
        <v>0</v>
      </c>
      <c r="N7" s="156" t="n">
        <f aca="false">IF($B7="","",L7+K7-M7)</f>
        <v>0</v>
      </c>
      <c r="O7" s="153" t="n">
        <f aca="false">IF($B7="","",IF(E7&gt;0,N7/E7,0))</f>
        <v>0</v>
      </c>
      <c r="P7" s="102" t="str">
        <f aca="false">IF($B7="","",IF(AND(D7="لا",N7&lt;&gt;0),"⚠ غير مستحق وله رصيد",IF(N7&lt;-0.01,"✖ استخدام أكثر من المكوّن",IF(AND(D7="نعم",O7&gt;=1),"⚠ تذكرة مستحقة للصرف","✔ سليم"))))</f>
        <v>✔ سليم</v>
      </c>
    </row>
    <row r="8" customFormat="false" ht="15" hidden="false" customHeight="false" outlineLevel="0" collapsed="false">
      <c r="B8" s="80" t="str">
        <f aca="false">IF(الموظفون!$B8="","",الموظفون!$B8)</f>
        <v>E003</v>
      </c>
      <c r="C8" s="80" t="str">
        <f aca="false">IF($B8="","",الموظفون!$C8)</f>
        <v>محمد علي حسن</v>
      </c>
      <c r="D8" s="80" t="str">
        <f aca="false">IF($B8="","",IF(الموظفون!$U8="نعم","نعم","لا"))</f>
        <v>نعم</v>
      </c>
      <c r="E8" s="97" t="n">
        <f aca="false">IF($B8="","",N(الموظفون!$V8))</f>
        <v>3200</v>
      </c>
      <c r="F8" s="57" t="n">
        <f aca="false">IF($B8="","",N(الموظفون!$W8))</f>
        <v>24</v>
      </c>
      <c r="G8" s="97" t="n">
        <f aca="false">IF($B8="","",IF(AND(D8="نعم",F8&gt;0),E8/F8,0))</f>
        <v>133.333333333333</v>
      </c>
      <c r="H8" s="147" t="n">
        <f aca="false">IF($B8="","",MAX(cfg_Y_START,الموظفون!$H8))</f>
        <v>46023</v>
      </c>
      <c r="I8" s="147" t="n">
        <f aca="false">IF($B8="","",IF(OR(الموظفون!$AE8="",الموظفون!$AE8&gt;cfg_VAL_DATE),cfg_VAL_DATE,الموظفون!$AE8))</f>
        <v>46295</v>
      </c>
      <c r="J8" s="57" t="n">
        <f aca="false">IF($B8="","",MAX(0,MAX(0,I8-H8+1)-(SUMIFS('سجل الإجازات والحالات'!$S$6:$S$505,'سجل الإجازات والحالات'!$B$6:$B$505,$B8)-SUMIFS('سجل الإجازات والحالات'!$R$6:$R$505,'سجل الإجازات والحالات'!$B$6:$B$505,$B8))))</f>
        <v>273</v>
      </c>
      <c r="K8" s="97" t="n">
        <f aca="false">IF($B8="","",G8*12/cfg_DAYS_Y*J8)</f>
        <v>1196.71232876712</v>
      </c>
      <c r="L8" s="97" t="n">
        <f aca="false">IF($B8="","",N(الموظفون!$AD8))</f>
        <v>1600</v>
      </c>
      <c r="M8" s="97" t="n">
        <f aca="false">IF($B8="","",SUMIFS('الحركات الشهرية'!$M$6:$M$1005,'الحركات الشهرية'!$B$6:$B$1005,B8,'الحركات الشهرية'!$A$6:$A$1005,"&lt;="&amp;cfg_VAL_M))</f>
        <v>0</v>
      </c>
      <c r="N8" s="155" t="n">
        <f aca="false">IF($B8="","",L8+K8-M8)</f>
        <v>2796.71232876712</v>
      </c>
      <c r="O8" s="152" t="n">
        <f aca="false">IF($B8="","",IF(E8&gt;0,N8/E8,0))</f>
        <v>0.873972602739726</v>
      </c>
      <c r="P8" s="80" t="str">
        <f aca="false">IF($B8="","",IF(AND(D8="لا",N8&lt;&gt;0),"⚠ غير مستحق وله رصيد",IF(N8&lt;-0.01,"✖ استخدام أكثر من المكوّن",IF(AND(D8="نعم",O8&gt;=1),"⚠ تذكرة مستحقة للصرف","✔ سليم"))))</f>
        <v>✔ سليم</v>
      </c>
    </row>
    <row r="9" customFormat="false" ht="15" hidden="false" customHeight="false" outlineLevel="0" collapsed="false">
      <c r="B9" s="102" t="str">
        <f aca="false">IF(الموظفون!$B9="","",الموظفون!$B9)</f>
        <v>E004</v>
      </c>
      <c r="C9" s="102" t="str">
        <f aca="false">IF($B9="","",الموظفون!$C9)</f>
        <v>نورة خالد الدوسري</v>
      </c>
      <c r="D9" s="102" t="str">
        <f aca="false">IF($B9="","",IF(الموظفون!$U9="نعم","نعم","لا"))</f>
        <v>لا</v>
      </c>
      <c r="E9" s="101" t="n">
        <f aca="false">IF($B9="","",N(الموظفون!$V9))</f>
        <v>0</v>
      </c>
      <c r="F9" s="110" t="n">
        <f aca="false">IF($B9="","",N(الموظفون!$W9))</f>
        <v>12</v>
      </c>
      <c r="G9" s="101" t="n">
        <f aca="false">IF($B9="","",IF(AND(D9="نعم",F9&gt;0),E9/F9,0))</f>
        <v>0</v>
      </c>
      <c r="H9" s="148" t="n">
        <f aca="false">IF($B9="","",MAX(cfg_Y_START,الموظفون!$H9))</f>
        <v>46023</v>
      </c>
      <c r="I9" s="148" t="n">
        <f aca="false">IF($B9="","",IF(OR(الموظفون!$AE9="",الموظفون!$AE9&gt;cfg_VAL_DATE),cfg_VAL_DATE,الموظفون!$AE9))</f>
        <v>46295</v>
      </c>
      <c r="J9" s="110" t="n">
        <f aca="false">IF($B9="","",MAX(0,MAX(0,I9-H9+1)-(SUMIFS('سجل الإجازات والحالات'!$S$6:$S$505,'سجل الإجازات والحالات'!$B$6:$B$505,$B9)-SUMIFS('سجل الإجازات والحالات'!$R$6:$R$505,'سجل الإجازات والحالات'!$B$6:$B$505,$B9))))</f>
        <v>273</v>
      </c>
      <c r="K9" s="101" t="n">
        <f aca="false">IF($B9="","",G9*12/cfg_DAYS_Y*J9)</f>
        <v>0</v>
      </c>
      <c r="L9" s="101" t="n">
        <f aca="false">IF($B9="","",N(الموظفون!$AD9))</f>
        <v>0</v>
      </c>
      <c r="M9" s="101" t="n">
        <f aca="false">IF($B9="","",SUMIFS('الحركات الشهرية'!$M$6:$M$1005,'الحركات الشهرية'!$B$6:$B$1005,B9,'الحركات الشهرية'!$A$6:$A$1005,"&lt;="&amp;cfg_VAL_M))</f>
        <v>0</v>
      </c>
      <c r="N9" s="156" t="n">
        <f aca="false">IF($B9="","",L9+K9-M9)</f>
        <v>0</v>
      </c>
      <c r="O9" s="153" t="n">
        <f aca="false">IF($B9="","",IF(E9&gt;0,N9/E9,0))</f>
        <v>0</v>
      </c>
      <c r="P9" s="102" t="str">
        <f aca="false">IF($B9="","",IF(AND(D9="لا",N9&lt;&gt;0),"⚠ غير مستحق وله رصيد",IF(N9&lt;-0.01,"✖ استخدام أكثر من المكوّن",IF(AND(D9="نعم",O9&gt;=1),"⚠ تذكرة مستحقة للصرف","✔ سليم"))))</f>
        <v>✔ سليم</v>
      </c>
    </row>
    <row r="10" customFormat="false" ht="15" hidden="false" customHeight="false" outlineLevel="0" collapsed="false">
      <c r="B10" s="80" t="str">
        <f aca="false">IF(الموظفون!$B10="","",الموظفون!$B10)</f>
        <v>E005</v>
      </c>
      <c r="C10" s="80" t="str">
        <f aca="false">IF($B10="","",الموظفون!$C10)</f>
        <v>راجيش كومار</v>
      </c>
      <c r="D10" s="80" t="str">
        <f aca="false">IF($B10="","",IF(الموظفون!$U10="نعم","نعم","لا"))</f>
        <v>نعم</v>
      </c>
      <c r="E10" s="97" t="n">
        <f aca="false">IF($B10="","",N(الموظفون!$V10))</f>
        <v>2800</v>
      </c>
      <c r="F10" s="57" t="n">
        <f aca="false">IF($B10="","",N(الموظفون!$W10))</f>
        <v>12</v>
      </c>
      <c r="G10" s="97" t="n">
        <f aca="false">IF($B10="","",IF(AND(D10="نعم",F10&gt;0),E10/F10,0))</f>
        <v>233.333333333333</v>
      </c>
      <c r="H10" s="147" t="n">
        <f aca="false">IF($B10="","",MAX(cfg_Y_START,الموظفون!$H10))</f>
        <v>46023</v>
      </c>
      <c r="I10" s="147" t="n">
        <f aca="false">IF($B10="","",IF(OR(الموظفون!$AE10="",الموظفون!$AE10&gt;cfg_VAL_DATE),cfg_VAL_DATE,الموظفون!$AE10))</f>
        <v>46295</v>
      </c>
      <c r="J10" s="57" t="n">
        <f aca="false">IF($B10="","",MAX(0,MAX(0,I10-H10+1)-(SUMIFS('سجل الإجازات والحالات'!$S$6:$S$505,'سجل الإجازات والحالات'!$B$6:$B$505,$B10)-SUMIFS('سجل الإجازات والحالات'!$R$6:$R$505,'سجل الإجازات والحالات'!$B$6:$B$505,$B10))))</f>
        <v>273</v>
      </c>
      <c r="K10" s="97" t="n">
        <f aca="false">IF($B10="","",G10*12/cfg_DAYS_Y*J10)</f>
        <v>2094.24657534247</v>
      </c>
      <c r="L10" s="97" t="n">
        <f aca="false">IF($B10="","",N(الموظفون!$AD10))</f>
        <v>900</v>
      </c>
      <c r="M10" s="97" t="n">
        <f aca="false">IF($B10="","",SUMIFS('الحركات الشهرية'!$M$6:$M$1005,'الحركات الشهرية'!$B$6:$B$1005,B10,'الحركات الشهرية'!$A$6:$A$1005,"&lt;="&amp;cfg_VAL_M))</f>
        <v>2800</v>
      </c>
      <c r="N10" s="155" t="n">
        <f aca="false">IF($B10="","",L10+K10-M10)</f>
        <v>194.246575342466</v>
      </c>
      <c r="O10" s="152" t="n">
        <f aca="false">IF($B10="","",IF(E10&gt;0,N10/E10,0))</f>
        <v>0.0693737769080235</v>
      </c>
      <c r="P10" s="80" t="str">
        <f aca="false">IF($B10="","",IF(AND(D10="لا",N10&lt;&gt;0),"⚠ غير مستحق وله رصيد",IF(N10&lt;-0.01,"✖ استخدام أكثر من المكوّن",IF(AND(D10="نعم",O10&gt;=1),"⚠ تذكرة مستحقة للصرف","✔ سليم"))))</f>
        <v>✔ سليم</v>
      </c>
    </row>
    <row r="11" customFormat="false" ht="15" hidden="false" customHeight="false" outlineLevel="0" collapsed="false">
      <c r="B11" s="102" t="str">
        <f aca="false">IF(الموظفون!$B11="","",الموظفون!$B11)</f>
        <v>E006</v>
      </c>
      <c r="C11" s="102" t="str">
        <f aca="false">IF($B11="","",الموظفون!$C11)</f>
        <v>فهد ناصر الشمري</v>
      </c>
      <c r="D11" s="102" t="str">
        <f aca="false">IF($B11="","",IF(الموظفون!$U11="نعم","نعم","لا"))</f>
        <v>لا</v>
      </c>
      <c r="E11" s="101" t="n">
        <f aca="false">IF($B11="","",N(الموظفون!$V11))</f>
        <v>0</v>
      </c>
      <c r="F11" s="110" t="n">
        <f aca="false">IF($B11="","",N(الموظفون!$W11))</f>
        <v>12</v>
      </c>
      <c r="G11" s="101" t="n">
        <f aca="false">IF($B11="","",IF(AND(D11="نعم",F11&gt;0),E11/F11,0))</f>
        <v>0</v>
      </c>
      <c r="H11" s="148" t="n">
        <f aca="false">IF($B11="","",MAX(cfg_Y_START,الموظفون!$H11))</f>
        <v>46023</v>
      </c>
      <c r="I11" s="148" t="n">
        <f aca="false">IF($B11="","",IF(OR(الموظفون!$AE11="",الموظفون!$AE11&gt;cfg_VAL_DATE),cfg_VAL_DATE,الموظفون!$AE11))</f>
        <v>46295</v>
      </c>
      <c r="J11" s="110" t="n">
        <f aca="false">IF($B11="","",MAX(0,MAX(0,I11-H11+1)-(SUMIFS('سجل الإجازات والحالات'!$S$6:$S$505,'سجل الإجازات والحالات'!$B$6:$B$505,$B11)-SUMIFS('سجل الإجازات والحالات'!$R$6:$R$505,'سجل الإجازات والحالات'!$B$6:$B$505,$B11))))</f>
        <v>262</v>
      </c>
      <c r="K11" s="101" t="n">
        <f aca="false">IF($B11="","",G11*12/cfg_DAYS_Y*J11)</f>
        <v>0</v>
      </c>
      <c r="L11" s="101" t="n">
        <f aca="false">IF($B11="","",N(الموظفون!$AD11))</f>
        <v>0</v>
      </c>
      <c r="M11" s="101" t="n">
        <f aca="false">IF($B11="","",SUMIFS('الحركات الشهرية'!$M$6:$M$1005,'الحركات الشهرية'!$B$6:$B$1005,B11,'الحركات الشهرية'!$A$6:$A$1005,"&lt;="&amp;cfg_VAL_M))</f>
        <v>0</v>
      </c>
      <c r="N11" s="156" t="n">
        <f aca="false">IF($B11="","",L11+K11-M11)</f>
        <v>0</v>
      </c>
      <c r="O11" s="153" t="n">
        <f aca="false">IF($B11="","",IF(E11&gt;0,N11/E11,0))</f>
        <v>0</v>
      </c>
      <c r="P11" s="102" t="str">
        <f aca="false">IF($B11="","",IF(AND(D11="لا",N11&lt;&gt;0),"⚠ غير مستحق وله رصيد",IF(N11&lt;-0.01,"✖ استخدام أكثر من المكوّن",IF(AND(D11="نعم",O11&gt;=1),"⚠ تذكرة مستحقة للصرف","✔ سليم"))))</f>
        <v>✔ سليم</v>
      </c>
    </row>
    <row r="12" customFormat="false" ht="15" hidden="false" customHeight="false" outlineLevel="0" collapsed="false">
      <c r="B12" s="80" t="str">
        <f aca="false">IF(الموظفون!$B12="","",الموظفون!$B12)</f>
        <v>E007</v>
      </c>
      <c r="C12" s="80" t="str">
        <f aca="false">IF($B12="","",الموظفون!$C12)</f>
        <v>خالد يوسف الأحمد</v>
      </c>
      <c r="D12" s="80" t="str">
        <f aca="false">IF($B12="","",IF(الموظفون!$U12="نعم","نعم","لا"))</f>
        <v>نعم</v>
      </c>
      <c r="E12" s="97" t="n">
        <f aca="false">IF($B12="","",N(الموظفون!$V12))</f>
        <v>4500</v>
      </c>
      <c r="F12" s="57" t="n">
        <f aca="false">IF($B12="","",N(الموظفون!$W12))</f>
        <v>12</v>
      </c>
      <c r="G12" s="97" t="n">
        <f aca="false">IF($B12="","",IF(AND(D12="نعم",F12&gt;0),E12/F12,0))</f>
        <v>375</v>
      </c>
      <c r="H12" s="147" t="n">
        <f aca="false">IF($B12="","",MAX(cfg_Y_START,الموظفون!$H12))</f>
        <v>46023</v>
      </c>
      <c r="I12" s="147" t="n">
        <f aca="false">IF($B12="","",IF(OR(الموظفون!$AE12="",الموظفون!$AE12&gt;cfg_VAL_DATE),cfg_VAL_DATE,الموظفون!$AE12))</f>
        <v>46295</v>
      </c>
      <c r="J12" s="57" t="n">
        <f aca="false">IF($B12="","",MAX(0,MAX(0,I12-H12+1)-(SUMIFS('سجل الإجازات والحالات'!$S$6:$S$505,'سجل الإجازات والحالات'!$B$6:$B$505,$B12)-SUMIFS('سجل الإجازات والحالات'!$R$6:$R$505,'سجل الإجازات والحالات'!$B$6:$B$505,$B12))))</f>
        <v>273</v>
      </c>
      <c r="K12" s="97" t="n">
        <f aca="false">IF($B12="","",G12*12/cfg_DAYS_Y*J12)</f>
        <v>3365.75342465753</v>
      </c>
      <c r="L12" s="97" t="n">
        <f aca="false">IF($B12="","",N(الموظفون!$AD12))</f>
        <v>2400</v>
      </c>
      <c r="M12" s="97" t="n">
        <f aca="false">IF($B12="","",SUMIFS('الحركات الشهرية'!$M$6:$M$1005,'الحركات الشهرية'!$B$6:$B$1005,B12,'الحركات الشهرية'!$A$6:$A$1005,"&lt;="&amp;cfg_VAL_M))</f>
        <v>4500</v>
      </c>
      <c r="N12" s="155" t="n">
        <f aca="false">IF($B12="","",L12+K12-M12)</f>
        <v>1265.75342465753</v>
      </c>
      <c r="O12" s="152" t="n">
        <f aca="false">IF($B12="","",IF(E12&gt;0,N12/E12,0))</f>
        <v>0.281278538812785</v>
      </c>
      <c r="P12" s="80" t="str">
        <f aca="false">IF($B12="","",IF(AND(D12="لا",N12&lt;&gt;0),"⚠ غير مستحق وله رصيد",IF(N12&lt;-0.01,"✖ استخدام أكثر من المكوّن",IF(AND(D12="نعم",O12&gt;=1),"⚠ تذكرة مستحقة للصرف","✔ سليم"))))</f>
        <v>✔ سليم</v>
      </c>
    </row>
    <row r="13" customFormat="false" ht="15" hidden="false" customHeight="false" outlineLevel="0" collapsed="false">
      <c r="B13" s="102" t="str">
        <f aca="false">IF(الموظفون!$B13="","",الموظفون!$B13)</f>
        <v>E008</v>
      </c>
      <c r="C13" s="102" t="str">
        <f aca="false">IF($B13="","",الموظفون!$C13)</f>
        <v>سارة عبدالرحمن الزهراني</v>
      </c>
      <c r="D13" s="102" t="str">
        <f aca="false">IF($B13="","",IF(الموظفون!$U13="نعم","نعم","لا"))</f>
        <v>لا</v>
      </c>
      <c r="E13" s="101" t="n">
        <f aca="false">IF($B13="","",N(الموظفون!$V13))</f>
        <v>0</v>
      </c>
      <c r="F13" s="110" t="n">
        <f aca="false">IF($B13="","",N(الموظفون!$W13))</f>
        <v>12</v>
      </c>
      <c r="G13" s="101" t="n">
        <f aca="false">IF($B13="","",IF(AND(D13="نعم",F13&gt;0),E13/F13,0))</f>
        <v>0</v>
      </c>
      <c r="H13" s="148" t="n">
        <f aca="false">IF($B13="","",MAX(cfg_Y_START,الموظفون!$H13))</f>
        <v>46023</v>
      </c>
      <c r="I13" s="148" t="n">
        <f aca="false">IF($B13="","",IF(OR(الموظفون!$AE13="",الموظفون!$AE13&gt;cfg_VAL_DATE),cfg_VAL_DATE,الموظفون!$AE13))</f>
        <v>46295</v>
      </c>
      <c r="J13" s="110" t="n">
        <f aca="false">IF($B13="","",MAX(0,MAX(0,I13-H13+1)-(SUMIFS('سجل الإجازات والحالات'!$S$6:$S$505,'سجل الإجازات والحالات'!$B$6:$B$505,$B13)-SUMIFS('سجل الإجازات والحالات'!$R$6:$R$505,'سجل الإجازات والحالات'!$B$6:$B$505,$B13))))</f>
        <v>270</v>
      </c>
      <c r="K13" s="101" t="n">
        <f aca="false">IF($B13="","",G13*12/cfg_DAYS_Y*J13)</f>
        <v>0</v>
      </c>
      <c r="L13" s="101" t="n">
        <f aca="false">IF($B13="","",N(الموظفون!$AD13))</f>
        <v>0</v>
      </c>
      <c r="M13" s="101" t="n">
        <f aca="false">IF($B13="","",SUMIFS('الحركات الشهرية'!$M$6:$M$1005,'الحركات الشهرية'!$B$6:$B$1005,B13,'الحركات الشهرية'!$A$6:$A$1005,"&lt;="&amp;cfg_VAL_M))</f>
        <v>0</v>
      </c>
      <c r="N13" s="156" t="n">
        <f aca="false">IF($B13="","",L13+K13-M13)</f>
        <v>0</v>
      </c>
      <c r="O13" s="153" t="n">
        <f aca="false">IF($B13="","",IF(E13&gt;0,N13/E13,0))</f>
        <v>0</v>
      </c>
      <c r="P13" s="102" t="str">
        <f aca="false">IF($B13="","",IF(AND(D13="لا",N13&lt;&gt;0),"⚠ غير مستحق وله رصيد",IF(N13&lt;-0.01,"✖ استخدام أكثر من المكوّن",IF(AND(D13="نعم",O13&gt;=1),"⚠ تذكرة مستحقة للصرف","✔ سليم"))))</f>
        <v>✔ سليم</v>
      </c>
    </row>
    <row r="14" customFormat="false" ht="15" hidden="false" customHeight="false" outlineLevel="0" collapsed="false">
      <c r="B14" s="80" t="str">
        <f aca="false">IF(الموظفون!$B14="","",الموظفون!$B14)</f>
        <v>E009</v>
      </c>
      <c r="C14" s="80" t="str">
        <f aca="false">IF($B14="","",الموظفون!$C14)</f>
        <v>محمد رفيق</v>
      </c>
      <c r="D14" s="80" t="str">
        <f aca="false">IF($B14="","",IF(الموظفون!$U14="نعم","نعم","لا"))</f>
        <v>نعم</v>
      </c>
      <c r="E14" s="97" t="n">
        <f aca="false">IF($B14="","",N(الموظفون!$V14))</f>
        <v>2200</v>
      </c>
      <c r="F14" s="57" t="n">
        <f aca="false">IF($B14="","",N(الموظفون!$W14))</f>
        <v>24</v>
      </c>
      <c r="G14" s="97" t="n">
        <f aca="false">IF($B14="","",IF(AND(D14="نعم",F14&gt;0),E14/F14,0))</f>
        <v>91.6666666666667</v>
      </c>
      <c r="H14" s="147" t="n">
        <f aca="false">IF($B14="","",MAX(cfg_Y_START,الموظفون!$H14))</f>
        <v>46023</v>
      </c>
      <c r="I14" s="147" t="n">
        <f aca="false">IF($B14="","",IF(OR(الموظفون!$AE14="",الموظفون!$AE14&gt;cfg_VAL_DATE),cfg_VAL_DATE,الموظفون!$AE14))</f>
        <v>46295</v>
      </c>
      <c r="J14" s="57" t="n">
        <f aca="false">IF($B14="","",MAX(0,MAX(0,I14-H14+1)-(SUMIFS('سجل الإجازات والحالات'!$S$6:$S$505,'سجل الإجازات والحالات'!$B$6:$B$505,$B14)-SUMIFS('سجل الإجازات والحالات'!$R$6:$R$505,'سجل الإجازات والحالات'!$B$6:$B$505,$B14))))</f>
        <v>273</v>
      </c>
      <c r="K14" s="97" t="n">
        <f aca="false">IF($B14="","",G14*12/cfg_DAYS_Y*J14)</f>
        <v>822.739726027397</v>
      </c>
      <c r="L14" s="97" t="n">
        <f aca="false">IF($B14="","",N(الموظفون!$AD14))</f>
        <v>2000</v>
      </c>
      <c r="M14" s="97" t="n">
        <f aca="false">IF($B14="","",SUMIFS('الحركات الشهرية'!$M$6:$M$1005,'الحركات الشهرية'!$B$6:$B$1005,B14,'الحركات الشهرية'!$A$6:$A$1005,"&lt;="&amp;cfg_VAL_M))</f>
        <v>2200</v>
      </c>
      <c r="N14" s="155" t="n">
        <f aca="false">IF($B14="","",L14+K14-M14)</f>
        <v>622.739726027397</v>
      </c>
      <c r="O14" s="152" t="n">
        <f aca="false">IF($B14="","",IF(E14&gt;0,N14/E14,0))</f>
        <v>0.283063511830635</v>
      </c>
      <c r="P14" s="80" t="str">
        <f aca="false">IF($B14="","",IF(AND(D14="لا",N14&lt;&gt;0),"⚠ غير مستحق وله رصيد",IF(N14&lt;-0.01,"✖ استخدام أكثر من المكوّن",IF(AND(D14="نعم",O14&gt;=1),"⚠ تذكرة مستحقة للصرف","✔ سليم"))))</f>
        <v>✔ سليم</v>
      </c>
    </row>
    <row r="15" customFormat="false" ht="15" hidden="false" customHeight="false" outlineLevel="0" collapsed="false">
      <c r="B15" s="102" t="str">
        <f aca="false">IF(الموظفون!$B15="","",الموظفون!$B15)</f>
        <v>E010</v>
      </c>
      <c r="C15" s="102" t="str">
        <f aca="false">IF($B15="","",الموظفون!$C15)</f>
        <v>ريم سلطان المطيري</v>
      </c>
      <c r="D15" s="102" t="str">
        <f aca="false">IF($B15="","",IF(الموظفون!$U15="نعم","نعم","لا"))</f>
        <v>لا</v>
      </c>
      <c r="E15" s="101" t="n">
        <f aca="false">IF($B15="","",N(الموظفون!$V15))</f>
        <v>0</v>
      </c>
      <c r="F15" s="110" t="n">
        <f aca="false">IF($B15="","",N(الموظفون!$W15))</f>
        <v>12</v>
      </c>
      <c r="G15" s="101" t="n">
        <f aca="false">IF($B15="","",IF(AND(D15="نعم",F15&gt;0),E15/F15,0))</f>
        <v>0</v>
      </c>
      <c r="H15" s="148" t="n">
        <f aca="false">IF($B15="","",MAX(cfg_Y_START,الموظفون!$H15))</f>
        <v>46127</v>
      </c>
      <c r="I15" s="148" t="n">
        <f aca="false">IF($B15="","",IF(OR(الموظفون!$AE15="",الموظفون!$AE15&gt;cfg_VAL_DATE),cfg_VAL_DATE,الموظفون!$AE15))</f>
        <v>46295</v>
      </c>
      <c r="J15" s="110" t="n">
        <f aca="false">IF($B15="","",MAX(0,MAX(0,I15-H15+1)-(SUMIFS('سجل الإجازات والحالات'!$S$6:$S$505,'سجل الإجازات والحالات'!$B$6:$B$505,$B15)-SUMIFS('سجل الإجازات والحالات'!$R$6:$R$505,'سجل الإجازات والحالات'!$B$6:$B$505,$B15))))</f>
        <v>169</v>
      </c>
      <c r="K15" s="101" t="n">
        <f aca="false">IF($B15="","",G15*12/cfg_DAYS_Y*J15)</f>
        <v>0</v>
      </c>
      <c r="L15" s="101" t="n">
        <f aca="false">IF($B15="","",N(الموظفون!$AD15))</f>
        <v>0</v>
      </c>
      <c r="M15" s="101" t="n">
        <f aca="false">IF($B15="","",SUMIFS('الحركات الشهرية'!$M$6:$M$1005,'الحركات الشهرية'!$B$6:$B$1005,B15,'الحركات الشهرية'!$A$6:$A$1005,"&lt;="&amp;cfg_VAL_M))</f>
        <v>0</v>
      </c>
      <c r="N15" s="156" t="n">
        <f aca="false">IF($B15="","",L15+K15-M15)</f>
        <v>0</v>
      </c>
      <c r="O15" s="153" t="n">
        <f aca="false">IF($B15="","",IF(E15&gt;0,N15/E15,0))</f>
        <v>0</v>
      </c>
      <c r="P15" s="102" t="str">
        <f aca="false">IF($B15="","",IF(AND(D15="لا",N15&lt;&gt;0),"⚠ غير مستحق وله رصيد",IF(N15&lt;-0.01,"✖ استخدام أكثر من المكوّن",IF(AND(D15="نعم",O15&gt;=1),"⚠ تذكرة مستحقة للصرف","✔ سليم"))))</f>
        <v>✔ سليم</v>
      </c>
    </row>
    <row r="16" customFormat="false" ht="15" hidden="false" customHeight="false" outlineLevel="0" collapsed="false">
      <c r="B16" s="80" t="str">
        <f aca="false">IF(الموظفون!$B16="","",الموظفون!$B16)</f>
        <v>E011</v>
      </c>
      <c r="C16" s="80" t="str">
        <f aca="false">IF($B16="","",الموظفون!$C16)</f>
        <v>جون ماتيو</v>
      </c>
      <c r="D16" s="80" t="str">
        <f aca="false">IF($B16="","",IF(الموظفون!$U16="نعم","نعم","لا"))</f>
        <v>نعم</v>
      </c>
      <c r="E16" s="97" t="n">
        <f aca="false">IF($B16="","",N(الموظفون!$V16))</f>
        <v>2600</v>
      </c>
      <c r="F16" s="57" t="n">
        <f aca="false">IF($B16="","",N(الموظفون!$W16))</f>
        <v>24</v>
      </c>
      <c r="G16" s="97" t="n">
        <f aca="false">IF($B16="","",IF(AND(D16="نعم",F16&gt;0),E16/F16,0))</f>
        <v>108.333333333333</v>
      </c>
      <c r="H16" s="147" t="n">
        <f aca="false">IF($B16="","",MAX(cfg_Y_START,الموظفون!$H16))</f>
        <v>46023</v>
      </c>
      <c r="I16" s="147" t="n">
        <f aca="false">IF($B16="","",IF(OR(الموظفون!$AE16="",الموظفون!$AE16&gt;cfg_VAL_DATE),cfg_VAL_DATE,الموظفون!$AE16))</f>
        <v>46203</v>
      </c>
      <c r="J16" s="57" t="n">
        <f aca="false">IF($B16="","",MAX(0,MAX(0,I16-H16+1)-(SUMIFS('سجل الإجازات والحالات'!$S$6:$S$505,'سجل الإجازات والحالات'!$B$6:$B$505,$B16)-SUMIFS('سجل الإجازات والحالات'!$R$6:$R$505,'سجل الإجازات والحالات'!$B$6:$B$505,$B16))))</f>
        <v>181</v>
      </c>
      <c r="K16" s="97" t="n">
        <f aca="false">IF($B16="","",G16*12/cfg_DAYS_Y*J16)</f>
        <v>644.657534246575</v>
      </c>
      <c r="L16" s="97" t="n">
        <f aca="false">IF($B16="","",N(الموظفون!$AD16))</f>
        <v>1800</v>
      </c>
      <c r="M16" s="97" t="n">
        <f aca="false">IF($B16="","",SUMIFS('الحركات الشهرية'!$M$6:$M$1005,'الحركات الشهرية'!$B$6:$B$1005,B16,'الحركات الشهرية'!$A$6:$A$1005,"&lt;="&amp;cfg_VAL_M))</f>
        <v>0</v>
      </c>
      <c r="N16" s="155" t="n">
        <f aca="false">IF($B16="","",L16+K16-M16)</f>
        <v>2444.65753424658</v>
      </c>
      <c r="O16" s="152" t="n">
        <f aca="false">IF($B16="","",IF(E16&gt;0,N16/E16,0))</f>
        <v>0.940252897787144</v>
      </c>
      <c r="P16" s="80" t="str">
        <f aca="false">IF($B16="","",IF(AND(D16="لا",N16&lt;&gt;0),"⚠ غير مستحق وله رصيد",IF(N16&lt;-0.01,"✖ استخدام أكثر من المكوّن",IF(AND(D16="نعم",O16&gt;=1),"⚠ تذكرة مستحقة للصرف","✔ سليم"))))</f>
        <v>✔ سليم</v>
      </c>
    </row>
    <row r="17" customFormat="false" ht="15" hidden="false" customHeight="false" outlineLevel="0" collapsed="false">
      <c r="B17" s="102" t="str">
        <f aca="false">IF(الموظفون!$B17="","",الموظفون!$B17)</f>
        <v>E012</v>
      </c>
      <c r="C17" s="102" t="str">
        <f aca="false">IF($B17="","",الموظفون!$C17)</f>
        <v>عمر حسين البيشي</v>
      </c>
      <c r="D17" s="102" t="str">
        <f aca="false">IF($B17="","",IF(الموظفون!$U17="نعم","نعم","لا"))</f>
        <v>لا</v>
      </c>
      <c r="E17" s="101" t="n">
        <f aca="false">IF($B17="","",N(الموظفون!$V17))</f>
        <v>0</v>
      </c>
      <c r="F17" s="110" t="n">
        <f aca="false">IF($B17="","",N(الموظفون!$W17))</f>
        <v>12</v>
      </c>
      <c r="G17" s="101" t="n">
        <f aca="false">IF($B17="","",IF(AND(D17="نعم",F17&gt;0),E17/F17,0))</f>
        <v>0</v>
      </c>
      <c r="H17" s="148" t="n">
        <f aca="false">IF($B17="","",MAX(cfg_Y_START,الموظفون!$H17))</f>
        <v>46023</v>
      </c>
      <c r="I17" s="148" t="n">
        <f aca="false">IF($B17="","",IF(OR(الموظفون!$AE17="",الموظفون!$AE17&gt;cfg_VAL_DATE),cfg_VAL_DATE,الموظفون!$AE17))</f>
        <v>46295</v>
      </c>
      <c r="J17" s="110" t="n">
        <f aca="false">IF($B17="","",MAX(0,MAX(0,I17-H17+1)-(SUMIFS('سجل الإجازات والحالات'!$S$6:$S$505,'سجل الإجازات والحالات'!$B$6:$B$505,$B17)-SUMIFS('سجل الإجازات والحالات'!$R$6:$R$505,'سجل الإجازات والحالات'!$B$6:$B$505,$B17))))</f>
        <v>273</v>
      </c>
      <c r="K17" s="101" t="n">
        <f aca="false">IF($B17="","",G17*12/cfg_DAYS_Y*J17)</f>
        <v>0</v>
      </c>
      <c r="L17" s="101" t="n">
        <f aca="false">IF($B17="","",N(الموظفون!$AD17))</f>
        <v>0</v>
      </c>
      <c r="M17" s="101" t="n">
        <f aca="false">IF($B17="","",SUMIFS('الحركات الشهرية'!$M$6:$M$1005,'الحركات الشهرية'!$B$6:$B$1005,B17,'الحركات الشهرية'!$A$6:$A$1005,"&lt;="&amp;cfg_VAL_M))</f>
        <v>0</v>
      </c>
      <c r="N17" s="156" t="n">
        <f aca="false">IF($B17="","",L17+K17-M17)</f>
        <v>0</v>
      </c>
      <c r="O17" s="153" t="n">
        <f aca="false">IF($B17="","",IF(E17&gt;0,N17/E17,0))</f>
        <v>0</v>
      </c>
      <c r="P17" s="102" t="str">
        <f aca="false">IF($B17="","",IF(AND(D17="لا",N17&lt;&gt;0),"⚠ غير مستحق وله رصيد",IF(N17&lt;-0.01,"✖ استخدام أكثر من المكوّن",IF(AND(D17="نعم",O17&gt;=1),"⚠ تذكرة مستحقة للصرف","✔ سليم"))))</f>
        <v>✔ سليم</v>
      </c>
    </row>
    <row r="18" customFormat="false" ht="15" hidden="false" customHeight="false" outlineLevel="0" collapsed="false">
      <c r="B18" s="80" t="str">
        <f aca="false">IF(الموظفون!$B18="","",الموظفون!$B18)</f>
        <v/>
      </c>
      <c r="C18" s="80" t="str">
        <f aca="false">IF($B18="","",الموظفون!$C18)</f>
        <v/>
      </c>
      <c r="D18" s="80" t="str">
        <f aca="false">IF($B18="","",IF(الموظفون!$U18="نعم","نعم","لا"))</f>
        <v/>
      </c>
      <c r="E18" s="97" t="str">
        <f aca="false">IF($B18="","",N(الموظفون!$V18))</f>
        <v/>
      </c>
      <c r="F18" s="57" t="str">
        <f aca="false">IF($B18="","",N(الموظفون!$W18))</f>
        <v/>
      </c>
      <c r="G18" s="97" t="str">
        <f aca="false">IF($B18="","",IF(AND(D18="نعم",F18&gt;0),E18/F18,0))</f>
        <v/>
      </c>
      <c r="H18" s="147" t="str">
        <f aca="false">IF($B18="","",MAX(cfg_Y_START,الموظفون!$H18))</f>
        <v/>
      </c>
      <c r="I18" s="147" t="str">
        <f aca="false">IF($B18="","",IF(OR(الموظفون!$AE18="",الموظفون!$AE18&gt;cfg_VAL_DATE),cfg_VAL_DATE,الموظفون!$AE18))</f>
        <v/>
      </c>
      <c r="J18" s="57" t="str">
        <f aca="false">IF($B18="","",MAX(0,MAX(0,I18-H18+1)-(SUMIFS('سجل الإجازات والحالات'!$S$6:$S$505,'سجل الإجازات والحالات'!$B$6:$B$505,$B18)-SUMIFS('سجل الإجازات والحالات'!$R$6:$R$505,'سجل الإجازات والحالات'!$B$6:$B$505,$B18))))</f>
        <v/>
      </c>
      <c r="K18" s="97" t="str">
        <f aca="false">IF($B18="","",G18*12/cfg_DAYS_Y*J18)</f>
        <v/>
      </c>
      <c r="L18" s="97" t="str">
        <f aca="false">IF($B18="","",N(الموظفون!$AD18))</f>
        <v/>
      </c>
      <c r="M18" s="97" t="str">
        <f aca="false">IF($B18="","",SUMIFS('الحركات الشهرية'!$M$6:$M$1005,'الحركات الشهرية'!$B$6:$B$1005,B18,'الحركات الشهرية'!$A$6:$A$1005,"&lt;="&amp;cfg_VAL_M))</f>
        <v/>
      </c>
      <c r="N18" s="155" t="str">
        <f aca="false">IF($B18="","",L18+K18-M18)</f>
        <v/>
      </c>
      <c r="O18" s="152" t="str">
        <f aca="false">IF($B18="","",IF(E18&gt;0,N18/E18,0))</f>
        <v/>
      </c>
      <c r="P18" s="80" t="str">
        <f aca="false">IF($B18="","",IF(AND(D18="لا",N18&lt;&gt;0),"⚠ غير مستحق وله رصيد",IF(N18&lt;-0.01,"✖ استخدام أكثر من المكوّن",IF(AND(D18="نعم",O18&gt;=1),"⚠ تذكرة مستحقة للصرف","✔ سليم"))))</f>
        <v/>
      </c>
    </row>
    <row r="19" customFormat="false" ht="15" hidden="false" customHeight="false" outlineLevel="0" collapsed="false">
      <c r="B19" s="102" t="str">
        <f aca="false">IF(الموظفون!$B19="","",الموظفون!$B19)</f>
        <v/>
      </c>
      <c r="C19" s="102" t="str">
        <f aca="false">IF($B19="","",الموظفون!$C19)</f>
        <v/>
      </c>
      <c r="D19" s="102" t="str">
        <f aca="false">IF($B19="","",IF(الموظفون!$U19="نعم","نعم","لا"))</f>
        <v/>
      </c>
      <c r="E19" s="101" t="str">
        <f aca="false">IF($B19="","",N(الموظفون!$V19))</f>
        <v/>
      </c>
      <c r="F19" s="110" t="str">
        <f aca="false">IF($B19="","",N(الموظفون!$W19))</f>
        <v/>
      </c>
      <c r="G19" s="101" t="str">
        <f aca="false">IF($B19="","",IF(AND(D19="نعم",F19&gt;0),E19/F19,0))</f>
        <v/>
      </c>
      <c r="H19" s="148" t="str">
        <f aca="false">IF($B19="","",MAX(cfg_Y_START,الموظفون!$H19))</f>
        <v/>
      </c>
      <c r="I19" s="148" t="str">
        <f aca="false">IF($B19="","",IF(OR(الموظفون!$AE19="",الموظفون!$AE19&gt;cfg_VAL_DATE),cfg_VAL_DATE,الموظفون!$AE19))</f>
        <v/>
      </c>
      <c r="J19" s="110" t="str">
        <f aca="false">IF($B19="","",MAX(0,MAX(0,I19-H19+1)-(SUMIFS('سجل الإجازات والحالات'!$S$6:$S$505,'سجل الإجازات والحالات'!$B$6:$B$505,$B19)-SUMIFS('سجل الإجازات والحالات'!$R$6:$R$505,'سجل الإجازات والحالات'!$B$6:$B$505,$B19))))</f>
        <v/>
      </c>
      <c r="K19" s="101" t="str">
        <f aca="false">IF($B19="","",G19*12/cfg_DAYS_Y*J19)</f>
        <v/>
      </c>
      <c r="L19" s="101" t="str">
        <f aca="false">IF($B19="","",N(الموظفون!$AD19))</f>
        <v/>
      </c>
      <c r="M19" s="101" t="str">
        <f aca="false">IF($B19="","",SUMIFS('الحركات الشهرية'!$M$6:$M$1005,'الحركات الشهرية'!$B$6:$B$1005,B19,'الحركات الشهرية'!$A$6:$A$1005,"&lt;="&amp;cfg_VAL_M))</f>
        <v/>
      </c>
      <c r="N19" s="156" t="str">
        <f aca="false">IF($B19="","",L19+K19-M19)</f>
        <v/>
      </c>
      <c r="O19" s="153" t="str">
        <f aca="false">IF($B19="","",IF(E19&gt;0,N19/E19,0))</f>
        <v/>
      </c>
      <c r="P19" s="102" t="str">
        <f aca="false">IF($B19="","",IF(AND(D19="لا",N19&lt;&gt;0),"⚠ غير مستحق وله رصيد",IF(N19&lt;-0.01,"✖ استخدام أكثر من المكوّن",IF(AND(D19="نعم",O19&gt;=1),"⚠ تذكرة مستحقة للصرف","✔ سليم"))))</f>
        <v/>
      </c>
    </row>
    <row r="20" customFormat="false" ht="15" hidden="false" customHeight="false" outlineLevel="0" collapsed="false">
      <c r="B20" s="80" t="str">
        <f aca="false">IF(الموظفون!$B20="","",الموظفون!$B20)</f>
        <v/>
      </c>
      <c r="C20" s="80" t="str">
        <f aca="false">IF($B20="","",الموظفون!$C20)</f>
        <v/>
      </c>
      <c r="D20" s="80" t="str">
        <f aca="false">IF($B20="","",IF(الموظفون!$U20="نعم","نعم","لا"))</f>
        <v/>
      </c>
      <c r="E20" s="97" t="str">
        <f aca="false">IF($B20="","",N(الموظفون!$V20))</f>
        <v/>
      </c>
      <c r="F20" s="57" t="str">
        <f aca="false">IF($B20="","",N(الموظفون!$W20))</f>
        <v/>
      </c>
      <c r="G20" s="97" t="str">
        <f aca="false">IF($B20="","",IF(AND(D20="نعم",F20&gt;0),E20/F20,0))</f>
        <v/>
      </c>
      <c r="H20" s="147" t="str">
        <f aca="false">IF($B20="","",MAX(cfg_Y_START,الموظفون!$H20))</f>
        <v/>
      </c>
      <c r="I20" s="147" t="str">
        <f aca="false">IF($B20="","",IF(OR(الموظفون!$AE20="",الموظفون!$AE20&gt;cfg_VAL_DATE),cfg_VAL_DATE,الموظفون!$AE20))</f>
        <v/>
      </c>
      <c r="J20" s="57" t="str">
        <f aca="false">IF($B20="","",MAX(0,MAX(0,I20-H20+1)-(SUMIFS('سجل الإجازات والحالات'!$S$6:$S$505,'سجل الإجازات والحالات'!$B$6:$B$505,$B20)-SUMIFS('سجل الإجازات والحالات'!$R$6:$R$505,'سجل الإجازات والحالات'!$B$6:$B$505,$B20))))</f>
        <v/>
      </c>
      <c r="K20" s="97" t="str">
        <f aca="false">IF($B20="","",G20*12/cfg_DAYS_Y*J20)</f>
        <v/>
      </c>
      <c r="L20" s="97" t="str">
        <f aca="false">IF($B20="","",N(الموظفون!$AD20))</f>
        <v/>
      </c>
      <c r="M20" s="97" t="str">
        <f aca="false">IF($B20="","",SUMIFS('الحركات الشهرية'!$M$6:$M$1005,'الحركات الشهرية'!$B$6:$B$1005,B20,'الحركات الشهرية'!$A$6:$A$1005,"&lt;="&amp;cfg_VAL_M))</f>
        <v/>
      </c>
      <c r="N20" s="155" t="str">
        <f aca="false">IF($B20="","",L20+K20-M20)</f>
        <v/>
      </c>
      <c r="O20" s="152" t="str">
        <f aca="false">IF($B20="","",IF(E20&gt;0,N20/E20,0))</f>
        <v/>
      </c>
      <c r="P20" s="80" t="str">
        <f aca="false">IF($B20="","",IF(AND(D20="لا",N20&lt;&gt;0),"⚠ غير مستحق وله رصيد",IF(N20&lt;-0.01,"✖ استخدام أكثر من المكوّن",IF(AND(D20="نعم",O20&gt;=1),"⚠ تذكرة مستحقة للصرف","✔ سليم"))))</f>
        <v/>
      </c>
    </row>
    <row r="21" customFormat="false" ht="15" hidden="false" customHeight="false" outlineLevel="0" collapsed="false">
      <c r="B21" s="102" t="str">
        <f aca="false">IF(الموظفون!$B21="","",الموظفون!$B21)</f>
        <v/>
      </c>
      <c r="C21" s="102" t="str">
        <f aca="false">IF($B21="","",الموظفون!$C21)</f>
        <v/>
      </c>
      <c r="D21" s="102" t="str">
        <f aca="false">IF($B21="","",IF(الموظفون!$U21="نعم","نعم","لا"))</f>
        <v/>
      </c>
      <c r="E21" s="101" t="str">
        <f aca="false">IF($B21="","",N(الموظفون!$V21))</f>
        <v/>
      </c>
      <c r="F21" s="110" t="str">
        <f aca="false">IF($B21="","",N(الموظفون!$W21))</f>
        <v/>
      </c>
      <c r="G21" s="101" t="str">
        <f aca="false">IF($B21="","",IF(AND(D21="نعم",F21&gt;0),E21/F21,0))</f>
        <v/>
      </c>
      <c r="H21" s="148" t="str">
        <f aca="false">IF($B21="","",MAX(cfg_Y_START,الموظفون!$H21))</f>
        <v/>
      </c>
      <c r="I21" s="148" t="str">
        <f aca="false">IF($B21="","",IF(OR(الموظفون!$AE21="",الموظفون!$AE21&gt;cfg_VAL_DATE),cfg_VAL_DATE,الموظفون!$AE21))</f>
        <v/>
      </c>
      <c r="J21" s="110" t="str">
        <f aca="false">IF($B21="","",MAX(0,MAX(0,I21-H21+1)-(SUMIFS('سجل الإجازات والحالات'!$S$6:$S$505,'سجل الإجازات والحالات'!$B$6:$B$505,$B21)-SUMIFS('سجل الإجازات والحالات'!$R$6:$R$505,'سجل الإجازات والحالات'!$B$6:$B$505,$B21))))</f>
        <v/>
      </c>
      <c r="K21" s="101" t="str">
        <f aca="false">IF($B21="","",G21*12/cfg_DAYS_Y*J21)</f>
        <v/>
      </c>
      <c r="L21" s="101" t="str">
        <f aca="false">IF($B21="","",N(الموظفون!$AD21))</f>
        <v/>
      </c>
      <c r="M21" s="101" t="str">
        <f aca="false">IF($B21="","",SUMIFS('الحركات الشهرية'!$M$6:$M$1005,'الحركات الشهرية'!$B$6:$B$1005,B21,'الحركات الشهرية'!$A$6:$A$1005,"&lt;="&amp;cfg_VAL_M))</f>
        <v/>
      </c>
      <c r="N21" s="156" t="str">
        <f aca="false">IF($B21="","",L21+K21-M21)</f>
        <v/>
      </c>
      <c r="O21" s="153" t="str">
        <f aca="false">IF($B21="","",IF(E21&gt;0,N21/E21,0))</f>
        <v/>
      </c>
      <c r="P21" s="102" t="str">
        <f aca="false">IF($B21="","",IF(AND(D21="لا",N21&lt;&gt;0),"⚠ غير مستحق وله رصيد",IF(N21&lt;-0.01,"✖ استخدام أكثر من المكوّن",IF(AND(D21="نعم",O21&gt;=1),"⚠ تذكرة مستحقة للصرف","✔ سليم"))))</f>
        <v/>
      </c>
    </row>
    <row r="22" customFormat="false" ht="15" hidden="false" customHeight="false" outlineLevel="0" collapsed="false">
      <c r="B22" s="80" t="str">
        <f aca="false">IF(الموظفون!$B22="","",الموظفون!$B22)</f>
        <v/>
      </c>
      <c r="C22" s="80" t="str">
        <f aca="false">IF($B22="","",الموظفون!$C22)</f>
        <v/>
      </c>
      <c r="D22" s="80" t="str">
        <f aca="false">IF($B22="","",IF(الموظفون!$U22="نعم","نعم","لا"))</f>
        <v/>
      </c>
      <c r="E22" s="97" t="str">
        <f aca="false">IF($B22="","",N(الموظفون!$V22))</f>
        <v/>
      </c>
      <c r="F22" s="57" t="str">
        <f aca="false">IF($B22="","",N(الموظفون!$W22))</f>
        <v/>
      </c>
      <c r="G22" s="97" t="str">
        <f aca="false">IF($B22="","",IF(AND(D22="نعم",F22&gt;0),E22/F22,0))</f>
        <v/>
      </c>
      <c r="H22" s="147" t="str">
        <f aca="false">IF($B22="","",MAX(cfg_Y_START,الموظفون!$H22))</f>
        <v/>
      </c>
      <c r="I22" s="147" t="str">
        <f aca="false">IF($B22="","",IF(OR(الموظفون!$AE22="",الموظفون!$AE22&gt;cfg_VAL_DATE),cfg_VAL_DATE,الموظفون!$AE22))</f>
        <v/>
      </c>
      <c r="J22" s="57" t="str">
        <f aca="false">IF($B22="","",MAX(0,MAX(0,I22-H22+1)-(SUMIFS('سجل الإجازات والحالات'!$S$6:$S$505,'سجل الإجازات والحالات'!$B$6:$B$505,$B22)-SUMIFS('سجل الإجازات والحالات'!$R$6:$R$505,'سجل الإجازات والحالات'!$B$6:$B$505,$B22))))</f>
        <v/>
      </c>
      <c r="K22" s="97" t="str">
        <f aca="false">IF($B22="","",G22*12/cfg_DAYS_Y*J22)</f>
        <v/>
      </c>
      <c r="L22" s="97" t="str">
        <f aca="false">IF($B22="","",N(الموظفون!$AD22))</f>
        <v/>
      </c>
      <c r="M22" s="97" t="str">
        <f aca="false">IF($B22="","",SUMIFS('الحركات الشهرية'!$M$6:$M$1005,'الحركات الشهرية'!$B$6:$B$1005,B22,'الحركات الشهرية'!$A$6:$A$1005,"&lt;="&amp;cfg_VAL_M))</f>
        <v/>
      </c>
      <c r="N22" s="155" t="str">
        <f aca="false">IF($B22="","",L22+K22-M22)</f>
        <v/>
      </c>
      <c r="O22" s="152" t="str">
        <f aca="false">IF($B22="","",IF(E22&gt;0,N22/E22,0))</f>
        <v/>
      </c>
      <c r="P22" s="80" t="str">
        <f aca="false">IF($B22="","",IF(AND(D22="لا",N22&lt;&gt;0),"⚠ غير مستحق وله رصيد",IF(N22&lt;-0.01,"✖ استخدام أكثر من المكوّن",IF(AND(D22="نعم",O22&gt;=1),"⚠ تذكرة مستحقة للصرف","✔ سليم"))))</f>
        <v/>
      </c>
    </row>
    <row r="23" customFormat="false" ht="15" hidden="false" customHeight="false" outlineLevel="0" collapsed="false">
      <c r="B23" s="102" t="str">
        <f aca="false">IF(الموظفون!$B23="","",الموظفون!$B23)</f>
        <v/>
      </c>
      <c r="C23" s="102" t="str">
        <f aca="false">IF($B23="","",الموظفون!$C23)</f>
        <v/>
      </c>
      <c r="D23" s="102" t="str">
        <f aca="false">IF($B23="","",IF(الموظفون!$U23="نعم","نعم","لا"))</f>
        <v/>
      </c>
      <c r="E23" s="101" t="str">
        <f aca="false">IF($B23="","",N(الموظفون!$V23))</f>
        <v/>
      </c>
      <c r="F23" s="110" t="str">
        <f aca="false">IF($B23="","",N(الموظفون!$W23))</f>
        <v/>
      </c>
      <c r="G23" s="101" t="str">
        <f aca="false">IF($B23="","",IF(AND(D23="نعم",F23&gt;0),E23/F23,0))</f>
        <v/>
      </c>
      <c r="H23" s="148" t="str">
        <f aca="false">IF($B23="","",MAX(cfg_Y_START,الموظفون!$H23))</f>
        <v/>
      </c>
      <c r="I23" s="148" t="str">
        <f aca="false">IF($B23="","",IF(OR(الموظفون!$AE23="",الموظفون!$AE23&gt;cfg_VAL_DATE),cfg_VAL_DATE,الموظفون!$AE23))</f>
        <v/>
      </c>
      <c r="J23" s="110" t="str">
        <f aca="false">IF($B23="","",MAX(0,MAX(0,I23-H23+1)-(SUMIFS('سجل الإجازات والحالات'!$S$6:$S$505,'سجل الإجازات والحالات'!$B$6:$B$505,$B23)-SUMIFS('سجل الإجازات والحالات'!$R$6:$R$505,'سجل الإجازات والحالات'!$B$6:$B$505,$B23))))</f>
        <v/>
      </c>
      <c r="K23" s="101" t="str">
        <f aca="false">IF($B23="","",G23*12/cfg_DAYS_Y*J23)</f>
        <v/>
      </c>
      <c r="L23" s="101" t="str">
        <f aca="false">IF($B23="","",N(الموظفون!$AD23))</f>
        <v/>
      </c>
      <c r="M23" s="101" t="str">
        <f aca="false">IF($B23="","",SUMIFS('الحركات الشهرية'!$M$6:$M$1005,'الحركات الشهرية'!$B$6:$B$1005,B23,'الحركات الشهرية'!$A$6:$A$1005,"&lt;="&amp;cfg_VAL_M))</f>
        <v/>
      </c>
      <c r="N23" s="156" t="str">
        <f aca="false">IF($B23="","",L23+K23-M23)</f>
        <v/>
      </c>
      <c r="O23" s="153" t="str">
        <f aca="false">IF($B23="","",IF(E23&gt;0,N23/E23,0))</f>
        <v/>
      </c>
      <c r="P23" s="102" t="str">
        <f aca="false">IF($B23="","",IF(AND(D23="لا",N23&lt;&gt;0),"⚠ غير مستحق وله رصيد",IF(N23&lt;-0.01,"✖ استخدام أكثر من المكوّن",IF(AND(D23="نعم",O23&gt;=1),"⚠ تذكرة مستحقة للصرف","✔ سليم"))))</f>
        <v/>
      </c>
    </row>
    <row r="24" customFormat="false" ht="15" hidden="false" customHeight="false" outlineLevel="0" collapsed="false">
      <c r="B24" s="80" t="str">
        <f aca="false">IF(الموظفون!$B24="","",الموظفون!$B24)</f>
        <v/>
      </c>
      <c r="C24" s="80" t="str">
        <f aca="false">IF($B24="","",الموظفون!$C24)</f>
        <v/>
      </c>
      <c r="D24" s="80" t="str">
        <f aca="false">IF($B24="","",IF(الموظفون!$U24="نعم","نعم","لا"))</f>
        <v/>
      </c>
      <c r="E24" s="97" t="str">
        <f aca="false">IF($B24="","",N(الموظفون!$V24))</f>
        <v/>
      </c>
      <c r="F24" s="57" t="str">
        <f aca="false">IF($B24="","",N(الموظفون!$W24))</f>
        <v/>
      </c>
      <c r="G24" s="97" t="str">
        <f aca="false">IF($B24="","",IF(AND(D24="نعم",F24&gt;0),E24/F24,0))</f>
        <v/>
      </c>
      <c r="H24" s="147" t="str">
        <f aca="false">IF($B24="","",MAX(cfg_Y_START,الموظفون!$H24))</f>
        <v/>
      </c>
      <c r="I24" s="147" t="str">
        <f aca="false">IF($B24="","",IF(OR(الموظفون!$AE24="",الموظفون!$AE24&gt;cfg_VAL_DATE),cfg_VAL_DATE,الموظفون!$AE24))</f>
        <v/>
      </c>
      <c r="J24" s="57" t="str">
        <f aca="false">IF($B24="","",MAX(0,MAX(0,I24-H24+1)-(SUMIFS('سجل الإجازات والحالات'!$S$6:$S$505,'سجل الإجازات والحالات'!$B$6:$B$505,$B24)-SUMIFS('سجل الإجازات والحالات'!$R$6:$R$505,'سجل الإجازات والحالات'!$B$6:$B$505,$B24))))</f>
        <v/>
      </c>
      <c r="K24" s="97" t="str">
        <f aca="false">IF($B24="","",G24*12/cfg_DAYS_Y*J24)</f>
        <v/>
      </c>
      <c r="L24" s="97" t="str">
        <f aca="false">IF($B24="","",N(الموظفون!$AD24))</f>
        <v/>
      </c>
      <c r="M24" s="97" t="str">
        <f aca="false">IF($B24="","",SUMIFS('الحركات الشهرية'!$M$6:$M$1005,'الحركات الشهرية'!$B$6:$B$1005,B24,'الحركات الشهرية'!$A$6:$A$1005,"&lt;="&amp;cfg_VAL_M))</f>
        <v/>
      </c>
      <c r="N24" s="155" t="str">
        <f aca="false">IF($B24="","",L24+K24-M24)</f>
        <v/>
      </c>
      <c r="O24" s="152" t="str">
        <f aca="false">IF($B24="","",IF(E24&gt;0,N24/E24,0))</f>
        <v/>
      </c>
      <c r="P24" s="80" t="str">
        <f aca="false">IF($B24="","",IF(AND(D24="لا",N24&lt;&gt;0),"⚠ غير مستحق وله رصيد",IF(N24&lt;-0.01,"✖ استخدام أكثر من المكوّن",IF(AND(D24="نعم",O24&gt;=1),"⚠ تذكرة مستحقة للصرف","✔ سليم"))))</f>
        <v/>
      </c>
    </row>
    <row r="25" customFormat="false" ht="15" hidden="false" customHeight="false" outlineLevel="0" collapsed="false">
      <c r="B25" s="102" t="str">
        <f aca="false">IF(الموظفون!$B25="","",الموظفون!$B25)</f>
        <v/>
      </c>
      <c r="C25" s="102" t="str">
        <f aca="false">IF($B25="","",الموظفون!$C25)</f>
        <v/>
      </c>
      <c r="D25" s="102" t="str">
        <f aca="false">IF($B25="","",IF(الموظفون!$U25="نعم","نعم","لا"))</f>
        <v/>
      </c>
      <c r="E25" s="101" t="str">
        <f aca="false">IF($B25="","",N(الموظفون!$V25))</f>
        <v/>
      </c>
      <c r="F25" s="110" t="str">
        <f aca="false">IF($B25="","",N(الموظفون!$W25))</f>
        <v/>
      </c>
      <c r="G25" s="101" t="str">
        <f aca="false">IF($B25="","",IF(AND(D25="نعم",F25&gt;0),E25/F25,0))</f>
        <v/>
      </c>
      <c r="H25" s="148" t="str">
        <f aca="false">IF($B25="","",MAX(cfg_Y_START,الموظفون!$H25))</f>
        <v/>
      </c>
      <c r="I25" s="148" t="str">
        <f aca="false">IF($B25="","",IF(OR(الموظفون!$AE25="",الموظفون!$AE25&gt;cfg_VAL_DATE),cfg_VAL_DATE,الموظفون!$AE25))</f>
        <v/>
      </c>
      <c r="J25" s="110" t="str">
        <f aca="false">IF($B25="","",MAX(0,MAX(0,I25-H25+1)-(SUMIFS('سجل الإجازات والحالات'!$S$6:$S$505,'سجل الإجازات والحالات'!$B$6:$B$505,$B25)-SUMIFS('سجل الإجازات والحالات'!$R$6:$R$505,'سجل الإجازات والحالات'!$B$6:$B$505,$B25))))</f>
        <v/>
      </c>
      <c r="K25" s="101" t="str">
        <f aca="false">IF($B25="","",G25*12/cfg_DAYS_Y*J25)</f>
        <v/>
      </c>
      <c r="L25" s="101" t="str">
        <f aca="false">IF($B25="","",N(الموظفون!$AD25))</f>
        <v/>
      </c>
      <c r="M25" s="101" t="str">
        <f aca="false">IF($B25="","",SUMIFS('الحركات الشهرية'!$M$6:$M$1005,'الحركات الشهرية'!$B$6:$B$1005,B25,'الحركات الشهرية'!$A$6:$A$1005,"&lt;="&amp;cfg_VAL_M))</f>
        <v/>
      </c>
      <c r="N25" s="156" t="str">
        <f aca="false">IF($B25="","",L25+K25-M25)</f>
        <v/>
      </c>
      <c r="O25" s="153" t="str">
        <f aca="false">IF($B25="","",IF(E25&gt;0,N25/E25,0))</f>
        <v/>
      </c>
      <c r="P25" s="102" t="str">
        <f aca="false">IF($B25="","",IF(AND(D25="لا",N25&lt;&gt;0),"⚠ غير مستحق وله رصيد",IF(N25&lt;-0.01,"✖ استخدام أكثر من المكوّن",IF(AND(D25="نعم",O25&gt;=1),"⚠ تذكرة مستحقة للصرف","✔ سليم"))))</f>
        <v/>
      </c>
    </row>
    <row r="26" customFormat="false" ht="15" hidden="false" customHeight="false" outlineLevel="0" collapsed="false">
      <c r="B26" s="80" t="str">
        <f aca="false">IF(الموظفون!$B26="","",الموظفون!$B26)</f>
        <v/>
      </c>
      <c r="C26" s="80" t="str">
        <f aca="false">IF($B26="","",الموظفون!$C26)</f>
        <v/>
      </c>
      <c r="D26" s="80" t="str">
        <f aca="false">IF($B26="","",IF(الموظفون!$U26="نعم","نعم","لا"))</f>
        <v/>
      </c>
      <c r="E26" s="97" t="str">
        <f aca="false">IF($B26="","",N(الموظفون!$V26))</f>
        <v/>
      </c>
      <c r="F26" s="57" t="str">
        <f aca="false">IF($B26="","",N(الموظفون!$W26))</f>
        <v/>
      </c>
      <c r="G26" s="97" t="str">
        <f aca="false">IF($B26="","",IF(AND(D26="نعم",F26&gt;0),E26/F26,0))</f>
        <v/>
      </c>
      <c r="H26" s="147" t="str">
        <f aca="false">IF($B26="","",MAX(cfg_Y_START,الموظفون!$H26))</f>
        <v/>
      </c>
      <c r="I26" s="147" t="str">
        <f aca="false">IF($B26="","",IF(OR(الموظفون!$AE26="",الموظفون!$AE26&gt;cfg_VAL_DATE),cfg_VAL_DATE,الموظفون!$AE26))</f>
        <v/>
      </c>
      <c r="J26" s="57" t="str">
        <f aca="false">IF($B26="","",MAX(0,MAX(0,I26-H26+1)-(SUMIFS('سجل الإجازات والحالات'!$S$6:$S$505,'سجل الإجازات والحالات'!$B$6:$B$505,$B26)-SUMIFS('سجل الإجازات والحالات'!$R$6:$R$505,'سجل الإجازات والحالات'!$B$6:$B$505,$B26))))</f>
        <v/>
      </c>
      <c r="K26" s="97" t="str">
        <f aca="false">IF($B26="","",G26*12/cfg_DAYS_Y*J26)</f>
        <v/>
      </c>
      <c r="L26" s="97" t="str">
        <f aca="false">IF($B26="","",N(الموظفون!$AD26))</f>
        <v/>
      </c>
      <c r="M26" s="97" t="str">
        <f aca="false">IF($B26="","",SUMIFS('الحركات الشهرية'!$M$6:$M$1005,'الحركات الشهرية'!$B$6:$B$1005,B26,'الحركات الشهرية'!$A$6:$A$1005,"&lt;="&amp;cfg_VAL_M))</f>
        <v/>
      </c>
      <c r="N26" s="155" t="str">
        <f aca="false">IF($B26="","",L26+K26-M26)</f>
        <v/>
      </c>
      <c r="O26" s="152" t="str">
        <f aca="false">IF($B26="","",IF(E26&gt;0,N26/E26,0))</f>
        <v/>
      </c>
      <c r="P26" s="80" t="str">
        <f aca="false">IF($B26="","",IF(AND(D26="لا",N26&lt;&gt;0),"⚠ غير مستحق وله رصيد",IF(N26&lt;-0.01,"✖ استخدام أكثر من المكوّن",IF(AND(D26="نعم",O26&gt;=1),"⚠ تذكرة مستحقة للصرف","✔ سليم"))))</f>
        <v/>
      </c>
    </row>
    <row r="27" customFormat="false" ht="15" hidden="false" customHeight="false" outlineLevel="0" collapsed="false">
      <c r="B27" s="102" t="str">
        <f aca="false">IF(الموظفون!$B27="","",الموظفون!$B27)</f>
        <v/>
      </c>
      <c r="C27" s="102" t="str">
        <f aca="false">IF($B27="","",الموظفون!$C27)</f>
        <v/>
      </c>
      <c r="D27" s="102" t="str">
        <f aca="false">IF($B27="","",IF(الموظفون!$U27="نعم","نعم","لا"))</f>
        <v/>
      </c>
      <c r="E27" s="101" t="str">
        <f aca="false">IF($B27="","",N(الموظفون!$V27))</f>
        <v/>
      </c>
      <c r="F27" s="110" t="str">
        <f aca="false">IF($B27="","",N(الموظفون!$W27))</f>
        <v/>
      </c>
      <c r="G27" s="101" t="str">
        <f aca="false">IF($B27="","",IF(AND(D27="نعم",F27&gt;0),E27/F27,0))</f>
        <v/>
      </c>
      <c r="H27" s="148" t="str">
        <f aca="false">IF($B27="","",MAX(cfg_Y_START,الموظفون!$H27))</f>
        <v/>
      </c>
      <c r="I27" s="148" t="str">
        <f aca="false">IF($B27="","",IF(OR(الموظفون!$AE27="",الموظفون!$AE27&gt;cfg_VAL_DATE),cfg_VAL_DATE,الموظفون!$AE27))</f>
        <v/>
      </c>
      <c r="J27" s="110" t="str">
        <f aca="false">IF($B27="","",MAX(0,MAX(0,I27-H27+1)-(SUMIFS('سجل الإجازات والحالات'!$S$6:$S$505,'سجل الإجازات والحالات'!$B$6:$B$505,$B27)-SUMIFS('سجل الإجازات والحالات'!$R$6:$R$505,'سجل الإجازات والحالات'!$B$6:$B$505,$B27))))</f>
        <v/>
      </c>
      <c r="K27" s="101" t="str">
        <f aca="false">IF($B27="","",G27*12/cfg_DAYS_Y*J27)</f>
        <v/>
      </c>
      <c r="L27" s="101" t="str">
        <f aca="false">IF($B27="","",N(الموظفون!$AD27))</f>
        <v/>
      </c>
      <c r="M27" s="101" t="str">
        <f aca="false">IF($B27="","",SUMIFS('الحركات الشهرية'!$M$6:$M$1005,'الحركات الشهرية'!$B$6:$B$1005,B27,'الحركات الشهرية'!$A$6:$A$1005,"&lt;="&amp;cfg_VAL_M))</f>
        <v/>
      </c>
      <c r="N27" s="156" t="str">
        <f aca="false">IF($B27="","",L27+K27-M27)</f>
        <v/>
      </c>
      <c r="O27" s="153" t="str">
        <f aca="false">IF($B27="","",IF(E27&gt;0,N27/E27,0))</f>
        <v/>
      </c>
      <c r="P27" s="102" t="str">
        <f aca="false">IF($B27="","",IF(AND(D27="لا",N27&lt;&gt;0),"⚠ غير مستحق وله رصيد",IF(N27&lt;-0.01,"✖ استخدام أكثر من المكوّن",IF(AND(D27="نعم",O27&gt;=1),"⚠ تذكرة مستحقة للصرف","✔ سليم"))))</f>
        <v/>
      </c>
    </row>
    <row r="28" customFormat="false" ht="15" hidden="false" customHeight="false" outlineLevel="0" collapsed="false">
      <c r="B28" s="80" t="str">
        <f aca="false">IF(الموظفون!$B28="","",الموظفون!$B28)</f>
        <v/>
      </c>
      <c r="C28" s="80" t="str">
        <f aca="false">IF($B28="","",الموظفون!$C28)</f>
        <v/>
      </c>
      <c r="D28" s="80" t="str">
        <f aca="false">IF($B28="","",IF(الموظفون!$U28="نعم","نعم","لا"))</f>
        <v/>
      </c>
      <c r="E28" s="97" t="str">
        <f aca="false">IF($B28="","",N(الموظفون!$V28))</f>
        <v/>
      </c>
      <c r="F28" s="57" t="str">
        <f aca="false">IF($B28="","",N(الموظفون!$W28))</f>
        <v/>
      </c>
      <c r="G28" s="97" t="str">
        <f aca="false">IF($B28="","",IF(AND(D28="نعم",F28&gt;0),E28/F28,0))</f>
        <v/>
      </c>
      <c r="H28" s="147" t="str">
        <f aca="false">IF($B28="","",MAX(cfg_Y_START,الموظفون!$H28))</f>
        <v/>
      </c>
      <c r="I28" s="147" t="str">
        <f aca="false">IF($B28="","",IF(OR(الموظفون!$AE28="",الموظفون!$AE28&gt;cfg_VAL_DATE),cfg_VAL_DATE,الموظفون!$AE28))</f>
        <v/>
      </c>
      <c r="J28" s="57" t="str">
        <f aca="false">IF($B28="","",MAX(0,MAX(0,I28-H28+1)-(SUMIFS('سجل الإجازات والحالات'!$S$6:$S$505,'سجل الإجازات والحالات'!$B$6:$B$505,$B28)-SUMIFS('سجل الإجازات والحالات'!$R$6:$R$505,'سجل الإجازات والحالات'!$B$6:$B$505,$B28))))</f>
        <v/>
      </c>
      <c r="K28" s="97" t="str">
        <f aca="false">IF($B28="","",G28*12/cfg_DAYS_Y*J28)</f>
        <v/>
      </c>
      <c r="L28" s="97" t="str">
        <f aca="false">IF($B28="","",N(الموظفون!$AD28))</f>
        <v/>
      </c>
      <c r="M28" s="97" t="str">
        <f aca="false">IF($B28="","",SUMIFS('الحركات الشهرية'!$M$6:$M$1005,'الحركات الشهرية'!$B$6:$B$1005,B28,'الحركات الشهرية'!$A$6:$A$1005,"&lt;="&amp;cfg_VAL_M))</f>
        <v/>
      </c>
      <c r="N28" s="155" t="str">
        <f aca="false">IF($B28="","",L28+K28-M28)</f>
        <v/>
      </c>
      <c r="O28" s="152" t="str">
        <f aca="false">IF($B28="","",IF(E28&gt;0,N28/E28,0))</f>
        <v/>
      </c>
      <c r="P28" s="80" t="str">
        <f aca="false">IF($B28="","",IF(AND(D28="لا",N28&lt;&gt;0),"⚠ غير مستحق وله رصيد",IF(N28&lt;-0.01,"✖ استخدام أكثر من المكوّن",IF(AND(D28="نعم",O28&gt;=1),"⚠ تذكرة مستحقة للصرف","✔ سليم"))))</f>
        <v/>
      </c>
    </row>
    <row r="29" customFormat="false" ht="15" hidden="false" customHeight="false" outlineLevel="0" collapsed="false">
      <c r="B29" s="102" t="str">
        <f aca="false">IF(الموظفون!$B29="","",الموظفون!$B29)</f>
        <v/>
      </c>
      <c r="C29" s="102" t="str">
        <f aca="false">IF($B29="","",الموظفون!$C29)</f>
        <v/>
      </c>
      <c r="D29" s="102" t="str">
        <f aca="false">IF($B29="","",IF(الموظفون!$U29="نعم","نعم","لا"))</f>
        <v/>
      </c>
      <c r="E29" s="101" t="str">
        <f aca="false">IF($B29="","",N(الموظفون!$V29))</f>
        <v/>
      </c>
      <c r="F29" s="110" t="str">
        <f aca="false">IF($B29="","",N(الموظفون!$W29))</f>
        <v/>
      </c>
      <c r="G29" s="101" t="str">
        <f aca="false">IF($B29="","",IF(AND(D29="نعم",F29&gt;0),E29/F29,0))</f>
        <v/>
      </c>
      <c r="H29" s="148" t="str">
        <f aca="false">IF($B29="","",MAX(cfg_Y_START,الموظفون!$H29))</f>
        <v/>
      </c>
      <c r="I29" s="148" t="str">
        <f aca="false">IF($B29="","",IF(OR(الموظفون!$AE29="",الموظفون!$AE29&gt;cfg_VAL_DATE),cfg_VAL_DATE,الموظفون!$AE29))</f>
        <v/>
      </c>
      <c r="J29" s="110" t="str">
        <f aca="false">IF($B29="","",MAX(0,MAX(0,I29-H29+1)-(SUMIFS('سجل الإجازات والحالات'!$S$6:$S$505,'سجل الإجازات والحالات'!$B$6:$B$505,$B29)-SUMIFS('سجل الإجازات والحالات'!$R$6:$R$505,'سجل الإجازات والحالات'!$B$6:$B$505,$B29))))</f>
        <v/>
      </c>
      <c r="K29" s="101" t="str">
        <f aca="false">IF($B29="","",G29*12/cfg_DAYS_Y*J29)</f>
        <v/>
      </c>
      <c r="L29" s="101" t="str">
        <f aca="false">IF($B29="","",N(الموظفون!$AD29))</f>
        <v/>
      </c>
      <c r="M29" s="101" t="str">
        <f aca="false">IF($B29="","",SUMIFS('الحركات الشهرية'!$M$6:$M$1005,'الحركات الشهرية'!$B$6:$B$1005,B29,'الحركات الشهرية'!$A$6:$A$1005,"&lt;="&amp;cfg_VAL_M))</f>
        <v/>
      </c>
      <c r="N29" s="156" t="str">
        <f aca="false">IF($B29="","",L29+K29-M29)</f>
        <v/>
      </c>
      <c r="O29" s="153" t="str">
        <f aca="false">IF($B29="","",IF(E29&gt;0,N29/E29,0))</f>
        <v/>
      </c>
      <c r="P29" s="102" t="str">
        <f aca="false">IF($B29="","",IF(AND(D29="لا",N29&lt;&gt;0),"⚠ غير مستحق وله رصيد",IF(N29&lt;-0.01,"✖ استخدام أكثر من المكوّن",IF(AND(D29="نعم",O29&gt;=1),"⚠ تذكرة مستحقة للصرف","✔ سليم"))))</f>
        <v/>
      </c>
    </row>
    <row r="30" customFormat="false" ht="15" hidden="false" customHeight="false" outlineLevel="0" collapsed="false">
      <c r="B30" s="80" t="str">
        <f aca="false">IF(الموظفون!$B30="","",الموظفون!$B30)</f>
        <v/>
      </c>
      <c r="C30" s="80" t="str">
        <f aca="false">IF($B30="","",الموظفون!$C30)</f>
        <v/>
      </c>
      <c r="D30" s="80" t="str">
        <f aca="false">IF($B30="","",IF(الموظفون!$U30="نعم","نعم","لا"))</f>
        <v/>
      </c>
      <c r="E30" s="97" t="str">
        <f aca="false">IF($B30="","",N(الموظفون!$V30))</f>
        <v/>
      </c>
      <c r="F30" s="57" t="str">
        <f aca="false">IF($B30="","",N(الموظفون!$W30))</f>
        <v/>
      </c>
      <c r="G30" s="97" t="str">
        <f aca="false">IF($B30="","",IF(AND(D30="نعم",F30&gt;0),E30/F30,0))</f>
        <v/>
      </c>
      <c r="H30" s="147" t="str">
        <f aca="false">IF($B30="","",MAX(cfg_Y_START,الموظفون!$H30))</f>
        <v/>
      </c>
      <c r="I30" s="147" t="str">
        <f aca="false">IF($B30="","",IF(OR(الموظفون!$AE30="",الموظفون!$AE30&gt;cfg_VAL_DATE),cfg_VAL_DATE,الموظفون!$AE30))</f>
        <v/>
      </c>
      <c r="J30" s="57" t="str">
        <f aca="false">IF($B30="","",MAX(0,MAX(0,I30-H30+1)-(SUMIFS('سجل الإجازات والحالات'!$S$6:$S$505,'سجل الإجازات والحالات'!$B$6:$B$505,$B30)-SUMIFS('سجل الإجازات والحالات'!$R$6:$R$505,'سجل الإجازات والحالات'!$B$6:$B$505,$B30))))</f>
        <v/>
      </c>
      <c r="K30" s="97" t="str">
        <f aca="false">IF($B30="","",G30*12/cfg_DAYS_Y*J30)</f>
        <v/>
      </c>
      <c r="L30" s="97" t="str">
        <f aca="false">IF($B30="","",N(الموظفون!$AD30))</f>
        <v/>
      </c>
      <c r="M30" s="97" t="str">
        <f aca="false">IF($B30="","",SUMIFS('الحركات الشهرية'!$M$6:$M$1005,'الحركات الشهرية'!$B$6:$B$1005,B30,'الحركات الشهرية'!$A$6:$A$1005,"&lt;="&amp;cfg_VAL_M))</f>
        <v/>
      </c>
      <c r="N30" s="155" t="str">
        <f aca="false">IF($B30="","",L30+K30-M30)</f>
        <v/>
      </c>
      <c r="O30" s="152" t="str">
        <f aca="false">IF($B30="","",IF(E30&gt;0,N30/E30,0))</f>
        <v/>
      </c>
      <c r="P30" s="80" t="str">
        <f aca="false">IF($B30="","",IF(AND(D30="لا",N30&lt;&gt;0),"⚠ غير مستحق وله رصيد",IF(N30&lt;-0.01,"✖ استخدام أكثر من المكوّن",IF(AND(D30="نعم",O30&gt;=1),"⚠ تذكرة مستحقة للصرف","✔ سليم"))))</f>
        <v/>
      </c>
    </row>
    <row r="31" customFormat="false" ht="15" hidden="false" customHeight="false" outlineLevel="0" collapsed="false">
      <c r="B31" s="102" t="str">
        <f aca="false">IF(الموظفون!$B31="","",الموظفون!$B31)</f>
        <v/>
      </c>
      <c r="C31" s="102" t="str">
        <f aca="false">IF($B31="","",الموظفون!$C31)</f>
        <v/>
      </c>
      <c r="D31" s="102" t="str">
        <f aca="false">IF($B31="","",IF(الموظفون!$U31="نعم","نعم","لا"))</f>
        <v/>
      </c>
      <c r="E31" s="101" t="str">
        <f aca="false">IF($B31="","",N(الموظفون!$V31))</f>
        <v/>
      </c>
      <c r="F31" s="110" t="str">
        <f aca="false">IF($B31="","",N(الموظفون!$W31))</f>
        <v/>
      </c>
      <c r="G31" s="101" t="str">
        <f aca="false">IF($B31="","",IF(AND(D31="نعم",F31&gt;0),E31/F31,0))</f>
        <v/>
      </c>
      <c r="H31" s="148" t="str">
        <f aca="false">IF($B31="","",MAX(cfg_Y_START,الموظفون!$H31))</f>
        <v/>
      </c>
      <c r="I31" s="148" t="str">
        <f aca="false">IF($B31="","",IF(OR(الموظفون!$AE31="",الموظفون!$AE31&gt;cfg_VAL_DATE),cfg_VAL_DATE,الموظفون!$AE31))</f>
        <v/>
      </c>
      <c r="J31" s="110" t="str">
        <f aca="false">IF($B31="","",MAX(0,MAX(0,I31-H31+1)-(SUMIFS('سجل الإجازات والحالات'!$S$6:$S$505,'سجل الإجازات والحالات'!$B$6:$B$505,$B31)-SUMIFS('سجل الإجازات والحالات'!$R$6:$R$505,'سجل الإجازات والحالات'!$B$6:$B$505,$B31))))</f>
        <v/>
      </c>
      <c r="K31" s="101" t="str">
        <f aca="false">IF($B31="","",G31*12/cfg_DAYS_Y*J31)</f>
        <v/>
      </c>
      <c r="L31" s="101" t="str">
        <f aca="false">IF($B31="","",N(الموظفون!$AD31))</f>
        <v/>
      </c>
      <c r="M31" s="101" t="str">
        <f aca="false">IF($B31="","",SUMIFS('الحركات الشهرية'!$M$6:$M$1005,'الحركات الشهرية'!$B$6:$B$1005,B31,'الحركات الشهرية'!$A$6:$A$1005,"&lt;="&amp;cfg_VAL_M))</f>
        <v/>
      </c>
      <c r="N31" s="156" t="str">
        <f aca="false">IF($B31="","",L31+K31-M31)</f>
        <v/>
      </c>
      <c r="O31" s="153" t="str">
        <f aca="false">IF($B31="","",IF(E31&gt;0,N31/E31,0))</f>
        <v/>
      </c>
      <c r="P31" s="102" t="str">
        <f aca="false">IF($B31="","",IF(AND(D31="لا",N31&lt;&gt;0),"⚠ غير مستحق وله رصيد",IF(N31&lt;-0.01,"✖ استخدام أكثر من المكوّن",IF(AND(D31="نعم",O31&gt;=1),"⚠ تذكرة مستحقة للصرف","✔ سليم"))))</f>
        <v/>
      </c>
    </row>
    <row r="32" customFormat="false" ht="15" hidden="false" customHeight="false" outlineLevel="0" collapsed="false">
      <c r="B32" s="80" t="str">
        <f aca="false">IF(الموظفون!$B32="","",الموظفون!$B32)</f>
        <v/>
      </c>
      <c r="C32" s="80" t="str">
        <f aca="false">IF($B32="","",الموظفون!$C32)</f>
        <v/>
      </c>
      <c r="D32" s="80" t="str">
        <f aca="false">IF($B32="","",IF(الموظفون!$U32="نعم","نعم","لا"))</f>
        <v/>
      </c>
      <c r="E32" s="97" t="str">
        <f aca="false">IF($B32="","",N(الموظفون!$V32))</f>
        <v/>
      </c>
      <c r="F32" s="57" t="str">
        <f aca="false">IF($B32="","",N(الموظفون!$W32))</f>
        <v/>
      </c>
      <c r="G32" s="97" t="str">
        <f aca="false">IF($B32="","",IF(AND(D32="نعم",F32&gt;0),E32/F32,0))</f>
        <v/>
      </c>
      <c r="H32" s="147" t="str">
        <f aca="false">IF($B32="","",MAX(cfg_Y_START,الموظفون!$H32))</f>
        <v/>
      </c>
      <c r="I32" s="147" t="str">
        <f aca="false">IF($B32="","",IF(OR(الموظفون!$AE32="",الموظفون!$AE32&gt;cfg_VAL_DATE),cfg_VAL_DATE,الموظفون!$AE32))</f>
        <v/>
      </c>
      <c r="J32" s="57" t="str">
        <f aca="false">IF($B32="","",MAX(0,MAX(0,I32-H32+1)-(SUMIFS('سجل الإجازات والحالات'!$S$6:$S$505,'سجل الإجازات والحالات'!$B$6:$B$505,$B32)-SUMIFS('سجل الإجازات والحالات'!$R$6:$R$505,'سجل الإجازات والحالات'!$B$6:$B$505,$B32))))</f>
        <v/>
      </c>
      <c r="K32" s="97" t="str">
        <f aca="false">IF($B32="","",G32*12/cfg_DAYS_Y*J32)</f>
        <v/>
      </c>
      <c r="L32" s="97" t="str">
        <f aca="false">IF($B32="","",N(الموظفون!$AD32))</f>
        <v/>
      </c>
      <c r="M32" s="97" t="str">
        <f aca="false">IF($B32="","",SUMIFS('الحركات الشهرية'!$M$6:$M$1005,'الحركات الشهرية'!$B$6:$B$1005,B32,'الحركات الشهرية'!$A$6:$A$1005,"&lt;="&amp;cfg_VAL_M))</f>
        <v/>
      </c>
      <c r="N32" s="155" t="str">
        <f aca="false">IF($B32="","",L32+K32-M32)</f>
        <v/>
      </c>
      <c r="O32" s="152" t="str">
        <f aca="false">IF($B32="","",IF(E32&gt;0,N32/E32,0))</f>
        <v/>
      </c>
      <c r="P32" s="80" t="str">
        <f aca="false">IF($B32="","",IF(AND(D32="لا",N32&lt;&gt;0),"⚠ غير مستحق وله رصيد",IF(N32&lt;-0.01,"✖ استخدام أكثر من المكوّن",IF(AND(D32="نعم",O32&gt;=1),"⚠ تذكرة مستحقة للصرف","✔ سليم"))))</f>
        <v/>
      </c>
    </row>
    <row r="33" customFormat="false" ht="15" hidden="false" customHeight="false" outlineLevel="0" collapsed="false">
      <c r="B33" s="102" t="str">
        <f aca="false">IF(الموظفون!$B33="","",الموظفون!$B33)</f>
        <v/>
      </c>
      <c r="C33" s="102" t="str">
        <f aca="false">IF($B33="","",الموظفون!$C33)</f>
        <v/>
      </c>
      <c r="D33" s="102" t="str">
        <f aca="false">IF($B33="","",IF(الموظفون!$U33="نعم","نعم","لا"))</f>
        <v/>
      </c>
      <c r="E33" s="101" t="str">
        <f aca="false">IF($B33="","",N(الموظفون!$V33))</f>
        <v/>
      </c>
      <c r="F33" s="110" t="str">
        <f aca="false">IF($B33="","",N(الموظفون!$W33))</f>
        <v/>
      </c>
      <c r="G33" s="101" t="str">
        <f aca="false">IF($B33="","",IF(AND(D33="نعم",F33&gt;0),E33/F33,0))</f>
        <v/>
      </c>
      <c r="H33" s="148" t="str">
        <f aca="false">IF($B33="","",MAX(cfg_Y_START,الموظفون!$H33))</f>
        <v/>
      </c>
      <c r="I33" s="148" t="str">
        <f aca="false">IF($B33="","",IF(OR(الموظفون!$AE33="",الموظفون!$AE33&gt;cfg_VAL_DATE),cfg_VAL_DATE,الموظفون!$AE33))</f>
        <v/>
      </c>
      <c r="J33" s="110" t="str">
        <f aca="false">IF($B33="","",MAX(0,MAX(0,I33-H33+1)-(SUMIFS('سجل الإجازات والحالات'!$S$6:$S$505,'سجل الإجازات والحالات'!$B$6:$B$505,$B33)-SUMIFS('سجل الإجازات والحالات'!$R$6:$R$505,'سجل الإجازات والحالات'!$B$6:$B$505,$B33))))</f>
        <v/>
      </c>
      <c r="K33" s="101" t="str">
        <f aca="false">IF($B33="","",G33*12/cfg_DAYS_Y*J33)</f>
        <v/>
      </c>
      <c r="L33" s="101" t="str">
        <f aca="false">IF($B33="","",N(الموظفون!$AD33))</f>
        <v/>
      </c>
      <c r="M33" s="101" t="str">
        <f aca="false">IF($B33="","",SUMIFS('الحركات الشهرية'!$M$6:$M$1005,'الحركات الشهرية'!$B$6:$B$1005,B33,'الحركات الشهرية'!$A$6:$A$1005,"&lt;="&amp;cfg_VAL_M))</f>
        <v/>
      </c>
      <c r="N33" s="156" t="str">
        <f aca="false">IF($B33="","",L33+K33-M33)</f>
        <v/>
      </c>
      <c r="O33" s="153" t="str">
        <f aca="false">IF($B33="","",IF(E33&gt;0,N33/E33,0))</f>
        <v/>
      </c>
      <c r="P33" s="102" t="str">
        <f aca="false">IF($B33="","",IF(AND(D33="لا",N33&lt;&gt;0),"⚠ غير مستحق وله رصيد",IF(N33&lt;-0.01,"✖ استخدام أكثر من المكوّن",IF(AND(D33="نعم",O33&gt;=1),"⚠ تذكرة مستحقة للصرف","✔ سليم"))))</f>
        <v/>
      </c>
    </row>
    <row r="34" customFormat="false" ht="15" hidden="false" customHeight="false" outlineLevel="0" collapsed="false">
      <c r="B34" s="80" t="str">
        <f aca="false">IF(الموظفون!$B34="","",الموظفون!$B34)</f>
        <v/>
      </c>
      <c r="C34" s="80" t="str">
        <f aca="false">IF($B34="","",الموظفون!$C34)</f>
        <v/>
      </c>
      <c r="D34" s="80" t="str">
        <f aca="false">IF($B34="","",IF(الموظفون!$U34="نعم","نعم","لا"))</f>
        <v/>
      </c>
      <c r="E34" s="97" t="str">
        <f aca="false">IF($B34="","",N(الموظفون!$V34))</f>
        <v/>
      </c>
      <c r="F34" s="57" t="str">
        <f aca="false">IF($B34="","",N(الموظفون!$W34))</f>
        <v/>
      </c>
      <c r="G34" s="97" t="str">
        <f aca="false">IF($B34="","",IF(AND(D34="نعم",F34&gt;0),E34/F34,0))</f>
        <v/>
      </c>
      <c r="H34" s="147" t="str">
        <f aca="false">IF($B34="","",MAX(cfg_Y_START,الموظفون!$H34))</f>
        <v/>
      </c>
      <c r="I34" s="147" t="str">
        <f aca="false">IF($B34="","",IF(OR(الموظفون!$AE34="",الموظفون!$AE34&gt;cfg_VAL_DATE),cfg_VAL_DATE,الموظفون!$AE34))</f>
        <v/>
      </c>
      <c r="J34" s="57" t="str">
        <f aca="false">IF($B34="","",MAX(0,MAX(0,I34-H34+1)-(SUMIFS('سجل الإجازات والحالات'!$S$6:$S$505,'سجل الإجازات والحالات'!$B$6:$B$505,$B34)-SUMIFS('سجل الإجازات والحالات'!$R$6:$R$505,'سجل الإجازات والحالات'!$B$6:$B$505,$B34))))</f>
        <v/>
      </c>
      <c r="K34" s="97" t="str">
        <f aca="false">IF($B34="","",G34*12/cfg_DAYS_Y*J34)</f>
        <v/>
      </c>
      <c r="L34" s="97" t="str">
        <f aca="false">IF($B34="","",N(الموظفون!$AD34))</f>
        <v/>
      </c>
      <c r="M34" s="97" t="str">
        <f aca="false">IF($B34="","",SUMIFS('الحركات الشهرية'!$M$6:$M$1005,'الحركات الشهرية'!$B$6:$B$1005,B34,'الحركات الشهرية'!$A$6:$A$1005,"&lt;="&amp;cfg_VAL_M))</f>
        <v/>
      </c>
      <c r="N34" s="155" t="str">
        <f aca="false">IF($B34="","",L34+K34-M34)</f>
        <v/>
      </c>
      <c r="O34" s="152" t="str">
        <f aca="false">IF($B34="","",IF(E34&gt;0,N34/E34,0))</f>
        <v/>
      </c>
      <c r="P34" s="80" t="str">
        <f aca="false">IF($B34="","",IF(AND(D34="لا",N34&lt;&gt;0),"⚠ غير مستحق وله رصيد",IF(N34&lt;-0.01,"✖ استخدام أكثر من المكوّن",IF(AND(D34="نعم",O34&gt;=1),"⚠ تذكرة مستحقة للصرف","✔ سليم"))))</f>
        <v/>
      </c>
    </row>
    <row r="35" customFormat="false" ht="15" hidden="false" customHeight="false" outlineLevel="0" collapsed="false">
      <c r="B35" s="102" t="str">
        <f aca="false">IF(الموظفون!$B35="","",الموظفون!$B35)</f>
        <v/>
      </c>
      <c r="C35" s="102" t="str">
        <f aca="false">IF($B35="","",الموظفون!$C35)</f>
        <v/>
      </c>
      <c r="D35" s="102" t="str">
        <f aca="false">IF($B35="","",IF(الموظفون!$U35="نعم","نعم","لا"))</f>
        <v/>
      </c>
      <c r="E35" s="101" t="str">
        <f aca="false">IF($B35="","",N(الموظفون!$V35))</f>
        <v/>
      </c>
      <c r="F35" s="110" t="str">
        <f aca="false">IF($B35="","",N(الموظفون!$W35))</f>
        <v/>
      </c>
      <c r="G35" s="101" t="str">
        <f aca="false">IF($B35="","",IF(AND(D35="نعم",F35&gt;0),E35/F35,0))</f>
        <v/>
      </c>
      <c r="H35" s="148" t="str">
        <f aca="false">IF($B35="","",MAX(cfg_Y_START,الموظفون!$H35))</f>
        <v/>
      </c>
      <c r="I35" s="148" t="str">
        <f aca="false">IF($B35="","",IF(OR(الموظفون!$AE35="",الموظفون!$AE35&gt;cfg_VAL_DATE),cfg_VAL_DATE,الموظفون!$AE35))</f>
        <v/>
      </c>
      <c r="J35" s="110" t="str">
        <f aca="false">IF($B35="","",MAX(0,MAX(0,I35-H35+1)-(SUMIFS('سجل الإجازات والحالات'!$S$6:$S$505,'سجل الإجازات والحالات'!$B$6:$B$505,$B35)-SUMIFS('سجل الإجازات والحالات'!$R$6:$R$505,'سجل الإجازات والحالات'!$B$6:$B$505,$B35))))</f>
        <v/>
      </c>
      <c r="K35" s="101" t="str">
        <f aca="false">IF($B35="","",G35*12/cfg_DAYS_Y*J35)</f>
        <v/>
      </c>
      <c r="L35" s="101" t="str">
        <f aca="false">IF($B35="","",N(الموظفون!$AD35))</f>
        <v/>
      </c>
      <c r="M35" s="101" t="str">
        <f aca="false">IF($B35="","",SUMIFS('الحركات الشهرية'!$M$6:$M$1005,'الحركات الشهرية'!$B$6:$B$1005,B35,'الحركات الشهرية'!$A$6:$A$1005,"&lt;="&amp;cfg_VAL_M))</f>
        <v/>
      </c>
      <c r="N35" s="156" t="str">
        <f aca="false">IF($B35="","",L35+K35-M35)</f>
        <v/>
      </c>
      <c r="O35" s="153" t="str">
        <f aca="false">IF($B35="","",IF(E35&gt;0,N35/E35,0))</f>
        <v/>
      </c>
      <c r="P35" s="102" t="str">
        <f aca="false">IF($B35="","",IF(AND(D35="لا",N35&lt;&gt;0),"⚠ غير مستحق وله رصيد",IF(N35&lt;-0.01,"✖ استخدام أكثر من المكوّن",IF(AND(D35="نعم",O35&gt;=1),"⚠ تذكرة مستحقة للصرف","✔ سليم"))))</f>
        <v/>
      </c>
    </row>
    <row r="36" customFormat="false" ht="15" hidden="false" customHeight="false" outlineLevel="0" collapsed="false">
      <c r="B36" s="80" t="str">
        <f aca="false">IF(الموظفون!$B36="","",الموظفون!$B36)</f>
        <v/>
      </c>
      <c r="C36" s="80" t="str">
        <f aca="false">IF($B36="","",الموظفون!$C36)</f>
        <v/>
      </c>
      <c r="D36" s="80" t="str">
        <f aca="false">IF($B36="","",IF(الموظفون!$U36="نعم","نعم","لا"))</f>
        <v/>
      </c>
      <c r="E36" s="97" t="str">
        <f aca="false">IF($B36="","",N(الموظفون!$V36))</f>
        <v/>
      </c>
      <c r="F36" s="57" t="str">
        <f aca="false">IF($B36="","",N(الموظفون!$W36))</f>
        <v/>
      </c>
      <c r="G36" s="97" t="str">
        <f aca="false">IF($B36="","",IF(AND(D36="نعم",F36&gt;0),E36/F36,0))</f>
        <v/>
      </c>
      <c r="H36" s="147" t="str">
        <f aca="false">IF($B36="","",MAX(cfg_Y_START,الموظفون!$H36))</f>
        <v/>
      </c>
      <c r="I36" s="147" t="str">
        <f aca="false">IF($B36="","",IF(OR(الموظفون!$AE36="",الموظفون!$AE36&gt;cfg_VAL_DATE),cfg_VAL_DATE,الموظفون!$AE36))</f>
        <v/>
      </c>
      <c r="J36" s="57" t="str">
        <f aca="false">IF($B36="","",MAX(0,MAX(0,I36-H36+1)-(SUMIFS('سجل الإجازات والحالات'!$S$6:$S$505,'سجل الإجازات والحالات'!$B$6:$B$505,$B36)-SUMIFS('سجل الإجازات والحالات'!$R$6:$R$505,'سجل الإجازات والحالات'!$B$6:$B$505,$B36))))</f>
        <v/>
      </c>
      <c r="K36" s="97" t="str">
        <f aca="false">IF($B36="","",G36*12/cfg_DAYS_Y*J36)</f>
        <v/>
      </c>
      <c r="L36" s="97" t="str">
        <f aca="false">IF($B36="","",N(الموظفون!$AD36))</f>
        <v/>
      </c>
      <c r="M36" s="97" t="str">
        <f aca="false">IF($B36="","",SUMIFS('الحركات الشهرية'!$M$6:$M$1005,'الحركات الشهرية'!$B$6:$B$1005,B36,'الحركات الشهرية'!$A$6:$A$1005,"&lt;="&amp;cfg_VAL_M))</f>
        <v/>
      </c>
      <c r="N36" s="155" t="str">
        <f aca="false">IF($B36="","",L36+K36-M36)</f>
        <v/>
      </c>
      <c r="O36" s="152" t="str">
        <f aca="false">IF($B36="","",IF(E36&gt;0,N36/E36,0))</f>
        <v/>
      </c>
      <c r="P36" s="80" t="str">
        <f aca="false">IF($B36="","",IF(AND(D36="لا",N36&lt;&gt;0),"⚠ غير مستحق وله رصيد",IF(N36&lt;-0.01,"✖ استخدام أكثر من المكوّن",IF(AND(D36="نعم",O36&gt;=1),"⚠ تذكرة مستحقة للصرف","✔ سليم"))))</f>
        <v/>
      </c>
    </row>
    <row r="37" customFormat="false" ht="15" hidden="false" customHeight="false" outlineLevel="0" collapsed="false">
      <c r="B37" s="102" t="str">
        <f aca="false">IF(الموظفون!$B37="","",الموظفون!$B37)</f>
        <v/>
      </c>
      <c r="C37" s="102" t="str">
        <f aca="false">IF($B37="","",الموظفون!$C37)</f>
        <v/>
      </c>
      <c r="D37" s="102" t="str">
        <f aca="false">IF($B37="","",IF(الموظفون!$U37="نعم","نعم","لا"))</f>
        <v/>
      </c>
      <c r="E37" s="101" t="str">
        <f aca="false">IF($B37="","",N(الموظفون!$V37))</f>
        <v/>
      </c>
      <c r="F37" s="110" t="str">
        <f aca="false">IF($B37="","",N(الموظفون!$W37))</f>
        <v/>
      </c>
      <c r="G37" s="101" t="str">
        <f aca="false">IF($B37="","",IF(AND(D37="نعم",F37&gt;0),E37/F37,0))</f>
        <v/>
      </c>
      <c r="H37" s="148" t="str">
        <f aca="false">IF($B37="","",MAX(cfg_Y_START,الموظفون!$H37))</f>
        <v/>
      </c>
      <c r="I37" s="148" t="str">
        <f aca="false">IF($B37="","",IF(OR(الموظفون!$AE37="",الموظفون!$AE37&gt;cfg_VAL_DATE),cfg_VAL_DATE,الموظفون!$AE37))</f>
        <v/>
      </c>
      <c r="J37" s="110" t="str">
        <f aca="false">IF($B37="","",MAX(0,MAX(0,I37-H37+1)-(SUMIFS('سجل الإجازات والحالات'!$S$6:$S$505,'سجل الإجازات والحالات'!$B$6:$B$505,$B37)-SUMIFS('سجل الإجازات والحالات'!$R$6:$R$505,'سجل الإجازات والحالات'!$B$6:$B$505,$B37))))</f>
        <v/>
      </c>
      <c r="K37" s="101" t="str">
        <f aca="false">IF($B37="","",G37*12/cfg_DAYS_Y*J37)</f>
        <v/>
      </c>
      <c r="L37" s="101" t="str">
        <f aca="false">IF($B37="","",N(الموظفون!$AD37))</f>
        <v/>
      </c>
      <c r="M37" s="101" t="str">
        <f aca="false">IF($B37="","",SUMIFS('الحركات الشهرية'!$M$6:$M$1005,'الحركات الشهرية'!$B$6:$B$1005,B37,'الحركات الشهرية'!$A$6:$A$1005,"&lt;="&amp;cfg_VAL_M))</f>
        <v/>
      </c>
      <c r="N37" s="156" t="str">
        <f aca="false">IF($B37="","",L37+K37-M37)</f>
        <v/>
      </c>
      <c r="O37" s="153" t="str">
        <f aca="false">IF($B37="","",IF(E37&gt;0,N37/E37,0))</f>
        <v/>
      </c>
      <c r="P37" s="102" t="str">
        <f aca="false">IF($B37="","",IF(AND(D37="لا",N37&lt;&gt;0),"⚠ غير مستحق وله رصيد",IF(N37&lt;-0.01,"✖ استخدام أكثر من المكوّن",IF(AND(D37="نعم",O37&gt;=1),"⚠ تذكرة مستحقة للصرف","✔ سليم"))))</f>
        <v/>
      </c>
    </row>
    <row r="38" customFormat="false" ht="15" hidden="false" customHeight="false" outlineLevel="0" collapsed="false">
      <c r="B38" s="80" t="str">
        <f aca="false">IF(الموظفون!$B38="","",الموظفون!$B38)</f>
        <v/>
      </c>
      <c r="C38" s="80" t="str">
        <f aca="false">IF($B38="","",الموظفون!$C38)</f>
        <v/>
      </c>
      <c r="D38" s="80" t="str">
        <f aca="false">IF($B38="","",IF(الموظفون!$U38="نعم","نعم","لا"))</f>
        <v/>
      </c>
      <c r="E38" s="97" t="str">
        <f aca="false">IF($B38="","",N(الموظفون!$V38))</f>
        <v/>
      </c>
      <c r="F38" s="57" t="str">
        <f aca="false">IF($B38="","",N(الموظفون!$W38))</f>
        <v/>
      </c>
      <c r="G38" s="97" t="str">
        <f aca="false">IF($B38="","",IF(AND(D38="نعم",F38&gt;0),E38/F38,0))</f>
        <v/>
      </c>
      <c r="H38" s="147" t="str">
        <f aca="false">IF($B38="","",MAX(cfg_Y_START,الموظفون!$H38))</f>
        <v/>
      </c>
      <c r="I38" s="147" t="str">
        <f aca="false">IF($B38="","",IF(OR(الموظفون!$AE38="",الموظفون!$AE38&gt;cfg_VAL_DATE),cfg_VAL_DATE,الموظفون!$AE38))</f>
        <v/>
      </c>
      <c r="J38" s="57" t="str">
        <f aca="false">IF($B38="","",MAX(0,MAX(0,I38-H38+1)-(SUMIFS('سجل الإجازات والحالات'!$S$6:$S$505,'سجل الإجازات والحالات'!$B$6:$B$505,$B38)-SUMIFS('سجل الإجازات والحالات'!$R$6:$R$505,'سجل الإجازات والحالات'!$B$6:$B$505,$B38))))</f>
        <v/>
      </c>
      <c r="K38" s="97" t="str">
        <f aca="false">IF($B38="","",G38*12/cfg_DAYS_Y*J38)</f>
        <v/>
      </c>
      <c r="L38" s="97" t="str">
        <f aca="false">IF($B38="","",N(الموظفون!$AD38))</f>
        <v/>
      </c>
      <c r="M38" s="97" t="str">
        <f aca="false">IF($B38="","",SUMIFS('الحركات الشهرية'!$M$6:$M$1005,'الحركات الشهرية'!$B$6:$B$1005,B38,'الحركات الشهرية'!$A$6:$A$1005,"&lt;="&amp;cfg_VAL_M))</f>
        <v/>
      </c>
      <c r="N38" s="155" t="str">
        <f aca="false">IF($B38="","",L38+K38-M38)</f>
        <v/>
      </c>
      <c r="O38" s="152" t="str">
        <f aca="false">IF($B38="","",IF(E38&gt;0,N38/E38,0))</f>
        <v/>
      </c>
      <c r="P38" s="80" t="str">
        <f aca="false">IF($B38="","",IF(AND(D38="لا",N38&lt;&gt;0),"⚠ غير مستحق وله رصيد",IF(N38&lt;-0.01,"✖ استخدام أكثر من المكوّن",IF(AND(D38="نعم",O38&gt;=1),"⚠ تذكرة مستحقة للصرف","✔ سليم"))))</f>
        <v/>
      </c>
    </row>
    <row r="39" customFormat="false" ht="15" hidden="false" customHeight="false" outlineLevel="0" collapsed="false">
      <c r="B39" s="102" t="str">
        <f aca="false">IF(الموظفون!$B39="","",الموظفون!$B39)</f>
        <v/>
      </c>
      <c r="C39" s="102" t="str">
        <f aca="false">IF($B39="","",الموظفون!$C39)</f>
        <v/>
      </c>
      <c r="D39" s="102" t="str">
        <f aca="false">IF($B39="","",IF(الموظفون!$U39="نعم","نعم","لا"))</f>
        <v/>
      </c>
      <c r="E39" s="101" t="str">
        <f aca="false">IF($B39="","",N(الموظفون!$V39))</f>
        <v/>
      </c>
      <c r="F39" s="110" t="str">
        <f aca="false">IF($B39="","",N(الموظفون!$W39))</f>
        <v/>
      </c>
      <c r="G39" s="101" t="str">
        <f aca="false">IF($B39="","",IF(AND(D39="نعم",F39&gt;0),E39/F39,0))</f>
        <v/>
      </c>
      <c r="H39" s="148" t="str">
        <f aca="false">IF($B39="","",MAX(cfg_Y_START,الموظفون!$H39))</f>
        <v/>
      </c>
      <c r="I39" s="148" t="str">
        <f aca="false">IF($B39="","",IF(OR(الموظفون!$AE39="",الموظفون!$AE39&gt;cfg_VAL_DATE),cfg_VAL_DATE,الموظفون!$AE39))</f>
        <v/>
      </c>
      <c r="J39" s="110" t="str">
        <f aca="false">IF($B39="","",MAX(0,MAX(0,I39-H39+1)-(SUMIFS('سجل الإجازات والحالات'!$S$6:$S$505,'سجل الإجازات والحالات'!$B$6:$B$505,$B39)-SUMIFS('سجل الإجازات والحالات'!$R$6:$R$505,'سجل الإجازات والحالات'!$B$6:$B$505,$B39))))</f>
        <v/>
      </c>
      <c r="K39" s="101" t="str">
        <f aca="false">IF($B39="","",G39*12/cfg_DAYS_Y*J39)</f>
        <v/>
      </c>
      <c r="L39" s="101" t="str">
        <f aca="false">IF($B39="","",N(الموظفون!$AD39))</f>
        <v/>
      </c>
      <c r="M39" s="101" t="str">
        <f aca="false">IF($B39="","",SUMIFS('الحركات الشهرية'!$M$6:$M$1005,'الحركات الشهرية'!$B$6:$B$1005,B39,'الحركات الشهرية'!$A$6:$A$1005,"&lt;="&amp;cfg_VAL_M))</f>
        <v/>
      </c>
      <c r="N39" s="156" t="str">
        <f aca="false">IF($B39="","",L39+K39-M39)</f>
        <v/>
      </c>
      <c r="O39" s="153" t="str">
        <f aca="false">IF($B39="","",IF(E39&gt;0,N39/E39,0))</f>
        <v/>
      </c>
      <c r="P39" s="102" t="str">
        <f aca="false">IF($B39="","",IF(AND(D39="لا",N39&lt;&gt;0),"⚠ غير مستحق وله رصيد",IF(N39&lt;-0.01,"✖ استخدام أكثر من المكوّن",IF(AND(D39="نعم",O39&gt;=1),"⚠ تذكرة مستحقة للصرف","✔ سليم"))))</f>
        <v/>
      </c>
    </row>
    <row r="40" customFormat="false" ht="15" hidden="false" customHeight="false" outlineLevel="0" collapsed="false">
      <c r="B40" s="80" t="str">
        <f aca="false">IF(الموظفون!$B40="","",الموظفون!$B40)</f>
        <v/>
      </c>
      <c r="C40" s="80" t="str">
        <f aca="false">IF($B40="","",الموظفون!$C40)</f>
        <v/>
      </c>
      <c r="D40" s="80" t="str">
        <f aca="false">IF($B40="","",IF(الموظفون!$U40="نعم","نعم","لا"))</f>
        <v/>
      </c>
      <c r="E40" s="97" t="str">
        <f aca="false">IF($B40="","",N(الموظفون!$V40))</f>
        <v/>
      </c>
      <c r="F40" s="57" t="str">
        <f aca="false">IF($B40="","",N(الموظفون!$W40))</f>
        <v/>
      </c>
      <c r="G40" s="97" t="str">
        <f aca="false">IF($B40="","",IF(AND(D40="نعم",F40&gt;0),E40/F40,0))</f>
        <v/>
      </c>
      <c r="H40" s="147" t="str">
        <f aca="false">IF($B40="","",MAX(cfg_Y_START,الموظفون!$H40))</f>
        <v/>
      </c>
      <c r="I40" s="147" t="str">
        <f aca="false">IF($B40="","",IF(OR(الموظفون!$AE40="",الموظفون!$AE40&gt;cfg_VAL_DATE),cfg_VAL_DATE,الموظفون!$AE40))</f>
        <v/>
      </c>
      <c r="J40" s="57" t="str">
        <f aca="false">IF($B40="","",MAX(0,MAX(0,I40-H40+1)-(SUMIFS('سجل الإجازات والحالات'!$S$6:$S$505,'سجل الإجازات والحالات'!$B$6:$B$505,$B40)-SUMIFS('سجل الإجازات والحالات'!$R$6:$R$505,'سجل الإجازات والحالات'!$B$6:$B$505,$B40))))</f>
        <v/>
      </c>
      <c r="K40" s="97" t="str">
        <f aca="false">IF($B40="","",G40*12/cfg_DAYS_Y*J40)</f>
        <v/>
      </c>
      <c r="L40" s="97" t="str">
        <f aca="false">IF($B40="","",N(الموظفون!$AD40))</f>
        <v/>
      </c>
      <c r="M40" s="97" t="str">
        <f aca="false">IF($B40="","",SUMIFS('الحركات الشهرية'!$M$6:$M$1005,'الحركات الشهرية'!$B$6:$B$1005,B40,'الحركات الشهرية'!$A$6:$A$1005,"&lt;="&amp;cfg_VAL_M))</f>
        <v/>
      </c>
      <c r="N40" s="155" t="str">
        <f aca="false">IF($B40="","",L40+K40-M40)</f>
        <v/>
      </c>
      <c r="O40" s="152" t="str">
        <f aca="false">IF($B40="","",IF(E40&gt;0,N40/E40,0))</f>
        <v/>
      </c>
      <c r="P40" s="80" t="str">
        <f aca="false">IF($B40="","",IF(AND(D40="لا",N40&lt;&gt;0),"⚠ غير مستحق وله رصيد",IF(N40&lt;-0.01,"✖ استخدام أكثر من المكوّن",IF(AND(D40="نعم",O40&gt;=1),"⚠ تذكرة مستحقة للصرف","✔ سليم"))))</f>
        <v/>
      </c>
    </row>
    <row r="41" customFormat="false" ht="15" hidden="false" customHeight="false" outlineLevel="0" collapsed="false">
      <c r="B41" s="102" t="str">
        <f aca="false">IF(الموظفون!$B41="","",الموظفون!$B41)</f>
        <v/>
      </c>
      <c r="C41" s="102" t="str">
        <f aca="false">IF($B41="","",الموظفون!$C41)</f>
        <v/>
      </c>
      <c r="D41" s="102" t="str">
        <f aca="false">IF($B41="","",IF(الموظفون!$U41="نعم","نعم","لا"))</f>
        <v/>
      </c>
      <c r="E41" s="101" t="str">
        <f aca="false">IF($B41="","",N(الموظفون!$V41))</f>
        <v/>
      </c>
      <c r="F41" s="110" t="str">
        <f aca="false">IF($B41="","",N(الموظفون!$W41))</f>
        <v/>
      </c>
      <c r="G41" s="101" t="str">
        <f aca="false">IF($B41="","",IF(AND(D41="نعم",F41&gt;0),E41/F41,0))</f>
        <v/>
      </c>
      <c r="H41" s="148" t="str">
        <f aca="false">IF($B41="","",MAX(cfg_Y_START,الموظفون!$H41))</f>
        <v/>
      </c>
      <c r="I41" s="148" t="str">
        <f aca="false">IF($B41="","",IF(OR(الموظفون!$AE41="",الموظفون!$AE41&gt;cfg_VAL_DATE),cfg_VAL_DATE,الموظفون!$AE41))</f>
        <v/>
      </c>
      <c r="J41" s="110" t="str">
        <f aca="false">IF($B41="","",MAX(0,MAX(0,I41-H41+1)-(SUMIFS('سجل الإجازات والحالات'!$S$6:$S$505,'سجل الإجازات والحالات'!$B$6:$B$505,$B41)-SUMIFS('سجل الإجازات والحالات'!$R$6:$R$505,'سجل الإجازات والحالات'!$B$6:$B$505,$B41))))</f>
        <v/>
      </c>
      <c r="K41" s="101" t="str">
        <f aca="false">IF($B41="","",G41*12/cfg_DAYS_Y*J41)</f>
        <v/>
      </c>
      <c r="L41" s="101" t="str">
        <f aca="false">IF($B41="","",N(الموظفون!$AD41))</f>
        <v/>
      </c>
      <c r="M41" s="101" t="str">
        <f aca="false">IF($B41="","",SUMIFS('الحركات الشهرية'!$M$6:$M$1005,'الحركات الشهرية'!$B$6:$B$1005,B41,'الحركات الشهرية'!$A$6:$A$1005,"&lt;="&amp;cfg_VAL_M))</f>
        <v/>
      </c>
      <c r="N41" s="156" t="str">
        <f aca="false">IF($B41="","",L41+K41-M41)</f>
        <v/>
      </c>
      <c r="O41" s="153" t="str">
        <f aca="false">IF($B41="","",IF(E41&gt;0,N41/E41,0))</f>
        <v/>
      </c>
      <c r="P41" s="102" t="str">
        <f aca="false">IF($B41="","",IF(AND(D41="لا",N41&lt;&gt;0),"⚠ غير مستحق وله رصيد",IF(N41&lt;-0.01,"✖ استخدام أكثر من المكوّن",IF(AND(D41="نعم",O41&gt;=1),"⚠ تذكرة مستحقة للصرف","✔ سليم"))))</f>
        <v/>
      </c>
    </row>
    <row r="42" customFormat="false" ht="15" hidden="false" customHeight="false" outlineLevel="0" collapsed="false">
      <c r="B42" s="80" t="str">
        <f aca="false">IF(الموظفون!$B42="","",الموظفون!$B42)</f>
        <v/>
      </c>
      <c r="C42" s="80" t="str">
        <f aca="false">IF($B42="","",الموظفون!$C42)</f>
        <v/>
      </c>
      <c r="D42" s="80" t="str">
        <f aca="false">IF($B42="","",IF(الموظفون!$U42="نعم","نعم","لا"))</f>
        <v/>
      </c>
      <c r="E42" s="97" t="str">
        <f aca="false">IF($B42="","",N(الموظفون!$V42))</f>
        <v/>
      </c>
      <c r="F42" s="57" t="str">
        <f aca="false">IF($B42="","",N(الموظفون!$W42))</f>
        <v/>
      </c>
      <c r="G42" s="97" t="str">
        <f aca="false">IF($B42="","",IF(AND(D42="نعم",F42&gt;0),E42/F42,0))</f>
        <v/>
      </c>
      <c r="H42" s="147" t="str">
        <f aca="false">IF($B42="","",MAX(cfg_Y_START,الموظفون!$H42))</f>
        <v/>
      </c>
      <c r="I42" s="147" t="str">
        <f aca="false">IF($B42="","",IF(OR(الموظفون!$AE42="",الموظفون!$AE42&gt;cfg_VAL_DATE),cfg_VAL_DATE,الموظفون!$AE42))</f>
        <v/>
      </c>
      <c r="J42" s="57" t="str">
        <f aca="false">IF($B42="","",MAX(0,MAX(0,I42-H42+1)-(SUMIFS('سجل الإجازات والحالات'!$S$6:$S$505,'سجل الإجازات والحالات'!$B$6:$B$505,$B42)-SUMIFS('سجل الإجازات والحالات'!$R$6:$R$505,'سجل الإجازات والحالات'!$B$6:$B$505,$B42))))</f>
        <v/>
      </c>
      <c r="K42" s="97" t="str">
        <f aca="false">IF($B42="","",G42*12/cfg_DAYS_Y*J42)</f>
        <v/>
      </c>
      <c r="L42" s="97" t="str">
        <f aca="false">IF($B42="","",N(الموظفون!$AD42))</f>
        <v/>
      </c>
      <c r="M42" s="97" t="str">
        <f aca="false">IF($B42="","",SUMIFS('الحركات الشهرية'!$M$6:$M$1005,'الحركات الشهرية'!$B$6:$B$1005,B42,'الحركات الشهرية'!$A$6:$A$1005,"&lt;="&amp;cfg_VAL_M))</f>
        <v/>
      </c>
      <c r="N42" s="155" t="str">
        <f aca="false">IF($B42="","",L42+K42-M42)</f>
        <v/>
      </c>
      <c r="O42" s="152" t="str">
        <f aca="false">IF($B42="","",IF(E42&gt;0,N42/E42,0))</f>
        <v/>
      </c>
      <c r="P42" s="80" t="str">
        <f aca="false">IF($B42="","",IF(AND(D42="لا",N42&lt;&gt;0),"⚠ غير مستحق وله رصيد",IF(N42&lt;-0.01,"✖ استخدام أكثر من المكوّن",IF(AND(D42="نعم",O42&gt;=1),"⚠ تذكرة مستحقة للصرف","✔ سليم"))))</f>
        <v/>
      </c>
    </row>
    <row r="43" customFormat="false" ht="15" hidden="false" customHeight="false" outlineLevel="0" collapsed="false">
      <c r="B43" s="102" t="str">
        <f aca="false">IF(الموظفون!$B43="","",الموظفون!$B43)</f>
        <v/>
      </c>
      <c r="C43" s="102" t="str">
        <f aca="false">IF($B43="","",الموظفون!$C43)</f>
        <v/>
      </c>
      <c r="D43" s="102" t="str">
        <f aca="false">IF($B43="","",IF(الموظفون!$U43="نعم","نعم","لا"))</f>
        <v/>
      </c>
      <c r="E43" s="101" t="str">
        <f aca="false">IF($B43="","",N(الموظفون!$V43))</f>
        <v/>
      </c>
      <c r="F43" s="110" t="str">
        <f aca="false">IF($B43="","",N(الموظفون!$W43))</f>
        <v/>
      </c>
      <c r="G43" s="101" t="str">
        <f aca="false">IF($B43="","",IF(AND(D43="نعم",F43&gt;0),E43/F43,0))</f>
        <v/>
      </c>
      <c r="H43" s="148" t="str">
        <f aca="false">IF($B43="","",MAX(cfg_Y_START,الموظفون!$H43))</f>
        <v/>
      </c>
      <c r="I43" s="148" t="str">
        <f aca="false">IF($B43="","",IF(OR(الموظفون!$AE43="",الموظفون!$AE43&gt;cfg_VAL_DATE),cfg_VAL_DATE,الموظفون!$AE43))</f>
        <v/>
      </c>
      <c r="J43" s="110" t="str">
        <f aca="false">IF($B43="","",MAX(0,MAX(0,I43-H43+1)-(SUMIFS('سجل الإجازات والحالات'!$S$6:$S$505,'سجل الإجازات والحالات'!$B$6:$B$505,$B43)-SUMIFS('سجل الإجازات والحالات'!$R$6:$R$505,'سجل الإجازات والحالات'!$B$6:$B$505,$B43))))</f>
        <v/>
      </c>
      <c r="K43" s="101" t="str">
        <f aca="false">IF($B43="","",G43*12/cfg_DAYS_Y*J43)</f>
        <v/>
      </c>
      <c r="L43" s="101" t="str">
        <f aca="false">IF($B43="","",N(الموظفون!$AD43))</f>
        <v/>
      </c>
      <c r="M43" s="101" t="str">
        <f aca="false">IF($B43="","",SUMIFS('الحركات الشهرية'!$M$6:$M$1005,'الحركات الشهرية'!$B$6:$B$1005,B43,'الحركات الشهرية'!$A$6:$A$1005,"&lt;="&amp;cfg_VAL_M))</f>
        <v/>
      </c>
      <c r="N43" s="156" t="str">
        <f aca="false">IF($B43="","",L43+K43-M43)</f>
        <v/>
      </c>
      <c r="O43" s="153" t="str">
        <f aca="false">IF($B43="","",IF(E43&gt;0,N43/E43,0))</f>
        <v/>
      </c>
      <c r="P43" s="102" t="str">
        <f aca="false">IF($B43="","",IF(AND(D43="لا",N43&lt;&gt;0),"⚠ غير مستحق وله رصيد",IF(N43&lt;-0.01,"✖ استخدام أكثر من المكوّن",IF(AND(D43="نعم",O43&gt;=1),"⚠ تذكرة مستحقة للصرف","✔ سليم"))))</f>
        <v/>
      </c>
    </row>
    <row r="44" customFormat="false" ht="15" hidden="false" customHeight="false" outlineLevel="0" collapsed="false">
      <c r="B44" s="80" t="str">
        <f aca="false">IF(الموظفون!$B44="","",الموظفون!$B44)</f>
        <v/>
      </c>
      <c r="C44" s="80" t="str">
        <f aca="false">IF($B44="","",الموظفون!$C44)</f>
        <v/>
      </c>
      <c r="D44" s="80" t="str">
        <f aca="false">IF($B44="","",IF(الموظفون!$U44="نعم","نعم","لا"))</f>
        <v/>
      </c>
      <c r="E44" s="97" t="str">
        <f aca="false">IF($B44="","",N(الموظفون!$V44))</f>
        <v/>
      </c>
      <c r="F44" s="57" t="str">
        <f aca="false">IF($B44="","",N(الموظفون!$W44))</f>
        <v/>
      </c>
      <c r="G44" s="97" t="str">
        <f aca="false">IF($B44="","",IF(AND(D44="نعم",F44&gt;0),E44/F44,0))</f>
        <v/>
      </c>
      <c r="H44" s="147" t="str">
        <f aca="false">IF($B44="","",MAX(cfg_Y_START,الموظفون!$H44))</f>
        <v/>
      </c>
      <c r="I44" s="147" t="str">
        <f aca="false">IF($B44="","",IF(OR(الموظفون!$AE44="",الموظفون!$AE44&gt;cfg_VAL_DATE),cfg_VAL_DATE,الموظفون!$AE44))</f>
        <v/>
      </c>
      <c r="J44" s="57" t="str">
        <f aca="false">IF($B44="","",MAX(0,MAX(0,I44-H44+1)-(SUMIFS('سجل الإجازات والحالات'!$S$6:$S$505,'سجل الإجازات والحالات'!$B$6:$B$505,$B44)-SUMIFS('سجل الإجازات والحالات'!$R$6:$R$505,'سجل الإجازات والحالات'!$B$6:$B$505,$B44))))</f>
        <v/>
      </c>
      <c r="K44" s="97" t="str">
        <f aca="false">IF($B44="","",G44*12/cfg_DAYS_Y*J44)</f>
        <v/>
      </c>
      <c r="L44" s="97" t="str">
        <f aca="false">IF($B44="","",N(الموظفون!$AD44))</f>
        <v/>
      </c>
      <c r="M44" s="97" t="str">
        <f aca="false">IF($B44="","",SUMIFS('الحركات الشهرية'!$M$6:$M$1005,'الحركات الشهرية'!$B$6:$B$1005,B44,'الحركات الشهرية'!$A$6:$A$1005,"&lt;="&amp;cfg_VAL_M))</f>
        <v/>
      </c>
      <c r="N44" s="155" t="str">
        <f aca="false">IF($B44="","",L44+K44-M44)</f>
        <v/>
      </c>
      <c r="O44" s="152" t="str">
        <f aca="false">IF($B44="","",IF(E44&gt;0,N44/E44,0))</f>
        <v/>
      </c>
      <c r="P44" s="80" t="str">
        <f aca="false">IF($B44="","",IF(AND(D44="لا",N44&lt;&gt;0),"⚠ غير مستحق وله رصيد",IF(N44&lt;-0.01,"✖ استخدام أكثر من المكوّن",IF(AND(D44="نعم",O44&gt;=1),"⚠ تذكرة مستحقة للصرف","✔ سليم"))))</f>
        <v/>
      </c>
    </row>
    <row r="45" customFormat="false" ht="15" hidden="false" customHeight="false" outlineLevel="0" collapsed="false">
      <c r="B45" s="102" t="str">
        <f aca="false">IF(الموظفون!$B45="","",الموظفون!$B45)</f>
        <v/>
      </c>
      <c r="C45" s="102" t="str">
        <f aca="false">IF($B45="","",الموظفون!$C45)</f>
        <v/>
      </c>
      <c r="D45" s="102" t="str">
        <f aca="false">IF($B45="","",IF(الموظفون!$U45="نعم","نعم","لا"))</f>
        <v/>
      </c>
      <c r="E45" s="101" t="str">
        <f aca="false">IF($B45="","",N(الموظفون!$V45))</f>
        <v/>
      </c>
      <c r="F45" s="110" t="str">
        <f aca="false">IF($B45="","",N(الموظفون!$W45))</f>
        <v/>
      </c>
      <c r="G45" s="101" t="str">
        <f aca="false">IF($B45="","",IF(AND(D45="نعم",F45&gt;0),E45/F45,0))</f>
        <v/>
      </c>
      <c r="H45" s="148" t="str">
        <f aca="false">IF($B45="","",MAX(cfg_Y_START,الموظفون!$H45))</f>
        <v/>
      </c>
      <c r="I45" s="148" t="str">
        <f aca="false">IF($B45="","",IF(OR(الموظفون!$AE45="",الموظفون!$AE45&gt;cfg_VAL_DATE),cfg_VAL_DATE,الموظفون!$AE45))</f>
        <v/>
      </c>
      <c r="J45" s="110" t="str">
        <f aca="false">IF($B45="","",MAX(0,MAX(0,I45-H45+1)-(SUMIFS('سجل الإجازات والحالات'!$S$6:$S$505,'سجل الإجازات والحالات'!$B$6:$B$505,$B45)-SUMIFS('سجل الإجازات والحالات'!$R$6:$R$505,'سجل الإجازات والحالات'!$B$6:$B$505,$B45))))</f>
        <v/>
      </c>
      <c r="K45" s="101" t="str">
        <f aca="false">IF($B45="","",G45*12/cfg_DAYS_Y*J45)</f>
        <v/>
      </c>
      <c r="L45" s="101" t="str">
        <f aca="false">IF($B45="","",N(الموظفون!$AD45))</f>
        <v/>
      </c>
      <c r="M45" s="101" t="str">
        <f aca="false">IF($B45="","",SUMIFS('الحركات الشهرية'!$M$6:$M$1005,'الحركات الشهرية'!$B$6:$B$1005,B45,'الحركات الشهرية'!$A$6:$A$1005,"&lt;="&amp;cfg_VAL_M))</f>
        <v/>
      </c>
      <c r="N45" s="156" t="str">
        <f aca="false">IF($B45="","",L45+K45-M45)</f>
        <v/>
      </c>
      <c r="O45" s="153" t="str">
        <f aca="false">IF($B45="","",IF(E45&gt;0,N45/E45,0))</f>
        <v/>
      </c>
      <c r="P45" s="102" t="str">
        <f aca="false">IF($B45="","",IF(AND(D45="لا",N45&lt;&gt;0),"⚠ غير مستحق وله رصيد",IF(N45&lt;-0.01,"✖ استخدام أكثر من المكوّن",IF(AND(D45="نعم",O45&gt;=1),"⚠ تذكرة مستحقة للصرف","✔ سليم"))))</f>
        <v/>
      </c>
    </row>
    <row r="46" customFormat="false" ht="15" hidden="false" customHeight="false" outlineLevel="0" collapsed="false">
      <c r="B46" s="80" t="str">
        <f aca="false">IF(الموظفون!$B46="","",الموظفون!$B46)</f>
        <v/>
      </c>
      <c r="C46" s="80" t="str">
        <f aca="false">IF($B46="","",الموظفون!$C46)</f>
        <v/>
      </c>
      <c r="D46" s="80" t="str">
        <f aca="false">IF($B46="","",IF(الموظفون!$U46="نعم","نعم","لا"))</f>
        <v/>
      </c>
      <c r="E46" s="97" t="str">
        <f aca="false">IF($B46="","",N(الموظفون!$V46))</f>
        <v/>
      </c>
      <c r="F46" s="57" t="str">
        <f aca="false">IF($B46="","",N(الموظفون!$W46))</f>
        <v/>
      </c>
      <c r="G46" s="97" t="str">
        <f aca="false">IF($B46="","",IF(AND(D46="نعم",F46&gt;0),E46/F46,0))</f>
        <v/>
      </c>
      <c r="H46" s="147" t="str">
        <f aca="false">IF($B46="","",MAX(cfg_Y_START,الموظفون!$H46))</f>
        <v/>
      </c>
      <c r="I46" s="147" t="str">
        <f aca="false">IF($B46="","",IF(OR(الموظفون!$AE46="",الموظفون!$AE46&gt;cfg_VAL_DATE),cfg_VAL_DATE,الموظفون!$AE46))</f>
        <v/>
      </c>
      <c r="J46" s="57" t="str">
        <f aca="false">IF($B46="","",MAX(0,MAX(0,I46-H46+1)-(SUMIFS('سجل الإجازات والحالات'!$S$6:$S$505,'سجل الإجازات والحالات'!$B$6:$B$505,$B46)-SUMIFS('سجل الإجازات والحالات'!$R$6:$R$505,'سجل الإجازات والحالات'!$B$6:$B$505,$B46))))</f>
        <v/>
      </c>
      <c r="K46" s="97" t="str">
        <f aca="false">IF($B46="","",G46*12/cfg_DAYS_Y*J46)</f>
        <v/>
      </c>
      <c r="L46" s="97" t="str">
        <f aca="false">IF($B46="","",N(الموظفون!$AD46))</f>
        <v/>
      </c>
      <c r="M46" s="97" t="str">
        <f aca="false">IF($B46="","",SUMIFS('الحركات الشهرية'!$M$6:$M$1005,'الحركات الشهرية'!$B$6:$B$1005,B46,'الحركات الشهرية'!$A$6:$A$1005,"&lt;="&amp;cfg_VAL_M))</f>
        <v/>
      </c>
      <c r="N46" s="155" t="str">
        <f aca="false">IF($B46="","",L46+K46-M46)</f>
        <v/>
      </c>
      <c r="O46" s="152" t="str">
        <f aca="false">IF($B46="","",IF(E46&gt;0,N46/E46,0))</f>
        <v/>
      </c>
      <c r="P46" s="80" t="str">
        <f aca="false">IF($B46="","",IF(AND(D46="لا",N46&lt;&gt;0),"⚠ غير مستحق وله رصيد",IF(N46&lt;-0.01,"✖ استخدام أكثر من المكوّن",IF(AND(D46="نعم",O46&gt;=1),"⚠ تذكرة مستحقة للصرف","✔ سليم"))))</f>
        <v/>
      </c>
    </row>
    <row r="47" customFormat="false" ht="15" hidden="false" customHeight="false" outlineLevel="0" collapsed="false">
      <c r="B47" s="102" t="str">
        <f aca="false">IF(الموظفون!$B47="","",الموظفون!$B47)</f>
        <v/>
      </c>
      <c r="C47" s="102" t="str">
        <f aca="false">IF($B47="","",الموظفون!$C47)</f>
        <v/>
      </c>
      <c r="D47" s="102" t="str">
        <f aca="false">IF($B47="","",IF(الموظفون!$U47="نعم","نعم","لا"))</f>
        <v/>
      </c>
      <c r="E47" s="101" t="str">
        <f aca="false">IF($B47="","",N(الموظفون!$V47))</f>
        <v/>
      </c>
      <c r="F47" s="110" t="str">
        <f aca="false">IF($B47="","",N(الموظفون!$W47))</f>
        <v/>
      </c>
      <c r="G47" s="101" t="str">
        <f aca="false">IF($B47="","",IF(AND(D47="نعم",F47&gt;0),E47/F47,0))</f>
        <v/>
      </c>
      <c r="H47" s="148" t="str">
        <f aca="false">IF($B47="","",MAX(cfg_Y_START,الموظفون!$H47))</f>
        <v/>
      </c>
      <c r="I47" s="148" t="str">
        <f aca="false">IF($B47="","",IF(OR(الموظفون!$AE47="",الموظفون!$AE47&gt;cfg_VAL_DATE),cfg_VAL_DATE,الموظفون!$AE47))</f>
        <v/>
      </c>
      <c r="J47" s="110" t="str">
        <f aca="false">IF($B47="","",MAX(0,MAX(0,I47-H47+1)-(SUMIFS('سجل الإجازات والحالات'!$S$6:$S$505,'سجل الإجازات والحالات'!$B$6:$B$505,$B47)-SUMIFS('سجل الإجازات والحالات'!$R$6:$R$505,'سجل الإجازات والحالات'!$B$6:$B$505,$B47))))</f>
        <v/>
      </c>
      <c r="K47" s="101" t="str">
        <f aca="false">IF($B47="","",G47*12/cfg_DAYS_Y*J47)</f>
        <v/>
      </c>
      <c r="L47" s="101" t="str">
        <f aca="false">IF($B47="","",N(الموظفون!$AD47))</f>
        <v/>
      </c>
      <c r="M47" s="101" t="str">
        <f aca="false">IF($B47="","",SUMIFS('الحركات الشهرية'!$M$6:$M$1005,'الحركات الشهرية'!$B$6:$B$1005,B47,'الحركات الشهرية'!$A$6:$A$1005,"&lt;="&amp;cfg_VAL_M))</f>
        <v/>
      </c>
      <c r="N47" s="156" t="str">
        <f aca="false">IF($B47="","",L47+K47-M47)</f>
        <v/>
      </c>
      <c r="O47" s="153" t="str">
        <f aca="false">IF($B47="","",IF(E47&gt;0,N47/E47,0))</f>
        <v/>
      </c>
      <c r="P47" s="102" t="str">
        <f aca="false">IF($B47="","",IF(AND(D47="لا",N47&lt;&gt;0),"⚠ غير مستحق وله رصيد",IF(N47&lt;-0.01,"✖ استخدام أكثر من المكوّن",IF(AND(D47="نعم",O47&gt;=1),"⚠ تذكرة مستحقة للصرف","✔ سليم"))))</f>
        <v/>
      </c>
    </row>
    <row r="48" customFormat="false" ht="15" hidden="false" customHeight="false" outlineLevel="0" collapsed="false">
      <c r="B48" s="80" t="str">
        <f aca="false">IF(الموظفون!$B48="","",الموظفون!$B48)</f>
        <v/>
      </c>
      <c r="C48" s="80" t="str">
        <f aca="false">IF($B48="","",الموظفون!$C48)</f>
        <v/>
      </c>
      <c r="D48" s="80" t="str">
        <f aca="false">IF($B48="","",IF(الموظفون!$U48="نعم","نعم","لا"))</f>
        <v/>
      </c>
      <c r="E48" s="97" t="str">
        <f aca="false">IF($B48="","",N(الموظفون!$V48))</f>
        <v/>
      </c>
      <c r="F48" s="57" t="str">
        <f aca="false">IF($B48="","",N(الموظفون!$W48))</f>
        <v/>
      </c>
      <c r="G48" s="97" t="str">
        <f aca="false">IF($B48="","",IF(AND(D48="نعم",F48&gt;0),E48/F48,0))</f>
        <v/>
      </c>
      <c r="H48" s="147" t="str">
        <f aca="false">IF($B48="","",MAX(cfg_Y_START,الموظفون!$H48))</f>
        <v/>
      </c>
      <c r="I48" s="147" t="str">
        <f aca="false">IF($B48="","",IF(OR(الموظفون!$AE48="",الموظفون!$AE48&gt;cfg_VAL_DATE),cfg_VAL_DATE,الموظفون!$AE48))</f>
        <v/>
      </c>
      <c r="J48" s="57" t="str">
        <f aca="false">IF($B48="","",MAX(0,MAX(0,I48-H48+1)-(SUMIFS('سجل الإجازات والحالات'!$S$6:$S$505,'سجل الإجازات والحالات'!$B$6:$B$505,$B48)-SUMIFS('سجل الإجازات والحالات'!$R$6:$R$505,'سجل الإجازات والحالات'!$B$6:$B$505,$B48))))</f>
        <v/>
      </c>
      <c r="K48" s="97" t="str">
        <f aca="false">IF($B48="","",G48*12/cfg_DAYS_Y*J48)</f>
        <v/>
      </c>
      <c r="L48" s="97" t="str">
        <f aca="false">IF($B48="","",N(الموظفون!$AD48))</f>
        <v/>
      </c>
      <c r="M48" s="97" t="str">
        <f aca="false">IF($B48="","",SUMIFS('الحركات الشهرية'!$M$6:$M$1005,'الحركات الشهرية'!$B$6:$B$1005,B48,'الحركات الشهرية'!$A$6:$A$1005,"&lt;="&amp;cfg_VAL_M))</f>
        <v/>
      </c>
      <c r="N48" s="155" t="str">
        <f aca="false">IF($B48="","",L48+K48-M48)</f>
        <v/>
      </c>
      <c r="O48" s="152" t="str">
        <f aca="false">IF($B48="","",IF(E48&gt;0,N48/E48,0))</f>
        <v/>
      </c>
      <c r="P48" s="80" t="str">
        <f aca="false">IF($B48="","",IF(AND(D48="لا",N48&lt;&gt;0),"⚠ غير مستحق وله رصيد",IF(N48&lt;-0.01,"✖ استخدام أكثر من المكوّن",IF(AND(D48="نعم",O48&gt;=1),"⚠ تذكرة مستحقة للصرف","✔ سليم"))))</f>
        <v/>
      </c>
    </row>
    <row r="49" customFormat="false" ht="15" hidden="false" customHeight="false" outlineLevel="0" collapsed="false">
      <c r="B49" s="102" t="str">
        <f aca="false">IF(الموظفون!$B49="","",الموظفون!$B49)</f>
        <v/>
      </c>
      <c r="C49" s="102" t="str">
        <f aca="false">IF($B49="","",الموظفون!$C49)</f>
        <v/>
      </c>
      <c r="D49" s="102" t="str">
        <f aca="false">IF($B49="","",IF(الموظفون!$U49="نعم","نعم","لا"))</f>
        <v/>
      </c>
      <c r="E49" s="101" t="str">
        <f aca="false">IF($B49="","",N(الموظفون!$V49))</f>
        <v/>
      </c>
      <c r="F49" s="110" t="str">
        <f aca="false">IF($B49="","",N(الموظفون!$W49))</f>
        <v/>
      </c>
      <c r="G49" s="101" t="str">
        <f aca="false">IF($B49="","",IF(AND(D49="نعم",F49&gt;0),E49/F49,0))</f>
        <v/>
      </c>
      <c r="H49" s="148" t="str">
        <f aca="false">IF($B49="","",MAX(cfg_Y_START,الموظفون!$H49))</f>
        <v/>
      </c>
      <c r="I49" s="148" t="str">
        <f aca="false">IF($B49="","",IF(OR(الموظفون!$AE49="",الموظفون!$AE49&gt;cfg_VAL_DATE),cfg_VAL_DATE,الموظفون!$AE49))</f>
        <v/>
      </c>
      <c r="J49" s="110" t="str">
        <f aca="false">IF($B49="","",MAX(0,MAX(0,I49-H49+1)-(SUMIFS('سجل الإجازات والحالات'!$S$6:$S$505,'سجل الإجازات والحالات'!$B$6:$B$505,$B49)-SUMIFS('سجل الإجازات والحالات'!$R$6:$R$505,'سجل الإجازات والحالات'!$B$6:$B$505,$B49))))</f>
        <v/>
      </c>
      <c r="K49" s="101" t="str">
        <f aca="false">IF($B49="","",G49*12/cfg_DAYS_Y*J49)</f>
        <v/>
      </c>
      <c r="L49" s="101" t="str">
        <f aca="false">IF($B49="","",N(الموظفون!$AD49))</f>
        <v/>
      </c>
      <c r="M49" s="101" t="str">
        <f aca="false">IF($B49="","",SUMIFS('الحركات الشهرية'!$M$6:$M$1005,'الحركات الشهرية'!$B$6:$B$1005,B49,'الحركات الشهرية'!$A$6:$A$1005,"&lt;="&amp;cfg_VAL_M))</f>
        <v/>
      </c>
      <c r="N49" s="156" t="str">
        <f aca="false">IF($B49="","",L49+K49-M49)</f>
        <v/>
      </c>
      <c r="O49" s="153" t="str">
        <f aca="false">IF($B49="","",IF(E49&gt;0,N49/E49,0))</f>
        <v/>
      </c>
      <c r="P49" s="102" t="str">
        <f aca="false">IF($B49="","",IF(AND(D49="لا",N49&lt;&gt;0),"⚠ غير مستحق وله رصيد",IF(N49&lt;-0.01,"✖ استخدام أكثر من المكوّن",IF(AND(D49="نعم",O49&gt;=1),"⚠ تذكرة مستحقة للصرف","✔ سليم"))))</f>
        <v/>
      </c>
    </row>
    <row r="50" customFormat="false" ht="15" hidden="false" customHeight="false" outlineLevel="0" collapsed="false">
      <c r="B50" s="80" t="str">
        <f aca="false">IF(الموظفون!$B50="","",الموظفون!$B50)</f>
        <v/>
      </c>
      <c r="C50" s="80" t="str">
        <f aca="false">IF($B50="","",الموظفون!$C50)</f>
        <v/>
      </c>
      <c r="D50" s="80" t="str">
        <f aca="false">IF($B50="","",IF(الموظفون!$U50="نعم","نعم","لا"))</f>
        <v/>
      </c>
      <c r="E50" s="97" t="str">
        <f aca="false">IF($B50="","",N(الموظفون!$V50))</f>
        <v/>
      </c>
      <c r="F50" s="57" t="str">
        <f aca="false">IF($B50="","",N(الموظفون!$W50))</f>
        <v/>
      </c>
      <c r="G50" s="97" t="str">
        <f aca="false">IF($B50="","",IF(AND(D50="نعم",F50&gt;0),E50/F50,0))</f>
        <v/>
      </c>
      <c r="H50" s="147" t="str">
        <f aca="false">IF($B50="","",MAX(cfg_Y_START,الموظفون!$H50))</f>
        <v/>
      </c>
      <c r="I50" s="147" t="str">
        <f aca="false">IF($B50="","",IF(OR(الموظفون!$AE50="",الموظفون!$AE50&gt;cfg_VAL_DATE),cfg_VAL_DATE,الموظفون!$AE50))</f>
        <v/>
      </c>
      <c r="J50" s="57" t="str">
        <f aca="false">IF($B50="","",MAX(0,MAX(0,I50-H50+1)-(SUMIFS('سجل الإجازات والحالات'!$S$6:$S$505,'سجل الإجازات والحالات'!$B$6:$B$505,$B50)-SUMIFS('سجل الإجازات والحالات'!$R$6:$R$505,'سجل الإجازات والحالات'!$B$6:$B$505,$B50))))</f>
        <v/>
      </c>
      <c r="K50" s="97" t="str">
        <f aca="false">IF($B50="","",G50*12/cfg_DAYS_Y*J50)</f>
        <v/>
      </c>
      <c r="L50" s="97" t="str">
        <f aca="false">IF($B50="","",N(الموظفون!$AD50))</f>
        <v/>
      </c>
      <c r="M50" s="97" t="str">
        <f aca="false">IF($B50="","",SUMIFS('الحركات الشهرية'!$M$6:$M$1005,'الحركات الشهرية'!$B$6:$B$1005,B50,'الحركات الشهرية'!$A$6:$A$1005,"&lt;="&amp;cfg_VAL_M))</f>
        <v/>
      </c>
      <c r="N50" s="155" t="str">
        <f aca="false">IF($B50="","",L50+K50-M50)</f>
        <v/>
      </c>
      <c r="O50" s="152" t="str">
        <f aca="false">IF($B50="","",IF(E50&gt;0,N50/E50,0))</f>
        <v/>
      </c>
      <c r="P50" s="80" t="str">
        <f aca="false">IF($B50="","",IF(AND(D50="لا",N50&lt;&gt;0),"⚠ غير مستحق وله رصيد",IF(N50&lt;-0.01,"✖ استخدام أكثر من المكوّن",IF(AND(D50="نعم",O50&gt;=1),"⚠ تذكرة مستحقة للصرف","✔ سليم"))))</f>
        <v/>
      </c>
    </row>
    <row r="51" customFormat="false" ht="15" hidden="false" customHeight="false" outlineLevel="0" collapsed="false">
      <c r="B51" s="102" t="str">
        <f aca="false">IF(الموظفون!$B51="","",الموظفون!$B51)</f>
        <v/>
      </c>
      <c r="C51" s="102" t="str">
        <f aca="false">IF($B51="","",الموظفون!$C51)</f>
        <v/>
      </c>
      <c r="D51" s="102" t="str">
        <f aca="false">IF($B51="","",IF(الموظفون!$U51="نعم","نعم","لا"))</f>
        <v/>
      </c>
      <c r="E51" s="101" t="str">
        <f aca="false">IF($B51="","",N(الموظفون!$V51))</f>
        <v/>
      </c>
      <c r="F51" s="110" t="str">
        <f aca="false">IF($B51="","",N(الموظفون!$W51))</f>
        <v/>
      </c>
      <c r="G51" s="101" t="str">
        <f aca="false">IF($B51="","",IF(AND(D51="نعم",F51&gt;0),E51/F51,0))</f>
        <v/>
      </c>
      <c r="H51" s="148" t="str">
        <f aca="false">IF($B51="","",MAX(cfg_Y_START,الموظفون!$H51))</f>
        <v/>
      </c>
      <c r="I51" s="148" t="str">
        <f aca="false">IF($B51="","",IF(OR(الموظفون!$AE51="",الموظفون!$AE51&gt;cfg_VAL_DATE),cfg_VAL_DATE,الموظفون!$AE51))</f>
        <v/>
      </c>
      <c r="J51" s="110" t="str">
        <f aca="false">IF($B51="","",MAX(0,MAX(0,I51-H51+1)-(SUMIFS('سجل الإجازات والحالات'!$S$6:$S$505,'سجل الإجازات والحالات'!$B$6:$B$505,$B51)-SUMIFS('سجل الإجازات والحالات'!$R$6:$R$505,'سجل الإجازات والحالات'!$B$6:$B$505,$B51))))</f>
        <v/>
      </c>
      <c r="K51" s="101" t="str">
        <f aca="false">IF($B51="","",G51*12/cfg_DAYS_Y*J51)</f>
        <v/>
      </c>
      <c r="L51" s="101" t="str">
        <f aca="false">IF($B51="","",N(الموظفون!$AD51))</f>
        <v/>
      </c>
      <c r="M51" s="101" t="str">
        <f aca="false">IF($B51="","",SUMIFS('الحركات الشهرية'!$M$6:$M$1005,'الحركات الشهرية'!$B$6:$B$1005,B51,'الحركات الشهرية'!$A$6:$A$1005,"&lt;="&amp;cfg_VAL_M))</f>
        <v/>
      </c>
      <c r="N51" s="156" t="str">
        <f aca="false">IF($B51="","",L51+K51-M51)</f>
        <v/>
      </c>
      <c r="O51" s="153" t="str">
        <f aca="false">IF($B51="","",IF(E51&gt;0,N51/E51,0))</f>
        <v/>
      </c>
      <c r="P51" s="102" t="str">
        <f aca="false">IF($B51="","",IF(AND(D51="لا",N51&lt;&gt;0),"⚠ غير مستحق وله رصيد",IF(N51&lt;-0.01,"✖ استخدام أكثر من المكوّن",IF(AND(D51="نعم",O51&gt;=1),"⚠ تذكرة مستحقة للصرف","✔ سليم"))))</f>
        <v/>
      </c>
    </row>
    <row r="52" customFormat="false" ht="15" hidden="false" customHeight="false" outlineLevel="0" collapsed="false">
      <c r="B52" s="80" t="str">
        <f aca="false">IF(الموظفون!$B52="","",الموظفون!$B52)</f>
        <v/>
      </c>
      <c r="C52" s="80" t="str">
        <f aca="false">IF($B52="","",الموظفون!$C52)</f>
        <v/>
      </c>
      <c r="D52" s="80" t="str">
        <f aca="false">IF($B52="","",IF(الموظفون!$U52="نعم","نعم","لا"))</f>
        <v/>
      </c>
      <c r="E52" s="97" t="str">
        <f aca="false">IF($B52="","",N(الموظفون!$V52))</f>
        <v/>
      </c>
      <c r="F52" s="57" t="str">
        <f aca="false">IF($B52="","",N(الموظفون!$W52))</f>
        <v/>
      </c>
      <c r="G52" s="97" t="str">
        <f aca="false">IF($B52="","",IF(AND(D52="نعم",F52&gt;0),E52/F52,0))</f>
        <v/>
      </c>
      <c r="H52" s="147" t="str">
        <f aca="false">IF($B52="","",MAX(cfg_Y_START,الموظفون!$H52))</f>
        <v/>
      </c>
      <c r="I52" s="147" t="str">
        <f aca="false">IF($B52="","",IF(OR(الموظفون!$AE52="",الموظفون!$AE52&gt;cfg_VAL_DATE),cfg_VAL_DATE,الموظفون!$AE52))</f>
        <v/>
      </c>
      <c r="J52" s="57" t="str">
        <f aca="false">IF($B52="","",MAX(0,MAX(0,I52-H52+1)-(SUMIFS('سجل الإجازات والحالات'!$S$6:$S$505,'سجل الإجازات والحالات'!$B$6:$B$505,$B52)-SUMIFS('سجل الإجازات والحالات'!$R$6:$R$505,'سجل الإجازات والحالات'!$B$6:$B$505,$B52))))</f>
        <v/>
      </c>
      <c r="K52" s="97" t="str">
        <f aca="false">IF($B52="","",G52*12/cfg_DAYS_Y*J52)</f>
        <v/>
      </c>
      <c r="L52" s="97" t="str">
        <f aca="false">IF($B52="","",N(الموظفون!$AD52))</f>
        <v/>
      </c>
      <c r="M52" s="97" t="str">
        <f aca="false">IF($B52="","",SUMIFS('الحركات الشهرية'!$M$6:$M$1005,'الحركات الشهرية'!$B$6:$B$1005,B52,'الحركات الشهرية'!$A$6:$A$1005,"&lt;="&amp;cfg_VAL_M))</f>
        <v/>
      </c>
      <c r="N52" s="155" t="str">
        <f aca="false">IF($B52="","",L52+K52-M52)</f>
        <v/>
      </c>
      <c r="O52" s="152" t="str">
        <f aca="false">IF($B52="","",IF(E52&gt;0,N52/E52,0))</f>
        <v/>
      </c>
      <c r="P52" s="80" t="str">
        <f aca="false">IF($B52="","",IF(AND(D52="لا",N52&lt;&gt;0),"⚠ غير مستحق وله رصيد",IF(N52&lt;-0.01,"✖ استخدام أكثر من المكوّن",IF(AND(D52="نعم",O52&gt;=1),"⚠ تذكرة مستحقة للصرف","✔ سليم"))))</f>
        <v/>
      </c>
    </row>
    <row r="53" customFormat="false" ht="15" hidden="false" customHeight="false" outlineLevel="0" collapsed="false">
      <c r="B53" s="102" t="str">
        <f aca="false">IF(الموظفون!$B53="","",الموظفون!$B53)</f>
        <v/>
      </c>
      <c r="C53" s="102" t="str">
        <f aca="false">IF($B53="","",الموظفون!$C53)</f>
        <v/>
      </c>
      <c r="D53" s="102" t="str">
        <f aca="false">IF($B53="","",IF(الموظفون!$U53="نعم","نعم","لا"))</f>
        <v/>
      </c>
      <c r="E53" s="101" t="str">
        <f aca="false">IF($B53="","",N(الموظفون!$V53))</f>
        <v/>
      </c>
      <c r="F53" s="110" t="str">
        <f aca="false">IF($B53="","",N(الموظفون!$W53))</f>
        <v/>
      </c>
      <c r="G53" s="101" t="str">
        <f aca="false">IF($B53="","",IF(AND(D53="نعم",F53&gt;0),E53/F53,0))</f>
        <v/>
      </c>
      <c r="H53" s="148" t="str">
        <f aca="false">IF($B53="","",MAX(cfg_Y_START,الموظفون!$H53))</f>
        <v/>
      </c>
      <c r="I53" s="148" t="str">
        <f aca="false">IF($B53="","",IF(OR(الموظفون!$AE53="",الموظفون!$AE53&gt;cfg_VAL_DATE),cfg_VAL_DATE,الموظفون!$AE53))</f>
        <v/>
      </c>
      <c r="J53" s="110" t="str">
        <f aca="false">IF($B53="","",MAX(0,MAX(0,I53-H53+1)-(SUMIFS('سجل الإجازات والحالات'!$S$6:$S$505,'سجل الإجازات والحالات'!$B$6:$B$505,$B53)-SUMIFS('سجل الإجازات والحالات'!$R$6:$R$505,'سجل الإجازات والحالات'!$B$6:$B$505,$B53))))</f>
        <v/>
      </c>
      <c r="K53" s="101" t="str">
        <f aca="false">IF($B53="","",G53*12/cfg_DAYS_Y*J53)</f>
        <v/>
      </c>
      <c r="L53" s="101" t="str">
        <f aca="false">IF($B53="","",N(الموظفون!$AD53))</f>
        <v/>
      </c>
      <c r="M53" s="101" t="str">
        <f aca="false">IF($B53="","",SUMIFS('الحركات الشهرية'!$M$6:$M$1005,'الحركات الشهرية'!$B$6:$B$1005,B53,'الحركات الشهرية'!$A$6:$A$1005,"&lt;="&amp;cfg_VAL_M))</f>
        <v/>
      </c>
      <c r="N53" s="156" t="str">
        <f aca="false">IF($B53="","",L53+K53-M53)</f>
        <v/>
      </c>
      <c r="O53" s="153" t="str">
        <f aca="false">IF($B53="","",IF(E53&gt;0,N53/E53,0))</f>
        <v/>
      </c>
      <c r="P53" s="102" t="str">
        <f aca="false">IF($B53="","",IF(AND(D53="لا",N53&lt;&gt;0),"⚠ غير مستحق وله رصيد",IF(N53&lt;-0.01,"✖ استخدام أكثر من المكوّن",IF(AND(D53="نعم",O53&gt;=1),"⚠ تذكرة مستحقة للصرف","✔ سليم"))))</f>
        <v/>
      </c>
    </row>
    <row r="54" customFormat="false" ht="15" hidden="false" customHeight="false" outlineLevel="0" collapsed="false">
      <c r="B54" s="80" t="str">
        <f aca="false">IF(الموظفون!$B54="","",الموظفون!$B54)</f>
        <v/>
      </c>
      <c r="C54" s="80" t="str">
        <f aca="false">IF($B54="","",الموظفون!$C54)</f>
        <v/>
      </c>
      <c r="D54" s="80" t="str">
        <f aca="false">IF($B54="","",IF(الموظفون!$U54="نعم","نعم","لا"))</f>
        <v/>
      </c>
      <c r="E54" s="97" t="str">
        <f aca="false">IF($B54="","",N(الموظفون!$V54))</f>
        <v/>
      </c>
      <c r="F54" s="57" t="str">
        <f aca="false">IF($B54="","",N(الموظفون!$W54))</f>
        <v/>
      </c>
      <c r="G54" s="97" t="str">
        <f aca="false">IF($B54="","",IF(AND(D54="نعم",F54&gt;0),E54/F54,0))</f>
        <v/>
      </c>
      <c r="H54" s="147" t="str">
        <f aca="false">IF($B54="","",MAX(cfg_Y_START,الموظفون!$H54))</f>
        <v/>
      </c>
      <c r="I54" s="147" t="str">
        <f aca="false">IF($B54="","",IF(OR(الموظفون!$AE54="",الموظفون!$AE54&gt;cfg_VAL_DATE),cfg_VAL_DATE,الموظفون!$AE54))</f>
        <v/>
      </c>
      <c r="J54" s="57" t="str">
        <f aca="false">IF($B54="","",MAX(0,MAX(0,I54-H54+1)-(SUMIFS('سجل الإجازات والحالات'!$S$6:$S$505,'سجل الإجازات والحالات'!$B$6:$B$505,$B54)-SUMIFS('سجل الإجازات والحالات'!$R$6:$R$505,'سجل الإجازات والحالات'!$B$6:$B$505,$B54))))</f>
        <v/>
      </c>
      <c r="K54" s="97" t="str">
        <f aca="false">IF($B54="","",G54*12/cfg_DAYS_Y*J54)</f>
        <v/>
      </c>
      <c r="L54" s="97" t="str">
        <f aca="false">IF($B54="","",N(الموظفون!$AD54))</f>
        <v/>
      </c>
      <c r="M54" s="97" t="str">
        <f aca="false">IF($B54="","",SUMIFS('الحركات الشهرية'!$M$6:$M$1005,'الحركات الشهرية'!$B$6:$B$1005,B54,'الحركات الشهرية'!$A$6:$A$1005,"&lt;="&amp;cfg_VAL_M))</f>
        <v/>
      </c>
      <c r="N54" s="155" t="str">
        <f aca="false">IF($B54="","",L54+K54-M54)</f>
        <v/>
      </c>
      <c r="O54" s="152" t="str">
        <f aca="false">IF($B54="","",IF(E54&gt;0,N54/E54,0))</f>
        <v/>
      </c>
      <c r="P54" s="80" t="str">
        <f aca="false">IF($B54="","",IF(AND(D54="لا",N54&lt;&gt;0),"⚠ غير مستحق وله رصيد",IF(N54&lt;-0.01,"✖ استخدام أكثر من المكوّن",IF(AND(D54="نعم",O54&gt;=1),"⚠ تذكرة مستحقة للصرف","✔ سليم"))))</f>
        <v/>
      </c>
    </row>
    <row r="55" customFormat="false" ht="15" hidden="false" customHeight="false" outlineLevel="0" collapsed="false">
      <c r="B55" s="102" t="str">
        <f aca="false">IF(الموظفون!$B55="","",الموظفون!$B55)</f>
        <v/>
      </c>
      <c r="C55" s="102" t="str">
        <f aca="false">IF($B55="","",الموظفون!$C55)</f>
        <v/>
      </c>
      <c r="D55" s="102" t="str">
        <f aca="false">IF($B55="","",IF(الموظفون!$U55="نعم","نعم","لا"))</f>
        <v/>
      </c>
      <c r="E55" s="101" t="str">
        <f aca="false">IF($B55="","",N(الموظفون!$V55))</f>
        <v/>
      </c>
      <c r="F55" s="110" t="str">
        <f aca="false">IF($B55="","",N(الموظفون!$W55))</f>
        <v/>
      </c>
      <c r="G55" s="101" t="str">
        <f aca="false">IF($B55="","",IF(AND(D55="نعم",F55&gt;0),E55/F55,0))</f>
        <v/>
      </c>
      <c r="H55" s="148" t="str">
        <f aca="false">IF($B55="","",MAX(cfg_Y_START,الموظفون!$H55))</f>
        <v/>
      </c>
      <c r="I55" s="148" t="str">
        <f aca="false">IF($B55="","",IF(OR(الموظفون!$AE55="",الموظفون!$AE55&gt;cfg_VAL_DATE),cfg_VAL_DATE,الموظفون!$AE55))</f>
        <v/>
      </c>
      <c r="J55" s="110" t="str">
        <f aca="false">IF($B55="","",MAX(0,MAX(0,I55-H55+1)-(SUMIFS('سجل الإجازات والحالات'!$S$6:$S$505,'سجل الإجازات والحالات'!$B$6:$B$505,$B55)-SUMIFS('سجل الإجازات والحالات'!$R$6:$R$505,'سجل الإجازات والحالات'!$B$6:$B$505,$B55))))</f>
        <v/>
      </c>
      <c r="K55" s="101" t="str">
        <f aca="false">IF($B55="","",G55*12/cfg_DAYS_Y*J55)</f>
        <v/>
      </c>
      <c r="L55" s="101" t="str">
        <f aca="false">IF($B55="","",N(الموظفون!$AD55))</f>
        <v/>
      </c>
      <c r="M55" s="101" t="str">
        <f aca="false">IF($B55="","",SUMIFS('الحركات الشهرية'!$M$6:$M$1005,'الحركات الشهرية'!$B$6:$B$1005,B55,'الحركات الشهرية'!$A$6:$A$1005,"&lt;="&amp;cfg_VAL_M))</f>
        <v/>
      </c>
      <c r="N55" s="156" t="str">
        <f aca="false">IF($B55="","",L55+K55-M55)</f>
        <v/>
      </c>
      <c r="O55" s="153" t="str">
        <f aca="false">IF($B55="","",IF(E55&gt;0,N55/E55,0))</f>
        <v/>
      </c>
      <c r="P55" s="102" t="str">
        <f aca="false">IF($B55="","",IF(AND(D55="لا",N55&lt;&gt;0),"⚠ غير مستحق وله رصيد",IF(N55&lt;-0.01,"✖ استخدام أكثر من المكوّن",IF(AND(D55="نعم",O55&gt;=1),"⚠ تذكرة مستحقة للصرف","✔ سليم"))))</f>
        <v/>
      </c>
    </row>
    <row r="56" customFormat="false" ht="15" hidden="false" customHeight="false" outlineLevel="0" collapsed="false">
      <c r="B56" s="80" t="str">
        <f aca="false">IF(الموظفون!$B56="","",الموظفون!$B56)</f>
        <v/>
      </c>
      <c r="C56" s="80" t="str">
        <f aca="false">IF($B56="","",الموظفون!$C56)</f>
        <v/>
      </c>
      <c r="D56" s="80" t="str">
        <f aca="false">IF($B56="","",IF(الموظفون!$U56="نعم","نعم","لا"))</f>
        <v/>
      </c>
      <c r="E56" s="97" t="str">
        <f aca="false">IF($B56="","",N(الموظفون!$V56))</f>
        <v/>
      </c>
      <c r="F56" s="57" t="str">
        <f aca="false">IF($B56="","",N(الموظفون!$W56))</f>
        <v/>
      </c>
      <c r="G56" s="97" t="str">
        <f aca="false">IF($B56="","",IF(AND(D56="نعم",F56&gt;0),E56/F56,0))</f>
        <v/>
      </c>
      <c r="H56" s="147" t="str">
        <f aca="false">IF($B56="","",MAX(cfg_Y_START,الموظفون!$H56))</f>
        <v/>
      </c>
      <c r="I56" s="147" t="str">
        <f aca="false">IF($B56="","",IF(OR(الموظفون!$AE56="",الموظفون!$AE56&gt;cfg_VAL_DATE),cfg_VAL_DATE,الموظفون!$AE56))</f>
        <v/>
      </c>
      <c r="J56" s="57" t="str">
        <f aca="false">IF($B56="","",MAX(0,MAX(0,I56-H56+1)-(SUMIFS('سجل الإجازات والحالات'!$S$6:$S$505,'سجل الإجازات والحالات'!$B$6:$B$505,$B56)-SUMIFS('سجل الإجازات والحالات'!$R$6:$R$505,'سجل الإجازات والحالات'!$B$6:$B$505,$B56))))</f>
        <v/>
      </c>
      <c r="K56" s="97" t="str">
        <f aca="false">IF($B56="","",G56*12/cfg_DAYS_Y*J56)</f>
        <v/>
      </c>
      <c r="L56" s="97" t="str">
        <f aca="false">IF($B56="","",N(الموظفون!$AD56))</f>
        <v/>
      </c>
      <c r="M56" s="97" t="str">
        <f aca="false">IF($B56="","",SUMIFS('الحركات الشهرية'!$M$6:$M$1005,'الحركات الشهرية'!$B$6:$B$1005,B56,'الحركات الشهرية'!$A$6:$A$1005,"&lt;="&amp;cfg_VAL_M))</f>
        <v/>
      </c>
      <c r="N56" s="155" t="str">
        <f aca="false">IF($B56="","",L56+K56-M56)</f>
        <v/>
      </c>
      <c r="O56" s="152" t="str">
        <f aca="false">IF($B56="","",IF(E56&gt;0,N56/E56,0))</f>
        <v/>
      </c>
      <c r="P56" s="80" t="str">
        <f aca="false">IF($B56="","",IF(AND(D56="لا",N56&lt;&gt;0),"⚠ غير مستحق وله رصيد",IF(N56&lt;-0.01,"✖ استخدام أكثر من المكوّن",IF(AND(D56="نعم",O56&gt;=1),"⚠ تذكرة مستحقة للصرف","✔ سليم"))))</f>
        <v/>
      </c>
    </row>
    <row r="57" customFormat="false" ht="15" hidden="false" customHeight="false" outlineLevel="0" collapsed="false">
      <c r="B57" s="102" t="str">
        <f aca="false">IF(الموظفون!$B57="","",الموظفون!$B57)</f>
        <v/>
      </c>
      <c r="C57" s="102" t="str">
        <f aca="false">IF($B57="","",الموظفون!$C57)</f>
        <v/>
      </c>
      <c r="D57" s="102" t="str">
        <f aca="false">IF($B57="","",IF(الموظفون!$U57="نعم","نعم","لا"))</f>
        <v/>
      </c>
      <c r="E57" s="101" t="str">
        <f aca="false">IF($B57="","",N(الموظفون!$V57))</f>
        <v/>
      </c>
      <c r="F57" s="110" t="str">
        <f aca="false">IF($B57="","",N(الموظفون!$W57))</f>
        <v/>
      </c>
      <c r="G57" s="101" t="str">
        <f aca="false">IF($B57="","",IF(AND(D57="نعم",F57&gt;0),E57/F57,0))</f>
        <v/>
      </c>
      <c r="H57" s="148" t="str">
        <f aca="false">IF($B57="","",MAX(cfg_Y_START,الموظفون!$H57))</f>
        <v/>
      </c>
      <c r="I57" s="148" t="str">
        <f aca="false">IF($B57="","",IF(OR(الموظفون!$AE57="",الموظفون!$AE57&gt;cfg_VAL_DATE),cfg_VAL_DATE,الموظفون!$AE57))</f>
        <v/>
      </c>
      <c r="J57" s="110" t="str">
        <f aca="false">IF($B57="","",MAX(0,MAX(0,I57-H57+1)-(SUMIFS('سجل الإجازات والحالات'!$S$6:$S$505,'سجل الإجازات والحالات'!$B$6:$B$505,$B57)-SUMIFS('سجل الإجازات والحالات'!$R$6:$R$505,'سجل الإجازات والحالات'!$B$6:$B$505,$B57))))</f>
        <v/>
      </c>
      <c r="K57" s="101" t="str">
        <f aca="false">IF($B57="","",G57*12/cfg_DAYS_Y*J57)</f>
        <v/>
      </c>
      <c r="L57" s="101" t="str">
        <f aca="false">IF($B57="","",N(الموظفون!$AD57))</f>
        <v/>
      </c>
      <c r="M57" s="101" t="str">
        <f aca="false">IF($B57="","",SUMIFS('الحركات الشهرية'!$M$6:$M$1005,'الحركات الشهرية'!$B$6:$B$1005,B57,'الحركات الشهرية'!$A$6:$A$1005,"&lt;="&amp;cfg_VAL_M))</f>
        <v/>
      </c>
      <c r="N57" s="156" t="str">
        <f aca="false">IF($B57="","",L57+K57-M57)</f>
        <v/>
      </c>
      <c r="O57" s="153" t="str">
        <f aca="false">IF($B57="","",IF(E57&gt;0,N57/E57,0))</f>
        <v/>
      </c>
      <c r="P57" s="102" t="str">
        <f aca="false">IF($B57="","",IF(AND(D57="لا",N57&lt;&gt;0),"⚠ غير مستحق وله رصيد",IF(N57&lt;-0.01,"✖ استخدام أكثر من المكوّن",IF(AND(D57="نعم",O57&gt;=1),"⚠ تذكرة مستحقة للصرف","✔ سليم"))))</f>
        <v/>
      </c>
    </row>
    <row r="58" customFormat="false" ht="15" hidden="false" customHeight="false" outlineLevel="0" collapsed="false">
      <c r="B58" s="80" t="str">
        <f aca="false">IF(الموظفون!$B58="","",الموظفون!$B58)</f>
        <v/>
      </c>
      <c r="C58" s="80" t="str">
        <f aca="false">IF($B58="","",الموظفون!$C58)</f>
        <v/>
      </c>
      <c r="D58" s="80" t="str">
        <f aca="false">IF($B58="","",IF(الموظفون!$U58="نعم","نعم","لا"))</f>
        <v/>
      </c>
      <c r="E58" s="97" t="str">
        <f aca="false">IF($B58="","",N(الموظفون!$V58))</f>
        <v/>
      </c>
      <c r="F58" s="57" t="str">
        <f aca="false">IF($B58="","",N(الموظفون!$W58))</f>
        <v/>
      </c>
      <c r="G58" s="97" t="str">
        <f aca="false">IF($B58="","",IF(AND(D58="نعم",F58&gt;0),E58/F58,0))</f>
        <v/>
      </c>
      <c r="H58" s="147" t="str">
        <f aca="false">IF($B58="","",MAX(cfg_Y_START,الموظفون!$H58))</f>
        <v/>
      </c>
      <c r="I58" s="147" t="str">
        <f aca="false">IF($B58="","",IF(OR(الموظفون!$AE58="",الموظفون!$AE58&gt;cfg_VAL_DATE),cfg_VAL_DATE,الموظفون!$AE58))</f>
        <v/>
      </c>
      <c r="J58" s="57" t="str">
        <f aca="false">IF($B58="","",MAX(0,MAX(0,I58-H58+1)-(SUMIFS('سجل الإجازات والحالات'!$S$6:$S$505,'سجل الإجازات والحالات'!$B$6:$B$505,$B58)-SUMIFS('سجل الإجازات والحالات'!$R$6:$R$505,'سجل الإجازات والحالات'!$B$6:$B$505,$B58))))</f>
        <v/>
      </c>
      <c r="K58" s="97" t="str">
        <f aca="false">IF($B58="","",G58*12/cfg_DAYS_Y*J58)</f>
        <v/>
      </c>
      <c r="L58" s="97" t="str">
        <f aca="false">IF($B58="","",N(الموظفون!$AD58))</f>
        <v/>
      </c>
      <c r="M58" s="97" t="str">
        <f aca="false">IF($B58="","",SUMIFS('الحركات الشهرية'!$M$6:$M$1005,'الحركات الشهرية'!$B$6:$B$1005,B58,'الحركات الشهرية'!$A$6:$A$1005,"&lt;="&amp;cfg_VAL_M))</f>
        <v/>
      </c>
      <c r="N58" s="155" t="str">
        <f aca="false">IF($B58="","",L58+K58-M58)</f>
        <v/>
      </c>
      <c r="O58" s="152" t="str">
        <f aca="false">IF($B58="","",IF(E58&gt;0,N58/E58,0))</f>
        <v/>
      </c>
      <c r="P58" s="80" t="str">
        <f aca="false">IF($B58="","",IF(AND(D58="لا",N58&lt;&gt;0),"⚠ غير مستحق وله رصيد",IF(N58&lt;-0.01,"✖ استخدام أكثر من المكوّن",IF(AND(D58="نعم",O58&gt;=1),"⚠ تذكرة مستحقة للصرف","✔ سليم"))))</f>
        <v/>
      </c>
    </row>
    <row r="59" customFormat="false" ht="15" hidden="false" customHeight="false" outlineLevel="0" collapsed="false">
      <c r="B59" s="102" t="str">
        <f aca="false">IF(الموظفون!$B59="","",الموظفون!$B59)</f>
        <v/>
      </c>
      <c r="C59" s="102" t="str">
        <f aca="false">IF($B59="","",الموظفون!$C59)</f>
        <v/>
      </c>
      <c r="D59" s="102" t="str">
        <f aca="false">IF($B59="","",IF(الموظفون!$U59="نعم","نعم","لا"))</f>
        <v/>
      </c>
      <c r="E59" s="101" t="str">
        <f aca="false">IF($B59="","",N(الموظفون!$V59))</f>
        <v/>
      </c>
      <c r="F59" s="110" t="str">
        <f aca="false">IF($B59="","",N(الموظفون!$W59))</f>
        <v/>
      </c>
      <c r="G59" s="101" t="str">
        <f aca="false">IF($B59="","",IF(AND(D59="نعم",F59&gt;0),E59/F59,0))</f>
        <v/>
      </c>
      <c r="H59" s="148" t="str">
        <f aca="false">IF($B59="","",MAX(cfg_Y_START,الموظفون!$H59))</f>
        <v/>
      </c>
      <c r="I59" s="148" t="str">
        <f aca="false">IF($B59="","",IF(OR(الموظفون!$AE59="",الموظفون!$AE59&gt;cfg_VAL_DATE),cfg_VAL_DATE,الموظفون!$AE59))</f>
        <v/>
      </c>
      <c r="J59" s="110" t="str">
        <f aca="false">IF($B59="","",MAX(0,MAX(0,I59-H59+1)-(SUMIFS('سجل الإجازات والحالات'!$S$6:$S$505,'سجل الإجازات والحالات'!$B$6:$B$505,$B59)-SUMIFS('سجل الإجازات والحالات'!$R$6:$R$505,'سجل الإجازات والحالات'!$B$6:$B$505,$B59))))</f>
        <v/>
      </c>
      <c r="K59" s="101" t="str">
        <f aca="false">IF($B59="","",G59*12/cfg_DAYS_Y*J59)</f>
        <v/>
      </c>
      <c r="L59" s="101" t="str">
        <f aca="false">IF($B59="","",N(الموظفون!$AD59))</f>
        <v/>
      </c>
      <c r="M59" s="101" t="str">
        <f aca="false">IF($B59="","",SUMIFS('الحركات الشهرية'!$M$6:$M$1005,'الحركات الشهرية'!$B$6:$B$1005,B59,'الحركات الشهرية'!$A$6:$A$1005,"&lt;="&amp;cfg_VAL_M))</f>
        <v/>
      </c>
      <c r="N59" s="156" t="str">
        <f aca="false">IF($B59="","",L59+K59-M59)</f>
        <v/>
      </c>
      <c r="O59" s="153" t="str">
        <f aca="false">IF($B59="","",IF(E59&gt;0,N59/E59,0))</f>
        <v/>
      </c>
      <c r="P59" s="102" t="str">
        <f aca="false">IF($B59="","",IF(AND(D59="لا",N59&lt;&gt;0),"⚠ غير مستحق وله رصيد",IF(N59&lt;-0.01,"✖ استخدام أكثر من المكوّن",IF(AND(D59="نعم",O59&gt;=1),"⚠ تذكرة مستحقة للصرف","✔ سليم"))))</f>
        <v/>
      </c>
    </row>
    <row r="60" customFormat="false" ht="15" hidden="false" customHeight="false" outlineLevel="0" collapsed="false">
      <c r="B60" s="80" t="str">
        <f aca="false">IF(الموظفون!$B60="","",الموظفون!$B60)</f>
        <v/>
      </c>
      <c r="C60" s="80" t="str">
        <f aca="false">IF($B60="","",الموظفون!$C60)</f>
        <v/>
      </c>
      <c r="D60" s="80" t="str">
        <f aca="false">IF($B60="","",IF(الموظفون!$U60="نعم","نعم","لا"))</f>
        <v/>
      </c>
      <c r="E60" s="97" t="str">
        <f aca="false">IF($B60="","",N(الموظفون!$V60))</f>
        <v/>
      </c>
      <c r="F60" s="57" t="str">
        <f aca="false">IF($B60="","",N(الموظفون!$W60))</f>
        <v/>
      </c>
      <c r="G60" s="97" t="str">
        <f aca="false">IF($B60="","",IF(AND(D60="نعم",F60&gt;0),E60/F60,0))</f>
        <v/>
      </c>
      <c r="H60" s="147" t="str">
        <f aca="false">IF($B60="","",MAX(cfg_Y_START,الموظفون!$H60))</f>
        <v/>
      </c>
      <c r="I60" s="147" t="str">
        <f aca="false">IF($B60="","",IF(OR(الموظفون!$AE60="",الموظفون!$AE60&gt;cfg_VAL_DATE),cfg_VAL_DATE,الموظفون!$AE60))</f>
        <v/>
      </c>
      <c r="J60" s="57" t="str">
        <f aca="false">IF($B60="","",MAX(0,MAX(0,I60-H60+1)-(SUMIFS('سجل الإجازات والحالات'!$S$6:$S$505,'سجل الإجازات والحالات'!$B$6:$B$505,$B60)-SUMIFS('سجل الإجازات والحالات'!$R$6:$R$505,'سجل الإجازات والحالات'!$B$6:$B$505,$B60))))</f>
        <v/>
      </c>
      <c r="K60" s="97" t="str">
        <f aca="false">IF($B60="","",G60*12/cfg_DAYS_Y*J60)</f>
        <v/>
      </c>
      <c r="L60" s="97" t="str">
        <f aca="false">IF($B60="","",N(الموظفون!$AD60))</f>
        <v/>
      </c>
      <c r="M60" s="97" t="str">
        <f aca="false">IF($B60="","",SUMIFS('الحركات الشهرية'!$M$6:$M$1005,'الحركات الشهرية'!$B$6:$B$1005,B60,'الحركات الشهرية'!$A$6:$A$1005,"&lt;="&amp;cfg_VAL_M))</f>
        <v/>
      </c>
      <c r="N60" s="155" t="str">
        <f aca="false">IF($B60="","",L60+K60-M60)</f>
        <v/>
      </c>
      <c r="O60" s="152" t="str">
        <f aca="false">IF($B60="","",IF(E60&gt;0,N60/E60,0))</f>
        <v/>
      </c>
      <c r="P60" s="80" t="str">
        <f aca="false">IF($B60="","",IF(AND(D60="لا",N60&lt;&gt;0),"⚠ غير مستحق وله رصيد",IF(N60&lt;-0.01,"✖ استخدام أكثر من المكوّن",IF(AND(D60="نعم",O60&gt;=1),"⚠ تذكرة مستحقة للصرف","✔ سليم"))))</f>
        <v/>
      </c>
    </row>
    <row r="61" customFormat="false" ht="15" hidden="false" customHeight="false" outlineLevel="0" collapsed="false">
      <c r="B61" s="102" t="str">
        <f aca="false">IF(الموظفون!$B61="","",الموظفون!$B61)</f>
        <v/>
      </c>
      <c r="C61" s="102" t="str">
        <f aca="false">IF($B61="","",الموظفون!$C61)</f>
        <v/>
      </c>
      <c r="D61" s="102" t="str">
        <f aca="false">IF($B61="","",IF(الموظفون!$U61="نعم","نعم","لا"))</f>
        <v/>
      </c>
      <c r="E61" s="101" t="str">
        <f aca="false">IF($B61="","",N(الموظفون!$V61))</f>
        <v/>
      </c>
      <c r="F61" s="110" t="str">
        <f aca="false">IF($B61="","",N(الموظفون!$W61))</f>
        <v/>
      </c>
      <c r="G61" s="101" t="str">
        <f aca="false">IF($B61="","",IF(AND(D61="نعم",F61&gt;0),E61/F61,0))</f>
        <v/>
      </c>
      <c r="H61" s="148" t="str">
        <f aca="false">IF($B61="","",MAX(cfg_Y_START,الموظفون!$H61))</f>
        <v/>
      </c>
      <c r="I61" s="148" t="str">
        <f aca="false">IF($B61="","",IF(OR(الموظفون!$AE61="",الموظفون!$AE61&gt;cfg_VAL_DATE),cfg_VAL_DATE,الموظفون!$AE61))</f>
        <v/>
      </c>
      <c r="J61" s="110" t="str">
        <f aca="false">IF($B61="","",MAX(0,MAX(0,I61-H61+1)-(SUMIFS('سجل الإجازات والحالات'!$S$6:$S$505,'سجل الإجازات والحالات'!$B$6:$B$505,$B61)-SUMIFS('سجل الإجازات والحالات'!$R$6:$R$505,'سجل الإجازات والحالات'!$B$6:$B$505,$B61))))</f>
        <v/>
      </c>
      <c r="K61" s="101" t="str">
        <f aca="false">IF($B61="","",G61*12/cfg_DAYS_Y*J61)</f>
        <v/>
      </c>
      <c r="L61" s="101" t="str">
        <f aca="false">IF($B61="","",N(الموظفون!$AD61))</f>
        <v/>
      </c>
      <c r="M61" s="101" t="str">
        <f aca="false">IF($B61="","",SUMIFS('الحركات الشهرية'!$M$6:$M$1005,'الحركات الشهرية'!$B$6:$B$1005,B61,'الحركات الشهرية'!$A$6:$A$1005,"&lt;="&amp;cfg_VAL_M))</f>
        <v/>
      </c>
      <c r="N61" s="156" t="str">
        <f aca="false">IF($B61="","",L61+K61-M61)</f>
        <v/>
      </c>
      <c r="O61" s="153" t="str">
        <f aca="false">IF($B61="","",IF(E61&gt;0,N61/E61,0))</f>
        <v/>
      </c>
      <c r="P61" s="102" t="str">
        <f aca="false">IF($B61="","",IF(AND(D61="لا",N61&lt;&gt;0),"⚠ غير مستحق وله رصيد",IF(N61&lt;-0.01,"✖ استخدام أكثر من المكوّن",IF(AND(D61="نعم",O61&gt;=1),"⚠ تذكرة مستحقة للصرف","✔ سليم"))))</f>
        <v/>
      </c>
    </row>
    <row r="62" customFormat="false" ht="15" hidden="false" customHeight="false" outlineLevel="0" collapsed="false">
      <c r="B62" s="80" t="str">
        <f aca="false">IF(الموظفون!$B62="","",الموظفون!$B62)</f>
        <v/>
      </c>
      <c r="C62" s="80" t="str">
        <f aca="false">IF($B62="","",الموظفون!$C62)</f>
        <v/>
      </c>
      <c r="D62" s="80" t="str">
        <f aca="false">IF($B62="","",IF(الموظفون!$U62="نعم","نعم","لا"))</f>
        <v/>
      </c>
      <c r="E62" s="97" t="str">
        <f aca="false">IF($B62="","",N(الموظفون!$V62))</f>
        <v/>
      </c>
      <c r="F62" s="57" t="str">
        <f aca="false">IF($B62="","",N(الموظفون!$W62))</f>
        <v/>
      </c>
      <c r="G62" s="97" t="str">
        <f aca="false">IF($B62="","",IF(AND(D62="نعم",F62&gt;0),E62/F62,0))</f>
        <v/>
      </c>
      <c r="H62" s="147" t="str">
        <f aca="false">IF($B62="","",MAX(cfg_Y_START,الموظفون!$H62))</f>
        <v/>
      </c>
      <c r="I62" s="147" t="str">
        <f aca="false">IF($B62="","",IF(OR(الموظفون!$AE62="",الموظفون!$AE62&gt;cfg_VAL_DATE),cfg_VAL_DATE,الموظفون!$AE62))</f>
        <v/>
      </c>
      <c r="J62" s="57" t="str">
        <f aca="false">IF($B62="","",MAX(0,MAX(0,I62-H62+1)-(SUMIFS('سجل الإجازات والحالات'!$S$6:$S$505,'سجل الإجازات والحالات'!$B$6:$B$505,$B62)-SUMIFS('سجل الإجازات والحالات'!$R$6:$R$505,'سجل الإجازات والحالات'!$B$6:$B$505,$B62))))</f>
        <v/>
      </c>
      <c r="K62" s="97" t="str">
        <f aca="false">IF($B62="","",G62*12/cfg_DAYS_Y*J62)</f>
        <v/>
      </c>
      <c r="L62" s="97" t="str">
        <f aca="false">IF($B62="","",N(الموظفون!$AD62))</f>
        <v/>
      </c>
      <c r="M62" s="97" t="str">
        <f aca="false">IF($B62="","",SUMIFS('الحركات الشهرية'!$M$6:$M$1005,'الحركات الشهرية'!$B$6:$B$1005,B62,'الحركات الشهرية'!$A$6:$A$1005,"&lt;="&amp;cfg_VAL_M))</f>
        <v/>
      </c>
      <c r="N62" s="155" t="str">
        <f aca="false">IF($B62="","",L62+K62-M62)</f>
        <v/>
      </c>
      <c r="O62" s="152" t="str">
        <f aca="false">IF($B62="","",IF(E62&gt;0,N62/E62,0))</f>
        <v/>
      </c>
      <c r="P62" s="80" t="str">
        <f aca="false">IF($B62="","",IF(AND(D62="لا",N62&lt;&gt;0),"⚠ غير مستحق وله رصيد",IF(N62&lt;-0.01,"✖ استخدام أكثر من المكوّن",IF(AND(D62="نعم",O62&gt;=1),"⚠ تذكرة مستحقة للصرف","✔ سليم"))))</f>
        <v/>
      </c>
    </row>
    <row r="63" customFormat="false" ht="15" hidden="false" customHeight="false" outlineLevel="0" collapsed="false">
      <c r="B63" s="102" t="str">
        <f aca="false">IF(الموظفون!$B63="","",الموظفون!$B63)</f>
        <v/>
      </c>
      <c r="C63" s="102" t="str">
        <f aca="false">IF($B63="","",الموظفون!$C63)</f>
        <v/>
      </c>
      <c r="D63" s="102" t="str">
        <f aca="false">IF($B63="","",IF(الموظفون!$U63="نعم","نعم","لا"))</f>
        <v/>
      </c>
      <c r="E63" s="101" t="str">
        <f aca="false">IF($B63="","",N(الموظفون!$V63))</f>
        <v/>
      </c>
      <c r="F63" s="110" t="str">
        <f aca="false">IF($B63="","",N(الموظفون!$W63))</f>
        <v/>
      </c>
      <c r="G63" s="101" t="str">
        <f aca="false">IF($B63="","",IF(AND(D63="نعم",F63&gt;0),E63/F63,0))</f>
        <v/>
      </c>
      <c r="H63" s="148" t="str">
        <f aca="false">IF($B63="","",MAX(cfg_Y_START,الموظفون!$H63))</f>
        <v/>
      </c>
      <c r="I63" s="148" t="str">
        <f aca="false">IF($B63="","",IF(OR(الموظفون!$AE63="",الموظفون!$AE63&gt;cfg_VAL_DATE),cfg_VAL_DATE,الموظفون!$AE63))</f>
        <v/>
      </c>
      <c r="J63" s="110" t="str">
        <f aca="false">IF($B63="","",MAX(0,MAX(0,I63-H63+1)-(SUMIFS('سجل الإجازات والحالات'!$S$6:$S$505,'سجل الإجازات والحالات'!$B$6:$B$505,$B63)-SUMIFS('سجل الإجازات والحالات'!$R$6:$R$505,'سجل الإجازات والحالات'!$B$6:$B$505,$B63))))</f>
        <v/>
      </c>
      <c r="K63" s="101" t="str">
        <f aca="false">IF($B63="","",G63*12/cfg_DAYS_Y*J63)</f>
        <v/>
      </c>
      <c r="L63" s="101" t="str">
        <f aca="false">IF($B63="","",N(الموظفون!$AD63))</f>
        <v/>
      </c>
      <c r="M63" s="101" t="str">
        <f aca="false">IF($B63="","",SUMIFS('الحركات الشهرية'!$M$6:$M$1005,'الحركات الشهرية'!$B$6:$B$1005,B63,'الحركات الشهرية'!$A$6:$A$1005,"&lt;="&amp;cfg_VAL_M))</f>
        <v/>
      </c>
      <c r="N63" s="156" t="str">
        <f aca="false">IF($B63="","",L63+K63-M63)</f>
        <v/>
      </c>
      <c r="O63" s="153" t="str">
        <f aca="false">IF($B63="","",IF(E63&gt;0,N63/E63,0))</f>
        <v/>
      </c>
      <c r="P63" s="102" t="str">
        <f aca="false">IF($B63="","",IF(AND(D63="لا",N63&lt;&gt;0),"⚠ غير مستحق وله رصيد",IF(N63&lt;-0.01,"✖ استخدام أكثر من المكوّن",IF(AND(D63="نعم",O63&gt;=1),"⚠ تذكرة مستحقة للصرف","✔ سليم"))))</f>
        <v/>
      </c>
    </row>
    <row r="64" customFormat="false" ht="15" hidden="false" customHeight="false" outlineLevel="0" collapsed="false">
      <c r="B64" s="80" t="str">
        <f aca="false">IF(الموظفون!$B64="","",الموظفون!$B64)</f>
        <v/>
      </c>
      <c r="C64" s="80" t="str">
        <f aca="false">IF($B64="","",الموظفون!$C64)</f>
        <v/>
      </c>
      <c r="D64" s="80" t="str">
        <f aca="false">IF($B64="","",IF(الموظفون!$U64="نعم","نعم","لا"))</f>
        <v/>
      </c>
      <c r="E64" s="97" t="str">
        <f aca="false">IF($B64="","",N(الموظفون!$V64))</f>
        <v/>
      </c>
      <c r="F64" s="57" t="str">
        <f aca="false">IF($B64="","",N(الموظفون!$W64))</f>
        <v/>
      </c>
      <c r="G64" s="97" t="str">
        <f aca="false">IF($B64="","",IF(AND(D64="نعم",F64&gt;0),E64/F64,0))</f>
        <v/>
      </c>
      <c r="H64" s="147" t="str">
        <f aca="false">IF($B64="","",MAX(cfg_Y_START,الموظفون!$H64))</f>
        <v/>
      </c>
      <c r="I64" s="147" t="str">
        <f aca="false">IF($B64="","",IF(OR(الموظفون!$AE64="",الموظفون!$AE64&gt;cfg_VAL_DATE),cfg_VAL_DATE,الموظفون!$AE64))</f>
        <v/>
      </c>
      <c r="J64" s="57" t="str">
        <f aca="false">IF($B64="","",MAX(0,MAX(0,I64-H64+1)-(SUMIFS('سجل الإجازات والحالات'!$S$6:$S$505,'سجل الإجازات والحالات'!$B$6:$B$505,$B64)-SUMIFS('سجل الإجازات والحالات'!$R$6:$R$505,'سجل الإجازات والحالات'!$B$6:$B$505,$B64))))</f>
        <v/>
      </c>
      <c r="K64" s="97" t="str">
        <f aca="false">IF($B64="","",G64*12/cfg_DAYS_Y*J64)</f>
        <v/>
      </c>
      <c r="L64" s="97" t="str">
        <f aca="false">IF($B64="","",N(الموظفون!$AD64))</f>
        <v/>
      </c>
      <c r="M64" s="97" t="str">
        <f aca="false">IF($B64="","",SUMIFS('الحركات الشهرية'!$M$6:$M$1005,'الحركات الشهرية'!$B$6:$B$1005,B64,'الحركات الشهرية'!$A$6:$A$1005,"&lt;="&amp;cfg_VAL_M))</f>
        <v/>
      </c>
      <c r="N64" s="155" t="str">
        <f aca="false">IF($B64="","",L64+K64-M64)</f>
        <v/>
      </c>
      <c r="O64" s="152" t="str">
        <f aca="false">IF($B64="","",IF(E64&gt;0,N64/E64,0))</f>
        <v/>
      </c>
      <c r="P64" s="80" t="str">
        <f aca="false">IF($B64="","",IF(AND(D64="لا",N64&lt;&gt;0),"⚠ غير مستحق وله رصيد",IF(N64&lt;-0.01,"✖ استخدام أكثر من المكوّن",IF(AND(D64="نعم",O64&gt;=1),"⚠ تذكرة مستحقة للصرف","✔ سليم"))))</f>
        <v/>
      </c>
    </row>
    <row r="65" customFormat="false" ht="15" hidden="false" customHeight="false" outlineLevel="0" collapsed="false">
      <c r="B65" s="102" t="str">
        <f aca="false">IF(الموظفون!$B65="","",الموظفون!$B65)</f>
        <v/>
      </c>
      <c r="C65" s="102" t="str">
        <f aca="false">IF($B65="","",الموظفون!$C65)</f>
        <v/>
      </c>
      <c r="D65" s="102" t="str">
        <f aca="false">IF($B65="","",IF(الموظفون!$U65="نعم","نعم","لا"))</f>
        <v/>
      </c>
      <c r="E65" s="101" t="str">
        <f aca="false">IF($B65="","",N(الموظفون!$V65))</f>
        <v/>
      </c>
      <c r="F65" s="110" t="str">
        <f aca="false">IF($B65="","",N(الموظفون!$W65))</f>
        <v/>
      </c>
      <c r="G65" s="101" t="str">
        <f aca="false">IF($B65="","",IF(AND(D65="نعم",F65&gt;0),E65/F65,0))</f>
        <v/>
      </c>
      <c r="H65" s="148" t="str">
        <f aca="false">IF($B65="","",MAX(cfg_Y_START,الموظفون!$H65))</f>
        <v/>
      </c>
      <c r="I65" s="148" t="str">
        <f aca="false">IF($B65="","",IF(OR(الموظفون!$AE65="",الموظفون!$AE65&gt;cfg_VAL_DATE),cfg_VAL_DATE,الموظفون!$AE65))</f>
        <v/>
      </c>
      <c r="J65" s="110" t="str">
        <f aca="false">IF($B65="","",MAX(0,MAX(0,I65-H65+1)-(SUMIFS('سجل الإجازات والحالات'!$S$6:$S$505,'سجل الإجازات والحالات'!$B$6:$B$505,$B65)-SUMIFS('سجل الإجازات والحالات'!$R$6:$R$505,'سجل الإجازات والحالات'!$B$6:$B$505,$B65))))</f>
        <v/>
      </c>
      <c r="K65" s="101" t="str">
        <f aca="false">IF($B65="","",G65*12/cfg_DAYS_Y*J65)</f>
        <v/>
      </c>
      <c r="L65" s="101" t="str">
        <f aca="false">IF($B65="","",N(الموظفون!$AD65))</f>
        <v/>
      </c>
      <c r="M65" s="101" t="str">
        <f aca="false">IF($B65="","",SUMIFS('الحركات الشهرية'!$M$6:$M$1005,'الحركات الشهرية'!$B$6:$B$1005,B65,'الحركات الشهرية'!$A$6:$A$1005,"&lt;="&amp;cfg_VAL_M))</f>
        <v/>
      </c>
      <c r="N65" s="156" t="str">
        <f aca="false">IF($B65="","",L65+K65-M65)</f>
        <v/>
      </c>
      <c r="O65" s="153" t="str">
        <f aca="false">IF($B65="","",IF(E65&gt;0,N65/E65,0))</f>
        <v/>
      </c>
      <c r="P65" s="102" t="str">
        <f aca="false">IF($B65="","",IF(AND(D65="لا",N65&lt;&gt;0),"⚠ غير مستحق وله رصيد",IF(N65&lt;-0.01,"✖ استخدام أكثر من المكوّن",IF(AND(D65="نعم",O65&gt;=1),"⚠ تذكرة مستحقة للصرف","✔ سليم"))))</f>
        <v/>
      </c>
    </row>
    <row r="66" customFormat="false" ht="15" hidden="false" customHeight="false" outlineLevel="0" collapsed="false">
      <c r="B66" s="80" t="str">
        <f aca="false">IF(الموظفون!$B66="","",الموظفون!$B66)</f>
        <v/>
      </c>
      <c r="C66" s="80" t="str">
        <f aca="false">IF($B66="","",الموظفون!$C66)</f>
        <v/>
      </c>
      <c r="D66" s="80" t="str">
        <f aca="false">IF($B66="","",IF(الموظفون!$U66="نعم","نعم","لا"))</f>
        <v/>
      </c>
      <c r="E66" s="97" t="str">
        <f aca="false">IF($B66="","",N(الموظفون!$V66))</f>
        <v/>
      </c>
      <c r="F66" s="57" t="str">
        <f aca="false">IF($B66="","",N(الموظفون!$W66))</f>
        <v/>
      </c>
      <c r="G66" s="97" t="str">
        <f aca="false">IF($B66="","",IF(AND(D66="نعم",F66&gt;0),E66/F66,0))</f>
        <v/>
      </c>
      <c r="H66" s="147" t="str">
        <f aca="false">IF($B66="","",MAX(cfg_Y_START,الموظفون!$H66))</f>
        <v/>
      </c>
      <c r="I66" s="147" t="str">
        <f aca="false">IF($B66="","",IF(OR(الموظفون!$AE66="",الموظفون!$AE66&gt;cfg_VAL_DATE),cfg_VAL_DATE,الموظفون!$AE66))</f>
        <v/>
      </c>
      <c r="J66" s="57" t="str">
        <f aca="false">IF($B66="","",MAX(0,MAX(0,I66-H66+1)-(SUMIFS('سجل الإجازات والحالات'!$S$6:$S$505,'سجل الإجازات والحالات'!$B$6:$B$505,$B66)-SUMIFS('سجل الإجازات والحالات'!$R$6:$R$505,'سجل الإجازات والحالات'!$B$6:$B$505,$B66))))</f>
        <v/>
      </c>
      <c r="K66" s="97" t="str">
        <f aca="false">IF($B66="","",G66*12/cfg_DAYS_Y*J66)</f>
        <v/>
      </c>
      <c r="L66" s="97" t="str">
        <f aca="false">IF($B66="","",N(الموظفون!$AD66))</f>
        <v/>
      </c>
      <c r="M66" s="97" t="str">
        <f aca="false">IF($B66="","",SUMIFS('الحركات الشهرية'!$M$6:$M$1005,'الحركات الشهرية'!$B$6:$B$1005,B66,'الحركات الشهرية'!$A$6:$A$1005,"&lt;="&amp;cfg_VAL_M))</f>
        <v/>
      </c>
      <c r="N66" s="155" t="str">
        <f aca="false">IF($B66="","",L66+K66-M66)</f>
        <v/>
      </c>
      <c r="O66" s="152" t="str">
        <f aca="false">IF($B66="","",IF(E66&gt;0,N66/E66,0))</f>
        <v/>
      </c>
      <c r="P66" s="80" t="str">
        <f aca="false">IF($B66="","",IF(AND(D66="لا",N66&lt;&gt;0),"⚠ غير مستحق وله رصيد",IF(N66&lt;-0.01,"✖ استخدام أكثر من المكوّن",IF(AND(D66="نعم",O66&gt;=1),"⚠ تذكرة مستحقة للصرف","✔ سليم"))))</f>
        <v/>
      </c>
    </row>
    <row r="67" customFormat="false" ht="15" hidden="false" customHeight="false" outlineLevel="0" collapsed="false">
      <c r="B67" s="102" t="str">
        <f aca="false">IF(الموظفون!$B67="","",الموظفون!$B67)</f>
        <v/>
      </c>
      <c r="C67" s="102" t="str">
        <f aca="false">IF($B67="","",الموظفون!$C67)</f>
        <v/>
      </c>
      <c r="D67" s="102" t="str">
        <f aca="false">IF($B67="","",IF(الموظفون!$U67="نعم","نعم","لا"))</f>
        <v/>
      </c>
      <c r="E67" s="101" t="str">
        <f aca="false">IF($B67="","",N(الموظفون!$V67))</f>
        <v/>
      </c>
      <c r="F67" s="110" t="str">
        <f aca="false">IF($B67="","",N(الموظفون!$W67))</f>
        <v/>
      </c>
      <c r="G67" s="101" t="str">
        <f aca="false">IF($B67="","",IF(AND(D67="نعم",F67&gt;0),E67/F67,0))</f>
        <v/>
      </c>
      <c r="H67" s="148" t="str">
        <f aca="false">IF($B67="","",MAX(cfg_Y_START,الموظفون!$H67))</f>
        <v/>
      </c>
      <c r="I67" s="148" t="str">
        <f aca="false">IF($B67="","",IF(OR(الموظفون!$AE67="",الموظفون!$AE67&gt;cfg_VAL_DATE),cfg_VAL_DATE,الموظفون!$AE67))</f>
        <v/>
      </c>
      <c r="J67" s="110" t="str">
        <f aca="false">IF($B67="","",MAX(0,MAX(0,I67-H67+1)-(SUMIFS('سجل الإجازات والحالات'!$S$6:$S$505,'سجل الإجازات والحالات'!$B$6:$B$505,$B67)-SUMIFS('سجل الإجازات والحالات'!$R$6:$R$505,'سجل الإجازات والحالات'!$B$6:$B$505,$B67))))</f>
        <v/>
      </c>
      <c r="K67" s="101" t="str">
        <f aca="false">IF($B67="","",G67*12/cfg_DAYS_Y*J67)</f>
        <v/>
      </c>
      <c r="L67" s="101" t="str">
        <f aca="false">IF($B67="","",N(الموظفون!$AD67))</f>
        <v/>
      </c>
      <c r="M67" s="101" t="str">
        <f aca="false">IF($B67="","",SUMIFS('الحركات الشهرية'!$M$6:$M$1005,'الحركات الشهرية'!$B$6:$B$1005,B67,'الحركات الشهرية'!$A$6:$A$1005,"&lt;="&amp;cfg_VAL_M))</f>
        <v/>
      </c>
      <c r="N67" s="156" t="str">
        <f aca="false">IF($B67="","",L67+K67-M67)</f>
        <v/>
      </c>
      <c r="O67" s="153" t="str">
        <f aca="false">IF($B67="","",IF(E67&gt;0,N67/E67,0))</f>
        <v/>
      </c>
      <c r="P67" s="102" t="str">
        <f aca="false">IF($B67="","",IF(AND(D67="لا",N67&lt;&gt;0),"⚠ غير مستحق وله رصيد",IF(N67&lt;-0.01,"✖ استخدام أكثر من المكوّن",IF(AND(D67="نعم",O67&gt;=1),"⚠ تذكرة مستحقة للصرف","✔ سليم"))))</f>
        <v/>
      </c>
    </row>
    <row r="68" customFormat="false" ht="15" hidden="false" customHeight="false" outlineLevel="0" collapsed="false">
      <c r="B68" s="80" t="str">
        <f aca="false">IF(الموظفون!$B68="","",الموظفون!$B68)</f>
        <v/>
      </c>
      <c r="C68" s="80" t="str">
        <f aca="false">IF($B68="","",الموظفون!$C68)</f>
        <v/>
      </c>
      <c r="D68" s="80" t="str">
        <f aca="false">IF($B68="","",IF(الموظفون!$U68="نعم","نعم","لا"))</f>
        <v/>
      </c>
      <c r="E68" s="97" t="str">
        <f aca="false">IF($B68="","",N(الموظفون!$V68))</f>
        <v/>
      </c>
      <c r="F68" s="57" t="str">
        <f aca="false">IF($B68="","",N(الموظفون!$W68))</f>
        <v/>
      </c>
      <c r="G68" s="97" t="str">
        <f aca="false">IF($B68="","",IF(AND(D68="نعم",F68&gt;0),E68/F68,0))</f>
        <v/>
      </c>
      <c r="H68" s="147" t="str">
        <f aca="false">IF($B68="","",MAX(cfg_Y_START,الموظفون!$H68))</f>
        <v/>
      </c>
      <c r="I68" s="147" t="str">
        <f aca="false">IF($B68="","",IF(OR(الموظفون!$AE68="",الموظفون!$AE68&gt;cfg_VAL_DATE),cfg_VAL_DATE,الموظفون!$AE68))</f>
        <v/>
      </c>
      <c r="J68" s="57" t="str">
        <f aca="false">IF($B68="","",MAX(0,MAX(0,I68-H68+1)-(SUMIFS('سجل الإجازات والحالات'!$S$6:$S$505,'سجل الإجازات والحالات'!$B$6:$B$505,$B68)-SUMIFS('سجل الإجازات والحالات'!$R$6:$R$505,'سجل الإجازات والحالات'!$B$6:$B$505,$B68))))</f>
        <v/>
      </c>
      <c r="K68" s="97" t="str">
        <f aca="false">IF($B68="","",G68*12/cfg_DAYS_Y*J68)</f>
        <v/>
      </c>
      <c r="L68" s="97" t="str">
        <f aca="false">IF($B68="","",N(الموظفون!$AD68))</f>
        <v/>
      </c>
      <c r="M68" s="97" t="str">
        <f aca="false">IF($B68="","",SUMIFS('الحركات الشهرية'!$M$6:$M$1005,'الحركات الشهرية'!$B$6:$B$1005,B68,'الحركات الشهرية'!$A$6:$A$1005,"&lt;="&amp;cfg_VAL_M))</f>
        <v/>
      </c>
      <c r="N68" s="155" t="str">
        <f aca="false">IF($B68="","",L68+K68-M68)</f>
        <v/>
      </c>
      <c r="O68" s="152" t="str">
        <f aca="false">IF($B68="","",IF(E68&gt;0,N68/E68,0))</f>
        <v/>
      </c>
      <c r="P68" s="80" t="str">
        <f aca="false">IF($B68="","",IF(AND(D68="لا",N68&lt;&gt;0),"⚠ غير مستحق وله رصيد",IF(N68&lt;-0.01,"✖ استخدام أكثر من المكوّن",IF(AND(D68="نعم",O68&gt;=1),"⚠ تذكرة مستحقة للصرف","✔ سليم"))))</f>
        <v/>
      </c>
    </row>
    <row r="69" customFormat="false" ht="15" hidden="false" customHeight="false" outlineLevel="0" collapsed="false">
      <c r="B69" s="102" t="str">
        <f aca="false">IF(الموظفون!$B69="","",الموظفون!$B69)</f>
        <v/>
      </c>
      <c r="C69" s="102" t="str">
        <f aca="false">IF($B69="","",الموظفون!$C69)</f>
        <v/>
      </c>
      <c r="D69" s="102" t="str">
        <f aca="false">IF($B69="","",IF(الموظفون!$U69="نعم","نعم","لا"))</f>
        <v/>
      </c>
      <c r="E69" s="101" t="str">
        <f aca="false">IF($B69="","",N(الموظفون!$V69))</f>
        <v/>
      </c>
      <c r="F69" s="110" t="str">
        <f aca="false">IF($B69="","",N(الموظفون!$W69))</f>
        <v/>
      </c>
      <c r="G69" s="101" t="str">
        <f aca="false">IF($B69="","",IF(AND(D69="نعم",F69&gt;0),E69/F69,0))</f>
        <v/>
      </c>
      <c r="H69" s="148" t="str">
        <f aca="false">IF($B69="","",MAX(cfg_Y_START,الموظفون!$H69))</f>
        <v/>
      </c>
      <c r="I69" s="148" t="str">
        <f aca="false">IF($B69="","",IF(OR(الموظفون!$AE69="",الموظفون!$AE69&gt;cfg_VAL_DATE),cfg_VAL_DATE,الموظفون!$AE69))</f>
        <v/>
      </c>
      <c r="J69" s="110" t="str">
        <f aca="false">IF($B69="","",MAX(0,MAX(0,I69-H69+1)-(SUMIFS('سجل الإجازات والحالات'!$S$6:$S$505,'سجل الإجازات والحالات'!$B$6:$B$505,$B69)-SUMIFS('سجل الإجازات والحالات'!$R$6:$R$505,'سجل الإجازات والحالات'!$B$6:$B$505,$B69))))</f>
        <v/>
      </c>
      <c r="K69" s="101" t="str">
        <f aca="false">IF($B69="","",G69*12/cfg_DAYS_Y*J69)</f>
        <v/>
      </c>
      <c r="L69" s="101" t="str">
        <f aca="false">IF($B69="","",N(الموظفون!$AD69))</f>
        <v/>
      </c>
      <c r="M69" s="101" t="str">
        <f aca="false">IF($B69="","",SUMIFS('الحركات الشهرية'!$M$6:$M$1005,'الحركات الشهرية'!$B$6:$B$1005,B69,'الحركات الشهرية'!$A$6:$A$1005,"&lt;="&amp;cfg_VAL_M))</f>
        <v/>
      </c>
      <c r="N69" s="156" t="str">
        <f aca="false">IF($B69="","",L69+K69-M69)</f>
        <v/>
      </c>
      <c r="O69" s="153" t="str">
        <f aca="false">IF($B69="","",IF(E69&gt;0,N69/E69,0))</f>
        <v/>
      </c>
      <c r="P69" s="102" t="str">
        <f aca="false">IF($B69="","",IF(AND(D69="لا",N69&lt;&gt;0),"⚠ غير مستحق وله رصيد",IF(N69&lt;-0.01,"✖ استخدام أكثر من المكوّن",IF(AND(D69="نعم",O69&gt;=1),"⚠ تذكرة مستحقة للصرف","✔ سليم"))))</f>
        <v/>
      </c>
    </row>
    <row r="70" customFormat="false" ht="15" hidden="false" customHeight="false" outlineLevel="0" collapsed="false">
      <c r="B70" s="80" t="str">
        <f aca="false">IF(الموظفون!$B70="","",الموظفون!$B70)</f>
        <v/>
      </c>
      <c r="C70" s="80" t="str">
        <f aca="false">IF($B70="","",الموظفون!$C70)</f>
        <v/>
      </c>
      <c r="D70" s="80" t="str">
        <f aca="false">IF($B70="","",IF(الموظفون!$U70="نعم","نعم","لا"))</f>
        <v/>
      </c>
      <c r="E70" s="97" t="str">
        <f aca="false">IF($B70="","",N(الموظفون!$V70))</f>
        <v/>
      </c>
      <c r="F70" s="57" t="str">
        <f aca="false">IF($B70="","",N(الموظفون!$W70))</f>
        <v/>
      </c>
      <c r="G70" s="97" t="str">
        <f aca="false">IF($B70="","",IF(AND(D70="نعم",F70&gt;0),E70/F70,0))</f>
        <v/>
      </c>
      <c r="H70" s="147" t="str">
        <f aca="false">IF($B70="","",MAX(cfg_Y_START,الموظفون!$H70))</f>
        <v/>
      </c>
      <c r="I70" s="147" t="str">
        <f aca="false">IF($B70="","",IF(OR(الموظفون!$AE70="",الموظفون!$AE70&gt;cfg_VAL_DATE),cfg_VAL_DATE,الموظفون!$AE70))</f>
        <v/>
      </c>
      <c r="J70" s="57" t="str">
        <f aca="false">IF($B70="","",MAX(0,MAX(0,I70-H70+1)-(SUMIFS('سجل الإجازات والحالات'!$S$6:$S$505,'سجل الإجازات والحالات'!$B$6:$B$505,$B70)-SUMIFS('سجل الإجازات والحالات'!$R$6:$R$505,'سجل الإجازات والحالات'!$B$6:$B$505,$B70))))</f>
        <v/>
      </c>
      <c r="K70" s="97" t="str">
        <f aca="false">IF($B70="","",G70*12/cfg_DAYS_Y*J70)</f>
        <v/>
      </c>
      <c r="L70" s="97" t="str">
        <f aca="false">IF($B70="","",N(الموظفون!$AD70))</f>
        <v/>
      </c>
      <c r="M70" s="97" t="str">
        <f aca="false">IF($B70="","",SUMIFS('الحركات الشهرية'!$M$6:$M$1005,'الحركات الشهرية'!$B$6:$B$1005,B70,'الحركات الشهرية'!$A$6:$A$1005,"&lt;="&amp;cfg_VAL_M))</f>
        <v/>
      </c>
      <c r="N70" s="155" t="str">
        <f aca="false">IF($B70="","",L70+K70-M70)</f>
        <v/>
      </c>
      <c r="O70" s="152" t="str">
        <f aca="false">IF($B70="","",IF(E70&gt;0,N70/E70,0))</f>
        <v/>
      </c>
      <c r="P70" s="80" t="str">
        <f aca="false">IF($B70="","",IF(AND(D70="لا",N70&lt;&gt;0),"⚠ غير مستحق وله رصيد",IF(N70&lt;-0.01,"✖ استخدام أكثر من المكوّن",IF(AND(D70="نعم",O70&gt;=1),"⚠ تذكرة مستحقة للصرف","✔ سليم"))))</f>
        <v/>
      </c>
    </row>
    <row r="71" customFormat="false" ht="15" hidden="false" customHeight="false" outlineLevel="0" collapsed="false">
      <c r="B71" s="102" t="str">
        <f aca="false">IF(الموظفون!$B71="","",الموظفون!$B71)</f>
        <v/>
      </c>
      <c r="C71" s="102" t="str">
        <f aca="false">IF($B71="","",الموظفون!$C71)</f>
        <v/>
      </c>
      <c r="D71" s="102" t="str">
        <f aca="false">IF($B71="","",IF(الموظفون!$U71="نعم","نعم","لا"))</f>
        <v/>
      </c>
      <c r="E71" s="101" t="str">
        <f aca="false">IF($B71="","",N(الموظفون!$V71))</f>
        <v/>
      </c>
      <c r="F71" s="110" t="str">
        <f aca="false">IF($B71="","",N(الموظفون!$W71))</f>
        <v/>
      </c>
      <c r="G71" s="101" t="str">
        <f aca="false">IF($B71="","",IF(AND(D71="نعم",F71&gt;0),E71/F71,0))</f>
        <v/>
      </c>
      <c r="H71" s="148" t="str">
        <f aca="false">IF($B71="","",MAX(cfg_Y_START,الموظفون!$H71))</f>
        <v/>
      </c>
      <c r="I71" s="148" t="str">
        <f aca="false">IF($B71="","",IF(OR(الموظفون!$AE71="",الموظفون!$AE71&gt;cfg_VAL_DATE),cfg_VAL_DATE,الموظفون!$AE71))</f>
        <v/>
      </c>
      <c r="J71" s="110" t="str">
        <f aca="false">IF($B71="","",MAX(0,MAX(0,I71-H71+1)-(SUMIFS('سجل الإجازات والحالات'!$S$6:$S$505,'سجل الإجازات والحالات'!$B$6:$B$505,$B71)-SUMIFS('سجل الإجازات والحالات'!$R$6:$R$505,'سجل الإجازات والحالات'!$B$6:$B$505,$B71))))</f>
        <v/>
      </c>
      <c r="K71" s="101" t="str">
        <f aca="false">IF($B71="","",G71*12/cfg_DAYS_Y*J71)</f>
        <v/>
      </c>
      <c r="L71" s="101" t="str">
        <f aca="false">IF($B71="","",N(الموظفون!$AD71))</f>
        <v/>
      </c>
      <c r="M71" s="101" t="str">
        <f aca="false">IF($B71="","",SUMIFS('الحركات الشهرية'!$M$6:$M$1005,'الحركات الشهرية'!$B$6:$B$1005,B71,'الحركات الشهرية'!$A$6:$A$1005,"&lt;="&amp;cfg_VAL_M))</f>
        <v/>
      </c>
      <c r="N71" s="156" t="str">
        <f aca="false">IF($B71="","",L71+K71-M71)</f>
        <v/>
      </c>
      <c r="O71" s="153" t="str">
        <f aca="false">IF($B71="","",IF(E71&gt;0,N71/E71,0))</f>
        <v/>
      </c>
      <c r="P71" s="102" t="str">
        <f aca="false">IF($B71="","",IF(AND(D71="لا",N71&lt;&gt;0),"⚠ غير مستحق وله رصيد",IF(N71&lt;-0.01,"✖ استخدام أكثر من المكوّن",IF(AND(D71="نعم",O71&gt;=1),"⚠ تذكرة مستحقة للصرف","✔ سليم"))))</f>
        <v/>
      </c>
    </row>
    <row r="72" customFormat="false" ht="15" hidden="false" customHeight="false" outlineLevel="0" collapsed="false">
      <c r="B72" s="80" t="str">
        <f aca="false">IF(الموظفون!$B72="","",الموظفون!$B72)</f>
        <v/>
      </c>
      <c r="C72" s="80" t="str">
        <f aca="false">IF($B72="","",الموظفون!$C72)</f>
        <v/>
      </c>
      <c r="D72" s="80" t="str">
        <f aca="false">IF($B72="","",IF(الموظفون!$U72="نعم","نعم","لا"))</f>
        <v/>
      </c>
      <c r="E72" s="97" t="str">
        <f aca="false">IF($B72="","",N(الموظفون!$V72))</f>
        <v/>
      </c>
      <c r="F72" s="57" t="str">
        <f aca="false">IF($B72="","",N(الموظفون!$W72))</f>
        <v/>
      </c>
      <c r="G72" s="97" t="str">
        <f aca="false">IF($B72="","",IF(AND(D72="نعم",F72&gt;0),E72/F72,0))</f>
        <v/>
      </c>
      <c r="H72" s="147" t="str">
        <f aca="false">IF($B72="","",MAX(cfg_Y_START,الموظفون!$H72))</f>
        <v/>
      </c>
      <c r="I72" s="147" t="str">
        <f aca="false">IF($B72="","",IF(OR(الموظفون!$AE72="",الموظفون!$AE72&gt;cfg_VAL_DATE),cfg_VAL_DATE,الموظفون!$AE72))</f>
        <v/>
      </c>
      <c r="J72" s="57" t="str">
        <f aca="false">IF($B72="","",MAX(0,MAX(0,I72-H72+1)-(SUMIFS('سجل الإجازات والحالات'!$S$6:$S$505,'سجل الإجازات والحالات'!$B$6:$B$505,$B72)-SUMIFS('سجل الإجازات والحالات'!$R$6:$R$505,'سجل الإجازات والحالات'!$B$6:$B$505,$B72))))</f>
        <v/>
      </c>
      <c r="K72" s="97" t="str">
        <f aca="false">IF($B72="","",G72*12/cfg_DAYS_Y*J72)</f>
        <v/>
      </c>
      <c r="L72" s="97" t="str">
        <f aca="false">IF($B72="","",N(الموظفون!$AD72))</f>
        <v/>
      </c>
      <c r="M72" s="97" t="str">
        <f aca="false">IF($B72="","",SUMIFS('الحركات الشهرية'!$M$6:$M$1005,'الحركات الشهرية'!$B$6:$B$1005,B72,'الحركات الشهرية'!$A$6:$A$1005,"&lt;="&amp;cfg_VAL_M))</f>
        <v/>
      </c>
      <c r="N72" s="155" t="str">
        <f aca="false">IF($B72="","",L72+K72-M72)</f>
        <v/>
      </c>
      <c r="O72" s="152" t="str">
        <f aca="false">IF($B72="","",IF(E72&gt;0,N72/E72,0))</f>
        <v/>
      </c>
      <c r="P72" s="80" t="str">
        <f aca="false">IF($B72="","",IF(AND(D72="لا",N72&lt;&gt;0),"⚠ غير مستحق وله رصيد",IF(N72&lt;-0.01,"✖ استخدام أكثر من المكوّن",IF(AND(D72="نعم",O72&gt;=1),"⚠ تذكرة مستحقة للصرف","✔ سليم"))))</f>
        <v/>
      </c>
    </row>
    <row r="73" customFormat="false" ht="15" hidden="false" customHeight="false" outlineLevel="0" collapsed="false">
      <c r="B73" s="102" t="str">
        <f aca="false">IF(الموظفون!$B73="","",الموظفون!$B73)</f>
        <v/>
      </c>
      <c r="C73" s="102" t="str">
        <f aca="false">IF($B73="","",الموظفون!$C73)</f>
        <v/>
      </c>
      <c r="D73" s="102" t="str">
        <f aca="false">IF($B73="","",IF(الموظفون!$U73="نعم","نعم","لا"))</f>
        <v/>
      </c>
      <c r="E73" s="101" t="str">
        <f aca="false">IF($B73="","",N(الموظفون!$V73))</f>
        <v/>
      </c>
      <c r="F73" s="110" t="str">
        <f aca="false">IF($B73="","",N(الموظفون!$W73))</f>
        <v/>
      </c>
      <c r="G73" s="101" t="str">
        <f aca="false">IF($B73="","",IF(AND(D73="نعم",F73&gt;0),E73/F73,0))</f>
        <v/>
      </c>
      <c r="H73" s="148" t="str">
        <f aca="false">IF($B73="","",MAX(cfg_Y_START,الموظفون!$H73))</f>
        <v/>
      </c>
      <c r="I73" s="148" t="str">
        <f aca="false">IF($B73="","",IF(OR(الموظفون!$AE73="",الموظفون!$AE73&gt;cfg_VAL_DATE),cfg_VAL_DATE,الموظفون!$AE73))</f>
        <v/>
      </c>
      <c r="J73" s="110" t="str">
        <f aca="false">IF($B73="","",MAX(0,MAX(0,I73-H73+1)-(SUMIFS('سجل الإجازات والحالات'!$S$6:$S$505,'سجل الإجازات والحالات'!$B$6:$B$505,$B73)-SUMIFS('سجل الإجازات والحالات'!$R$6:$R$505,'سجل الإجازات والحالات'!$B$6:$B$505,$B73))))</f>
        <v/>
      </c>
      <c r="K73" s="101" t="str">
        <f aca="false">IF($B73="","",G73*12/cfg_DAYS_Y*J73)</f>
        <v/>
      </c>
      <c r="L73" s="101" t="str">
        <f aca="false">IF($B73="","",N(الموظفون!$AD73))</f>
        <v/>
      </c>
      <c r="M73" s="101" t="str">
        <f aca="false">IF($B73="","",SUMIFS('الحركات الشهرية'!$M$6:$M$1005,'الحركات الشهرية'!$B$6:$B$1005,B73,'الحركات الشهرية'!$A$6:$A$1005,"&lt;="&amp;cfg_VAL_M))</f>
        <v/>
      </c>
      <c r="N73" s="156" t="str">
        <f aca="false">IF($B73="","",L73+K73-M73)</f>
        <v/>
      </c>
      <c r="O73" s="153" t="str">
        <f aca="false">IF($B73="","",IF(E73&gt;0,N73/E73,0))</f>
        <v/>
      </c>
      <c r="P73" s="102" t="str">
        <f aca="false">IF($B73="","",IF(AND(D73="لا",N73&lt;&gt;0),"⚠ غير مستحق وله رصيد",IF(N73&lt;-0.01,"✖ استخدام أكثر من المكوّن",IF(AND(D73="نعم",O73&gt;=1),"⚠ تذكرة مستحقة للصرف","✔ سليم"))))</f>
        <v/>
      </c>
    </row>
    <row r="74" customFormat="false" ht="15" hidden="false" customHeight="false" outlineLevel="0" collapsed="false">
      <c r="B74" s="80" t="str">
        <f aca="false">IF(الموظفون!$B74="","",الموظفون!$B74)</f>
        <v/>
      </c>
      <c r="C74" s="80" t="str">
        <f aca="false">IF($B74="","",الموظفون!$C74)</f>
        <v/>
      </c>
      <c r="D74" s="80" t="str">
        <f aca="false">IF($B74="","",IF(الموظفون!$U74="نعم","نعم","لا"))</f>
        <v/>
      </c>
      <c r="E74" s="97" t="str">
        <f aca="false">IF($B74="","",N(الموظفون!$V74))</f>
        <v/>
      </c>
      <c r="F74" s="57" t="str">
        <f aca="false">IF($B74="","",N(الموظفون!$W74))</f>
        <v/>
      </c>
      <c r="G74" s="97" t="str">
        <f aca="false">IF($B74="","",IF(AND(D74="نعم",F74&gt;0),E74/F74,0))</f>
        <v/>
      </c>
      <c r="H74" s="147" t="str">
        <f aca="false">IF($B74="","",MAX(cfg_Y_START,الموظفون!$H74))</f>
        <v/>
      </c>
      <c r="I74" s="147" t="str">
        <f aca="false">IF($B74="","",IF(OR(الموظفون!$AE74="",الموظفون!$AE74&gt;cfg_VAL_DATE),cfg_VAL_DATE,الموظفون!$AE74))</f>
        <v/>
      </c>
      <c r="J74" s="57" t="str">
        <f aca="false">IF($B74="","",MAX(0,MAX(0,I74-H74+1)-(SUMIFS('سجل الإجازات والحالات'!$S$6:$S$505,'سجل الإجازات والحالات'!$B$6:$B$505,$B74)-SUMIFS('سجل الإجازات والحالات'!$R$6:$R$505,'سجل الإجازات والحالات'!$B$6:$B$505,$B74))))</f>
        <v/>
      </c>
      <c r="K74" s="97" t="str">
        <f aca="false">IF($B74="","",G74*12/cfg_DAYS_Y*J74)</f>
        <v/>
      </c>
      <c r="L74" s="97" t="str">
        <f aca="false">IF($B74="","",N(الموظفون!$AD74))</f>
        <v/>
      </c>
      <c r="M74" s="97" t="str">
        <f aca="false">IF($B74="","",SUMIFS('الحركات الشهرية'!$M$6:$M$1005,'الحركات الشهرية'!$B$6:$B$1005,B74,'الحركات الشهرية'!$A$6:$A$1005,"&lt;="&amp;cfg_VAL_M))</f>
        <v/>
      </c>
      <c r="N74" s="155" t="str">
        <f aca="false">IF($B74="","",L74+K74-M74)</f>
        <v/>
      </c>
      <c r="O74" s="152" t="str">
        <f aca="false">IF($B74="","",IF(E74&gt;0,N74/E74,0))</f>
        <v/>
      </c>
      <c r="P74" s="80" t="str">
        <f aca="false">IF($B74="","",IF(AND(D74="لا",N74&lt;&gt;0),"⚠ غير مستحق وله رصيد",IF(N74&lt;-0.01,"✖ استخدام أكثر من المكوّن",IF(AND(D74="نعم",O74&gt;=1),"⚠ تذكرة مستحقة للصرف","✔ سليم"))))</f>
        <v/>
      </c>
    </row>
    <row r="75" customFormat="false" ht="15" hidden="false" customHeight="false" outlineLevel="0" collapsed="false">
      <c r="B75" s="102" t="str">
        <f aca="false">IF(الموظفون!$B75="","",الموظفون!$B75)</f>
        <v/>
      </c>
      <c r="C75" s="102" t="str">
        <f aca="false">IF($B75="","",الموظفون!$C75)</f>
        <v/>
      </c>
      <c r="D75" s="102" t="str">
        <f aca="false">IF($B75="","",IF(الموظفون!$U75="نعم","نعم","لا"))</f>
        <v/>
      </c>
      <c r="E75" s="101" t="str">
        <f aca="false">IF($B75="","",N(الموظفون!$V75))</f>
        <v/>
      </c>
      <c r="F75" s="110" t="str">
        <f aca="false">IF($B75="","",N(الموظفون!$W75))</f>
        <v/>
      </c>
      <c r="G75" s="101" t="str">
        <f aca="false">IF($B75="","",IF(AND(D75="نعم",F75&gt;0),E75/F75,0))</f>
        <v/>
      </c>
      <c r="H75" s="148" t="str">
        <f aca="false">IF($B75="","",MAX(cfg_Y_START,الموظفون!$H75))</f>
        <v/>
      </c>
      <c r="I75" s="148" t="str">
        <f aca="false">IF($B75="","",IF(OR(الموظفون!$AE75="",الموظفون!$AE75&gt;cfg_VAL_DATE),cfg_VAL_DATE,الموظفون!$AE75))</f>
        <v/>
      </c>
      <c r="J75" s="110" t="str">
        <f aca="false">IF($B75="","",MAX(0,MAX(0,I75-H75+1)-(SUMIFS('سجل الإجازات والحالات'!$S$6:$S$505,'سجل الإجازات والحالات'!$B$6:$B$505,$B75)-SUMIFS('سجل الإجازات والحالات'!$R$6:$R$505,'سجل الإجازات والحالات'!$B$6:$B$505,$B75))))</f>
        <v/>
      </c>
      <c r="K75" s="101" t="str">
        <f aca="false">IF($B75="","",G75*12/cfg_DAYS_Y*J75)</f>
        <v/>
      </c>
      <c r="L75" s="101" t="str">
        <f aca="false">IF($B75="","",N(الموظفون!$AD75))</f>
        <v/>
      </c>
      <c r="M75" s="101" t="str">
        <f aca="false">IF($B75="","",SUMIFS('الحركات الشهرية'!$M$6:$M$1005,'الحركات الشهرية'!$B$6:$B$1005,B75,'الحركات الشهرية'!$A$6:$A$1005,"&lt;="&amp;cfg_VAL_M))</f>
        <v/>
      </c>
      <c r="N75" s="156" t="str">
        <f aca="false">IF($B75="","",L75+K75-M75)</f>
        <v/>
      </c>
      <c r="O75" s="153" t="str">
        <f aca="false">IF($B75="","",IF(E75&gt;0,N75/E75,0))</f>
        <v/>
      </c>
      <c r="P75" s="102" t="str">
        <f aca="false">IF($B75="","",IF(AND(D75="لا",N75&lt;&gt;0),"⚠ غير مستحق وله رصيد",IF(N75&lt;-0.01,"✖ استخدام أكثر من المكوّن",IF(AND(D75="نعم",O75&gt;=1),"⚠ تذكرة مستحقة للصرف","✔ سليم"))))</f>
        <v/>
      </c>
    </row>
    <row r="76" customFormat="false" ht="15" hidden="false" customHeight="false" outlineLevel="0" collapsed="false">
      <c r="B76" s="80" t="str">
        <f aca="false">IF(الموظفون!$B76="","",الموظفون!$B76)</f>
        <v/>
      </c>
      <c r="C76" s="80" t="str">
        <f aca="false">IF($B76="","",الموظفون!$C76)</f>
        <v/>
      </c>
      <c r="D76" s="80" t="str">
        <f aca="false">IF($B76="","",IF(الموظفون!$U76="نعم","نعم","لا"))</f>
        <v/>
      </c>
      <c r="E76" s="97" t="str">
        <f aca="false">IF($B76="","",N(الموظفون!$V76))</f>
        <v/>
      </c>
      <c r="F76" s="57" t="str">
        <f aca="false">IF($B76="","",N(الموظفون!$W76))</f>
        <v/>
      </c>
      <c r="G76" s="97" t="str">
        <f aca="false">IF($B76="","",IF(AND(D76="نعم",F76&gt;0),E76/F76,0))</f>
        <v/>
      </c>
      <c r="H76" s="147" t="str">
        <f aca="false">IF($B76="","",MAX(cfg_Y_START,الموظفون!$H76))</f>
        <v/>
      </c>
      <c r="I76" s="147" t="str">
        <f aca="false">IF($B76="","",IF(OR(الموظفون!$AE76="",الموظفون!$AE76&gt;cfg_VAL_DATE),cfg_VAL_DATE,الموظفون!$AE76))</f>
        <v/>
      </c>
      <c r="J76" s="57" t="str">
        <f aca="false">IF($B76="","",MAX(0,MAX(0,I76-H76+1)-(SUMIFS('سجل الإجازات والحالات'!$S$6:$S$505,'سجل الإجازات والحالات'!$B$6:$B$505,$B76)-SUMIFS('سجل الإجازات والحالات'!$R$6:$R$505,'سجل الإجازات والحالات'!$B$6:$B$505,$B76))))</f>
        <v/>
      </c>
      <c r="K76" s="97" t="str">
        <f aca="false">IF($B76="","",G76*12/cfg_DAYS_Y*J76)</f>
        <v/>
      </c>
      <c r="L76" s="97" t="str">
        <f aca="false">IF($B76="","",N(الموظفون!$AD76))</f>
        <v/>
      </c>
      <c r="M76" s="97" t="str">
        <f aca="false">IF($B76="","",SUMIFS('الحركات الشهرية'!$M$6:$M$1005,'الحركات الشهرية'!$B$6:$B$1005,B76,'الحركات الشهرية'!$A$6:$A$1005,"&lt;="&amp;cfg_VAL_M))</f>
        <v/>
      </c>
      <c r="N76" s="155" t="str">
        <f aca="false">IF($B76="","",L76+K76-M76)</f>
        <v/>
      </c>
      <c r="O76" s="152" t="str">
        <f aca="false">IF($B76="","",IF(E76&gt;0,N76/E76,0))</f>
        <v/>
      </c>
      <c r="P76" s="80" t="str">
        <f aca="false">IF($B76="","",IF(AND(D76="لا",N76&lt;&gt;0),"⚠ غير مستحق وله رصيد",IF(N76&lt;-0.01,"✖ استخدام أكثر من المكوّن",IF(AND(D76="نعم",O76&gt;=1),"⚠ تذكرة مستحقة للصرف","✔ سليم"))))</f>
        <v/>
      </c>
    </row>
    <row r="77" customFormat="false" ht="15" hidden="false" customHeight="false" outlineLevel="0" collapsed="false">
      <c r="B77" s="102" t="str">
        <f aca="false">IF(الموظفون!$B77="","",الموظفون!$B77)</f>
        <v/>
      </c>
      <c r="C77" s="102" t="str">
        <f aca="false">IF($B77="","",الموظفون!$C77)</f>
        <v/>
      </c>
      <c r="D77" s="102" t="str">
        <f aca="false">IF($B77="","",IF(الموظفون!$U77="نعم","نعم","لا"))</f>
        <v/>
      </c>
      <c r="E77" s="101" t="str">
        <f aca="false">IF($B77="","",N(الموظفون!$V77))</f>
        <v/>
      </c>
      <c r="F77" s="110" t="str">
        <f aca="false">IF($B77="","",N(الموظفون!$W77))</f>
        <v/>
      </c>
      <c r="G77" s="101" t="str">
        <f aca="false">IF($B77="","",IF(AND(D77="نعم",F77&gt;0),E77/F77,0))</f>
        <v/>
      </c>
      <c r="H77" s="148" t="str">
        <f aca="false">IF($B77="","",MAX(cfg_Y_START,الموظفون!$H77))</f>
        <v/>
      </c>
      <c r="I77" s="148" t="str">
        <f aca="false">IF($B77="","",IF(OR(الموظفون!$AE77="",الموظفون!$AE77&gt;cfg_VAL_DATE),cfg_VAL_DATE,الموظفون!$AE77))</f>
        <v/>
      </c>
      <c r="J77" s="110" t="str">
        <f aca="false">IF($B77="","",MAX(0,MAX(0,I77-H77+1)-(SUMIFS('سجل الإجازات والحالات'!$S$6:$S$505,'سجل الإجازات والحالات'!$B$6:$B$505,$B77)-SUMIFS('سجل الإجازات والحالات'!$R$6:$R$505,'سجل الإجازات والحالات'!$B$6:$B$505,$B77))))</f>
        <v/>
      </c>
      <c r="K77" s="101" t="str">
        <f aca="false">IF($B77="","",G77*12/cfg_DAYS_Y*J77)</f>
        <v/>
      </c>
      <c r="L77" s="101" t="str">
        <f aca="false">IF($B77="","",N(الموظفون!$AD77))</f>
        <v/>
      </c>
      <c r="M77" s="101" t="str">
        <f aca="false">IF($B77="","",SUMIFS('الحركات الشهرية'!$M$6:$M$1005,'الحركات الشهرية'!$B$6:$B$1005,B77,'الحركات الشهرية'!$A$6:$A$1005,"&lt;="&amp;cfg_VAL_M))</f>
        <v/>
      </c>
      <c r="N77" s="156" t="str">
        <f aca="false">IF($B77="","",L77+K77-M77)</f>
        <v/>
      </c>
      <c r="O77" s="153" t="str">
        <f aca="false">IF($B77="","",IF(E77&gt;0,N77/E77,0))</f>
        <v/>
      </c>
      <c r="P77" s="102" t="str">
        <f aca="false">IF($B77="","",IF(AND(D77="لا",N77&lt;&gt;0),"⚠ غير مستحق وله رصيد",IF(N77&lt;-0.01,"✖ استخدام أكثر من المكوّن",IF(AND(D77="نعم",O77&gt;=1),"⚠ تذكرة مستحقة للصرف","✔ سليم"))))</f>
        <v/>
      </c>
    </row>
    <row r="78" customFormat="false" ht="15" hidden="false" customHeight="false" outlineLevel="0" collapsed="false">
      <c r="B78" s="80" t="str">
        <f aca="false">IF(الموظفون!$B78="","",الموظفون!$B78)</f>
        <v/>
      </c>
      <c r="C78" s="80" t="str">
        <f aca="false">IF($B78="","",الموظفون!$C78)</f>
        <v/>
      </c>
      <c r="D78" s="80" t="str">
        <f aca="false">IF($B78="","",IF(الموظفون!$U78="نعم","نعم","لا"))</f>
        <v/>
      </c>
      <c r="E78" s="97" t="str">
        <f aca="false">IF($B78="","",N(الموظفون!$V78))</f>
        <v/>
      </c>
      <c r="F78" s="57" t="str">
        <f aca="false">IF($B78="","",N(الموظفون!$W78))</f>
        <v/>
      </c>
      <c r="G78" s="97" t="str">
        <f aca="false">IF($B78="","",IF(AND(D78="نعم",F78&gt;0),E78/F78,0))</f>
        <v/>
      </c>
      <c r="H78" s="147" t="str">
        <f aca="false">IF($B78="","",MAX(cfg_Y_START,الموظفون!$H78))</f>
        <v/>
      </c>
      <c r="I78" s="147" t="str">
        <f aca="false">IF($B78="","",IF(OR(الموظفون!$AE78="",الموظفون!$AE78&gt;cfg_VAL_DATE),cfg_VAL_DATE,الموظفون!$AE78))</f>
        <v/>
      </c>
      <c r="J78" s="57" t="str">
        <f aca="false">IF($B78="","",MAX(0,MAX(0,I78-H78+1)-(SUMIFS('سجل الإجازات والحالات'!$S$6:$S$505,'سجل الإجازات والحالات'!$B$6:$B$505,$B78)-SUMIFS('سجل الإجازات والحالات'!$R$6:$R$505,'سجل الإجازات والحالات'!$B$6:$B$505,$B78))))</f>
        <v/>
      </c>
      <c r="K78" s="97" t="str">
        <f aca="false">IF($B78="","",G78*12/cfg_DAYS_Y*J78)</f>
        <v/>
      </c>
      <c r="L78" s="97" t="str">
        <f aca="false">IF($B78="","",N(الموظفون!$AD78))</f>
        <v/>
      </c>
      <c r="M78" s="97" t="str">
        <f aca="false">IF($B78="","",SUMIFS('الحركات الشهرية'!$M$6:$M$1005,'الحركات الشهرية'!$B$6:$B$1005,B78,'الحركات الشهرية'!$A$6:$A$1005,"&lt;="&amp;cfg_VAL_M))</f>
        <v/>
      </c>
      <c r="N78" s="155" t="str">
        <f aca="false">IF($B78="","",L78+K78-M78)</f>
        <v/>
      </c>
      <c r="O78" s="152" t="str">
        <f aca="false">IF($B78="","",IF(E78&gt;0,N78/E78,0))</f>
        <v/>
      </c>
      <c r="P78" s="80" t="str">
        <f aca="false">IF($B78="","",IF(AND(D78="لا",N78&lt;&gt;0),"⚠ غير مستحق وله رصيد",IF(N78&lt;-0.01,"✖ استخدام أكثر من المكوّن",IF(AND(D78="نعم",O78&gt;=1),"⚠ تذكرة مستحقة للصرف","✔ سليم"))))</f>
        <v/>
      </c>
    </row>
    <row r="79" customFormat="false" ht="15" hidden="false" customHeight="false" outlineLevel="0" collapsed="false">
      <c r="B79" s="102" t="str">
        <f aca="false">IF(الموظفون!$B79="","",الموظفون!$B79)</f>
        <v/>
      </c>
      <c r="C79" s="102" t="str">
        <f aca="false">IF($B79="","",الموظفون!$C79)</f>
        <v/>
      </c>
      <c r="D79" s="102" t="str">
        <f aca="false">IF($B79="","",IF(الموظفون!$U79="نعم","نعم","لا"))</f>
        <v/>
      </c>
      <c r="E79" s="101" t="str">
        <f aca="false">IF($B79="","",N(الموظفون!$V79))</f>
        <v/>
      </c>
      <c r="F79" s="110" t="str">
        <f aca="false">IF($B79="","",N(الموظفون!$W79))</f>
        <v/>
      </c>
      <c r="G79" s="101" t="str">
        <f aca="false">IF($B79="","",IF(AND(D79="نعم",F79&gt;0),E79/F79,0))</f>
        <v/>
      </c>
      <c r="H79" s="148" t="str">
        <f aca="false">IF($B79="","",MAX(cfg_Y_START,الموظفون!$H79))</f>
        <v/>
      </c>
      <c r="I79" s="148" t="str">
        <f aca="false">IF($B79="","",IF(OR(الموظفون!$AE79="",الموظفون!$AE79&gt;cfg_VAL_DATE),cfg_VAL_DATE,الموظفون!$AE79))</f>
        <v/>
      </c>
      <c r="J79" s="110" t="str">
        <f aca="false">IF($B79="","",MAX(0,MAX(0,I79-H79+1)-(SUMIFS('سجل الإجازات والحالات'!$S$6:$S$505,'سجل الإجازات والحالات'!$B$6:$B$505,$B79)-SUMIFS('سجل الإجازات والحالات'!$R$6:$R$505,'سجل الإجازات والحالات'!$B$6:$B$505,$B79))))</f>
        <v/>
      </c>
      <c r="K79" s="101" t="str">
        <f aca="false">IF($B79="","",G79*12/cfg_DAYS_Y*J79)</f>
        <v/>
      </c>
      <c r="L79" s="101" t="str">
        <f aca="false">IF($B79="","",N(الموظفون!$AD79))</f>
        <v/>
      </c>
      <c r="M79" s="101" t="str">
        <f aca="false">IF($B79="","",SUMIFS('الحركات الشهرية'!$M$6:$M$1005,'الحركات الشهرية'!$B$6:$B$1005,B79,'الحركات الشهرية'!$A$6:$A$1005,"&lt;="&amp;cfg_VAL_M))</f>
        <v/>
      </c>
      <c r="N79" s="156" t="str">
        <f aca="false">IF($B79="","",L79+K79-M79)</f>
        <v/>
      </c>
      <c r="O79" s="153" t="str">
        <f aca="false">IF($B79="","",IF(E79&gt;0,N79/E79,0))</f>
        <v/>
      </c>
      <c r="P79" s="102" t="str">
        <f aca="false">IF($B79="","",IF(AND(D79="لا",N79&lt;&gt;0),"⚠ غير مستحق وله رصيد",IF(N79&lt;-0.01,"✖ استخدام أكثر من المكوّن",IF(AND(D79="نعم",O79&gt;=1),"⚠ تذكرة مستحقة للصرف","✔ سليم"))))</f>
        <v/>
      </c>
    </row>
    <row r="80" customFormat="false" ht="15" hidden="false" customHeight="false" outlineLevel="0" collapsed="false">
      <c r="B80" s="80" t="str">
        <f aca="false">IF(الموظفون!$B80="","",الموظفون!$B80)</f>
        <v/>
      </c>
      <c r="C80" s="80" t="str">
        <f aca="false">IF($B80="","",الموظفون!$C80)</f>
        <v/>
      </c>
      <c r="D80" s="80" t="str">
        <f aca="false">IF($B80="","",IF(الموظفون!$U80="نعم","نعم","لا"))</f>
        <v/>
      </c>
      <c r="E80" s="97" t="str">
        <f aca="false">IF($B80="","",N(الموظفون!$V80))</f>
        <v/>
      </c>
      <c r="F80" s="57" t="str">
        <f aca="false">IF($B80="","",N(الموظفون!$W80))</f>
        <v/>
      </c>
      <c r="G80" s="97" t="str">
        <f aca="false">IF($B80="","",IF(AND(D80="نعم",F80&gt;0),E80/F80,0))</f>
        <v/>
      </c>
      <c r="H80" s="147" t="str">
        <f aca="false">IF($B80="","",MAX(cfg_Y_START,الموظفون!$H80))</f>
        <v/>
      </c>
      <c r="I80" s="147" t="str">
        <f aca="false">IF($B80="","",IF(OR(الموظفون!$AE80="",الموظفون!$AE80&gt;cfg_VAL_DATE),cfg_VAL_DATE,الموظفون!$AE80))</f>
        <v/>
      </c>
      <c r="J80" s="57" t="str">
        <f aca="false">IF($B80="","",MAX(0,MAX(0,I80-H80+1)-(SUMIFS('سجل الإجازات والحالات'!$S$6:$S$505,'سجل الإجازات والحالات'!$B$6:$B$505,$B80)-SUMIFS('سجل الإجازات والحالات'!$R$6:$R$505,'سجل الإجازات والحالات'!$B$6:$B$505,$B80))))</f>
        <v/>
      </c>
      <c r="K80" s="97" t="str">
        <f aca="false">IF($B80="","",G80*12/cfg_DAYS_Y*J80)</f>
        <v/>
      </c>
      <c r="L80" s="97" t="str">
        <f aca="false">IF($B80="","",N(الموظفون!$AD80))</f>
        <v/>
      </c>
      <c r="M80" s="97" t="str">
        <f aca="false">IF($B80="","",SUMIFS('الحركات الشهرية'!$M$6:$M$1005,'الحركات الشهرية'!$B$6:$B$1005,B80,'الحركات الشهرية'!$A$6:$A$1005,"&lt;="&amp;cfg_VAL_M))</f>
        <v/>
      </c>
      <c r="N80" s="155" t="str">
        <f aca="false">IF($B80="","",L80+K80-M80)</f>
        <v/>
      </c>
      <c r="O80" s="152" t="str">
        <f aca="false">IF($B80="","",IF(E80&gt;0,N80/E80,0))</f>
        <v/>
      </c>
      <c r="P80" s="80" t="str">
        <f aca="false">IF($B80="","",IF(AND(D80="لا",N80&lt;&gt;0),"⚠ غير مستحق وله رصيد",IF(N80&lt;-0.01,"✖ استخدام أكثر من المكوّن",IF(AND(D80="نعم",O80&gt;=1),"⚠ تذكرة مستحقة للصرف","✔ سليم"))))</f>
        <v/>
      </c>
    </row>
    <row r="81" customFormat="false" ht="15" hidden="false" customHeight="false" outlineLevel="0" collapsed="false">
      <c r="B81" s="102" t="str">
        <f aca="false">IF(الموظفون!$B81="","",الموظفون!$B81)</f>
        <v/>
      </c>
      <c r="C81" s="102" t="str">
        <f aca="false">IF($B81="","",الموظفون!$C81)</f>
        <v/>
      </c>
      <c r="D81" s="102" t="str">
        <f aca="false">IF($B81="","",IF(الموظفون!$U81="نعم","نعم","لا"))</f>
        <v/>
      </c>
      <c r="E81" s="101" t="str">
        <f aca="false">IF($B81="","",N(الموظفون!$V81))</f>
        <v/>
      </c>
      <c r="F81" s="110" t="str">
        <f aca="false">IF($B81="","",N(الموظفون!$W81))</f>
        <v/>
      </c>
      <c r="G81" s="101" t="str">
        <f aca="false">IF($B81="","",IF(AND(D81="نعم",F81&gt;0),E81/F81,0))</f>
        <v/>
      </c>
      <c r="H81" s="148" t="str">
        <f aca="false">IF($B81="","",MAX(cfg_Y_START,الموظفون!$H81))</f>
        <v/>
      </c>
      <c r="I81" s="148" t="str">
        <f aca="false">IF($B81="","",IF(OR(الموظفون!$AE81="",الموظفون!$AE81&gt;cfg_VAL_DATE),cfg_VAL_DATE,الموظفون!$AE81))</f>
        <v/>
      </c>
      <c r="J81" s="110" t="str">
        <f aca="false">IF($B81="","",MAX(0,MAX(0,I81-H81+1)-(SUMIFS('سجل الإجازات والحالات'!$S$6:$S$505,'سجل الإجازات والحالات'!$B$6:$B$505,$B81)-SUMIFS('سجل الإجازات والحالات'!$R$6:$R$505,'سجل الإجازات والحالات'!$B$6:$B$505,$B81))))</f>
        <v/>
      </c>
      <c r="K81" s="101" t="str">
        <f aca="false">IF($B81="","",G81*12/cfg_DAYS_Y*J81)</f>
        <v/>
      </c>
      <c r="L81" s="101" t="str">
        <f aca="false">IF($B81="","",N(الموظفون!$AD81))</f>
        <v/>
      </c>
      <c r="M81" s="101" t="str">
        <f aca="false">IF($B81="","",SUMIFS('الحركات الشهرية'!$M$6:$M$1005,'الحركات الشهرية'!$B$6:$B$1005,B81,'الحركات الشهرية'!$A$6:$A$1005,"&lt;="&amp;cfg_VAL_M))</f>
        <v/>
      </c>
      <c r="N81" s="156" t="str">
        <f aca="false">IF($B81="","",L81+K81-M81)</f>
        <v/>
      </c>
      <c r="O81" s="153" t="str">
        <f aca="false">IF($B81="","",IF(E81&gt;0,N81/E81,0))</f>
        <v/>
      </c>
      <c r="P81" s="102" t="str">
        <f aca="false">IF($B81="","",IF(AND(D81="لا",N81&lt;&gt;0),"⚠ غير مستحق وله رصيد",IF(N81&lt;-0.01,"✖ استخدام أكثر من المكوّن",IF(AND(D81="نعم",O81&gt;=1),"⚠ تذكرة مستحقة للصرف","✔ سليم"))))</f>
        <v/>
      </c>
    </row>
    <row r="82" customFormat="false" ht="15" hidden="false" customHeight="false" outlineLevel="0" collapsed="false">
      <c r="B82" s="80" t="str">
        <f aca="false">IF(الموظفون!$B82="","",الموظفون!$B82)</f>
        <v/>
      </c>
      <c r="C82" s="80" t="str">
        <f aca="false">IF($B82="","",الموظفون!$C82)</f>
        <v/>
      </c>
      <c r="D82" s="80" t="str">
        <f aca="false">IF($B82="","",IF(الموظفون!$U82="نعم","نعم","لا"))</f>
        <v/>
      </c>
      <c r="E82" s="97" t="str">
        <f aca="false">IF($B82="","",N(الموظفون!$V82))</f>
        <v/>
      </c>
      <c r="F82" s="57" t="str">
        <f aca="false">IF($B82="","",N(الموظفون!$W82))</f>
        <v/>
      </c>
      <c r="G82" s="97" t="str">
        <f aca="false">IF($B82="","",IF(AND(D82="نعم",F82&gt;0),E82/F82,0))</f>
        <v/>
      </c>
      <c r="H82" s="147" t="str">
        <f aca="false">IF($B82="","",MAX(cfg_Y_START,الموظفون!$H82))</f>
        <v/>
      </c>
      <c r="I82" s="147" t="str">
        <f aca="false">IF($B82="","",IF(OR(الموظفون!$AE82="",الموظفون!$AE82&gt;cfg_VAL_DATE),cfg_VAL_DATE,الموظفون!$AE82))</f>
        <v/>
      </c>
      <c r="J82" s="57" t="str">
        <f aca="false">IF($B82="","",MAX(0,MAX(0,I82-H82+1)-(SUMIFS('سجل الإجازات والحالات'!$S$6:$S$505,'سجل الإجازات والحالات'!$B$6:$B$505,$B82)-SUMIFS('سجل الإجازات والحالات'!$R$6:$R$505,'سجل الإجازات والحالات'!$B$6:$B$505,$B82))))</f>
        <v/>
      </c>
      <c r="K82" s="97" t="str">
        <f aca="false">IF($B82="","",G82*12/cfg_DAYS_Y*J82)</f>
        <v/>
      </c>
      <c r="L82" s="97" t="str">
        <f aca="false">IF($B82="","",N(الموظفون!$AD82))</f>
        <v/>
      </c>
      <c r="M82" s="97" t="str">
        <f aca="false">IF($B82="","",SUMIFS('الحركات الشهرية'!$M$6:$M$1005,'الحركات الشهرية'!$B$6:$B$1005,B82,'الحركات الشهرية'!$A$6:$A$1005,"&lt;="&amp;cfg_VAL_M))</f>
        <v/>
      </c>
      <c r="N82" s="155" t="str">
        <f aca="false">IF($B82="","",L82+K82-M82)</f>
        <v/>
      </c>
      <c r="O82" s="152" t="str">
        <f aca="false">IF($B82="","",IF(E82&gt;0,N82/E82,0))</f>
        <v/>
      </c>
      <c r="P82" s="80" t="str">
        <f aca="false">IF($B82="","",IF(AND(D82="لا",N82&lt;&gt;0),"⚠ غير مستحق وله رصيد",IF(N82&lt;-0.01,"✖ استخدام أكثر من المكوّن",IF(AND(D82="نعم",O82&gt;=1),"⚠ تذكرة مستحقة للصرف","✔ سليم"))))</f>
        <v/>
      </c>
    </row>
    <row r="83" customFormat="false" ht="15" hidden="false" customHeight="false" outlineLevel="0" collapsed="false">
      <c r="B83" s="102" t="str">
        <f aca="false">IF(الموظفون!$B83="","",الموظفون!$B83)</f>
        <v/>
      </c>
      <c r="C83" s="102" t="str">
        <f aca="false">IF($B83="","",الموظفون!$C83)</f>
        <v/>
      </c>
      <c r="D83" s="102" t="str">
        <f aca="false">IF($B83="","",IF(الموظفون!$U83="نعم","نعم","لا"))</f>
        <v/>
      </c>
      <c r="E83" s="101" t="str">
        <f aca="false">IF($B83="","",N(الموظفون!$V83))</f>
        <v/>
      </c>
      <c r="F83" s="110" t="str">
        <f aca="false">IF($B83="","",N(الموظفون!$W83))</f>
        <v/>
      </c>
      <c r="G83" s="101" t="str">
        <f aca="false">IF($B83="","",IF(AND(D83="نعم",F83&gt;0),E83/F83,0))</f>
        <v/>
      </c>
      <c r="H83" s="148" t="str">
        <f aca="false">IF($B83="","",MAX(cfg_Y_START,الموظفون!$H83))</f>
        <v/>
      </c>
      <c r="I83" s="148" t="str">
        <f aca="false">IF($B83="","",IF(OR(الموظفون!$AE83="",الموظفون!$AE83&gt;cfg_VAL_DATE),cfg_VAL_DATE,الموظفون!$AE83))</f>
        <v/>
      </c>
      <c r="J83" s="110" t="str">
        <f aca="false">IF($B83="","",MAX(0,MAX(0,I83-H83+1)-(SUMIFS('سجل الإجازات والحالات'!$S$6:$S$505,'سجل الإجازات والحالات'!$B$6:$B$505,$B83)-SUMIFS('سجل الإجازات والحالات'!$R$6:$R$505,'سجل الإجازات والحالات'!$B$6:$B$505,$B83))))</f>
        <v/>
      </c>
      <c r="K83" s="101" t="str">
        <f aca="false">IF($B83="","",G83*12/cfg_DAYS_Y*J83)</f>
        <v/>
      </c>
      <c r="L83" s="101" t="str">
        <f aca="false">IF($B83="","",N(الموظفون!$AD83))</f>
        <v/>
      </c>
      <c r="M83" s="101" t="str">
        <f aca="false">IF($B83="","",SUMIFS('الحركات الشهرية'!$M$6:$M$1005,'الحركات الشهرية'!$B$6:$B$1005,B83,'الحركات الشهرية'!$A$6:$A$1005,"&lt;="&amp;cfg_VAL_M))</f>
        <v/>
      </c>
      <c r="N83" s="156" t="str">
        <f aca="false">IF($B83="","",L83+K83-M83)</f>
        <v/>
      </c>
      <c r="O83" s="153" t="str">
        <f aca="false">IF($B83="","",IF(E83&gt;0,N83/E83,0))</f>
        <v/>
      </c>
      <c r="P83" s="102" t="str">
        <f aca="false">IF($B83="","",IF(AND(D83="لا",N83&lt;&gt;0),"⚠ غير مستحق وله رصيد",IF(N83&lt;-0.01,"✖ استخدام أكثر من المكوّن",IF(AND(D83="نعم",O83&gt;=1),"⚠ تذكرة مستحقة للصرف","✔ سليم"))))</f>
        <v/>
      </c>
    </row>
    <row r="84" customFormat="false" ht="15" hidden="false" customHeight="false" outlineLevel="0" collapsed="false">
      <c r="B84" s="80" t="str">
        <f aca="false">IF(الموظفون!$B84="","",الموظفون!$B84)</f>
        <v/>
      </c>
      <c r="C84" s="80" t="str">
        <f aca="false">IF($B84="","",الموظفون!$C84)</f>
        <v/>
      </c>
      <c r="D84" s="80" t="str">
        <f aca="false">IF($B84="","",IF(الموظفون!$U84="نعم","نعم","لا"))</f>
        <v/>
      </c>
      <c r="E84" s="97" t="str">
        <f aca="false">IF($B84="","",N(الموظفون!$V84))</f>
        <v/>
      </c>
      <c r="F84" s="57" t="str">
        <f aca="false">IF($B84="","",N(الموظفون!$W84))</f>
        <v/>
      </c>
      <c r="G84" s="97" t="str">
        <f aca="false">IF($B84="","",IF(AND(D84="نعم",F84&gt;0),E84/F84,0))</f>
        <v/>
      </c>
      <c r="H84" s="147" t="str">
        <f aca="false">IF($B84="","",MAX(cfg_Y_START,الموظفون!$H84))</f>
        <v/>
      </c>
      <c r="I84" s="147" t="str">
        <f aca="false">IF($B84="","",IF(OR(الموظفون!$AE84="",الموظفون!$AE84&gt;cfg_VAL_DATE),cfg_VAL_DATE,الموظفون!$AE84))</f>
        <v/>
      </c>
      <c r="J84" s="57" t="str">
        <f aca="false">IF($B84="","",MAX(0,MAX(0,I84-H84+1)-(SUMIFS('سجل الإجازات والحالات'!$S$6:$S$505,'سجل الإجازات والحالات'!$B$6:$B$505,$B84)-SUMIFS('سجل الإجازات والحالات'!$R$6:$R$505,'سجل الإجازات والحالات'!$B$6:$B$505,$B84))))</f>
        <v/>
      </c>
      <c r="K84" s="97" t="str">
        <f aca="false">IF($B84="","",G84*12/cfg_DAYS_Y*J84)</f>
        <v/>
      </c>
      <c r="L84" s="97" t="str">
        <f aca="false">IF($B84="","",N(الموظفون!$AD84))</f>
        <v/>
      </c>
      <c r="M84" s="97" t="str">
        <f aca="false">IF($B84="","",SUMIFS('الحركات الشهرية'!$M$6:$M$1005,'الحركات الشهرية'!$B$6:$B$1005,B84,'الحركات الشهرية'!$A$6:$A$1005,"&lt;="&amp;cfg_VAL_M))</f>
        <v/>
      </c>
      <c r="N84" s="155" t="str">
        <f aca="false">IF($B84="","",L84+K84-M84)</f>
        <v/>
      </c>
      <c r="O84" s="152" t="str">
        <f aca="false">IF($B84="","",IF(E84&gt;0,N84/E84,0))</f>
        <v/>
      </c>
      <c r="P84" s="80" t="str">
        <f aca="false">IF($B84="","",IF(AND(D84="لا",N84&lt;&gt;0),"⚠ غير مستحق وله رصيد",IF(N84&lt;-0.01,"✖ استخدام أكثر من المكوّن",IF(AND(D84="نعم",O84&gt;=1),"⚠ تذكرة مستحقة للصرف","✔ سليم"))))</f>
        <v/>
      </c>
    </row>
    <row r="85" customFormat="false" ht="15" hidden="false" customHeight="false" outlineLevel="0" collapsed="false">
      <c r="B85" s="102" t="str">
        <f aca="false">IF(الموظفون!$B85="","",الموظفون!$B85)</f>
        <v/>
      </c>
      <c r="C85" s="102" t="str">
        <f aca="false">IF($B85="","",الموظفون!$C85)</f>
        <v/>
      </c>
      <c r="D85" s="102" t="str">
        <f aca="false">IF($B85="","",IF(الموظفون!$U85="نعم","نعم","لا"))</f>
        <v/>
      </c>
      <c r="E85" s="101" t="str">
        <f aca="false">IF($B85="","",N(الموظفون!$V85))</f>
        <v/>
      </c>
      <c r="F85" s="110" t="str">
        <f aca="false">IF($B85="","",N(الموظفون!$W85))</f>
        <v/>
      </c>
      <c r="G85" s="101" t="str">
        <f aca="false">IF($B85="","",IF(AND(D85="نعم",F85&gt;0),E85/F85,0))</f>
        <v/>
      </c>
      <c r="H85" s="148" t="str">
        <f aca="false">IF($B85="","",MAX(cfg_Y_START,الموظفون!$H85))</f>
        <v/>
      </c>
      <c r="I85" s="148" t="str">
        <f aca="false">IF($B85="","",IF(OR(الموظفون!$AE85="",الموظفون!$AE85&gt;cfg_VAL_DATE),cfg_VAL_DATE,الموظفون!$AE85))</f>
        <v/>
      </c>
      <c r="J85" s="110" t="str">
        <f aca="false">IF($B85="","",MAX(0,MAX(0,I85-H85+1)-(SUMIFS('سجل الإجازات والحالات'!$S$6:$S$505,'سجل الإجازات والحالات'!$B$6:$B$505,$B85)-SUMIFS('سجل الإجازات والحالات'!$R$6:$R$505,'سجل الإجازات والحالات'!$B$6:$B$505,$B85))))</f>
        <v/>
      </c>
      <c r="K85" s="101" t="str">
        <f aca="false">IF($B85="","",G85*12/cfg_DAYS_Y*J85)</f>
        <v/>
      </c>
      <c r="L85" s="101" t="str">
        <f aca="false">IF($B85="","",N(الموظفون!$AD85))</f>
        <v/>
      </c>
      <c r="M85" s="101" t="str">
        <f aca="false">IF($B85="","",SUMIFS('الحركات الشهرية'!$M$6:$M$1005,'الحركات الشهرية'!$B$6:$B$1005,B85,'الحركات الشهرية'!$A$6:$A$1005,"&lt;="&amp;cfg_VAL_M))</f>
        <v/>
      </c>
      <c r="N85" s="156" t="str">
        <f aca="false">IF($B85="","",L85+K85-M85)</f>
        <v/>
      </c>
      <c r="O85" s="153" t="str">
        <f aca="false">IF($B85="","",IF(E85&gt;0,N85/E85,0))</f>
        <v/>
      </c>
      <c r="P85" s="102" t="str">
        <f aca="false">IF($B85="","",IF(AND(D85="لا",N85&lt;&gt;0),"⚠ غير مستحق وله رصيد",IF(N85&lt;-0.01,"✖ استخدام أكثر من المكوّن",IF(AND(D85="نعم",O85&gt;=1),"⚠ تذكرة مستحقة للصرف","✔ سليم"))))</f>
        <v/>
      </c>
    </row>
    <row r="86" customFormat="false" ht="15" hidden="false" customHeight="false" outlineLevel="0" collapsed="false">
      <c r="B86" s="80" t="str">
        <f aca="false">IF(الموظفون!$B86="","",الموظفون!$B86)</f>
        <v/>
      </c>
      <c r="C86" s="80" t="str">
        <f aca="false">IF($B86="","",الموظفون!$C86)</f>
        <v/>
      </c>
      <c r="D86" s="80" t="str">
        <f aca="false">IF($B86="","",IF(الموظفون!$U86="نعم","نعم","لا"))</f>
        <v/>
      </c>
      <c r="E86" s="97" t="str">
        <f aca="false">IF($B86="","",N(الموظفون!$V86))</f>
        <v/>
      </c>
      <c r="F86" s="57" t="str">
        <f aca="false">IF($B86="","",N(الموظفون!$W86))</f>
        <v/>
      </c>
      <c r="G86" s="97" t="str">
        <f aca="false">IF($B86="","",IF(AND(D86="نعم",F86&gt;0),E86/F86,0))</f>
        <v/>
      </c>
      <c r="H86" s="147" t="str">
        <f aca="false">IF($B86="","",MAX(cfg_Y_START,الموظفون!$H86))</f>
        <v/>
      </c>
      <c r="I86" s="147" t="str">
        <f aca="false">IF($B86="","",IF(OR(الموظفون!$AE86="",الموظفون!$AE86&gt;cfg_VAL_DATE),cfg_VAL_DATE,الموظفون!$AE86))</f>
        <v/>
      </c>
      <c r="J86" s="57" t="str">
        <f aca="false">IF($B86="","",MAX(0,MAX(0,I86-H86+1)-(SUMIFS('سجل الإجازات والحالات'!$S$6:$S$505,'سجل الإجازات والحالات'!$B$6:$B$505,$B86)-SUMIFS('سجل الإجازات والحالات'!$R$6:$R$505,'سجل الإجازات والحالات'!$B$6:$B$505,$B86))))</f>
        <v/>
      </c>
      <c r="K86" s="97" t="str">
        <f aca="false">IF($B86="","",G86*12/cfg_DAYS_Y*J86)</f>
        <v/>
      </c>
      <c r="L86" s="97" t="str">
        <f aca="false">IF($B86="","",N(الموظفون!$AD86))</f>
        <v/>
      </c>
      <c r="M86" s="97" t="str">
        <f aca="false">IF($B86="","",SUMIFS('الحركات الشهرية'!$M$6:$M$1005,'الحركات الشهرية'!$B$6:$B$1005,B86,'الحركات الشهرية'!$A$6:$A$1005,"&lt;="&amp;cfg_VAL_M))</f>
        <v/>
      </c>
      <c r="N86" s="155" t="str">
        <f aca="false">IF($B86="","",L86+K86-M86)</f>
        <v/>
      </c>
      <c r="O86" s="152" t="str">
        <f aca="false">IF($B86="","",IF(E86&gt;0,N86/E86,0))</f>
        <v/>
      </c>
      <c r="P86" s="80" t="str">
        <f aca="false">IF($B86="","",IF(AND(D86="لا",N86&lt;&gt;0),"⚠ غير مستحق وله رصيد",IF(N86&lt;-0.01,"✖ استخدام أكثر من المكوّن",IF(AND(D86="نعم",O86&gt;=1),"⚠ تذكرة مستحقة للصرف","✔ سليم"))))</f>
        <v/>
      </c>
    </row>
    <row r="87" customFormat="false" ht="15" hidden="false" customHeight="false" outlineLevel="0" collapsed="false">
      <c r="B87" s="102" t="str">
        <f aca="false">IF(الموظفون!$B87="","",الموظفون!$B87)</f>
        <v/>
      </c>
      <c r="C87" s="102" t="str">
        <f aca="false">IF($B87="","",الموظفون!$C87)</f>
        <v/>
      </c>
      <c r="D87" s="102" t="str">
        <f aca="false">IF($B87="","",IF(الموظفون!$U87="نعم","نعم","لا"))</f>
        <v/>
      </c>
      <c r="E87" s="101" t="str">
        <f aca="false">IF($B87="","",N(الموظفون!$V87))</f>
        <v/>
      </c>
      <c r="F87" s="110" t="str">
        <f aca="false">IF($B87="","",N(الموظفون!$W87))</f>
        <v/>
      </c>
      <c r="G87" s="101" t="str">
        <f aca="false">IF($B87="","",IF(AND(D87="نعم",F87&gt;0),E87/F87,0))</f>
        <v/>
      </c>
      <c r="H87" s="148" t="str">
        <f aca="false">IF($B87="","",MAX(cfg_Y_START,الموظفون!$H87))</f>
        <v/>
      </c>
      <c r="I87" s="148" t="str">
        <f aca="false">IF($B87="","",IF(OR(الموظفون!$AE87="",الموظفون!$AE87&gt;cfg_VAL_DATE),cfg_VAL_DATE,الموظفون!$AE87))</f>
        <v/>
      </c>
      <c r="J87" s="110" t="str">
        <f aca="false">IF($B87="","",MAX(0,MAX(0,I87-H87+1)-(SUMIFS('سجل الإجازات والحالات'!$S$6:$S$505,'سجل الإجازات والحالات'!$B$6:$B$505,$B87)-SUMIFS('سجل الإجازات والحالات'!$R$6:$R$505,'سجل الإجازات والحالات'!$B$6:$B$505,$B87))))</f>
        <v/>
      </c>
      <c r="K87" s="101" t="str">
        <f aca="false">IF($B87="","",G87*12/cfg_DAYS_Y*J87)</f>
        <v/>
      </c>
      <c r="L87" s="101" t="str">
        <f aca="false">IF($B87="","",N(الموظفون!$AD87))</f>
        <v/>
      </c>
      <c r="M87" s="101" t="str">
        <f aca="false">IF($B87="","",SUMIFS('الحركات الشهرية'!$M$6:$M$1005,'الحركات الشهرية'!$B$6:$B$1005,B87,'الحركات الشهرية'!$A$6:$A$1005,"&lt;="&amp;cfg_VAL_M))</f>
        <v/>
      </c>
      <c r="N87" s="156" t="str">
        <f aca="false">IF($B87="","",L87+K87-M87)</f>
        <v/>
      </c>
      <c r="O87" s="153" t="str">
        <f aca="false">IF($B87="","",IF(E87&gt;0,N87/E87,0))</f>
        <v/>
      </c>
      <c r="P87" s="102" t="str">
        <f aca="false">IF($B87="","",IF(AND(D87="لا",N87&lt;&gt;0),"⚠ غير مستحق وله رصيد",IF(N87&lt;-0.01,"✖ استخدام أكثر من المكوّن",IF(AND(D87="نعم",O87&gt;=1),"⚠ تذكرة مستحقة للصرف","✔ سليم"))))</f>
        <v/>
      </c>
    </row>
    <row r="88" customFormat="false" ht="15" hidden="false" customHeight="false" outlineLevel="0" collapsed="false">
      <c r="B88" s="80" t="str">
        <f aca="false">IF(الموظفون!$B88="","",الموظفون!$B88)</f>
        <v/>
      </c>
      <c r="C88" s="80" t="str">
        <f aca="false">IF($B88="","",الموظفون!$C88)</f>
        <v/>
      </c>
      <c r="D88" s="80" t="str">
        <f aca="false">IF($B88="","",IF(الموظفون!$U88="نعم","نعم","لا"))</f>
        <v/>
      </c>
      <c r="E88" s="97" t="str">
        <f aca="false">IF($B88="","",N(الموظفون!$V88))</f>
        <v/>
      </c>
      <c r="F88" s="57" t="str">
        <f aca="false">IF($B88="","",N(الموظفون!$W88))</f>
        <v/>
      </c>
      <c r="G88" s="97" t="str">
        <f aca="false">IF($B88="","",IF(AND(D88="نعم",F88&gt;0),E88/F88,0))</f>
        <v/>
      </c>
      <c r="H88" s="147" t="str">
        <f aca="false">IF($B88="","",MAX(cfg_Y_START,الموظفون!$H88))</f>
        <v/>
      </c>
      <c r="I88" s="147" t="str">
        <f aca="false">IF($B88="","",IF(OR(الموظفون!$AE88="",الموظفون!$AE88&gt;cfg_VAL_DATE),cfg_VAL_DATE,الموظفون!$AE88))</f>
        <v/>
      </c>
      <c r="J88" s="57" t="str">
        <f aca="false">IF($B88="","",MAX(0,MAX(0,I88-H88+1)-(SUMIFS('سجل الإجازات والحالات'!$S$6:$S$505,'سجل الإجازات والحالات'!$B$6:$B$505,$B88)-SUMIFS('سجل الإجازات والحالات'!$R$6:$R$505,'سجل الإجازات والحالات'!$B$6:$B$505,$B88))))</f>
        <v/>
      </c>
      <c r="K88" s="97" t="str">
        <f aca="false">IF($B88="","",G88*12/cfg_DAYS_Y*J88)</f>
        <v/>
      </c>
      <c r="L88" s="97" t="str">
        <f aca="false">IF($B88="","",N(الموظفون!$AD88))</f>
        <v/>
      </c>
      <c r="M88" s="97" t="str">
        <f aca="false">IF($B88="","",SUMIFS('الحركات الشهرية'!$M$6:$M$1005,'الحركات الشهرية'!$B$6:$B$1005,B88,'الحركات الشهرية'!$A$6:$A$1005,"&lt;="&amp;cfg_VAL_M))</f>
        <v/>
      </c>
      <c r="N88" s="155" t="str">
        <f aca="false">IF($B88="","",L88+K88-M88)</f>
        <v/>
      </c>
      <c r="O88" s="152" t="str">
        <f aca="false">IF($B88="","",IF(E88&gt;0,N88/E88,0))</f>
        <v/>
      </c>
      <c r="P88" s="80" t="str">
        <f aca="false">IF($B88="","",IF(AND(D88="لا",N88&lt;&gt;0),"⚠ غير مستحق وله رصيد",IF(N88&lt;-0.01,"✖ استخدام أكثر من المكوّن",IF(AND(D88="نعم",O88&gt;=1),"⚠ تذكرة مستحقة للصرف","✔ سليم"))))</f>
        <v/>
      </c>
    </row>
    <row r="89" customFormat="false" ht="15" hidden="false" customHeight="false" outlineLevel="0" collapsed="false">
      <c r="B89" s="102" t="str">
        <f aca="false">IF(الموظفون!$B89="","",الموظفون!$B89)</f>
        <v/>
      </c>
      <c r="C89" s="102" t="str">
        <f aca="false">IF($B89="","",الموظفون!$C89)</f>
        <v/>
      </c>
      <c r="D89" s="102" t="str">
        <f aca="false">IF($B89="","",IF(الموظفون!$U89="نعم","نعم","لا"))</f>
        <v/>
      </c>
      <c r="E89" s="101" t="str">
        <f aca="false">IF($B89="","",N(الموظفون!$V89))</f>
        <v/>
      </c>
      <c r="F89" s="110" t="str">
        <f aca="false">IF($B89="","",N(الموظفون!$W89))</f>
        <v/>
      </c>
      <c r="G89" s="101" t="str">
        <f aca="false">IF($B89="","",IF(AND(D89="نعم",F89&gt;0),E89/F89,0))</f>
        <v/>
      </c>
      <c r="H89" s="148" t="str">
        <f aca="false">IF($B89="","",MAX(cfg_Y_START,الموظفون!$H89))</f>
        <v/>
      </c>
      <c r="I89" s="148" t="str">
        <f aca="false">IF($B89="","",IF(OR(الموظفون!$AE89="",الموظفون!$AE89&gt;cfg_VAL_DATE),cfg_VAL_DATE,الموظفون!$AE89))</f>
        <v/>
      </c>
      <c r="J89" s="110" t="str">
        <f aca="false">IF($B89="","",MAX(0,MAX(0,I89-H89+1)-(SUMIFS('سجل الإجازات والحالات'!$S$6:$S$505,'سجل الإجازات والحالات'!$B$6:$B$505,$B89)-SUMIFS('سجل الإجازات والحالات'!$R$6:$R$505,'سجل الإجازات والحالات'!$B$6:$B$505,$B89))))</f>
        <v/>
      </c>
      <c r="K89" s="101" t="str">
        <f aca="false">IF($B89="","",G89*12/cfg_DAYS_Y*J89)</f>
        <v/>
      </c>
      <c r="L89" s="101" t="str">
        <f aca="false">IF($B89="","",N(الموظفون!$AD89))</f>
        <v/>
      </c>
      <c r="M89" s="101" t="str">
        <f aca="false">IF($B89="","",SUMIFS('الحركات الشهرية'!$M$6:$M$1005,'الحركات الشهرية'!$B$6:$B$1005,B89,'الحركات الشهرية'!$A$6:$A$1005,"&lt;="&amp;cfg_VAL_M))</f>
        <v/>
      </c>
      <c r="N89" s="156" t="str">
        <f aca="false">IF($B89="","",L89+K89-M89)</f>
        <v/>
      </c>
      <c r="O89" s="153" t="str">
        <f aca="false">IF($B89="","",IF(E89&gt;0,N89/E89,0))</f>
        <v/>
      </c>
      <c r="P89" s="102" t="str">
        <f aca="false">IF($B89="","",IF(AND(D89="لا",N89&lt;&gt;0),"⚠ غير مستحق وله رصيد",IF(N89&lt;-0.01,"✖ استخدام أكثر من المكوّن",IF(AND(D89="نعم",O89&gt;=1),"⚠ تذكرة مستحقة للصرف","✔ سليم"))))</f>
        <v/>
      </c>
    </row>
    <row r="90" customFormat="false" ht="15" hidden="false" customHeight="false" outlineLevel="0" collapsed="false">
      <c r="B90" s="80" t="str">
        <f aca="false">IF(الموظفون!$B90="","",الموظفون!$B90)</f>
        <v/>
      </c>
      <c r="C90" s="80" t="str">
        <f aca="false">IF($B90="","",الموظفون!$C90)</f>
        <v/>
      </c>
      <c r="D90" s="80" t="str">
        <f aca="false">IF($B90="","",IF(الموظفون!$U90="نعم","نعم","لا"))</f>
        <v/>
      </c>
      <c r="E90" s="97" t="str">
        <f aca="false">IF($B90="","",N(الموظفون!$V90))</f>
        <v/>
      </c>
      <c r="F90" s="57" t="str">
        <f aca="false">IF($B90="","",N(الموظفون!$W90))</f>
        <v/>
      </c>
      <c r="G90" s="97" t="str">
        <f aca="false">IF($B90="","",IF(AND(D90="نعم",F90&gt;0),E90/F90,0))</f>
        <v/>
      </c>
      <c r="H90" s="147" t="str">
        <f aca="false">IF($B90="","",MAX(cfg_Y_START,الموظفون!$H90))</f>
        <v/>
      </c>
      <c r="I90" s="147" t="str">
        <f aca="false">IF($B90="","",IF(OR(الموظفون!$AE90="",الموظفون!$AE90&gt;cfg_VAL_DATE),cfg_VAL_DATE,الموظفون!$AE90))</f>
        <v/>
      </c>
      <c r="J90" s="57" t="str">
        <f aca="false">IF($B90="","",MAX(0,MAX(0,I90-H90+1)-(SUMIFS('سجل الإجازات والحالات'!$S$6:$S$505,'سجل الإجازات والحالات'!$B$6:$B$505,$B90)-SUMIFS('سجل الإجازات والحالات'!$R$6:$R$505,'سجل الإجازات والحالات'!$B$6:$B$505,$B90))))</f>
        <v/>
      </c>
      <c r="K90" s="97" t="str">
        <f aca="false">IF($B90="","",G90*12/cfg_DAYS_Y*J90)</f>
        <v/>
      </c>
      <c r="L90" s="97" t="str">
        <f aca="false">IF($B90="","",N(الموظفون!$AD90))</f>
        <v/>
      </c>
      <c r="M90" s="97" t="str">
        <f aca="false">IF($B90="","",SUMIFS('الحركات الشهرية'!$M$6:$M$1005,'الحركات الشهرية'!$B$6:$B$1005,B90,'الحركات الشهرية'!$A$6:$A$1005,"&lt;="&amp;cfg_VAL_M))</f>
        <v/>
      </c>
      <c r="N90" s="155" t="str">
        <f aca="false">IF($B90="","",L90+K90-M90)</f>
        <v/>
      </c>
      <c r="O90" s="152" t="str">
        <f aca="false">IF($B90="","",IF(E90&gt;0,N90/E90,0))</f>
        <v/>
      </c>
      <c r="P90" s="80" t="str">
        <f aca="false">IF($B90="","",IF(AND(D90="لا",N90&lt;&gt;0),"⚠ غير مستحق وله رصيد",IF(N90&lt;-0.01,"✖ استخدام أكثر من المكوّن",IF(AND(D90="نعم",O90&gt;=1),"⚠ تذكرة مستحقة للصرف","✔ سليم"))))</f>
        <v/>
      </c>
    </row>
    <row r="91" customFormat="false" ht="15" hidden="false" customHeight="false" outlineLevel="0" collapsed="false">
      <c r="B91" s="102" t="str">
        <f aca="false">IF(الموظفون!$B91="","",الموظفون!$B91)</f>
        <v/>
      </c>
      <c r="C91" s="102" t="str">
        <f aca="false">IF($B91="","",الموظفون!$C91)</f>
        <v/>
      </c>
      <c r="D91" s="102" t="str">
        <f aca="false">IF($B91="","",IF(الموظفون!$U91="نعم","نعم","لا"))</f>
        <v/>
      </c>
      <c r="E91" s="101" t="str">
        <f aca="false">IF($B91="","",N(الموظفون!$V91))</f>
        <v/>
      </c>
      <c r="F91" s="110" t="str">
        <f aca="false">IF($B91="","",N(الموظفون!$W91))</f>
        <v/>
      </c>
      <c r="G91" s="101" t="str">
        <f aca="false">IF($B91="","",IF(AND(D91="نعم",F91&gt;0),E91/F91,0))</f>
        <v/>
      </c>
      <c r="H91" s="148" t="str">
        <f aca="false">IF($B91="","",MAX(cfg_Y_START,الموظفون!$H91))</f>
        <v/>
      </c>
      <c r="I91" s="148" t="str">
        <f aca="false">IF($B91="","",IF(OR(الموظفون!$AE91="",الموظفون!$AE91&gt;cfg_VAL_DATE),cfg_VAL_DATE,الموظفون!$AE91))</f>
        <v/>
      </c>
      <c r="J91" s="110" t="str">
        <f aca="false">IF($B91="","",MAX(0,MAX(0,I91-H91+1)-(SUMIFS('سجل الإجازات والحالات'!$S$6:$S$505,'سجل الإجازات والحالات'!$B$6:$B$505,$B91)-SUMIFS('سجل الإجازات والحالات'!$R$6:$R$505,'سجل الإجازات والحالات'!$B$6:$B$505,$B91))))</f>
        <v/>
      </c>
      <c r="K91" s="101" t="str">
        <f aca="false">IF($B91="","",G91*12/cfg_DAYS_Y*J91)</f>
        <v/>
      </c>
      <c r="L91" s="101" t="str">
        <f aca="false">IF($B91="","",N(الموظفون!$AD91))</f>
        <v/>
      </c>
      <c r="M91" s="101" t="str">
        <f aca="false">IF($B91="","",SUMIFS('الحركات الشهرية'!$M$6:$M$1005,'الحركات الشهرية'!$B$6:$B$1005,B91,'الحركات الشهرية'!$A$6:$A$1005,"&lt;="&amp;cfg_VAL_M))</f>
        <v/>
      </c>
      <c r="N91" s="156" t="str">
        <f aca="false">IF($B91="","",L91+K91-M91)</f>
        <v/>
      </c>
      <c r="O91" s="153" t="str">
        <f aca="false">IF($B91="","",IF(E91&gt;0,N91/E91,0))</f>
        <v/>
      </c>
      <c r="P91" s="102" t="str">
        <f aca="false">IF($B91="","",IF(AND(D91="لا",N91&lt;&gt;0),"⚠ غير مستحق وله رصيد",IF(N91&lt;-0.01,"✖ استخدام أكثر من المكوّن",IF(AND(D91="نعم",O91&gt;=1),"⚠ تذكرة مستحقة للصرف","✔ سليم"))))</f>
        <v/>
      </c>
    </row>
    <row r="92" customFormat="false" ht="15" hidden="false" customHeight="false" outlineLevel="0" collapsed="false">
      <c r="B92" s="80" t="str">
        <f aca="false">IF(الموظفون!$B92="","",الموظفون!$B92)</f>
        <v/>
      </c>
      <c r="C92" s="80" t="str">
        <f aca="false">IF($B92="","",الموظفون!$C92)</f>
        <v/>
      </c>
      <c r="D92" s="80" t="str">
        <f aca="false">IF($B92="","",IF(الموظفون!$U92="نعم","نعم","لا"))</f>
        <v/>
      </c>
      <c r="E92" s="97" t="str">
        <f aca="false">IF($B92="","",N(الموظفون!$V92))</f>
        <v/>
      </c>
      <c r="F92" s="57" t="str">
        <f aca="false">IF($B92="","",N(الموظفون!$W92))</f>
        <v/>
      </c>
      <c r="G92" s="97" t="str">
        <f aca="false">IF($B92="","",IF(AND(D92="نعم",F92&gt;0),E92/F92,0))</f>
        <v/>
      </c>
      <c r="H92" s="147" t="str">
        <f aca="false">IF($B92="","",MAX(cfg_Y_START,الموظفون!$H92))</f>
        <v/>
      </c>
      <c r="I92" s="147" t="str">
        <f aca="false">IF($B92="","",IF(OR(الموظفون!$AE92="",الموظفون!$AE92&gt;cfg_VAL_DATE),cfg_VAL_DATE,الموظفون!$AE92))</f>
        <v/>
      </c>
      <c r="J92" s="57" t="str">
        <f aca="false">IF($B92="","",MAX(0,MAX(0,I92-H92+1)-(SUMIFS('سجل الإجازات والحالات'!$S$6:$S$505,'سجل الإجازات والحالات'!$B$6:$B$505,$B92)-SUMIFS('سجل الإجازات والحالات'!$R$6:$R$505,'سجل الإجازات والحالات'!$B$6:$B$505,$B92))))</f>
        <v/>
      </c>
      <c r="K92" s="97" t="str">
        <f aca="false">IF($B92="","",G92*12/cfg_DAYS_Y*J92)</f>
        <v/>
      </c>
      <c r="L92" s="97" t="str">
        <f aca="false">IF($B92="","",N(الموظفون!$AD92))</f>
        <v/>
      </c>
      <c r="M92" s="97" t="str">
        <f aca="false">IF($B92="","",SUMIFS('الحركات الشهرية'!$M$6:$M$1005,'الحركات الشهرية'!$B$6:$B$1005,B92,'الحركات الشهرية'!$A$6:$A$1005,"&lt;="&amp;cfg_VAL_M))</f>
        <v/>
      </c>
      <c r="N92" s="155" t="str">
        <f aca="false">IF($B92="","",L92+K92-M92)</f>
        <v/>
      </c>
      <c r="O92" s="152" t="str">
        <f aca="false">IF($B92="","",IF(E92&gt;0,N92/E92,0))</f>
        <v/>
      </c>
      <c r="P92" s="80" t="str">
        <f aca="false">IF($B92="","",IF(AND(D92="لا",N92&lt;&gt;0),"⚠ غير مستحق وله رصيد",IF(N92&lt;-0.01,"✖ استخدام أكثر من المكوّن",IF(AND(D92="نعم",O92&gt;=1),"⚠ تذكرة مستحقة للصرف","✔ سليم"))))</f>
        <v/>
      </c>
    </row>
    <row r="93" customFormat="false" ht="15" hidden="false" customHeight="false" outlineLevel="0" collapsed="false">
      <c r="B93" s="102" t="str">
        <f aca="false">IF(الموظفون!$B93="","",الموظفون!$B93)</f>
        <v/>
      </c>
      <c r="C93" s="102" t="str">
        <f aca="false">IF($B93="","",الموظفون!$C93)</f>
        <v/>
      </c>
      <c r="D93" s="102" t="str">
        <f aca="false">IF($B93="","",IF(الموظفون!$U93="نعم","نعم","لا"))</f>
        <v/>
      </c>
      <c r="E93" s="101" t="str">
        <f aca="false">IF($B93="","",N(الموظفون!$V93))</f>
        <v/>
      </c>
      <c r="F93" s="110" t="str">
        <f aca="false">IF($B93="","",N(الموظفون!$W93))</f>
        <v/>
      </c>
      <c r="G93" s="101" t="str">
        <f aca="false">IF($B93="","",IF(AND(D93="نعم",F93&gt;0),E93/F93,0))</f>
        <v/>
      </c>
      <c r="H93" s="148" t="str">
        <f aca="false">IF($B93="","",MAX(cfg_Y_START,الموظفون!$H93))</f>
        <v/>
      </c>
      <c r="I93" s="148" t="str">
        <f aca="false">IF($B93="","",IF(OR(الموظفون!$AE93="",الموظفون!$AE93&gt;cfg_VAL_DATE),cfg_VAL_DATE,الموظفون!$AE93))</f>
        <v/>
      </c>
      <c r="J93" s="110" t="str">
        <f aca="false">IF($B93="","",MAX(0,MAX(0,I93-H93+1)-(SUMIFS('سجل الإجازات والحالات'!$S$6:$S$505,'سجل الإجازات والحالات'!$B$6:$B$505,$B93)-SUMIFS('سجل الإجازات والحالات'!$R$6:$R$505,'سجل الإجازات والحالات'!$B$6:$B$505,$B93))))</f>
        <v/>
      </c>
      <c r="K93" s="101" t="str">
        <f aca="false">IF($B93="","",G93*12/cfg_DAYS_Y*J93)</f>
        <v/>
      </c>
      <c r="L93" s="101" t="str">
        <f aca="false">IF($B93="","",N(الموظفون!$AD93))</f>
        <v/>
      </c>
      <c r="M93" s="101" t="str">
        <f aca="false">IF($B93="","",SUMIFS('الحركات الشهرية'!$M$6:$M$1005,'الحركات الشهرية'!$B$6:$B$1005,B93,'الحركات الشهرية'!$A$6:$A$1005,"&lt;="&amp;cfg_VAL_M))</f>
        <v/>
      </c>
      <c r="N93" s="156" t="str">
        <f aca="false">IF($B93="","",L93+K93-M93)</f>
        <v/>
      </c>
      <c r="O93" s="153" t="str">
        <f aca="false">IF($B93="","",IF(E93&gt;0,N93/E93,0))</f>
        <v/>
      </c>
      <c r="P93" s="102" t="str">
        <f aca="false">IF($B93="","",IF(AND(D93="لا",N93&lt;&gt;0),"⚠ غير مستحق وله رصيد",IF(N93&lt;-0.01,"✖ استخدام أكثر من المكوّن",IF(AND(D93="نعم",O93&gt;=1),"⚠ تذكرة مستحقة للصرف","✔ سليم"))))</f>
        <v/>
      </c>
    </row>
    <row r="94" customFormat="false" ht="15" hidden="false" customHeight="false" outlineLevel="0" collapsed="false">
      <c r="B94" s="80" t="str">
        <f aca="false">IF(الموظفون!$B94="","",الموظفون!$B94)</f>
        <v/>
      </c>
      <c r="C94" s="80" t="str">
        <f aca="false">IF($B94="","",الموظفون!$C94)</f>
        <v/>
      </c>
      <c r="D94" s="80" t="str">
        <f aca="false">IF($B94="","",IF(الموظفون!$U94="نعم","نعم","لا"))</f>
        <v/>
      </c>
      <c r="E94" s="97" t="str">
        <f aca="false">IF($B94="","",N(الموظفون!$V94))</f>
        <v/>
      </c>
      <c r="F94" s="57" t="str">
        <f aca="false">IF($B94="","",N(الموظفون!$W94))</f>
        <v/>
      </c>
      <c r="G94" s="97" t="str">
        <f aca="false">IF($B94="","",IF(AND(D94="نعم",F94&gt;0),E94/F94,0))</f>
        <v/>
      </c>
      <c r="H94" s="147" t="str">
        <f aca="false">IF($B94="","",MAX(cfg_Y_START,الموظفون!$H94))</f>
        <v/>
      </c>
      <c r="I94" s="147" t="str">
        <f aca="false">IF($B94="","",IF(OR(الموظفون!$AE94="",الموظفون!$AE94&gt;cfg_VAL_DATE),cfg_VAL_DATE,الموظفون!$AE94))</f>
        <v/>
      </c>
      <c r="J94" s="57" t="str">
        <f aca="false">IF($B94="","",MAX(0,MAX(0,I94-H94+1)-(SUMIFS('سجل الإجازات والحالات'!$S$6:$S$505,'سجل الإجازات والحالات'!$B$6:$B$505,$B94)-SUMIFS('سجل الإجازات والحالات'!$R$6:$R$505,'سجل الإجازات والحالات'!$B$6:$B$505,$B94))))</f>
        <v/>
      </c>
      <c r="K94" s="97" t="str">
        <f aca="false">IF($B94="","",G94*12/cfg_DAYS_Y*J94)</f>
        <v/>
      </c>
      <c r="L94" s="97" t="str">
        <f aca="false">IF($B94="","",N(الموظفون!$AD94))</f>
        <v/>
      </c>
      <c r="M94" s="97" t="str">
        <f aca="false">IF($B94="","",SUMIFS('الحركات الشهرية'!$M$6:$M$1005,'الحركات الشهرية'!$B$6:$B$1005,B94,'الحركات الشهرية'!$A$6:$A$1005,"&lt;="&amp;cfg_VAL_M))</f>
        <v/>
      </c>
      <c r="N94" s="155" t="str">
        <f aca="false">IF($B94="","",L94+K94-M94)</f>
        <v/>
      </c>
      <c r="O94" s="152" t="str">
        <f aca="false">IF($B94="","",IF(E94&gt;0,N94/E94,0))</f>
        <v/>
      </c>
      <c r="P94" s="80" t="str">
        <f aca="false">IF($B94="","",IF(AND(D94="لا",N94&lt;&gt;0),"⚠ غير مستحق وله رصيد",IF(N94&lt;-0.01,"✖ استخدام أكثر من المكوّن",IF(AND(D94="نعم",O94&gt;=1),"⚠ تذكرة مستحقة للصرف","✔ سليم"))))</f>
        <v/>
      </c>
    </row>
    <row r="95" customFormat="false" ht="15" hidden="false" customHeight="false" outlineLevel="0" collapsed="false">
      <c r="B95" s="102" t="str">
        <f aca="false">IF(الموظفون!$B95="","",الموظفون!$B95)</f>
        <v/>
      </c>
      <c r="C95" s="102" t="str">
        <f aca="false">IF($B95="","",الموظفون!$C95)</f>
        <v/>
      </c>
      <c r="D95" s="102" t="str">
        <f aca="false">IF($B95="","",IF(الموظفون!$U95="نعم","نعم","لا"))</f>
        <v/>
      </c>
      <c r="E95" s="101" t="str">
        <f aca="false">IF($B95="","",N(الموظفون!$V95))</f>
        <v/>
      </c>
      <c r="F95" s="110" t="str">
        <f aca="false">IF($B95="","",N(الموظفون!$W95))</f>
        <v/>
      </c>
      <c r="G95" s="101" t="str">
        <f aca="false">IF($B95="","",IF(AND(D95="نعم",F95&gt;0),E95/F95,0))</f>
        <v/>
      </c>
      <c r="H95" s="148" t="str">
        <f aca="false">IF($B95="","",MAX(cfg_Y_START,الموظفون!$H95))</f>
        <v/>
      </c>
      <c r="I95" s="148" t="str">
        <f aca="false">IF($B95="","",IF(OR(الموظفون!$AE95="",الموظفون!$AE95&gt;cfg_VAL_DATE),cfg_VAL_DATE,الموظفون!$AE95))</f>
        <v/>
      </c>
      <c r="J95" s="110" t="str">
        <f aca="false">IF($B95="","",MAX(0,MAX(0,I95-H95+1)-(SUMIFS('سجل الإجازات والحالات'!$S$6:$S$505,'سجل الإجازات والحالات'!$B$6:$B$505,$B95)-SUMIFS('سجل الإجازات والحالات'!$R$6:$R$505,'سجل الإجازات والحالات'!$B$6:$B$505,$B95))))</f>
        <v/>
      </c>
      <c r="K95" s="101" t="str">
        <f aca="false">IF($B95="","",G95*12/cfg_DAYS_Y*J95)</f>
        <v/>
      </c>
      <c r="L95" s="101" t="str">
        <f aca="false">IF($B95="","",N(الموظفون!$AD95))</f>
        <v/>
      </c>
      <c r="M95" s="101" t="str">
        <f aca="false">IF($B95="","",SUMIFS('الحركات الشهرية'!$M$6:$M$1005,'الحركات الشهرية'!$B$6:$B$1005,B95,'الحركات الشهرية'!$A$6:$A$1005,"&lt;="&amp;cfg_VAL_M))</f>
        <v/>
      </c>
      <c r="N95" s="156" t="str">
        <f aca="false">IF($B95="","",L95+K95-M95)</f>
        <v/>
      </c>
      <c r="O95" s="153" t="str">
        <f aca="false">IF($B95="","",IF(E95&gt;0,N95/E95,0))</f>
        <v/>
      </c>
      <c r="P95" s="102" t="str">
        <f aca="false">IF($B95="","",IF(AND(D95="لا",N95&lt;&gt;0),"⚠ غير مستحق وله رصيد",IF(N95&lt;-0.01,"✖ استخدام أكثر من المكوّن",IF(AND(D95="نعم",O95&gt;=1),"⚠ تذكرة مستحقة للصرف","✔ سليم"))))</f>
        <v/>
      </c>
    </row>
    <row r="96" customFormat="false" ht="15" hidden="false" customHeight="false" outlineLevel="0" collapsed="false">
      <c r="B96" s="80" t="str">
        <f aca="false">IF(الموظفون!$B96="","",الموظفون!$B96)</f>
        <v/>
      </c>
      <c r="C96" s="80" t="str">
        <f aca="false">IF($B96="","",الموظفون!$C96)</f>
        <v/>
      </c>
      <c r="D96" s="80" t="str">
        <f aca="false">IF($B96="","",IF(الموظفون!$U96="نعم","نعم","لا"))</f>
        <v/>
      </c>
      <c r="E96" s="97" t="str">
        <f aca="false">IF($B96="","",N(الموظفون!$V96))</f>
        <v/>
      </c>
      <c r="F96" s="57" t="str">
        <f aca="false">IF($B96="","",N(الموظفون!$W96))</f>
        <v/>
      </c>
      <c r="G96" s="97" t="str">
        <f aca="false">IF($B96="","",IF(AND(D96="نعم",F96&gt;0),E96/F96,0))</f>
        <v/>
      </c>
      <c r="H96" s="147" t="str">
        <f aca="false">IF($B96="","",MAX(cfg_Y_START,الموظفون!$H96))</f>
        <v/>
      </c>
      <c r="I96" s="147" t="str">
        <f aca="false">IF($B96="","",IF(OR(الموظفون!$AE96="",الموظفون!$AE96&gt;cfg_VAL_DATE),cfg_VAL_DATE,الموظفون!$AE96))</f>
        <v/>
      </c>
      <c r="J96" s="57" t="str">
        <f aca="false">IF($B96="","",MAX(0,MAX(0,I96-H96+1)-(SUMIFS('سجل الإجازات والحالات'!$S$6:$S$505,'سجل الإجازات والحالات'!$B$6:$B$505,$B96)-SUMIFS('سجل الإجازات والحالات'!$R$6:$R$505,'سجل الإجازات والحالات'!$B$6:$B$505,$B96))))</f>
        <v/>
      </c>
      <c r="K96" s="97" t="str">
        <f aca="false">IF($B96="","",G96*12/cfg_DAYS_Y*J96)</f>
        <v/>
      </c>
      <c r="L96" s="97" t="str">
        <f aca="false">IF($B96="","",N(الموظفون!$AD96))</f>
        <v/>
      </c>
      <c r="M96" s="97" t="str">
        <f aca="false">IF($B96="","",SUMIFS('الحركات الشهرية'!$M$6:$M$1005,'الحركات الشهرية'!$B$6:$B$1005,B96,'الحركات الشهرية'!$A$6:$A$1005,"&lt;="&amp;cfg_VAL_M))</f>
        <v/>
      </c>
      <c r="N96" s="155" t="str">
        <f aca="false">IF($B96="","",L96+K96-M96)</f>
        <v/>
      </c>
      <c r="O96" s="152" t="str">
        <f aca="false">IF($B96="","",IF(E96&gt;0,N96/E96,0))</f>
        <v/>
      </c>
      <c r="P96" s="80" t="str">
        <f aca="false">IF($B96="","",IF(AND(D96="لا",N96&lt;&gt;0),"⚠ غير مستحق وله رصيد",IF(N96&lt;-0.01,"✖ استخدام أكثر من المكوّن",IF(AND(D96="نعم",O96&gt;=1),"⚠ تذكرة مستحقة للصرف","✔ سليم"))))</f>
        <v/>
      </c>
    </row>
    <row r="97" customFormat="false" ht="15" hidden="false" customHeight="false" outlineLevel="0" collapsed="false">
      <c r="B97" s="102" t="str">
        <f aca="false">IF(الموظفون!$B97="","",الموظفون!$B97)</f>
        <v/>
      </c>
      <c r="C97" s="102" t="str">
        <f aca="false">IF($B97="","",الموظفون!$C97)</f>
        <v/>
      </c>
      <c r="D97" s="102" t="str">
        <f aca="false">IF($B97="","",IF(الموظفون!$U97="نعم","نعم","لا"))</f>
        <v/>
      </c>
      <c r="E97" s="101" t="str">
        <f aca="false">IF($B97="","",N(الموظفون!$V97))</f>
        <v/>
      </c>
      <c r="F97" s="110" t="str">
        <f aca="false">IF($B97="","",N(الموظفون!$W97))</f>
        <v/>
      </c>
      <c r="G97" s="101" t="str">
        <f aca="false">IF($B97="","",IF(AND(D97="نعم",F97&gt;0),E97/F97,0))</f>
        <v/>
      </c>
      <c r="H97" s="148" t="str">
        <f aca="false">IF($B97="","",MAX(cfg_Y_START,الموظفون!$H97))</f>
        <v/>
      </c>
      <c r="I97" s="148" t="str">
        <f aca="false">IF($B97="","",IF(OR(الموظفون!$AE97="",الموظفون!$AE97&gt;cfg_VAL_DATE),cfg_VAL_DATE,الموظفون!$AE97))</f>
        <v/>
      </c>
      <c r="J97" s="110" t="str">
        <f aca="false">IF($B97="","",MAX(0,MAX(0,I97-H97+1)-(SUMIFS('سجل الإجازات والحالات'!$S$6:$S$505,'سجل الإجازات والحالات'!$B$6:$B$505,$B97)-SUMIFS('سجل الإجازات والحالات'!$R$6:$R$505,'سجل الإجازات والحالات'!$B$6:$B$505,$B97))))</f>
        <v/>
      </c>
      <c r="K97" s="101" t="str">
        <f aca="false">IF($B97="","",G97*12/cfg_DAYS_Y*J97)</f>
        <v/>
      </c>
      <c r="L97" s="101" t="str">
        <f aca="false">IF($B97="","",N(الموظفون!$AD97))</f>
        <v/>
      </c>
      <c r="M97" s="101" t="str">
        <f aca="false">IF($B97="","",SUMIFS('الحركات الشهرية'!$M$6:$M$1005,'الحركات الشهرية'!$B$6:$B$1005,B97,'الحركات الشهرية'!$A$6:$A$1005,"&lt;="&amp;cfg_VAL_M))</f>
        <v/>
      </c>
      <c r="N97" s="156" t="str">
        <f aca="false">IF($B97="","",L97+K97-M97)</f>
        <v/>
      </c>
      <c r="O97" s="153" t="str">
        <f aca="false">IF($B97="","",IF(E97&gt;0,N97/E97,0))</f>
        <v/>
      </c>
      <c r="P97" s="102" t="str">
        <f aca="false">IF($B97="","",IF(AND(D97="لا",N97&lt;&gt;0),"⚠ غير مستحق وله رصيد",IF(N97&lt;-0.01,"✖ استخدام أكثر من المكوّن",IF(AND(D97="نعم",O97&gt;=1),"⚠ تذكرة مستحقة للصرف","✔ سليم"))))</f>
        <v/>
      </c>
    </row>
    <row r="98" customFormat="false" ht="15" hidden="false" customHeight="false" outlineLevel="0" collapsed="false">
      <c r="B98" s="80" t="str">
        <f aca="false">IF(الموظفون!$B98="","",الموظفون!$B98)</f>
        <v/>
      </c>
      <c r="C98" s="80" t="str">
        <f aca="false">IF($B98="","",الموظفون!$C98)</f>
        <v/>
      </c>
      <c r="D98" s="80" t="str">
        <f aca="false">IF($B98="","",IF(الموظفون!$U98="نعم","نعم","لا"))</f>
        <v/>
      </c>
      <c r="E98" s="97" t="str">
        <f aca="false">IF($B98="","",N(الموظفون!$V98))</f>
        <v/>
      </c>
      <c r="F98" s="57" t="str">
        <f aca="false">IF($B98="","",N(الموظفون!$W98))</f>
        <v/>
      </c>
      <c r="G98" s="97" t="str">
        <f aca="false">IF($B98="","",IF(AND(D98="نعم",F98&gt;0),E98/F98,0))</f>
        <v/>
      </c>
      <c r="H98" s="147" t="str">
        <f aca="false">IF($B98="","",MAX(cfg_Y_START,الموظفون!$H98))</f>
        <v/>
      </c>
      <c r="I98" s="147" t="str">
        <f aca="false">IF($B98="","",IF(OR(الموظفون!$AE98="",الموظفون!$AE98&gt;cfg_VAL_DATE),cfg_VAL_DATE,الموظفون!$AE98))</f>
        <v/>
      </c>
      <c r="J98" s="57" t="str">
        <f aca="false">IF($B98="","",MAX(0,MAX(0,I98-H98+1)-(SUMIFS('سجل الإجازات والحالات'!$S$6:$S$505,'سجل الإجازات والحالات'!$B$6:$B$505,$B98)-SUMIFS('سجل الإجازات والحالات'!$R$6:$R$505,'سجل الإجازات والحالات'!$B$6:$B$505,$B98))))</f>
        <v/>
      </c>
      <c r="K98" s="97" t="str">
        <f aca="false">IF($B98="","",G98*12/cfg_DAYS_Y*J98)</f>
        <v/>
      </c>
      <c r="L98" s="97" t="str">
        <f aca="false">IF($B98="","",N(الموظفون!$AD98))</f>
        <v/>
      </c>
      <c r="M98" s="97" t="str">
        <f aca="false">IF($B98="","",SUMIFS('الحركات الشهرية'!$M$6:$M$1005,'الحركات الشهرية'!$B$6:$B$1005,B98,'الحركات الشهرية'!$A$6:$A$1005,"&lt;="&amp;cfg_VAL_M))</f>
        <v/>
      </c>
      <c r="N98" s="155" t="str">
        <f aca="false">IF($B98="","",L98+K98-M98)</f>
        <v/>
      </c>
      <c r="O98" s="152" t="str">
        <f aca="false">IF($B98="","",IF(E98&gt;0,N98/E98,0))</f>
        <v/>
      </c>
      <c r="P98" s="80" t="str">
        <f aca="false">IF($B98="","",IF(AND(D98="لا",N98&lt;&gt;0),"⚠ غير مستحق وله رصيد",IF(N98&lt;-0.01,"✖ استخدام أكثر من المكوّن",IF(AND(D98="نعم",O98&gt;=1),"⚠ تذكرة مستحقة للصرف","✔ سليم"))))</f>
        <v/>
      </c>
    </row>
    <row r="99" customFormat="false" ht="15" hidden="false" customHeight="false" outlineLevel="0" collapsed="false">
      <c r="B99" s="102" t="str">
        <f aca="false">IF(الموظفون!$B99="","",الموظفون!$B99)</f>
        <v/>
      </c>
      <c r="C99" s="102" t="str">
        <f aca="false">IF($B99="","",الموظفون!$C99)</f>
        <v/>
      </c>
      <c r="D99" s="102" t="str">
        <f aca="false">IF($B99="","",IF(الموظفون!$U99="نعم","نعم","لا"))</f>
        <v/>
      </c>
      <c r="E99" s="101" t="str">
        <f aca="false">IF($B99="","",N(الموظفون!$V99))</f>
        <v/>
      </c>
      <c r="F99" s="110" t="str">
        <f aca="false">IF($B99="","",N(الموظفون!$W99))</f>
        <v/>
      </c>
      <c r="G99" s="101" t="str">
        <f aca="false">IF($B99="","",IF(AND(D99="نعم",F99&gt;0),E99/F99,0))</f>
        <v/>
      </c>
      <c r="H99" s="148" t="str">
        <f aca="false">IF($B99="","",MAX(cfg_Y_START,الموظفون!$H99))</f>
        <v/>
      </c>
      <c r="I99" s="148" t="str">
        <f aca="false">IF($B99="","",IF(OR(الموظفون!$AE99="",الموظفون!$AE99&gt;cfg_VAL_DATE),cfg_VAL_DATE,الموظفون!$AE99))</f>
        <v/>
      </c>
      <c r="J99" s="110" t="str">
        <f aca="false">IF($B99="","",MAX(0,MAX(0,I99-H99+1)-(SUMIFS('سجل الإجازات والحالات'!$S$6:$S$505,'سجل الإجازات والحالات'!$B$6:$B$505,$B99)-SUMIFS('سجل الإجازات والحالات'!$R$6:$R$505,'سجل الإجازات والحالات'!$B$6:$B$505,$B99))))</f>
        <v/>
      </c>
      <c r="K99" s="101" t="str">
        <f aca="false">IF($B99="","",G99*12/cfg_DAYS_Y*J99)</f>
        <v/>
      </c>
      <c r="L99" s="101" t="str">
        <f aca="false">IF($B99="","",N(الموظفون!$AD99))</f>
        <v/>
      </c>
      <c r="M99" s="101" t="str">
        <f aca="false">IF($B99="","",SUMIFS('الحركات الشهرية'!$M$6:$M$1005,'الحركات الشهرية'!$B$6:$B$1005,B99,'الحركات الشهرية'!$A$6:$A$1005,"&lt;="&amp;cfg_VAL_M))</f>
        <v/>
      </c>
      <c r="N99" s="156" t="str">
        <f aca="false">IF($B99="","",L99+K99-M99)</f>
        <v/>
      </c>
      <c r="O99" s="153" t="str">
        <f aca="false">IF($B99="","",IF(E99&gt;0,N99/E99,0))</f>
        <v/>
      </c>
      <c r="P99" s="102" t="str">
        <f aca="false">IF($B99="","",IF(AND(D99="لا",N99&lt;&gt;0),"⚠ غير مستحق وله رصيد",IF(N99&lt;-0.01,"✖ استخدام أكثر من المكوّن",IF(AND(D99="نعم",O99&gt;=1),"⚠ تذكرة مستحقة للصرف","✔ سليم"))))</f>
        <v/>
      </c>
    </row>
    <row r="100" customFormat="false" ht="15" hidden="false" customHeight="false" outlineLevel="0" collapsed="false">
      <c r="B100" s="80" t="str">
        <f aca="false">IF(الموظفون!$B100="","",الموظفون!$B100)</f>
        <v/>
      </c>
      <c r="C100" s="80" t="str">
        <f aca="false">IF($B100="","",الموظفون!$C100)</f>
        <v/>
      </c>
      <c r="D100" s="80" t="str">
        <f aca="false">IF($B100="","",IF(الموظفون!$U100="نعم","نعم","لا"))</f>
        <v/>
      </c>
      <c r="E100" s="97" t="str">
        <f aca="false">IF($B100="","",N(الموظفون!$V100))</f>
        <v/>
      </c>
      <c r="F100" s="57" t="str">
        <f aca="false">IF($B100="","",N(الموظفون!$W100))</f>
        <v/>
      </c>
      <c r="G100" s="97" t="str">
        <f aca="false">IF($B100="","",IF(AND(D100="نعم",F100&gt;0),E100/F100,0))</f>
        <v/>
      </c>
      <c r="H100" s="147" t="str">
        <f aca="false">IF($B100="","",MAX(cfg_Y_START,الموظفون!$H100))</f>
        <v/>
      </c>
      <c r="I100" s="147" t="str">
        <f aca="false">IF($B100="","",IF(OR(الموظفون!$AE100="",الموظفون!$AE100&gt;cfg_VAL_DATE),cfg_VAL_DATE,الموظفون!$AE100))</f>
        <v/>
      </c>
      <c r="J100" s="57" t="str">
        <f aca="false">IF($B100="","",MAX(0,MAX(0,I100-H100+1)-(SUMIFS('سجل الإجازات والحالات'!$S$6:$S$505,'سجل الإجازات والحالات'!$B$6:$B$505,$B100)-SUMIFS('سجل الإجازات والحالات'!$R$6:$R$505,'سجل الإجازات والحالات'!$B$6:$B$505,$B100))))</f>
        <v/>
      </c>
      <c r="K100" s="97" t="str">
        <f aca="false">IF($B100="","",G100*12/cfg_DAYS_Y*J100)</f>
        <v/>
      </c>
      <c r="L100" s="97" t="str">
        <f aca="false">IF($B100="","",N(الموظفون!$AD100))</f>
        <v/>
      </c>
      <c r="M100" s="97" t="str">
        <f aca="false">IF($B100="","",SUMIFS('الحركات الشهرية'!$M$6:$M$1005,'الحركات الشهرية'!$B$6:$B$1005,B100,'الحركات الشهرية'!$A$6:$A$1005,"&lt;="&amp;cfg_VAL_M))</f>
        <v/>
      </c>
      <c r="N100" s="155" t="str">
        <f aca="false">IF($B100="","",L100+K100-M100)</f>
        <v/>
      </c>
      <c r="O100" s="152" t="str">
        <f aca="false">IF($B100="","",IF(E100&gt;0,N100/E100,0))</f>
        <v/>
      </c>
      <c r="P100" s="80" t="str">
        <f aca="false">IF($B100="","",IF(AND(D100="لا",N100&lt;&gt;0),"⚠ غير مستحق وله رصيد",IF(N100&lt;-0.01,"✖ استخدام أكثر من المكوّن",IF(AND(D100="نعم",O100&gt;=1),"⚠ تذكرة مستحقة للصرف","✔ سليم"))))</f>
        <v/>
      </c>
    </row>
    <row r="101" customFormat="false" ht="15" hidden="false" customHeight="false" outlineLevel="0" collapsed="false">
      <c r="B101" s="102" t="str">
        <f aca="false">IF(الموظفون!$B101="","",الموظفون!$B101)</f>
        <v/>
      </c>
      <c r="C101" s="102" t="str">
        <f aca="false">IF($B101="","",الموظفون!$C101)</f>
        <v/>
      </c>
      <c r="D101" s="102" t="str">
        <f aca="false">IF($B101="","",IF(الموظفون!$U101="نعم","نعم","لا"))</f>
        <v/>
      </c>
      <c r="E101" s="101" t="str">
        <f aca="false">IF($B101="","",N(الموظفون!$V101))</f>
        <v/>
      </c>
      <c r="F101" s="110" t="str">
        <f aca="false">IF($B101="","",N(الموظفون!$W101))</f>
        <v/>
      </c>
      <c r="G101" s="101" t="str">
        <f aca="false">IF($B101="","",IF(AND(D101="نعم",F101&gt;0),E101/F101,0))</f>
        <v/>
      </c>
      <c r="H101" s="148" t="str">
        <f aca="false">IF($B101="","",MAX(cfg_Y_START,الموظفون!$H101))</f>
        <v/>
      </c>
      <c r="I101" s="148" t="str">
        <f aca="false">IF($B101="","",IF(OR(الموظفون!$AE101="",الموظفون!$AE101&gt;cfg_VAL_DATE),cfg_VAL_DATE,الموظفون!$AE101))</f>
        <v/>
      </c>
      <c r="J101" s="110" t="str">
        <f aca="false">IF($B101="","",MAX(0,MAX(0,I101-H101+1)-(SUMIFS('سجل الإجازات والحالات'!$S$6:$S$505,'سجل الإجازات والحالات'!$B$6:$B$505,$B101)-SUMIFS('سجل الإجازات والحالات'!$R$6:$R$505,'سجل الإجازات والحالات'!$B$6:$B$505,$B101))))</f>
        <v/>
      </c>
      <c r="K101" s="101" t="str">
        <f aca="false">IF($B101="","",G101*12/cfg_DAYS_Y*J101)</f>
        <v/>
      </c>
      <c r="L101" s="101" t="str">
        <f aca="false">IF($B101="","",N(الموظفون!$AD101))</f>
        <v/>
      </c>
      <c r="M101" s="101" t="str">
        <f aca="false">IF($B101="","",SUMIFS('الحركات الشهرية'!$M$6:$M$1005,'الحركات الشهرية'!$B$6:$B$1005,B101,'الحركات الشهرية'!$A$6:$A$1005,"&lt;="&amp;cfg_VAL_M))</f>
        <v/>
      </c>
      <c r="N101" s="156" t="str">
        <f aca="false">IF($B101="","",L101+K101-M101)</f>
        <v/>
      </c>
      <c r="O101" s="153" t="str">
        <f aca="false">IF($B101="","",IF(E101&gt;0,N101/E101,0))</f>
        <v/>
      </c>
      <c r="P101" s="102" t="str">
        <f aca="false">IF($B101="","",IF(AND(D101="لا",N101&lt;&gt;0),"⚠ غير مستحق وله رصيد",IF(N101&lt;-0.01,"✖ استخدام أكثر من المكوّن",IF(AND(D101="نعم",O101&gt;=1),"⚠ تذكرة مستحقة للصرف","✔ سليم"))))</f>
        <v/>
      </c>
    </row>
    <row r="102" customFormat="false" ht="15" hidden="false" customHeight="false" outlineLevel="0" collapsed="false">
      <c r="B102" s="80" t="str">
        <f aca="false">IF(الموظفون!$B102="","",الموظفون!$B102)</f>
        <v/>
      </c>
      <c r="C102" s="80" t="str">
        <f aca="false">IF($B102="","",الموظفون!$C102)</f>
        <v/>
      </c>
      <c r="D102" s="80" t="str">
        <f aca="false">IF($B102="","",IF(الموظفون!$U102="نعم","نعم","لا"))</f>
        <v/>
      </c>
      <c r="E102" s="97" t="str">
        <f aca="false">IF($B102="","",N(الموظفون!$V102))</f>
        <v/>
      </c>
      <c r="F102" s="57" t="str">
        <f aca="false">IF($B102="","",N(الموظفون!$W102))</f>
        <v/>
      </c>
      <c r="G102" s="97" t="str">
        <f aca="false">IF($B102="","",IF(AND(D102="نعم",F102&gt;0),E102/F102,0))</f>
        <v/>
      </c>
      <c r="H102" s="147" t="str">
        <f aca="false">IF($B102="","",MAX(cfg_Y_START,الموظفون!$H102))</f>
        <v/>
      </c>
      <c r="I102" s="147" t="str">
        <f aca="false">IF($B102="","",IF(OR(الموظفون!$AE102="",الموظفون!$AE102&gt;cfg_VAL_DATE),cfg_VAL_DATE,الموظفون!$AE102))</f>
        <v/>
      </c>
      <c r="J102" s="57" t="str">
        <f aca="false">IF($B102="","",MAX(0,MAX(0,I102-H102+1)-(SUMIFS('سجل الإجازات والحالات'!$S$6:$S$505,'سجل الإجازات والحالات'!$B$6:$B$505,$B102)-SUMIFS('سجل الإجازات والحالات'!$R$6:$R$505,'سجل الإجازات والحالات'!$B$6:$B$505,$B102))))</f>
        <v/>
      </c>
      <c r="K102" s="97" t="str">
        <f aca="false">IF($B102="","",G102*12/cfg_DAYS_Y*J102)</f>
        <v/>
      </c>
      <c r="L102" s="97" t="str">
        <f aca="false">IF($B102="","",N(الموظفون!$AD102))</f>
        <v/>
      </c>
      <c r="M102" s="97" t="str">
        <f aca="false">IF($B102="","",SUMIFS('الحركات الشهرية'!$M$6:$M$1005,'الحركات الشهرية'!$B$6:$B$1005,B102,'الحركات الشهرية'!$A$6:$A$1005,"&lt;="&amp;cfg_VAL_M))</f>
        <v/>
      </c>
      <c r="N102" s="155" t="str">
        <f aca="false">IF($B102="","",L102+K102-M102)</f>
        <v/>
      </c>
      <c r="O102" s="152" t="str">
        <f aca="false">IF($B102="","",IF(E102&gt;0,N102/E102,0))</f>
        <v/>
      </c>
      <c r="P102" s="80" t="str">
        <f aca="false">IF($B102="","",IF(AND(D102="لا",N102&lt;&gt;0),"⚠ غير مستحق وله رصيد",IF(N102&lt;-0.01,"✖ استخدام أكثر من المكوّن",IF(AND(D102="نعم",O102&gt;=1),"⚠ تذكرة مستحقة للصرف","✔ سليم"))))</f>
        <v/>
      </c>
    </row>
    <row r="103" customFormat="false" ht="15" hidden="false" customHeight="false" outlineLevel="0" collapsed="false">
      <c r="B103" s="102" t="str">
        <f aca="false">IF(الموظفون!$B103="","",الموظفون!$B103)</f>
        <v/>
      </c>
      <c r="C103" s="102" t="str">
        <f aca="false">IF($B103="","",الموظفون!$C103)</f>
        <v/>
      </c>
      <c r="D103" s="102" t="str">
        <f aca="false">IF($B103="","",IF(الموظفون!$U103="نعم","نعم","لا"))</f>
        <v/>
      </c>
      <c r="E103" s="101" t="str">
        <f aca="false">IF($B103="","",N(الموظفون!$V103))</f>
        <v/>
      </c>
      <c r="F103" s="110" t="str">
        <f aca="false">IF($B103="","",N(الموظفون!$W103))</f>
        <v/>
      </c>
      <c r="G103" s="101" t="str">
        <f aca="false">IF($B103="","",IF(AND(D103="نعم",F103&gt;0),E103/F103,0))</f>
        <v/>
      </c>
      <c r="H103" s="148" t="str">
        <f aca="false">IF($B103="","",MAX(cfg_Y_START,الموظفون!$H103))</f>
        <v/>
      </c>
      <c r="I103" s="148" t="str">
        <f aca="false">IF($B103="","",IF(OR(الموظفون!$AE103="",الموظفون!$AE103&gt;cfg_VAL_DATE),cfg_VAL_DATE,الموظفون!$AE103))</f>
        <v/>
      </c>
      <c r="J103" s="110" t="str">
        <f aca="false">IF($B103="","",MAX(0,MAX(0,I103-H103+1)-(SUMIFS('سجل الإجازات والحالات'!$S$6:$S$505,'سجل الإجازات والحالات'!$B$6:$B$505,$B103)-SUMIFS('سجل الإجازات والحالات'!$R$6:$R$505,'سجل الإجازات والحالات'!$B$6:$B$505,$B103))))</f>
        <v/>
      </c>
      <c r="K103" s="101" t="str">
        <f aca="false">IF($B103="","",G103*12/cfg_DAYS_Y*J103)</f>
        <v/>
      </c>
      <c r="L103" s="101" t="str">
        <f aca="false">IF($B103="","",N(الموظفون!$AD103))</f>
        <v/>
      </c>
      <c r="M103" s="101" t="str">
        <f aca="false">IF($B103="","",SUMIFS('الحركات الشهرية'!$M$6:$M$1005,'الحركات الشهرية'!$B$6:$B$1005,B103,'الحركات الشهرية'!$A$6:$A$1005,"&lt;="&amp;cfg_VAL_M))</f>
        <v/>
      </c>
      <c r="N103" s="156" t="str">
        <f aca="false">IF($B103="","",L103+K103-M103)</f>
        <v/>
      </c>
      <c r="O103" s="153" t="str">
        <f aca="false">IF($B103="","",IF(E103&gt;0,N103/E103,0))</f>
        <v/>
      </c>
      <c r="P103" s="102" t="str">
        <f aca="false">IF($B103="","",IF(AND(D103="لا",N103&lt;&gt;0),"⚠ غير مستحق وله رصيد",IF(N103&lt;-0.01,"✖ استخدام أكثر من المكوّن",IF(AND(D103="نعم",O103&gt;=1),"⚠ تذكرة مستحقة للصرف","✔ سليم"))))</f>
        <v/>
      </c>
    </row>
    <row r="104" customFormat="false" ht="15" hidden="false" customHeight="false" outlineLevel="0" collapsed="false">
      <c r="B104" s="80" t="str">
        <f aca="false">IF(الموظفون!$B104="","",الموظفون!$B104)</f>
        <v/>
      </c>
      <c r="C104" s="80" t="str">
        <f aca="false">IF($B104="","",الموظفون!$C104)</f>
        <v/>
      </c>
      <c r="D104" s="80" t="str">
        <f aca="false">IF($B104="","",IF(الموظفون!$U104="نعم","نعم","لا"))</f>
        <v/>
      </c>
      <c r="E104" s="97" t="str">
        <f aca="false">IF($B104="","",N(الموظفون!$V104))</f>
        <v/>
      </c>
      <c r="F104" s="57" t="str">
        <f aca="false">IF($B104="","",N(الموظفون!$W104))</f>
        <v/>
      </c>
      <c r="G104" s="97" t="str">
        <f aca="false">IF($B104="","",IF(AND(D104="نعم",F104&gt;0),E104/F104,0))</f>
        <v/>
      </c>
      <c r="H104" s="147" t="str">
        <f aca="false">IF($B104="","",MAX(cfg_Y_START,الموظفون!$H104))</f>
        <v/>
      </c>
      <c r="I104" s="147" t="str">
        <f aca="false">IF($B104="","",IF(OR(الموظفون!$AE104="",الموظفون!$AE104&gt;cfg_VAL_DATE),cfg_VAL_DATE,الموظفون!$AE104))</f>
        <v/>
      </c>
      <c r="J104" s="57" t="str">
        <f aca="false">IF($B104="","",MAX(0,MAX(0,I104-H104+1)-(SUMIFS('سجل الإجازات والحالات'!$S$6:$S$505,'سجل الإجازات والحالات'!$B$6:$B$505,$B104)-SUMIFS('سجل الإجازات والحالات'!$R$6:$R$505,'سجل الإجازات والحالات'!$B$6:$B$505,$B104))))</f>
        <v/>
      </c>
      <c r="K104" s="97" t="str">
        <f aca="false">IF($B104="","",G104*12/cfg_DAYS_Y*J104)</f>
        <v/>
      </c>
      <c r="L104" s="97" t="str">
        <f aca="false">IF($B104="","",N(الموظفون!$AD104))</f>
        <v/>
      </c>
      <c r="M104" s="97" t="str">
        <f aca="false">IF($B104="","",SUMIFS('الحركات الشهرية'!$M$6:$M$1005,'الحركات الشهرية'!$B$6:$B$1005,B104,'الحركات الشهرية'!$A$6:$A$1005,"&lt;="&amp;cfg_VAL_M))</f>
        <v/>
      </c>
      <c r="N104" s="155" t="str">
        <f aca="false">IF($B104="","",L104+K104-M104)</f>
        <v/>
      </c>
      <c r="O104" s="152" t="str">
        <f aca="false">IF($B104="","",IF(E104&gt;0,N104/E104,0))</f>
        <v/>
      </c>
      <c r="P104" s="80" t="str">
        <f aca="false">IF($B104="","",IF(AND(D104="لا",N104&lt;&gt;0),"⚠ غير مستحق وله رصيد",IF(N104&lt;-0.01,"✖ استخدام أكثر من المكوّن",IF(AND(D104="نعم",O104&gt;=1),"⚠ تذكرة مستحقة للصرف","✔ سليم"))))</f>
        <v/>
      </c>
    </row>
    <row r="105" customFormat="false" ht="15" hidden="false" customHeight="false" outlineLevel="0" collapsed="false">
      <c r="B105" s="102" t="str">
        <f aca="false">IF(الموظفون!$B105="","",الموظفون!$B105)</f>
        <v/>
      </c>
      <c r="C105" s="102" t="str">
        <f aca="false">IF($B105="","",الموظفون!$C105)</f>
        <v/>
      </c>
      <c r="D105" s="102" t="str">
        <f aca="false">IF($B105="","",IF(الموظفون!$U105="نعم","نعم","لا"))</f>
        <v/>
      </c>
      <c r="E105" s="101" t="str">
        <f aca="false">IF($B105="","",N(الموظفون!$V105))</f>
        <v/>
      </c>
      <c r="F105" s="110" t="str">
        <f aca="false">IF($B105="","",N(الموظفون!$W105))</f>
        <v/>
      </c>
      <c r="G105" s="101" t="str">
        <f aca="false">IF($B105="","",IF(AND(D105="نعم",F105&gt;0),E105/F105,0))</f>
        <v/>
      </c>
      <c r="H105" s="148" t="str">
        <f aca="false">IF($B105="","",MAX(cfg_Y_START,الموظفون!$H105))</f>
        <v/>
      </c>
      <c r="I105" s="148" t="str">
        <f aca="false">IF($B105="","",IF(OR(الموظفون!$AE105="",الموظفون!$AE105&gt;cfg_VAL_DATE),cfg_VAL_DATE,الموظفون!$AE105))</f>
        <v/>
      </c>
      <c r="J105" s="110" t="str">
        <f aca="false">IF($B105="","",MAX(0,MAX(0,I105-H105+1)-(SUMIFS('سجل الإجازات والحالات'!$S$6:$S$505,'سجل الإجازات والحالات'!$B$6:$B$505,$B105)-SUMIFS('سجل الإجازات والحالات'!$R$6:$R$505,'سجل الإجازات والحالات'!$B$6:$B$505,$B105))))</f>
        <v/>
      </c>
      <c r="K105" s="101" t="str">
        <f aca="false">IF($B105="","",G105*12/cfg_DAYS_Y*J105)</f>
        <v/>
      </c>
      <c r="L105" s="101" t="str">
        <f aca="false">IF($B105="","",N(الموظفون!$AD105))</f>
        <v/>
      </c>
      <c r="M105" s="101" t="str">
        <f aca="false">IF($B105="","",SUMIFS('الحركات الشهرية'!$M$6:$M$1005,'الحركات الشهرية'!$B$6:$B$1005,B105,'الحركات الشهرية'!$A$6:$A$1005,"&lt;="&amp;cfg_VAL_M))</f>
        <v/>
      </c>
      <c r="N105" s="156" t="str">
        <f aca="false">IF($B105="","",L105+K105-M105)</f>
        <v/>
      </c>
      <c r="O105" s="153" t="str">
        <f aca="false">IF($B105="","",IF(E105&gt;0,N105/E105,0))</f>
        <v/>
      </c>
      <c r="P105" s="102" t="str">
        <f aca="false">IF($B105="","",IF(AND(D105="لا",N105&lt;&gt;0),"⚠ غير مستحق وله رصيد",IF(N105&lt;-0.01,"✖ استخدام أكثر من المكوّن",IF(AND(D105="نعم",O105&gt;=1),"⚠ تذكرة مستحقة للصرف","✔ سليم"))))</f>
        <v/>
      </c>
    </row>
    <row r="106" customFormat="false" ht="24" hidden="false" customHeight="true" outlineLevel="0" collapsed="false">
      <c r="B106" s="103"/>
      <c r="C106" s="103" t="s">
        <v>127</v>
      </c>
      <c r="D106" s="103"/>
      <c r="E106" s="103"/>
      <c r="F106" s="103"/>
      <c r="G106" s="103" t="n">
        <f aca="false">SUM(G6:G105)</f>
        <v>941.666666666667</v>
      </c>
      <c r="H106" s="103"/>
      <c r="I106" s="103"/>
      <c r="J106" s="103"/>
      <c r="K106" s="103" t="n">
        <f aca="false">SUM(K6:K105)</f>
        <v>8124.1095890411</v>
      </c>
      <c r="L106" s="103" t="n">
        <f aca="false">SUM(L6:L105)</f>
        <v>8700</v>
      </c>
      <c r="M106" s="103" t="n">
        <f aca="false">SUM(M6:M105)</f>
        <v>9500</v>
      </c>
      <c r="N106" s="103" t="n">
        <f aca="false">SUM(N6:N105)</f>
        <v>7324.1095890411</v>
      </c>
      <c r="O106" s="103"/>
      <c r="P106" s="103"/>
    </row>
    <row r="107" customFormat="false" ht="33.75" hidden="false" customHeight="true" outlineLevel="0" collapsed="false">
      <c r="B107" s="24" t="s">
        <v>543</v>
      </c>
      <c r="C107" s="24"/>
      <c r="D107" s="24"/>
      <c r="E107" s="24"/>
      <c r="F107" s="24"/>
      <c r="G107" s="24"/>
      <c r="H107" s="24"/>
      <c r="I107" s="24"/>
      <c r="J107" s="24"/>
      <c r="K107" s="24"/>
      <c r="L107" s="24"/>
      <c r="M107" s="24"/>
      <c r="N107" s="24"/>
      <c r="O107" s="24"/>
      <c r="P107" s="24"/>
    </row>
  </sheetData>
  <mergeCells count="3">
    <mergeCell ref="B1:P1"/>
    <mergeCell ref="B2:P2"/>
    <mergeCell ref="B107:P107"/>
  </mergeCells>
  <conditionalFormatting sqref="P6:P105">
    <cfRule type="expression" priority="2" aboveAverage="0" equalAverage="0" bottom="0" percent="0" rank="0" text="" dxfId="0">
      <formula>ISNUMBER(SEARCH("✔",P6))</formula>
    </cfRule>
    <cfRule type="expression" priority="3" aboveAverage="0" equalAverage="0" bottom="0" percent="0" rank="0" text="" dxfId="1">
      <formula>ISNUMBER(SEARCH("✖",P6))</formula>
    </cfRule>
    <cfRule type="expression" priority="4" aboveAverage="0" equalAverage="0" bottom="0" percent="0" rank="0" text="" dxfId="2">
      <formula>ISNUMBER(SEARCH("⚠",P6))</formula>
    </cfRule>
    <cfRule type="expression" priority="5" aboveAverage="0" equalAverage="0" bottom="0" percent="0" rank="0" text="" dxfId="3">
      <formula>ISNUMBER(SEARCH("✈",P6))</formula>
    </cfRule>
    <cfRule type="expression" priority="6" aboveAverage="0" equalAverage="0" bottom="0" percent="0" rank="0" text="" dxfId="1">
      <formula>ISNUMBER(SEARCH("⛔",P6))</formula>
    </cfRule>
    <cfRule type="expression" priority="7" aboveAverage="0" equalAverage="0" bottom="0" percent="0" rank="0" text="" dxfId="0">
      <formula>ISNUMBER(SEARCH("🌴",P6))</formula>
    </cfRule>
    <cfRule type="expression" priority="8" aboveAverage="0" equalAverage="0" bottom="0" percent="0" rank="0" text="" dxfId="4">
      <formula>ISNUMBER(SEARCH("⏳",P6))</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5568"/>
    <pageSetUpPr fitToPage="true"/>
  </sheetPr>
  <dimension ref="B1:R44"/>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0"/>
    <col collapsed="false" customWidth="true" hidden="false" outlineLevel="0" max="4" min="4" style="0" width="7"/>
    <col collapsed="false" customWidth="true" hidden="false" outlineLevel="0" max="16" min="5" style="0" width="12.5"/>
    <col collapsed="false" customWidth="true" hidden="false" outlineLevel="0" max="18" min="17" style="0" width="15"/>
  </cols>
  <sheetData>
    <row r="1" customFormat="false" ht="37.5" hidden="false" customHeight="true" outlineLevel="0" collapsed="false">
      <c r="B1" s="1" t="s">
        <v>544</v>
      </c>
      <c r="C1" s="1"/>
      <c r="D1" s="1"/>
      <c r="E1" s="1"/>
      <c r="F1" s="1"/>
      <c r="G1" s="1"/>
      <c r="H1" s="1"/>
      <c r="I1" s="1"/>
      <c r="J1" s="1"/>
      <c r="K1" s="1"/>
      <c r="L1" s="1"/>
      <c r="M1" s="1"/>
      <c r="N1" s="1"/>
      <c r="O1" s="1"/>
      <c r="P1" s="1"/>
      <c r="Q1" s="1"/>
      <c r="R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row>
    <row r="3" customFormat="false" ht="25.5" hidden="false" customHeight="true" outlineLevel="0" collapsed="false">
      <c r="B3" s="25" t="s">
        <v>80</v>
      </c>
      <c r="C3" s="12" t="s">
        <v>138</v>
      </c>
      <c r="D3" s="26" t="s">
        <v>81</v>
      </c>
      <c r="E3" s="26" t="s">
        <v>82</v>
      </c>
      <c r="F3" s="27" t="s">
        <v>83</v>
      </c>
      <c r="G3" s="26" t="s">
        <v>84</v>
      </c>
      <c r="H3" s="28" t="s">
        <v>85</v>
      </c>
      <c r="I3" s="26" t="s">
        <v>39</v>
      </c>
      <c r="J3" s="26" t="s">
        <v>140</v>
      </c>
    </row>
    <row r="4" customFormat="false" ht="13.5" hidden="false" customHeight="true" outlineLevel="0" collapsed="false">
      <c r="C4" s="157" t="s">
        <v>545</v>
      </c>
      <c r="E4" s="158" t="n">
        <v>1</v>
      </c>
      <c r="F4" s="158" t="n">
        <v>2</v>
      </c>
      <c r="G4" s="158" t="n">
        <v>3</v>
      </c>
      <c r="H4" s="158" t="n">
        <v>4</v>
      </c>
      <c r="I4" s="158" t="n">
        <v>5</v>
      </c>
      <c r="J4" s="158" t="n">
        <v>6</v>
      </c>
      <c r="K4" s="158" t="n">
        <v>7</v>
      </c>
      <c r="L4" s="158" t="n">
        <v>8</v>
      </c>
      <c r="M4" s="158" t="n">
        <v>9</v>
      </c>
      <c r="N4" s="158" t="n">
        <v>10</v>
      </c>
      <c r="O4" s="158" t="n">
        <v>11</v>
      </c>
      <c r="P4" s="158" t="n">
        <v>12</v>
      </c>
    </row>
    <row r="5" customFormat="false" ht="30" hidden="false" customHeight="true" outlineLevel="0" collapsed="false">
      <c r="B5" s="6" t="s">
        <v>546</v>
      </c>
      <c r="C5" s="6" t="s">
        <v>547</v>
      </c>
      <c r="D5" s="6" t="s">
        <v>548</v>
      </c>
      <c r="E5" s="6" t="s">
        <v>162</v>
      </c>
      <c r="F5" s="6" t="s">
        <v>170</v>
      </c>
      <c r="G5" s="6" t="s">
        <v>177</v>
      </c>
      <c r="H5" s="6" t="s">
        <v>184</v>
      </c>
      <c r="I5" s="6" t="s">
        <v>191</v>
      </c>
      <c r="J5" s="6" t="s">
        <v>196</v>
      </c>
      <c r="K5" s="6" t="s">
        <v>201</v>
      </c>
      <c r="L5" s="6" t="s">
        <v>206</v>
      </c>
      <c r="M5" s="6" t="s">
        <v>211</v>
      </c>
      <c r="N5" s="6" t="s">
        <v>216</v>
      </c>
      <c r="O5" s="6" t="s">
        <v>220</v>
      </c>
      <c r="P5" s="6" t="s">
        <v>223</v>
      </c>
      <c r="Q5" s="6" t="s">
        <v>135</v>
      </c>
      <c r="R5" s="6" t="s">
        <v>549</v>
      </c>
    </row>
    <row r="6" customFormat="false" ht="21.75" hidden="false" customHeight="true" outlineLevel="0" collapsed="false">
      <c r="B6" s="60" t="s">
        <v>550</v>
      </c>
      <c r="C6" s="60"/>
      <c r="D6" s="60"/>
      <c r="E6" s="60"/>
      <c r="F6" s="60"/>
      <c r="G6" s="60"/>
      <c r="H6" s="60"/>
      <c r="I6" s="60"/>
      <c r="J6" s="60"/>
      <c r="K6" s="60"/>
      <c r="L6" s="60"/>
      <c r="M6" s="60"/>
      <c r="N6" s="60"/>
      <c r="O6" s="60"/>
      <c r="P6" s="60"/>
      <c r="Q6" s="60"/>
      <c r="R6" s="60"/>
    </row>
    <row r="7" customFormat="false" ht="15" hidden="false" customHeight="false" outlineLevel="0" collapsed="false">
      <c r="B7" s="56" t="s">
        <v>551</v>
      </c>
      <c r="C7" s="62" t="s">
        <v>552</v>
      </c>
      <c r="D7" s="159" t="s">
        <v>553</v>
      </c>
      <c r="E7" s="97" t="n">
        <f aca="false">'مسير يناير'!K106</f>
        <v>132283.333333333</v>
      </c>
      <c r="F7" s="97" t="n">
        <f aca="false">'مسير فبراير'!K106</f>
        <v>132500</v>
      </c>
      <c r="G7" s="97" t="n">
        <f aca="false">'مسير مارس'!K106</f>
        <v>132500</v>
      </c>
      <c r="H7" s="97" t="n">
        <f aca="false">'مسير أبريل'!K106</f>
        <v>136500</v>
      </c>
      <c r="I7" s="97" t="n">
        <f aca="false">'مسير مايو'!K106</f>
        <v>141500</v>
      </c>
      <c r="J7" s="97" t="n">
        <f aca="false">'مسير يونيو'!K106</f>
        <v>135000</v>
      </c>
      <c r="K7" s="97" t="n">
        <f aca="false">'مسير يوليو'!K106</f>
        <v>136500</v>
      </c>
      <c r="L7" s="97" t="n">
        <f aca="false">'مسير أغسطس'!K106</f>
        <v>129450</v>
      </c>
      <c r="M7" s="97" t="n">
        <f aca="false">'مسير سبتمبر'!K106</f>
        <v>130733.333333333</v>
      </c>
      <c r="N7" s="97" t="n">
        <f aca="false">'مسير أكتوبر'!K106</f>
        <v>128266.666666667</v>
      </c>
      <c r="O7" s="97" t="n">
        <f aca="false">'مسير نوفمبر'!K106</f>
        <v>136500</v>
      </c>
      <c r="P7" s="97" t="n">
        <f aca="false">'مسير ديسمبر'!K106</f>
        <v>128000</v>
      </c>
      <c r="Q7" s="160" t="n">
        <f aca="false">SUM(E7:P7)</f>
        <v>1599733.33333333</v>
      </c>
      <c r="R7" s="161" t="n">
        <f aca="false">SUMPRODUCT(($E$4:$P$4&lt;=cfg_VAL_M)*E7:P7)</f>
        <v>1206966.66666667</v>
      </c>
    </row>
    <row r="8" customFormat="false" ht="15" hidden="false" customHeight="false" outlineLevel="0" collapsed="false">
      <c r="B8" s="56" t="s">
        <v>554</v>
      </c>
      <c r="C8" s="62" t="s">
        <v>555</v>
      </c>
      <c r="D8" s="159" t="s">
        <v>553</v>
      </c>
      <c r="E8" s="97" t="n">
        <f aca="false">'مسير يناير'!L106</f>
        <v>33070.8333333333</v>
      </c>
      <c r="F8" s="97" t="n">
        <f aca="false">'مسير فبراير'!L106</f>
        <v>33125</v>
      </c>
      <c r="G8" s="97" t="n">
        <f aca="false">'مسير مارس'!L106</f>
        <v>33125</v>
      </c>
      <c r="H8" s="97" t="n">
        <f aca="false">'مسير أبريل'!L106</f>
        <v>34125</v>
      </c>
      <c r="I8" s="97" t="n">
        <f aca="false">'مسير مايو'!L106</f>
        <v>35375</v>
      </c>
      <c r="J8" s="97" t="n">
        <f aca="false">'مسير يونيو'!L106</f>
        <v>33750</v>
      </c>
      <c r="K8" s="97" t="n">
        <f aca="false">'مسير يوليو'!L106</f>
        <v>34125</v>
      </c>
      <c r="L8" s="97" t="n">
        <f aca="false">'مسير أغسطس'!L106</f>
        <v>32362.5</v>
      </c>
      <c r="M8" s="97" t="n">
        <f aca="false">'مسير سبتمبر'!L106</f>
        <v>32683.3333333333</v>
      </c>
      <c r="N8" s="97" t="n">
        <f aca="false">'مسير أكتوبر'!L106</f>
        <v>32066.6666666667</v>
      </c>
      <c r="O8" s="97" t="n">
        <f aca="false">'مسير نوفمبر'!L106</f>
        <v>34125</v>
      </c>
      <c r="P8" s="97" t="n">
        <f aca="false">'مسير ديسمبر'!L106</f>
        <v>32000</v>
      </c>
      <c r="Q8" s="160" t="n">
        <f aca="false">SUM(E8:P8)</f>
        <v>399933.333333333</v>
      </c>
      <c r="R8" s="161" t="n">
        <f aca="false">SUMPRODUCT(($E$4:$P$4&lt;=cfg_VAL_M)*E8:P8)</f>
        <v>301741.666666667</v>
      </c>
    </row>
    <row r="9" customFormat="false" ht="15" hidden="false" customHeight="false" outlineLevel="0" collapsed="false">
      <c r="B9" s="56" t="s">
        <v>556</v>
      </c>
      <c r="C9" s="62" t="s">
        <v>557</v>
      </c>
      <c r="D9" s="159" t="s">
        <v>553</v>
      </c>
      <c r="E9" s="97" t="n">
        <f aca="false">'مسير يناير'!M106</f>
        <v>13228.3333333333</v>
      </c>
      <c r="F9" s="97" t="n">
        <f aca="false">'مسير فبراير'!M106</f>
        <v>13250</v>
      </c>
      <c r="G9" s="97" t="n">
        <f aca="false">'مسير مارس'!M106</f>
        <v>13250</v>
      </c>
      <c r="H9" s="97" t="n">
        <f aca="false">'مسير أبريل'!M106</f>
        <v>13650</v>
      </c>
      <c r="I9" s="97" t="n">
        <f aca="false">'مسير مايو'!M106</f>
        <v>14150</v>
      </c>
      <c r="J9" s="97" t="n">
        <f aca="false">'مسير يونيو'!M106</f>
        <v>13500</v>
      </c>
      <c r="K9" s="97" t="n">
        <f aca="false">'مسير يوليو'!M106</f>
        <v>13650</v>
      </c>
      <c r="L9" s="97" t="n">
        <f aca="false">'مسير أغسطس'!M106</f>
        <v>12945</v>
      </c>
      <c r="M9" s="97" t="n">
        <f aca="false">'مسير سبتمبر'!M106</f>
        <v>13073.3333333333</v>
      </c>
      <c r="N9" s="97" t="n">
        <f aca="false">'مسير أكتوبر'!M106</f>
        <v>12826.6666666667</v>
      </c>
      <c r="O9" s="97" t="n">
        <f aca="false">'مسير نوفمبر'!M106</f>
        <v>13650</v>
      </c>
      <c r="P9" s="97" t="n">
        <f aca="false">'مسير ديسمبر'!M106</f>
        <v>12800</v>
      </c>
      <c r="Q9" s="160" t="n">
        <f aca="false">SUM(E9:P9)</f>
        <v>159973.333333333</v>
      </c>
      <c r="R9" s="161" t="n">
        <f aca="false">SUMPRODUCT(($E$4:$P$4&lt;=cfg_VAL_M)*E9:P9)</f>
        <v>120696.666666667</v>
      </c>
    </row>
    <row r="10" customFormat="false" ht="15" hidden="false" customHeight="false" outlineLevel="0" collapsed="false">
      <c r="B10" s="56" t="s">
        <v>558</v>
      </c>
      <c r="C10" s="62" t="s">
        <v>559</v>
      </c>
      <c r="D10" s="159" t="s">
        <v>553</v>
      </c>
      <c r="E10" s="97" t="n">
        <f aca="false">'مسير يناير'!N106</f>
        <v>10290</v>
      </c>
      <c r="F10" s="97" t="n">
        <f aca="false">'مسير فبراير'!N106</f>
        <v>10300</v>
      </c>
      <c r="G10" s="97" t="n">
        <f aca="false">'مسير مارس'!N106</f>
        <v>10300</v>
      </c>
      <c r="H10" s="97" t="n">
        <f aca="false">'مسير أبريل'!N106</f>
        <v>10200</v>
      </c>
      <c r="I10" s="97" t="n">
        <f aca="false">'مسير مايو'!N106</f>
        <v>10300</v>
      </c>
      <c r="J10" s="97" t="n">
        <f aca="false">'مسير يونيو'!N106</f>
        <v>10000</v>
      </c>
      <c r="K10" s="97" t="n">
        <f aca="false">'مسير يوليو'!N106</f>
        <v>10300</v>
      </c>
      <c r="L10" s="97" t="n">
        <f aca="false">'مسير أغسطس'!N106</f>
        <v>9810</v>
      </c>
      <c r="M10" s="97" t="n">
        <f aca="false">'مسير سبتمبر'!N106</f>
        <v>9258.33333333333</v>
      </c>
      <c r="N10" s="97" t="n">
        <f aca="false">'مسير أكتوبر'!N106</f>
        <v>8716.66666666667</v>
      </c>
      <c r="O10" s="97" t="n">
        <f aca="false">'مسير نوفمبر'!N106</f>
        <v>10300</v>
      </c>
      <c r="P10" s="97" t="n">
        <f aca="false">'مسير ديسمبر'!N106</f>
        <v>9800</v>
      </c>
      <c r="Q10" s="160" t="n">
        <f aca="false">SUM(E10:P10)</f>
        <v>119575</v>
      </c>
      <c r="R10" s="161" t="n">
        <f aca="false">SUMPRODUCT(($E$4:$P$4&lt;=cfg_VAL_M)*E10:P10)</f>
        <v>90758.3333333333</v>
      </c>
    </row>
    <row r="11" customFormat="false" ht="15" hidden="false" customHeight="false" outlineLevel="0" collapsed="false">
      <c r="B11" s="56" t="s">
        <v>560</v>
      </c>
      <c r="C11" s="62" t="s">
        <v>561</v>
      </c>
      <c r="D11" s="159" t="s">
        <v>553</v>
      </c>
      <c r="E11" s="97" t="n">
        <f aca="false">'مسير يناير'!P106</f>
        <v>1838.33333333333</v>
      </c>
      <c r="F11" s="97" t="n">
        <f aca="false">'مسير فبراير'!P106</f>
        <v>540.833333333333</v>
      </c>
      <c r="G11" s="97" t="n">
        <f aca="false">'مسير مارس'!P106</f>
        <v>881.25</v>
      </c>
      <c r="H11" s="97" t="n">
        <f aca="false">'مسير أبريل'!P106</f>
        <v>0</v>
      </c>
      <c r="I11" s="97" t="n">
        <f aca="false">'مسير مايو'!P106</f>
        <v>1156.66666666667</v>
      </c>
      <c r="J11" s="97" t="n">
        <f aca="false">'مسير يونيو'!P106</f>
        <v>0</v>
      </c>
      <c r="K11" s="97" t="n">
        <f aca="false">'مسير يوليو'!P106</f>
        <v>0</v>
      </c>
      <c r="L11" s="97" t="n">
        <f aca="false">'مسير أغسطس'!P106</f>
        <v>0</v>
      </c>
      <c r="M11" s="97" t="n">
        <f aca="false">'مسير سبتمبر'!P106</f>
        <v>416.25</v>
      </c>
      <c r="N11" s="97" t="n">
        <f aca="false">'مسير أكتوبر'!P106</f>
        <v>0</v>
      </c>
      <c r="O11" s="97" t="n">
        <f aca="false">'مسير نوفمبر'!P106</f>
        <v>0</v>
      </c>
      <c r="P11" s="97" t="n">
        <f aca="false">'مسير ديسمبر'!P106</f>
        <v>0</v>
      </c>
      <c r="Q11" s="160" t="n">
        <f aca="false">SUM(E11:P11)</f>
        <v>4833.33333333333</v>
      </c>
      <c r="R11" s="161" t="n">
        <f aca="false">SUMPRODUCT(($E$4:$P$4&lt;=cfg_VAL_M)*E11:P11)</f>
        <v>4833.33333333333</v>
      </c>
    </row>
    <row r="12" customFormat="false" ht="15" hidden="false" customHeight="false" outlineLevel="0" collapsed="false">
      <c r="B12" s="56" t="s">
        <v>562</v>
      </c>
      <c r="C12" s="62" t="s">
        <v>563</v>
      </c>
      <c r="D12" s="159" t="s">
        <v>553</v>
      </c>
      <c r="E12" s="97" t="n">
        <f aca="false">'مسير يناير'!Q106+'مسير يناير'!R106</f>
        <v>0</v>
      </c>
      <c r="F12" s="97" t="n">
        <f aca="false">'مسير فبراير'!Q106+'مسير فبراير'!R106</f>
        <v>5000</v>
      </c>
      <c r="G12" s="97" t="n">
        <f aca="false">'مسير مارس'!Q106+'مسير مارس'!R106</f>
        <v>0</v>
      </c>
      <c r="H12" s="97" t="n">
        <f aca="false">'مسير أبريل'!Q106+'مسير أبريل'!R106</f>
        <v>0</v>
      </c>
      <c r="I12" s="97" t="n">
        <f aca="false">'مسير مايو'!Q106+'مسير مايو'!R106</f>
        <v>0</v>
      </c>
      <c r="J12" s="97" t="n">
        <f aca="false">'مسير يونيو'!Q106+'مسير يونيو'!R106</f>
        <v>6500</v>
      </c>
      <c r="K12" s="97" t="n">
        <f aca="false">'مسير يوليو'!Q106+'مسير يوليو'!R106</f>
        <v>8297.2602739726</v>
      </c>
      <c r="L12" s="97" t="n">
        <f aca="false">'مسير أغسطس'!Q106+'مسير أغسطس'!R106</f>
        <v>0</v>
      </c>
      <c r="M12" s="97" t="n">
        <f aca="false">'مسير سبتمبر'!Q106+'مسير سبتمبر'!R106</f>
        <v>1500</v>
      </c>
      <c r="N12" s="97" t="n">
        <f aca="false">'مسير أكتوبر'!Q106+'مسير أكتوبر'!R106</f>
        <v>0</v>
      </c>
      <c r="O12" s="97" t="n">
        <f aca="false">'مسير نوفمبر'!Q106+'مسير نوفمبر'!R106</f>
        <v>0</v>
      </c>
      <c r="P12" s="97" t="n">
        <f aca="false">'مسير ديسمبر'!Q106+'مسير ديسمبر'!R106</f>
        <v>0</v>
      </c>
      <c r="Q12" s="160" t="n">
        <f aca="false">SUM(E12:P12)</f>
        <v>21297.2602739726</v>
      </c>
      <c r="R12" s="161" t="n">
        <f aca="false">SUMPRODUCT(($E$4:$P$4&lt;=cfg_VAL_M)*E12:P12)</f>
        <v>21297.2602739726</v>
      </c>
    </row>
    <row r="13" customFormat="false" ht="15" hidden="false" customHeight="false" outlineLevel="0" collapsed="false">
      <c r="B13" s="56" t="s">
        <v>564</v>
      </c>
      <c r="C13" s="62" t="s">
        <v>565</v>
      </c>
      <c r="D13" s="159" t="s">
        <v>553</v>
      </c>
      <c r="E13" s="97" t="n">
        <f aca="false">'مسير يناير'!S106</f>
        <v>0</v>
      </c>
      <c r="F13" s="97" t="n">
        <f aca="false">'مسير فبراير'!S106</f>
        <v>0</v>
      </c>
      <c r="G13" s="97" t="n">
        <f aca="false">'مسير مارس'!S106</f>
        <v>0</v>
      </c>
      <c r="H13" s="97" t="n">
        <f aca="false">'مسير أبريل'!S106</f>
        <v>0</v>
      </c>
      <c r="I13" s="97" t="n">
        <f aca="false">'مسير مايو'!S106</f>
        <v>0</v>
      </c>
      <c r="J13" s="97" t="n">
        <f aca="false">'مسير يونيو'!S106</f>
        <v>8775</v>
      </c>
      <c r="K13" s="97" t="n">
        <f aca="false">'مسير يوليو'!S106</f>
        <v>0</v>
      </c>
      <c r="L13" s="97" t="n">
        <f aca="false">'مسير أغسطس'!S106</f>
        <v>8505</v>
      </c>
      <c r="M13" s="97" t="n">
        <f aca="false">'مسير سبتمبر'!S106</f>
        <v>0</v>
      </c>
      <c r="N13" s="97" t="n">
        <f aca="false">'مسير أكتوبر'!S106</f>
        <v>0</v>
      </c>
      <c r="O13" s="97" t="n">
        <f aca="false">'مسير نوفمبر'!S106</f>
        <v>0</v>
      </c>
      <c r="P13" s="97" t="n">
        <f aca="false">'مسير ديسمبر'!S106</f>
        <v>11475</v>
      </c>
      <c r="Q13" s="160" t="n">
        <f aca="false">SUM(E13:P13)</f>
        <v>28755</v>
      </c>
      <c r="R13" s="161" t="n">
        <f aca="false">SUMPRODUCT(($E$4:$P$4&lt;=cfg_VAL_M)*E13:P13)</f>
        <v>17280</v>
      </c>
    </row>
    <row r="14" customFormat="false" ht="15" hidden="false" customHeight="false" outlineLevel="0" collapsed="false">
      <c r="B14" s="56" t="s">
        <v>566</v>
      </c>
      <c r="C14" s="62" t="s">
        <v>567</v>
      </c>
      <c r="D14" s="159" t="s">
        <v>553</v>
      </c>
      <c r="E14" s="97" t="n">
        <f aca="false">'مسير يناير'!Z106</f>
        <v>14585.9375</v>
      </c>
      <c r="F14" s="97" t="n">
        <f aca="false">'مسير فبراير'!Z106</f>
        <v>14585.9375</v>
      </c>
      <c r="G14" s="97" t="n">
        <f aca="false">'مسير مارس'!Z106</f>
        <v>14585.9375</v>
      </c>
      <c r="H14" s="97" t="n">
        <f aca="false">'مسير أبريل'!Z106</f>
        <v>15290.9375</v>
      </c>
      <c r="I14" s="97" t="n">
        <f aca="false">'مسير مايو'!Z106</f>
        <v>15907.8125</v>
      </c>
      <c r="J14" s="97" t="n">
        <f aca="false">'مسير يونيو'!Z106</f>
        <v>15907.8125</v>
      </c>
      <c r="K14" s="97" t="n">
        <f aca="false">'مسير يوليو'!Z106</f>
        <v>15782.8125</v>
      </c>
      <c r="L14" s="97" t="n">
        <f aca="false">'مسير أغسطس'!Z106</f>
        <v>15782.8125</v>
      </c>
      <c r="M14" s="97" t="n">
        <f aca="false">'مسير سبتمبر'!Z106</f>
        <v>15782.8125</v>
      </c>
      <c r="N14" s="97" t="n">
        <f aca="false">'مسير أكتوبر'!Z106</f>
        <v>15782.8125</v>
      </c>
      <c r="O14" s="97" t="n">
        <f aca="false">'مسير نوفمبر'!Z106</f>
        <v>15782.8125</v>
      </c>
      <c r="P14" s="97" t="n">
        <f aca="false">'مسير ديسمبر'!Z106</f>
        <v>15782.8125</v>
      </c>
      <c r="Q14" s="160" t="n">
        <f aca="false">SUM(E14:P14)</f>
        <v>185561.25</v>
      </c>
      <c r="R14" s="161" t="n">
        <f aca="false">SUMPRODUCT(($E$4:$P$4&lt;=cfg_VAL_M)*E14:P14)</f>
        <v>138212.8125</v>
      </c>
    </row>
    <row r="15" customFormat="false" ht="15" hidden="false" customHeight="false" outlineLevel="0" collapsed="false">
      <c r="B15" s="56" t="s">
        <v>568</v>
      </c>
      <c r="C15" s="162" t="s">
        <v>569</v>
      </c>
      <c r="D15" s="163" t="s">
        <v>570</v>
      </c>
      <c r="E15" s="97" t="n">
        <f aca="false">'مسير يناير'!U106+'مسير يناير'!Z106</f>
        <v>25859.375</v>
      </c>
      <c r="F15" s="97" t="n">
        <f aca="false">'مسير فبراير'!U106+'مسير فبراير'!Z106</f>
        <v>25859.375</v>
      </c>
      <c r="G15" s="97" t="n">
        <f aca="false">'مسير مارس'!U106+'مسير مارس'!Z106</f>
        <v>25859.375</v>
      </c>
      <c r="H15" s="97" t="n">
        <f aca="false">'مسير أبريل'!U106+'مسير أبريل'!Z106</f>
        <v>27149.375</v>
      </c>
      <c r="I15" s="97" t="n">
        <f aca="false">'مسير مايو'!U106+'مسير مايو'!Z106</f>
        <v>28278.125</v>
      </c>
      <c r="J15" s="97" t="n">
        <f aca="false">'مسير يونيو'!U106+'مسير يونيو'!Z106</f>
        <v>28278.125</v>
      </c>
      <c r="K15" s="97" t="n">
        <f aca="false">'مسير يوليو'!U106+'مسير يوليو'!Z106</f>
        <v>28153.125</v>
      </c>
      <c r="L15" s="97" t="n">
        <f aca="false">'مسير أغسطس'!U106+'مسير أغسطس'!Z106</f>
        <v>28153.125</v>
      </c>
      <c r="M15" s="97" t="n">
        <f aca="false">'مسير سبتمبر'!U106+'مسير سبتمبر'!Z106</f>
        <v>28153.125</v>
      </c>
      <c r="N15" s="97" t="n">
        <f aca="false">'مسير أكتوبر'!U106+'مسير أكتوبر'!Z106</f>
        <v>28153.125</v>
      </c>
      <c r="O15" s="97" t="n">
        <f aca="false">'مسير نوفمبر'!U106+'مسير نوفمبر'!Z106</f>
        <v>28153.125</v>
      </c>
      <c r="P15" s="97" t="n">
        <f aca="false">'مسير ديسمبر'!U106+'مسير ديسمبر'!Z106</f>
        <v>28153.125</v>
      </c>
      <c r="Q15" s="160" t="n">
        <f aca="false">SUM(E15:P15)</f>
        <v>330202.5</v>
      </c>
      <c r="R15" s="161" t="n">
        <f aca="false">SUMPRODUCT(($E$4:$P$4&lt;=cfg_VAL_M)*E15:P15)</f>
        <v>245743.125</v>
      </c>
    </row>
    <row r="16" customFormat="false" ht="15" hidden="false" customHeight="false" outlineLevel="0" collapsed="false">
      <c r="B16" s="56" t="s">
        <v>571</v>
      </c>
      <c r="C16" s="162" t="s">
        <v>572</v>
      </c>
      <c r="D16" s="163" t="s">
        <v>570</v>
      </c>
      <c r="E16" s="97" t="n">
        <f aca="false">'مسير يناير'!V106</f>
        <v>1000</v>
      </c>
      <c r="F16" s="97" t="n">
        <f aca="false">'مسير فبراير'!V106</f>
        <v>1000</v>
      </c>
      <c r="G16" s="97" t="n">
        <f aca="false">'مسير مارس'!V106</f>
        <v>1000</v>
      </c>
      <c r="H16" s="97" t="n">
        <f aca="false">'مسير أبريل'!V106</f>
        <v>1000</v>
      </c>
      <c r="I16" s="97" t="n">
        <f aca="false">'مسير مايو'!V106</f>
        <v>1000</v>
      </c>
      <c r="J16" s="97" t="n">
        <f aca="false">'مسير يونيو'!V106</f>
        <v>0</v>
      </c>
      <c r="K16" s="97" t="n">
        <f aca="false">'مسير يوليو'!V106</f>
        <v>0</v>
      </c>
      <c r="L16" s="97" t="n">
        <f aca="false">'مسير أغسطس'!V106</f>
        <v>0</v>
      </c>
      <c r="M16" s="97" t="n">
        <f aca="false">'مسير سبتمبر'!V106</f>
        <v>0</v>
      </c>
      <c r="N16" s="97" t="n">
        <f aca="false">'مسير أكتوبر'!V106</f>
        <v>0</v>
      </c>
      <c r="O16" s="97" t="n">
        <f aca="false">'مسير نوفمبر'!V106</f>
        <v>0</v>
      </c>
      <c r="P16" s="97" t="n">
        <f aca="false">'مسير ديسمبر'!V106</f>
        <v>0</v>
      </c>
      <c r="Q16" s="160" t="n">
        <f aca="false">SUM(E16:P16)</f>
        <v>5000</v>
      </c>
      <c r="R16" s="161" t="n">
        <f aca="false">SUMPRODUCT(($E$4:$P$4&lt;=cfg_VAL_M)*E16:P16)</f>
        <v>5000</v>
      </c>
    </row>
    <row r="17" customFormat="false" ht="15" hidden="false" customHeight="false" outlineLevel="0" collapsed="false">
      <c r="B17" s="56" t="s">
        <v>573</v>
      </c>
      <c r="C17" s="162" t="s">
        <v>574</v>
      </c>
      <c r="D17" s="163" t="s">
        <v>570</v>
      </c>
      <c r="E17" s="97" t="n">
        <f aca="false">'مسير يناير'!W106</f>
        <v>100</v>
      </c>
      <c r="F17" s="97" t="n">
        <f aca="false">'مسير فبراير'!W106</f>
        <v>0</v>
      </c>
      <c r="G17" s="97" t="n">
        <f aca="false">'مسير مارس'!W106</f>
        <v>0</v>
      </c>
      <c r="H17" s="97" t="n">
        <f aca="false">'مسير أبريل'!W106</f>
        <v>0</v>
      </c>
      <c r="I17" s="97" t="n">
        <f aca="false">'مسير مايو'!W106</f>
        <v>0</v>
      </c>
      <c r="J17" s="97" t="n">
        <f aca="false">'مسير يونيو'!W106</f>
        <v>0</v>
      </c>
      <c r="K17" s="97" t="n">
        <f aca="false">'مسير يوليو'!W106</f>
        <v>0</v>
      </c>
      <c r="L17" s="97" t="n">
        <f aca="false">'مسير أغسطس'!W106</f>
        <v>0</v>
      </c>
      <c r="M17" s="97" t="n">
        <f aca="false">'مسير سبتمبر'!W106</f>
        <v>250</v>
      </c>
      <c r="N17" s="97" t="n">
        <f aca="false">'مسير أكتوبر'!W106</f>
        <v>0</v>
      </c>
      <c r="O17" s="97" t="n">
        <f aca="false">'مسير نوفمبر'!W106</f>
        <v>0</v>
      </c>
      <c r="P17" s="97" t="n">
        <f aca="false">'مسير ديسمبر'!W106</f>
        <v>0</v>
      </c>
      <c r="Q17" s="160" t="n">
        <f aca="false">SUM(E17:P17)</f>
        <v>350</v>
      </c>
      <c r="R17" s="161" t="n">
        <f aca="false">SUMPRODUCT(($E$4:$P$4&lt;=cfg_VAL_M)*E17:P17)</f>
        <v>350</v>
      </c>
    </row>
    <row r="18" customFormat="false" ht="15" hidden="false" customHeight="false" outlineLevel="0" collapsed="false">
      <c r="B18" s="56" t="s">
        <v>575</v>
      </c>
      <c r="C18" s="162" t="s">
        <v>576</v>
      </c>
      <c r="D18" s="163" t="s">
        <v>570</v>
      </c>
      <c r="E18" s="97" t="n">
        <f aca="false">'مسير يناير'!Y106</f>
        <v>178337.395833333</v>
      </c>
      <c r="F18" s="97" t="n">
        <f aca="false">'مسير فبراير'!Y106</f>
        <v>182442.395833333</v>
      </c>
      <c r="G18" s="97" t="n">
        <f aca="false">'مسير مارس'!Y106</f>
        <v>177782.8125</v>
      </c>
      <c r="H18" s="97" t="n">
        <f aca="false">'مسير أبريل'!Y106</f>
        <v>181616.5625</v>
      </c>
      <c r="I18" s="97" t="n">
        <f aca="false">'مسير مايو'!Y106</f>
        <v>189111.354166667</v>
      </c>
      <c r="J18" s="97" t="n">
        <f aca="false">'مسير يونيو'!Y106</f>
        <v>195154.6875</v>
      </c>
      <c r="K18" s="97" t="n">
        <f aca="false">'مسير يوليو'!Y106</f>
        <v>190501.947773973</v>
      </c>
      <c r="L18" s="97" t="n">
        <f aca="false">'مسير أغسطس'!Y106</f>
        <v>180702.1875</v>
      </c>
      <c r="M18" s="97" t="n">
        <f aca="false">'مسير سبتمبر'!Y106</f>
        <v>175044.270833333</v>
      </c>
      <c r="N18" s="97" t="n">
        <f aca="false">'مسير أكتوبر'!Y106</f>
        <v>169506.354166667</v>
      </c>
      <c r="O18" s="97" t="n">
        <f aca="false">'مسير نوفمبر'!Y106</f>
        <v>182204.6875</v>
      </c>
      <c r="P18" s="97" t="n">
        <f aca="false">'مسير ديسمبر'!Y106</f>
        <v>181704.6875</v>
      </c>
      <c r="Q18" s="160" t="n">
        <f aca="false">SUM(E18:P18)</f>
        <v>2184109.34360731</v>
      </c>
      <c r="R18" s="161" t="n">
        <f aca="false">SUMPRODUCT(($E$4:$P$4&lt;=cfg_VAL_M)*E18:P18)</f>
        <v>1650693.61444064</v>
      </c>
    </row>
    <row r="19" customFormat="false" ht="21.75" hidden="false" customHeight="true" outlineLevel="0" collapsed="false">
      <c r="B19" s="60" t="s">
        <v>577</v>
      </c>
      <c r="C19" s="60"/>
      <c r="D19" s="60"/>
      <c r="E19" s="60"/>
      <c r="F19" s="60"/>
      <c r="G19" s="60"/>
      <c r="H19" s="60"/>
      <c r="I19" s="60"/>
      <c r="J19" s="60"/>
      <c r="K19" s="60"/>
      <c r="L19" s="60"/>
      <c r="M19" s="60"/>
      <c r="N19" s="60"/>
      <c r="O19" s="60"/>
      <c r="P19" s="60"/>
      <c r="Q19" s="60"/>
      <c r="R19" s="60"/>
    </row>
    <row r="20" customFormat="false" ht="15" hidden="false" customHeight="false" outlineLevel="0" collapsed="false">
      <c r="B20" s="56" t="s">
        <v>578</v>
      </c>
      <c r="C20" s="62" t="s">
        <v>579</v>
      </c>
      <c r="D20" s="159" t="s">
        <v>553</v>
      </c>
      <c r="E20" s="97" t="n">
        <f aca="false">'مسير يناير'!AA106</f>
        <v>13708.0479452055</v>
      </c>
      <c r="F20" s="97" t="n">
        <f aca="false">'مسير فبراير'!AA106</f>
        <v>12712.1917808219</v>
      </c>
      <c r="G20" s="97" t="n">
        <f aca="false">'مسير مارس'!AA106</f>
        <v>14074.2123287672</v>
      </c>
      <c r="H20" s="97" t="n">
        <f aca="false">'مسير أبريل'!AA106</f>
        <v>13886.506849315</v>
      </c>
      <c r="I20" s="97" t="n">
        <f aca="false">'مسير مايو'!AA106</f>
        <v>14590.1712328767</v>
      </c>
      <c r="J20" s="97" t="n">
        <f aca="false">'مسير يونيو'!AA106</f>
        <v>14119.5205479452</v>
      </c>
      <c r="K20" s="97" t="n">
        <f aca="false">'مسير يوليو'!AA106</f>
        <v>14016.8835616438</v>
      </c>
      <c r="L20" s="97" t="n">
        <f aca="false">'مسير أغسطس'!AA106</f>
        <v>13975.2739726027</v>
      </c>
      <c r="M20" s="97" t="n">
        <f aca="false">'مسير سبتمبر'!AA106</f>
        <v>13035.8219178082</v>
      </c>
      <c r="N20" s="97" t="n">
        <f aca="false">'مسير أكتوبر'!AA106</f>
        <v>13103.3219178082</v>
      </c>
      <c r="O20" s="97" t="n">
        <f aca="false">'مسير نوفمبر'!AA106</f>
        <v>13564.7260273973</v>
      </c>
      <c r="P20" s="97" t="n">
        <f aca="false">'مسير ديسمبر'!AA106</f>
        <v>14016.8835616439</v>
      </c>
      <c r="Q20" s="160" t="n">
        <f aca="false">SUM(E20:P20)</f>
        <v>164803.561643836</v>
      </c>
      <c r="R20" s="161" t="n">
        <f aca="false">SUMPRODUCT(($E$4:$P$4&lt;=cfg_VAL_M)*E20:P20)</f>
        <v>124118.630136986</v>
      </c>
    </row>
    <row r="21" customFormat="false" ht="15" hidden="false" customHeight="false" outlineLevel="0" collapsed="false">
      <c r="B21" s="56" t="s">
        <v>580</v>
      </c>
      <c r="C21" s="162" t="s">
        <v>581</v>
      </c>
      <c r="D21" s="163" t="s">
        <v>570</v>
      </c>
      <c r="E21" s="97" t="n">
        <f aca="false">'مسير يناير'!AA106</f>
        <v>13708.0479452055</v>
      </c>
      <c r="F21" s="97" t="n">
        <f aca="false">'مسير فبراير'!AA106</f>
        <v>12712.1917808219</v>
      </c>
      <c r="G21" s="97" t="n">
        <f aca="false">'مسير مارس'!AA106</f>
        <v>14074.2123287672</v>
      </c>
      <c r="H21" s="97" t="n">
        <f aca="false">'مسير أبريل'!AA106</f>
        <v>13886.506849315</v>
      </c>
      <c r="I21" s="97" t="n">
        <f aca="false">'مسير مايو'!AA106</f>
        <v>14590.1712328767</v>
      </c>
      <c r="J21" s="97" t="n">
        <f aca="false">'مسير يونيو'!AA106</f>
        <v>14119.5205479452</v>
      </c>
      <c r="K21" s="97" t="n">
        <f aca="false">'مسير يوليو'!AA106</f>
        <v>14016.8835616438</v>
      </c>
      <c r="L21" s="97" t="n">
        <f aca="false">'مسير أغسطس'!AA106</f>
        <v>13975.2739726027</v>
      </c>
      <c r="M21" s="97" t="n">
        <f aca="false">'مسير سبتمبر'!AA106</f>
        <v>13035.8219178082</v>
      </c>
      <c r="N21" s="97" t="n">
        <f aca="false">'مسير أكتوبر'!AA106</f>
        <v>13103.3219178082</v>
      </c>
      <c r="O21" s="97" t="n">
        <f aca="false">'مسير نوفمبر'!AA106</f>
        <v>13564.7260273973</v>
      </c>
      <c r="P21" s="97" t="n">
        <f aca="false">'مسير ديسمبر'!AA106</f>
        <v>14016.8835616439</v>
      </c>
      <c r="Q21" s="160" t="n">
        <f aca="false">SUM(E21:P21)</f>
        <v>164803.561643836</v>
      </c>
      <c r="R21" s="161" t="n">
        <f aca="false">SUMPRODUCT(($E$4:$P$4&lt;=cfg_VAL_M)*E21:P21)</f>
        <v>124118.630136986</v>
      </c>
    </row>
    <row r="22" customFormat="false" ht="15" hidden="false" customHeight="false" outlineLevel="0" collapsed="false">
      <c r="B22" s="56" t="s">
        <v>582</v>
      </c>
      <c r="C22" s="62" t="s">
        <v>583</v>
      </c>
      <c r="D22" s="159" t="s">
        <v>553</v>
      </c>
      <c r="E22" s="97" t="n">
        <f aca="false">'مسير يناير'!AB106</f>
        <v>14521.3767123288</v>
      </c>
      <c r="F22" s="97" t="n">
        <f aca="false">'مسير فبراير'!AB106</f>
        <v>13116.0821917808</v>
      </c>
      <c r="G22" s="97" t="n">
        <f aca="false">'مسير مارس'!AB106</f>
        <v>14521.3767123288</v>
      </c>
      <c r="H22" s="97" t="n">
        <f aca="false">'مسير أبريل'!AB106</f>
        <v>14425.7671232877</v>
      </c>
      <c r="I22" s="97" t="n">
        <f aca="false">'مسير مايو'!AB106</f>
        <v>15243.7191780822</v>
      </c>
      <c r="J22" s="97" t="n">
        <f aca="false">'مسير يونيو'!AB106</f>
        <v>14751.9863013699</v>
      </c>
      <c r="K22" s="97" t="n">
        <f aca="false">'مسير يوليو'!AB106</f>
        <v>14670.4315068493</v>
      </c>
      <c r="L22" s="97" t="n">
        <f aca="false">'مسير أغسطس'!AB106</f>
        <v>14612.1780821918</v>
      </c>
      <c r="M22" s="97" t="n">
        <f aca="false">'مسير سبتمبر'!AB106</f>
        <v>13668.2876712329</v>
      </c>
      <c r="N22" s="97" t="n">
        <f aca="false">'مسير أكتوبر'!AB106</f>
        <v>13756.8698630137</v>
      </c>
      <c r="O22" s="97" t="n">
        <f aca="false">'مسير نوفمبر'!AB106</f>
        <v>14197.1917808219</v>
      </c>
      <c r="P22" s="97" t="n">
        <f aca="false">'مسير ديسمبر'!AB106</f>
        <v>14670.4315068493</v>
      </c>
      <c r="Q22" s="160" t="n">
        <f aca="false">SUM(E22:P22)</f>
        <v>172155.698630137</v>
      </c>
      <c r="R22" s="161" t="n">
        <f aca="false">SUMPRODUCT(($E$4:$P$4&lt;=cfg_VAL_M)*E22:P22)</f>
        <v>129531.205479452</v>
      </c>
    </row>
    <row r="23" customFormat="false" ht="15" hidden="false" customHeight="false" outlineLevel="0" collapsed="false">
      <c r="B23" s="56" t="s">
        <v>584</v>
      </c>
      <c r="C23" s="162" t="s">
        <v>585</v>
      </c>
      <c r="D23" s="163" t="s">
        <v>570</v>
      </c>
      <c r="E23" s="97" t="n">
        <f aca="false">'مسير يناير'!AB106</f>
        <v>14521.3767123288</v>
      </c>
      <c r="F23" s="97" t="n">
        <f aca="false">'مسير فبراير'!AB106</f>
        <v>13116.0821917808</v>
      </c>
      <c r="G23" s="97" t="n">
        <f aca="false">'مسير مارس'!AB106</f>
        <v>14521.3767123288</v>
      </c>
      <c r="H23" s="97" t="n">
        <f aca="false">'مسير أبريل'!AB106</f>
        <v>14425.7671232877</v>
      </c>
      <c r="I23" s="97" t="n">
        <f aca="false">'مسير مايو'!AB106</f>
        <v>15243.7191780822</v>
      </c>
      <c r="J23" s="97" t="n">
        <f aca="false">'مسير يونيو'!AB106</f>
        <v>14751.9863013699</v>
      </c>
      <c r="K23" s="97" t="n">
        <f aca="false">'مسير يوليو'!AB106</f>
        <v>14670.4315068493</v>
      </c>
      <c r="L23" s="97" t="n">
        <f aca="false">'مسير أغسطس'!AB106</f>
        <v>14612.1780821918</v>
      </c>
      <c r="M23" s="97" t="n">
        <f aca="false">'مسير سبتمبر'!AB106</f>
        <v>13668.2876712329</v>
      </c>
      <c r="N23" s="97" t="n">
        <f aca="false">'مسير أكتوبر'!AB106</f>
        <v>13756.8698630137</v>
      </c>
      <c r="O23" s="97" t="n">
        <f aca="false">'مسير نوفمبر'!AB106</f>
        <v>14197.1917808219</v>
      </c>
      <c r="P23" s="97" t="n">
        <f aca="false">'مسير ديسمبر'!AB106</f>
        <v>14670.4315068493</v>
      </c>
      <c r="Q23" s="160" t="n">
        <f aca="false">SUM(E23:P23)</f>
        <v>172155.698630137</v>
      </c>
      <c r="R23" s="161" t="n">
        <f aca="false">SUMPRODUCT(($E$4:$P$4&lt;=cfg_VAL_M)*E23:P23)</f>
        <v>129531.205479452</v>
      </c>
    </row>
    <row r="24" customFormat="false" ht="15" hidden="false" customHeight="false" outlineLevel="0" collapsed="false">
      <c r="B24" s="56" t="s">
        <v>586</v>
      </c>
      <c r="C24" s="62" t="s">
        <v>587</v>
      </c>
      <c r="D24" s="159" t="s">
        <v>553</v>
      </c>
      <c r="E24" s="97" t="n">
        <f aca="false">'مسير يناير'!AC106</f>
        <v>959.72602739726</v>
      </c>
      <c r="F24" s="97" t="n">
        <f aca="false">'مسير فبراير'!AC106</f>
        <v>866.849315068493</v>
      </c>
      <c r="G24" s="97" t="n">
        <f aca="false">'مسير مارس'!AC106</f>
        <v>959.72602739726</v>
      </c>
      <c r="H24" s="97" t="n">
        <f aca="false">'مسير أبريل'!AC106</f>
        <v>928.767123287671</v>
      </c>
      <c r="I24" s="97" t="n">
        <f aca="false">'مسير مايو'!AC106</f>
        <v>959.72602739726</v>
      </c>
      <c r="J24" s="97" t="n">
        <f aca="false">'مسير يونيو'!AC106</f>
        <v>928.767123287671</v>
      </c>
      <c r="K24" s="97" t="n">
        <f aca="false">'مسير يوليو'!AC106</f>
        <v>849.315068493151</v>
      </c>
      <c r="L24" s="97" t="n">
        <f aca="false">'مسير أغسطس'!AC106</f>
        <v>849.315068493151</v>
      </c>
      <c r="M24" s="97" t="n">
        <f aca="false">'مسير سبتمبر'!AC106</f>
        <v>821.917808219178</v>
      </c>
      <c r="N24" s="97" t="n">
        <f aca="false">'مسير أكتوبر'!AC106</f>
        <v>849.315068493151</v>
      </c>
      <c r="O24" s="97" t="n">
        <f aca="false">'مسير نوفمبر'!AC106</f>
        <v>821.917808219178</v>
      </c>
      <c r="P24" s="97" t="n">
        <f aca="false">'مسير ديسمبر'!AC106</f>
        <v>849.315068493151</v>
      </c>
      <c r="Q24" s="160" t="n">
        <f aca="false">SUM(E24:P24)</f>
        <v>10644.6575342466</v>
      </c>
      <c r="R24" s="161" t="n">
        <f aca="false">SUMPRODUCT(($E$4:$P$4&lt;=cfg_VAL_M)*E24:P24)</f>
        <v>8124.1095890411</v>
      </c>
    </row>
    <row r="25" customFormat="false" ht="15" hidden="false" customHeight="false" outlineLevel="0" collapsed="false">
      <c r="B25" s="56" t="s">
        <v>588</v>
      </c>
      <c r="C25" s="162" t="s">
        <v>589</v>
      </c>
      <c r="D25" s="163" t="s">
        <v>570</v>
      </c>
      <c r="E25" s="97" t="n">
        <f aca="false">'مسير يناير'!AC106</f>
        <v>959.72602739726</v>
      </c>
      <c r="F25" s="97" t="n">
        <f aca="false">'مسير فبراير'!AC106</f>
        <v>866.849315068493</v>
      </c>
      <c r="G25" s="97" t="n">
        <f aca="false">'مسير مارس'!AC106</f>
        <v>959.72602739726</v>
      </c>
      <c r="H25" s="97" t="n">
        <f aca="false">'مسير أبريل'!AC106</f>
        <v>928.767123287671</v>
      </c>
      <c r="I25" s="97" t="n">
        <f aca="false">'مسير مايو'!AC106</f>
        <v>959.72602739726</v>
      </c>
      <c r="J25" s="97" t="n">
        <f aca="false">'مسير يونيو'!AC106</f>
        <v>928.767123287671</v>
      </c>
      <c r="K25" s="97" t="n">
        <f aca="false">'مسير يوليو'!AC106</f>
        <v>849.315068493151</v>
      </c>
      <c r="L25" s="97" t="n">
        <f aca="false">'مسير أغسطس'!AC106</f>
        <v>849.315068493151</v>
      </c>
      <c r="M25" s="97" t="n">
        <f aca="false">'مسير سبتمبر'!AC106</f>
        <v>821.917808219178</v>
      </c>
      <c r="N25" s="97" t="n">
        <f aca="false">'مسير أكتوبر'!AC106</f>
        <v>849.315068493151</v>
      </c>
      <c r="O25" s="97" t="n">
        <f aca="false">'مسير نوفمبر'!AC106</f>
        <v>821.917808219178</v>
      </c>
      <c r="P25" s="97" t="n">
        <f aca="false">'مسير ديسمبر'!AC106</f>
        <v>849.315068493151</v>
      </c>
      <c r="Q25" s="160" t="n">
        <f aca="false">SUM(E25:P25)</f>
        <v>10644.6575342466</v>
      </c>
      <c r="R25" s="161" t="n">
        <f aca="false">SUMPRODUCT(($E$4:$P$4&lt;=cfg_VAL_M)*E25:P25)</f>
        <v>8124.1095890411</v>
      </c>
    </row>
    <row r="26" customFormat="false" ht="21.75" hidden="false" customHeight="true" outlineLevel="0" collapsed="false">
      <c r="B26" s="60" t="s">
        <v>590</v>
      </c>
      <c r="C26" s="60"/>
      <c r="D26" s="60"/>
      <c r="E26" s="60"/>
      <c r="F26" s="60"/>
      <c r="G26" s="60"/>
      <c r="H26" s="60"/>
      <c r="I26" s="60"/>
      <c r="J26" s="60"/>
      <c r="K26" s="60"/>
      <c r="L26" s="60"/>
      <c r="M26" s="60"/>
      <c r="N26" s="60"/>
      <c r="O26" s="60"/>
      <c r="P26" s="60"/>
      <c r="Q26" s="60"/>
      <c r="R26" s="60"/>
    </row>
    <row r="27" customFormat="false" ht="15" hidden="false" customHeight="false" outlineLevel="0" collapsed="false">
      <c r="B27" s="56" t="s">
        <v>584</v>
      </c>
      <c r="C27" s="62" t="s">
        <v>591</v>
      </c>
      <c r="D27" s="159" t="s">
        <v>553</v>
      </c>
      <c r="E27" s="97" t="n">
        <f aca="false">'مسير يناير'!AM106</f>
        <v>0</v>
      </c>
      <c r="F27" s="97" t="n">
        <f aca="false">'مسير فبراير'!AM106</f>
        <v>0</v>
      </c>
      <c r="G27" s="97" t="n">
        <f aca="false">'مسير مارس'!AM106</f>
        <v>22995</v>
      </c>
      <c r="H27" s="97" t="n">
        <f aca="false">'مسير أبريل'!AM106</f>
        <v>0</v>
      </c>
      <c r="I27" s="97" t="n">
        <f aca="false">'مسير مايو'!AM106</f>
        <v>0</v>
      </c>
      <c r="J27" s="97" t="n">
        <f aca="false">'مسير يونيو'!AM106</f>
        <v>8775</v>
      </c>
      <c r="K27" s="97" t="n">
        <f aca="false">'مسير يوليو'!AM106</f>
        <v>25650</v>
      </c>
      <c r="L27" s="97" t="n">
        <f aca="false">'مسير أغسطس'!AM106</f>
        <v>8505</v>
      </c>
      <c r="M27" s="97" t="n">
        <f aca="false">'مسير سبتمبر'!AM106</f>
        <v>0</v>
      </c>
      <c r="N27" s="97" t="n">
        <f aca="false">'مسير أكتوبر'!AM106</f>
        <v>0</v>
      </c>
      <c r="O27" s="97" t="n">
        <f aca="false">'مسير نوفمبر'!AM106</f>
        <v>0</v>
      </c>
      <c r="P27" s="97" t="n">
        <f aca="false">'مسير ديسمبر'!AM106</f>
        <v>11475</v>
      </c>
      <c r="Q27" s="160" t="n">
        <f aca="false">SUM(E27:P27)</f>
        <v>77400</v>
      </c>
      <c r="R27" s="161" t="n">
        <f aca="false">SUMPRODUCT(($E$4:$P$4&lt;=cfg_VAL_M)*E27:P27)</f>
        <v>65925</v>
      </c>
    </row>
    <row r="28" customFormat="false" ht="15" hidden="false" customHeight="false" outlineLevel="0" collapsed="false">
      <c r="B28" s="56" t="s">
        <v>582</v>
      </c>
      <c r="C28" s="162" t="s">
        <v>592</v>
      </c>
      <c r="D28" s="163" t="s">
        <v>570</v>
      </c>
      <c r="E28" s="97" t="n">
        <f aca="false">'مسير يناير'!AM106</f>
        <v>0</v>
      </c>
      <c r="F28" s="97" t="n">
        <f aca="false">'مسير فبراير'!AM106</f>
        <v>0</v>
      </c>
      <c r="G28" s="97" t="n">
        <f aca="false">'مسير مارس'!AM106</f>
        <v>22995</v>
      </c>
      <c r="H28" s="97" t="n">
        <f aca="false">'مسير أبريل'!AM106</f>
        <v>0</v>
      </c>
      <c r="I28" s="97" t="n">
        <f aca="false">'مسير مايو'!AM106</f>
        <v>0</v>
      </c>
      <c r="J28" s="97" t="n">
        <f aca="false">'مسير يونيو'!AM106</f>
        <v>8775</v>
      </c>
      <c r="K28" s="97" t="n">
        <f aca="false">'مسير يوليو'!AM106</f>
        <v>25650</v>
      </c>
      <c r="L28" s="97" t="n">
        <f aca="false">'مسير أغسطس'!AM106</f>
        <v>8505</v>
      </c>
      <c r="M28" s="97" t="n">
        <f aca="false">'مسير سبتمبر'!AM106</f>
        <v>0</v>
      </c>
      <c r="N28" s="97" t="n">
        <f aca="false">'مسير أكتوبر'!AM106</f>
        <v>0</v>
      </c>
      <c r="O28" s="97" t="n">
        <f aca="false">'مسير نوفمبر'!AM106</f>
        <v>0</v>
      </c>
      <c r="P28" s="97" t="n">
        <f aca="false">'مسير ديسمبر'!AM106</f>
        <v>11475</v>
      </c>
      <c r="Q28" s="160" t="n">
        <f aca="false">SUM(E28:P28)</f>
        <v>77400</v>
      </c>
      <c r="R28" s="161" t="n">
        <f aca="false">SUMPRODUCT(($E$4:$P$4&lt;=cfg_VAL_M)*E28:P28)</f>
        <v>65925</v>
      </c>
    </row>
    <row r="29" customFormat="false" ht="21.75" hidden="false" customHeight="true" outlineLevel="0" collapsed="false">
      <c r="B29" s="60" t="s">
        <v>593</v>
      </c>
      <c r="C29" s="60"/>
      <c r="D29" s="60"/>
      <c r="E29" s="60"/>
      <c r="F29" s="60"/>
      <c r="G29" s="60"/>
      <c r="H29" s="60"/>
      <c r="I29" s="60"/>
      <c r="J29" s="60"/>
      <c r="K29" s="60"/>
      <c r="L29" s="60"/>
      <c r="M29" s="60"/>
      <c r="N29" s="60"/>
      <c r="O29" s="60"/>
      <c r="P29" s="60"/>
      <c r="Q29" s="60"/>
      <c r="R29" s="60"/>
    </row>
    <row r="30" customFormat="false" ht="15" hidden="false" customHeight="false" outlineLevel="0" collapsed="false">
      <c r="B30" s="56" t="s">
        <v>594</v>
      </c>
      <c r="C30" s="62" t="s">
        <v>595</v>
      </c>
      <c r="D30" s="159" t="s">
        <v>553</v>
      </c>
      <c r="E30" s="97" t="n">
        <f aca="false">'مسير يناير'!AD106+'مسير يناير'!AF106</f>
        <v>4670.83333333333</v>
      </c>
      <c r="F30" s="97" t="n">
        <f aca="false">'مسير فبراير'!AD106+'مسير فبراير'!AF106</f>
        <v>4670.83333333333</v>
      </c>
      <c r="G30" s="97" t="n">
        <f aca="false">'مسير مارس'!AD106+'مسير مارس'!AF106</f>
        <v>4670.83333333333</v>
      </c>
      <c r="H30" s="97" t="n">
        <f aca="false">'مسير أبريل'!AD106+'مسير أبريل'!AF106</f>
        <v>4670.83333333333</v>
      </c>
      <c r="I30" s="97" t="n">
        <f aca="false">'مسير مايو'!AD106+'مسير مايو'!AF106</f>
        <v>4670.83333333333</v>
      </c>
      <c r="J30" s="97" t="n">
        <f aca="false">'مسير يونيو'!AD106+'مسير يونيو'!AF106</f>
        <v>4670.83333333333</v>
      </c>
      <c r="K30" s="97" t="n">
        <f aca="false">'مسير يوليو'!AD106+'مسير يوليو'!AF106</f>
        <v>3816.66666666667</v>
      </c>
      <c r="L30" s="97" t="n">
        <f aca="false">'مسير أغسطس'!AD106+'مسير أغسطس'!AF106</f>
        <v>3816.66666666667</v>
      </c>
      <c r="M30" s="97" t="n">
        <f aca="false">'مسير سبتمبر'!AD106+'مسير سبتمبر'!AF106</f>
        <v>3816.66666666667</v>
      </c>
      <c r="N30" s="97" t="n">
        <f aca="false">'مسير أكتوبر'!AD106+'مسير أكتوبر'!AF106</f>
        <v>3816.66666666667</v>
      </c>
      <c r="O30" s="97" t="n">
        <f aca="false">'مسير نوفمبر'!AD106+'مسير نوفمبر'!AF106</f>
        <v>3816.66666666667</v>
      </c>
      <c r="P30" s="97" t="n">
        <f aca="false">'مسير ديسمبر'!AD106+'مسير ديسمبر'!AF106</f>
        <v>3816.66666666667</v>
      </c>
      <c r="Q30" s="160" t="n">
        <f aca="false">SUM(E30:P30)</f>
        <v>50925</v>
      </c>
      <c r="R30" s="161" t="n">
        <f aca="false">SUMPRODUCT(($E$4:$P$4&lt;=cfg_VAL_M)*E30:P30)</f>
        <v>39475</v>
      </c>
    </row>
    <row r="31" customFormat="false" ht="15" hidden="false" customHeight="false" outlineLevel="0" collapsed="false">
      <c r="B31" s="56" t="s">
        <v>596</v>
      </c>
      <c r="C31" s="162" t="s">
        <v>597</v>
      </c>
      <c r="D31" s="163" t="s">
        <v>570</v>
      </c>
      <c r="E31" s="97" t="n">
        <f aca="false">'مسير يناير'!AD106+'مسير يناير'!AF106</f>
        <v>4670.83333333333</v>
      </c>
      <c r="F31" s="97" t="n">
        <f aca="false">'مسير فبراير'!AD106+'مسير فبراير'!AF106</f>
        <v>4670.83333333333</v>
      </c>
      <c r="G31" s="97" t="n">
        <f aca="false">'مسير مارس'!AD106+'مسير مارس'!AF106</f>
        <v>4670.83333333333</v>
      </c>
      <c r="H31" s="97" t="n">
        <f aca="false">'مسير أبريل'!AD106+'مسير أبريل'!AF106</f>
        <v>4670.83333333333</v>
      </c>
      <c r="I31" s="97" t="n">
        <f aca="false">'مسير مايو'!AD106+'مسير مايو'!AF106</f>
        <v>4670.83333333333</v>
      </c>
      <c r="J31" s="97" t="n">
        <f aca="false">'مسير يونيو'!AD106+'مسير يونيو'!AF106</f>
        <v>4670.83333333333</v>
      </c>
      <c r="K31" s="97" t="n">
        <f aca="false">'مسير يوليو'!AD106+'مسير يوليو'!AF106</f>
        <v>3816.66666666667</v>
      </c>
      <c r="L31" s="97" t="n">
        <f aca="false">'مسير أغسطس'!AD106+'مسير أغسطس'!AF106</f>
        <v>3816.66666666667</v>
      </c>
      <c r="M31" s="97" t="n">
        <f aca="false">'مسير سبتمبر'!AD106+'مسير سبتمبر'!AF106</f>
        <v>3816.66666666667</v>
      </c>
      <c r="N31" s="97" t="n">
        <f aca="false">'مسير أكتوبر'!AD106+'مسير أكتوبر'!AF106</f>
        <v>3816.66666666667</v>
      </c>
      <c r="O31" s="97" t="n">
        <f aca="false">'مسير نوفمبر'!AD106+'مسير نوفمبر'!AF106</f>
        <v>3816.66666666667</v>
      </c>
      <c r="P31" s="97" t="n">
        <f aca="false">'مسير ديسمبر'!AD106+'مسير ديسمبر'!AF106</f>
        <v>3816.66666666667</v>
      </c>
      <c r="Q31" s="160" t="n">
        <f aca="false">SUM(E31:P31)</f>
        <v>50925</v>
      </c>
      <c r="R31" s="161" t="n">
        <f aca="false">SUMPRODUCT(($E$4:$P$4&lt;=cfg_VAL_M)*E31:P31)</f>
        <v>39475</v>
      </c>
    </row>
    <row r="32" customFormat="false" ht="15" hidden="false" customHeight="false" outlineLevel="0" collapsed="false">
      <c r="B32" s="56" t="s">
        <v>598</v>
      </c>
      <c r="C32" s="62" t="s">
        <v>599</v>
      </c>
      <c r="D32" s="159" t="s">
        <v>553</v>
      </c>
      <c r="E32" s="97" t="n">
        <f aca="false">'مسير يناير'!AE106</f>
        <v>2600</v>
      </c>
      <c r="F32" s="97" t="n">
        <f aca="false">'مسير فبراير'!AE106</f>
        <v>2600</v>
      </c>
      <c r="G32" s="97" t="n">
        <f aca="false">'مسير مارس'!AE106</f>
        <v>2600</v>
      </c>
      <c r="H32" s="97" t="n">
        <f aca="false">'مسير أبريل'!AE106</f>
        <v>2706.66666666667</v>
      </c>
      <c r="I32" s="97" t="n">
        <f aca="false">'مسير مايو'!AE106</f>
        <v>2800</v>
      </c>
      <c r="J32" s="97" t="n">
        <f aca="false">'مسير يونيو'!AE106</f>
        <v>2800</v>
      </c>
      <c r="K32" s="97" t="n">
        <f aca="false">'مسير يوليو'!AE106</f>
        <v>2650</v>
      </c>
      <c r="L32" s="97" t="n">
        <f aca="false">'مسير أغسطس'!AE106</f>
        <v>2650</v>
      </c>
      <c r="M32" s="97" t="n">
        <f aca="false">'مسير سبتمبر'!AE106</f>
        <v>2650</v>
      </c>
      <c r="N32" s="97" t="n">
        <f aca="false">'مسير أكتوبر'!AE106</f>
        <v>2650</v>
      </c>
      <c r="O32" s="97" t="n">
        <f aca="false">'مسير نوفمبر'!AE106</f>
        <v>2650</v>
      </c>
      <c r="P32" s="97" t="n">
        <f aca="false">'مسير ديسمبر'!AE106</f>
        <v>2650</v>
      </c>
      <c r="Q32" s="160" t="n">
        <f aca="false">SUM(E32:P32)</f>
        <v>32006.6666666667</v>
      </c>
      <c r="R32" s="161" t="n">
        <f aca="false">SUMPRODUCT(($E$4:$P$4&lt;=cfg_VAL_M)*E32:P32)</f>
        <v>24056.6666666667</v>
      </c>
    </row>
    <row r="33" customFormat="false" ht="15" hidden="false" customHeight="false" outlineLevel="0" collapsed="false">
      <c r="B33" s="56" t="s">
        <v>600</v>
      </c>
      <c r="C33" s="162" t="s">
        <v>601</v>
      </c>
      <c r="D33" s="163" t="s">
        <v>570</v>
      </c>
      <c r="E33" s="97" t="n">
        <f aca="false">'مسير يناير'!AE106</f>
        <v>2600</v>
      </c>
      <c r="F33" s="97" t="n">
        <f aca="false">'مسير فبراير'!AE106</f>
        <v>2600</v>
      </c>
      <c r="G33" s="97" t="n">
        <f aca="false">'مسير مارس'!AE106</f>
        <v>2600</v>
      </c>
      <c r="H33" s="97" t="n">
        <f aca="false">'مسير أبريل'!AE106</f>
        <v>2706.66666666667</v>
      </c>
      <c r="I33" s="97" t="n">
        <f aca="false">'مسير مايو'!AE106</f>
        <v>2800</v>
      </c>
      <c r="J33" s="97" t="n">
        <f aca="false">'مسير يونيو'!AE106</f>
        <v>2800</v>
      </c>
      <c r="K33" s="97" t="n">
        <f aca="false">'مسير يوليو'!AE106</f>
        <v>2650</v>
      </c>
      <c r="L33" s="97" t="n">
        <f aca="false">'مسير أغسطس'!AE106</f>
        <v>2650</v>
      </c>
      <c r="M33" s="97" t="n">
        <f aca="false">'مسير سبتمبر'!AE106</f>
        <v>2650</v>
      </c>
      <c r="N33" s="97" t="n">
        <f aca="false">'مسير أكتوبر'!AE106</f>
        <v>2650</v>
      </c>
      <c r="O33" s="97" t="n">
        <f aca="false">'مسير نوفمبر'!AE106</f>
        <v>2650</v>
      </c>
      <c r="P33" s="97" t="n">
        <f aca="false">'مسير ديسمبر'!AE106</f>
        <v>2650</v>
      </c>
      <c r="Q33" s="160" t="n">
        <f aca="false">SUM(E33:P33)</f>
        <v>32006.6666666667</v>
      </c>
      <c r="R33" s="161" t="n">
        <f aca="false">SUMPRODUCT(($E$4:$P$4&lt;=cfg_VAL_M)*E33:P33)</f>
        <v>24056.6666666667</v>
      </c>
    </row>
    <row r="34" customFormat="false" ht="21.75" hidden="false" customHeight="true" outlineLevel="0" collapsed="false">
      <c r="B34" s="60" t="s">
        <v>602</v>
      </c>
      <c r="C34" s="60"/>
      <c r="D34" s="60"/>
      <c r="E34" s="60"/>
      <c r="F34" s="60"/>
      <c r="G34" s="60"/>
      <c r="H34" s="60"/>
      <c r="I34" s="60"/>
      <c r="J34" s="60"/>
      <c r="K34" s="60"/>
      <c r="L34" s="60"/>
      <c r="M34" s="60"/>
      <c r="N34" s="60"/>
      <c r="O34" s="60"/>
      <c r="P34" s="60"/>
      <c r="Q34" s="60"/>
      <c r="R34" s="60"/>
    </row>
    <row r="35" customFormat="false" ht="15" hidden="false" customHeight="false" outlineLevel="0" collapsed="false">
      <c r="B35" s="56" t="s">
        <v>575</v>
      </c>
      <c r="C35" s="62" t="s">
        <v>603</v>
      </c>
      <c r="D35" s="159" t="s">
        <v>553</v>
      </c>
      <c r="E35" s="97" t="n">
        <f aca="false">'مسير يناير'!Y106</f>
        <v>178337.395833333</v>
      </c>
      <c r="F35" s="97" t="n">
        <f aca="false">'مسير فبراير'!Y106</f>
        <v>182442.395833333</v>
      </c>
      <c r="G35" s="97" t="n">
        <f aca="false">'مسير مارس'!Y106</f>
        <v>177782.8125</v>
      </c>
      <c r="H35" s="97" t="n">
        <f aca="false">'مسير أبريل'!Y106</f>
        <v>181616.5625</v>
      </c>
      <c r="I35" s="97" t="n">
        <f aca="false">'مسير مايو'!Y106</f>
        <v>189111.354166667</v>
      </c>
      <c r="J35" s="97" t="n">
        <f aca="false">'مسير يونيو'!Y106</f>
        <v>195154.6875</v>
      </c>
      <c r="K35" s="97" t="n">
        <f aca="false">'مسير يوليو'!Y106</f>
        <v>190501.947773973</v>
      </c>
      <c r="L35" s="97" t="n">
        <f aca="false">'مسير أغسطس'!Y106</f>
        <v>180702.1875</v>
      </c>
      <c r="M35" s="97" t="n">
        <f aca="false">'مسير سبتمبر'!Y106</f>
        <v>175044.270833333</v>
      </c>
      <c r="N35" s="97" t="n">
        <f aca="false">'مسير أكتوبر'!Y106</f>
        <v>169506.354166667</v>
      </c>
      <c r="O35" s="97" t="n">
        <f aca="false">'مسير نوفمبر'!Y106</f>
        <v>182204.6875</v>
      </c>
      <c r="P35" s="97" t="n">
        <f aca="false">'مسير ديسمبر'!Y106</f>
        <v>181704.6875</v>
      </c>
      <c r="Q35" s="160" t="n">
        <f aca="false">SUM(E35:P35)</f>
        <v>2184109.34360731</v>
      </c>
      <c r="R35" s="161" t="n">
        <f aca="false">SUMPRODUCT(($E$4:$P$4&lt;=cfg_VAL_M)*E35:P35)</f>
        <v>1650693.61444064</v>
      </c>
    </row>
    <row r="36" customFormat="false" ht="15" hidden="false" customHeight="false" outlineLevel="0" collapsed="false">
      <c r="B36" s="56" t="s">
        <v>580</v>
      </c>
      <c r="C36" s="62" t="s">
        <v>604</v>
      </c>
      <c r="D36" s="159" t="s">
        <v>553</v>
      </c>
      <c r="E36" s="97" t="n">
        <f aca="false">SUMIFS('الحركات الشهرية'!$N$6:$N$1005,'الحركات الشهرية'!$A$6:$A$1005,1)</f>
        <v>0</v>
      </c>
      <c r="F36" s="97" t="n">
        <f aca="false">SUMIFS('الحركات الشهرية'!$N$6:$N$1005,'الحركات الشهرية'!$A$6:$A$1005,2)</f>
        <v>0</v>
      </c>
      <c r="G36" s="97" t="n">
        <f aca="false">SUMIFS('الحركات الشهرية'!$N$6:$N$1005,'الحركات الشهرية'!$A$6:$A$1005,3)</f>
        <v>0</v>
      </c>
      <c r="H36" s="97" t="n">
        <f aca="false">SUMIFS('الحركات الشهرية'!$N$6:$N$1005,'الحركات الشهرية'!$A$6:$A$1005,4)</f>
        <v>0</v>
      </c>
      <c r="I36" s="97" t="n">
        <f aca="false">SUMIFS('الحركات الشهرية'!$N$6:$N$1005,'الحركات الشهرية'!$A$6:$A$1005,5)</f>
        <v>0</v>
      </c>
      <c r="J36" s="97" t="n">
        <f aca="false">SUMIFS('الحركات الشهرية'!$N$6:$N$1005,'الحركات الشهرية'!$A$6:$A$1005,6)</f>
        <v>0</v>
      </c>
      <c r="K36" s="97" t="n">
        <f aca="false">SUMIFS('الحركات الشهرية'!$N$6:$N$1005,'الحركات الشهرية'!$A$6:$A$1005,7)</f>
        <v>21778.7671232877</v>
      </c>
      <c r="L36" s="97" t="n">
        <f aca="false">SUMIFS('الحركات الشهرية'!$N$6:$N$1005,'الحركات الشهرية'!$A$6:$A$1005,8)</f>
        <v>0</v>
      </c>
      <c r="M36" s="97" t="n">
        <f aca="false">SUMIFS('الحركات الشهرية'!$N$6:$N$1005,'الحركات الشهرية'!$A$6:$A$1005,9)</f>
        <v>0</v>
      </c>
      <c r="N36" s="97" t="n">
        <f aca="false">SUMIFS('الحركات الشهرية'!$N$6:$N$1005,'الحركات الشهرية'!$A$6:$A$1005,10)</f>
        <v>0</v>
      </c>
      <c r="O36" s="97" t="n">
        <f aca="false">SUMIFS('الحركات الشهرية'!$N$6:$N$1005,'الحركات الشهرية'!$A$6:$A$1005,11)</f>
        <v>0</v>
      </c>
      <c r="P36" s="97" t="n">
        <f aca="false">SUMIFS('الحركات الشهرية'!$N$6:$N$1005,'الحركات الشهرية'!$A$6:$A$1005,12)</f>
        <v>0</v>
      </c>
      <c r="Q36" s="160" t="n">
        <f aca="false">SUM(E36:P36)</f>
        <v>21778.7671232877</v>
      </c>
      <c r="R36" s="161" t="n">
        <f aca="false">SUMPRODUCT(($E$4:$P$4&lt;=cfg_VAL_M)*E36:P36)</f>
        <v>21778.7671232877</v>
      </c>
    </row>
    <row r="37" customFormat="false" ht="15" hidden="false" customHeight="false" outlineLevel="0" collapsed="false">
      <c r="B37" s="56" t="s">
        <v>588</v>
      </c>
      <c r="C37" s="62" t="s">
        <v>605</v>
      </c>
      <c r="D37" s="159" t="s">
        <v>553</v>
      </c>
      <c r="E37" s="97" t="n">
        <f aca="false">SUMIFS('الحركات الشهرية'!$M$6:$M$1005,'الحركات الشهرية'!$A$6:$A$1005,1)</f>
        <v>0</v>
      </c>
      <c r="F37" s="97" t="n">
        <f aca="false">SUMIFS('الحركات الشهرية'!$M$6:$M$1005,'الحركات الشهرية'!$A$6:$A$1005,2)</f>
        <v>0</v>
      </c>
      <c r="G37" s="97" t="n">
        <f aca="false">SUMIFS('الحركات الشهرية'!$M$6:$M$1005,'الحركات الشهرية'!$A$6:$A$1005,3)</f>
        <v>4500</v>
      </c>
      <c r="H37" s="97" t="n">
        <f aca="false">SUMIFS('الحركات الشهرية'!$M$6:$M$1005,'الحركات الشهرية'!$A$6:$A$1005,4)</f>
        <v>0</v>
      </c>
      <c r="I37" s="97" t="n">
        <f aca="false">SUMIFS('الحركات الشهرية'!$M$6:$M$1005,'الحركات الشهرية'!$A$6:$A$1005,5)</f>
        <v>0</v>
      </c>
      <c r="J37" s="97" t="n">
        <f aca="false">SUMIFS('الحركات الشهرية'!$M$6:$M$1005,'الحركات الشهرية'!$A$6:$A$1005,6)</f>
        <v>2200</v>
      </c>
      <c r="K37" s="97" t="n">
        <f aca="false">SUMIFS('الحركات الشهرية'!$M$6:$M$1005,'الحركات الشهرية'!$A$6:$A$1005,7)</f>
        <v>0</v>
      </c>
      <c r="L37" s="97" t="n">
        <f aca="false">SUMIFS('الحركات الشهرية'!$M$6:$M$1005,'الحركات الشهرية'!$A$6:$A$1005,8)</f>
        <v>2800</v>
      </c>
      <c r="M37" s="97" t="n">
        <f aca="false">SUMIFS('الحركات الشهرية'!$M$6:$M$1005,'الحركات الشهرية'!$A$6:$A$1005,9)</f>
        <v>0</v>
      </c>
      <c r="N37" s="97" t="n">
        <f aca="false">SUMIFS('الحركات الشهرية'!$M$6:$M$1005,'الحركات الشهرية'!$A$6:$A$1005,10)</f>
        <v>0</v>
      </c>
      <c r="O37" s="97" t="n">
        <f aca="false">SUMIFS('الحركات الشهرية'!$M$6:$M$1005,'الحركات الشهرية'!$A$6:$A$1005,11)</f>
        <v>0</v>
      </c>
      <c r="P37" s="97" t="n">
        <f aca="false">SUMIFS('الحركات الشهرية'!$M$6:$M$1005,'الحركات الشهرية'!$A$6:$A$1005,12)</f>
        <v>0</v>
      </c>
      <c r="Q37" s="160" t="n">
        <f aca="false">SUM(E37:P37)</f>
        <v>9500</v>
      </c>
      <c r="R37" s="161" t="n">
        <f aca="false">SUMPRODUCT(($E$4:$P$4&lt;=cfg_VAL_M)*E37:P37)</f>
        <v>9500</v>
      </c>
    </row>
    <row r="38" customFormat="false" ht="15" hidden="false" customHeight="false" outlineLevel="0" collapsed="false">
      <c r="B38" s="56" t="s">
        <v>606</v>
      </c>
      <c r="C38" s="162" t="s">
        <v>607</v>
      </c>
      <c r="D38" s="163" t="s">
        <v>570</v>
      </c>
      <c r="E38" s="97" t="n">
        <f aca="false">'مسير يناير'!Y106+SUMIFS('الحركات الشهرية'!$N$6:$N$1005,'الحركات الشهرية'!$A$6:$A$1005,1)+SUMIFS('الحركات الشهرية'!$M$6:$M$1005,'الحركات الشهرية'!$A$6:$A$1005,1)</f>
        <v>178337.395833333</v>
      </c>
      <c r="F38" s="97" t="n">
        <f aca="false">'مسير فبراير'!Y106+SUMIFS('الحركات الشهرية'!$N$6:$N$1005,'الحركات الشهرية'!$A$6:$A$1005,2)+SUMIFS('الحركات الشهرية'!$M$6:$M$1005,'الحركات الشهرية'!$A$6:$A$1005,2)</f>
        <v>182442.395833333</v>
      </c>
      <c r="G38" s="97" t="n">
        <f aca="false">'مسير مارس'!Y106+SUMIFS('الحركات الشهرية'!$N$6:$N$1005,'الحركات الشهرية'!$A$6:$A$1005,3)+SUMIFS('الحركات الشهرية'!$M$6:$M$1005,'الحركات الشهرية'!$A$6:$A$1005,3)</f>
        <v>182282.8125</v>
      </c>
      <c r="H38" s="97" t="n">
        <f aca="false">'مسير أبريل'!Y106+SUMIFS('الحركات الشهرية'!$N$6:$N$1005,'الحركات الشهرية'!$A$6:$A$1005,4)+SUMIFS('الحركات الشهرية'!$M$6:$M$1005,'الحركات الشهرية'!$A$6:$A$1005,4)</f>
        <v>181616.5625</v>
      </c>
      <c r="I38" s="97" t="n">
        <f aca="false">'مسير مايو'!Y106+SUMIFS('الحركات الشهرية'!$N$6:$N$1005,'الحركات الشهرية'!$A$6:$A$1005,5)+SUMIFS('الحركات الشهرية'!$M$6:$M$1005,'الحركات الشهرية'!$A$6:$A$1005,5)</f>
        <v>189111.354166667</v>
      </c>
      <c r="J38" s="97" t="n">
        <f aca="false">'مسير يونيو'!Y106+SUMIFS('الحركات الشهرية'!$N$6:$N$1005,'الحركات الشهرية'!$A$6:$A$1005,6)+SUMIFS('الحركات الشهرية'!$M$6:$M$1005,'الحركات الشهرية'!$A$6:$A$1005,6)</f>
        <v>197354.6875</v>
      </c>
      <c r="K38" s="97" t="n">
        <f aca="false">'مسير يوليو'!Y106+SUMIFS('الحركات الشهرية'!$N$6:$N$1005,'الحركات الشهرية'!$A$6:$A$1005,7)+SUMIFS('الحركات الشهرية'!$M$6:$M$1005,'الحركات الشهرية'!$A$6:$A$1005,7)</f>
        <v>212280.71489726</v>
      </c>
      <c r="L38" s="97" t="n">
        <f aca="false">'مسير أغسطس'!Y106+SUMIFS('الحركات الشهرية'!$N$6:$N$1005,'الحركات الشهرية'!$A$6:$A$1005,8)+SUMIFS('الحركات الشهرية'!$M$6:$M$1005,'الحركات الشهرية'!$A$6:$A$1005,8)</f>
        <v>183502.1875</v>
      </c>
      <c r="M38" s="97" t="n">
        <f aca="false">'مسير سبتمبر'!Y106+SUMIFS('الحركات الشهرية'!$N$6:$N$1005,'الحركات الشهرية'!$A$6:$A$1005,9)+SUMIFS('الحركات الشهرية'!$M$6:$M$1005,'الحركات الشهرية'!$A$6:$A$1005,9)</f>
        <v>175044.270833333</v>
      </c>
      <c r="N38" s="97" t="n">
        <f aca="false">'مسير أكتوبر'!Y106+SUMIFS('الحركات الشهرية'!$N$6:$N$1005,'الحركات الشهرية'!$A$6:$A$1005,10)+SUMIFS('الحركات الشهرية'!$M$6:$M$1005,'الحركات الشهرية'!$A$6:$A$1005,10)</f>
        <v>169506.354166667</v>
      </c>
      <c r="O38" s="97" t="n">
        <f aca="false">'مسير نوفمبر'!Y106+SUMIFS('الحركات الشهرية'!$N$6:$N$1005,'الحركات الشهرية'!$A$6:$A$1005,11)+SUMIFS('الحركات الشهرية'!$M$6:$M$1005,'الحركات الشهرية'!$A$6:$A$1005,11)</f>
        <v>182204.6875</v>
      </c>
      <c r="P38" s="97" t="n">
        <f aca="false">'مسير ديسمبر'!Y106+SUMIFS('الحركات الشهرية'!$N$6:$N$1005,'الحركات الشهرية'!$A$6:$A$1005,12)+SUMIFS('الحركات الشهرية'!$M$6:$M$1005,'الحركات الشهرية'!$A$6:$A$1005,12)</f>
        <v>181704.6875</v>
      </c>
      <c r="Q38" s="160" t="n">
        <f aca="false">SUM(E38:P38)</f>
        <v>2215388.11073059</v>
      </c>
      <c r="R38" s="161" t="n">
        <f aca="false">SUMPRODUCT(($E$4:$P$4&lt;=cfg_VAL_M)*E38:P38)</f>
        <v>1681972.38156393</v>
      </c>
    </row>
    <row r="40" customFormat="false" ht="15" hidden="false" customHeight="false" outlineLevel="0" collapsed="false">
      <c r="B40" s="164" t="s">
        <v>608</v>
      </c>
      <c r="C40" s="164"/>
      <c r="D40" s="164"/>
      <c r="E40" s="103" t="n">
        <f aca="false">SUMIF($D$7:$D$38,"مدين",E7:E38)</f>
        <v>420094.150684932</v>
      </c>
      <c r="F40" s="103" t="n">
        <f aca="false">SUMIF($D$7:$D$38,"مدين",F7:F38)</f>
        <v>425710.123287671</v>
      </c>
      <c r="G40" s="103" t="n">
        <f aca="false">SUMIF($D$7:$D$38,"مدين",G7:G38)</f>
        <v>446746.148401827</v>
      </c>
      <c r="H40" s="103" t="n">
        <f aca="false">SUMIF($D$7:$D$38,"مدين",H7:H38)</f>
        <v>428001.04109589</v>
      </c>
      <c r="I40" s="103" t="n">
        <f aca="false">SUMIF($D$7:$D$38,"مدين",I7:I38)</f>
        <v>445765.283105023</v>
      </c>
      <c r="J40" s="103" t="n">
        <f aca="false">SUMIF($D$7:$D$38,"مدين",J7:J38)</f>
        <v>466833.607305936</v>
      </c>
      <c r="K40" s="103" t="n">
        <f aca="false">SUMIF($D$7:$D$38,"مدين",K7:K38)</f>
        <v>492589.084474886</v>
      </c>
      <c r="L40" s="103" t="n">
        <f aca="false">SUMIF($D$7:$D$38,"مدين",L7:L38)</f>
        <v>436765.933789954</v>
      </c>
      <c r="M40" s="103" t="n">
        <f aca="false">SUMIF($D$7:$D$38,"مدين",M7:M38)</f>
        <v>412484.360730594</v>
      </c>
      <c r="N40" s="103" t="n">
        <f aca="false">SUMIF($D$7:$D$38,"مدين",N7:N38)</f>
        <v>401342.006849315</v>
      </c>
      <c r="O40" s="103" t="n">
        <f aca="false">SUMIF($D$7:$D$38,"مدين",O7:O38)</f>
        <v>427613.002283105</v>
      </c>
      <c r="P40" s="103" t="n">
        <f aca="false">SUMIF($D$7:$D$38,"مدين",P7:P38)</f>
        <v>439040.796803653</v>
      </c>
      <c r="Q40" s="103" t="n">
        <f aca="false">SUMIF($D$7:$D$38,"مدين",Q7:Q38)</f>
        <v>5242985.53881279</v>
      </c>
      <c r="R40" s="103" t="n">
        <f aca="false">SUMIF($D$7:$D$38,"مدين",R7:R38)</f>
        <v>3974989.73287671</v>
      </c>
    </row>
    <row r="41" customFormat="false" ht="15" hidden="false" customHeight="false" outlineLevel="0" collapsed="false">
      <c r="B41" s="165" t="s">
        <v>609</v>
      </c>
      <c r="C41" s="165"/>
      <c r="D41" s="165"/>
      <c r="E41" s="166" t="n">
        <f aca="false">SUMIF($D$7:$D$38,"دائن",E7:E38)</f>
        <v>420094.150684932</v>
      </c>
      <c r="F41" s="166" t="n">
        <f aca="false">SUMIF($D$7:$D$38,"دائن",F7:F38)</f>
        <v>425710.123287671</v>
      </c>
      <c r="G41" s="166" t="n">
        <f aca="false">SUMIF($D$7:$D$38,"دائن",G7:G38)</f>
        <v>446746.148401827</v>
      </c>
      <c r="H41" s="166" t="n">
        <f aca="false">SUMIF($D$7:$D$38,"دائن",H7:H38)</f>
        <v>428001.04109589</v>
      </c>
      <c r="I41" s="166" t="n">
        <f aca="false">SUMIF($D$7:$D$38,"دائن",I7:I38)</f>
        <v>445765.283105023</v>
      </c>
      <c r="J41" s="166" t="n">
        <f aca="false">SUMIF($D$7:$D$38,"دائن",J7:J38)</f>
        <v>466833.607305936</v>
      </c>
      <c r="K41" s="166" t="n">
        <f aca="false">SUMIF($D$7:$D$38,"دائن",K7:K38)</f>
        <v>492589.084474886</v>
      </c>
      <c r="L41" s="166" t="n">
        <f aca="false">SUMIF($D$7:$D$38,"دائن",L7:L38)</f>
        <v>436765.933789954</v>
      </c>
      <c r="M41" s="166" t="n">
        <f aca="false">SUMIF($D$7:$D$38,"دائن",M7:M38)</f>
        <v>412484.360730594</v>
      </c>
      <c r="N41" s="166" t="n">
        <f aca="false">SUMIF($D$7:$D$38,"دائن",N7:N38)</f>
        <v>401342.006849315</v>
      </c>
      <c r="O41" s="166" t="n">
        <f aca="false">SUMIF($D$7:$D$38,"دائن",O7:O38)</f>
        <v>427613.002283105</v>
      </c>
      <c r="P41" s="166" t="n">
        <f aca="false">SUMIF($D$7:$D$38,"دائن",P7:P38)</f>
        <v>439040.796803653</v>
      </c>
      <c r="Q41" s="166" t="n">
        <f aca="false">SUMIF($D$7:$D$38,"دائن",Q7:Q38)</f>
        <v>5242985.53881279</v>
      </c>
      <c r="R41" s="166" t="n">
        <f aca="false">SUMIF($D$7:$D$38,"دائن",R7:R38)</f>
        <v>3974989.73287671</v>
      </c>
    </row>
    <row r="42" customFormat="false" ht="15" hidden="false" customHeight="false" outlineLevel="0" collapsed="false">
      <c r="B42" s="15" t="s">
        <v>610</v>
      </c>
      <c r="C42" s="15"/>
      <c r="D42" s="15"/>
      <c r="E42" s="15" t="str">
        <f aca="false">IF(ROUND(E40-E41,2)=0,"✔ متوازن","✖ "&amp;TEXT(E40-E41,"#,##0.00"))</f>
        <v>✔ متوازن</v>
      </c>
      <c r="F42" s="15" t="str">
        <f aca="false">IF(ROUND(F40-F41,2)=0,"✔ متوازن","✖ "&amp;TEXT(F40-F41,"#,##0.00"))</f>
        <v>✔ متوازن</v>
      </c>
      <c r="G42" s="15" t="str">
        <f aca="false">IF(ROUND(G40-G41,2)=0,"✔ متوازن","✖ "&amp;TEXT(G40-G41,"#,##0.00"))</f>
        <v>✔ متوازن</v>
      </c>
      <c r="H42" s="15" t="str">
        <f aca="false">IF(ROUND(H40-H41,2)=0,"✔ متوازن","✖ "&amp;TEXT(H40-H41,"#,##0.00"))</f>
        <v>✔ متوازن</v>
      </c>
      <c r="I42" s="15" t="str">
        <f aca="false">IF(ROUND(I40-I41,2)=0,"✔ متوازن","✖ "&amp;TEXT(I40-I41,"#,##0.00"))</f>
        <v>✔ متوازن</v>
      </c>
      <c r="J42" s="15" t="str">
        <f aca="false">IF(ROUND(J40-J41,2)=0,"✔ متوازن","✖ "&amp;TEXT(J40-J41,"#,##0.00"))</f>
        <v>✔ متوازن</v>
      </c>
      <c r="K42" s="15" t="str">
        <f aca="false">IF(ROUND(K40-K41,2)=0,"✔ متوازن","✖ "&amp;TEXT(K40-K41,"#,##0.00"))</f>
        <v>✔ متوازن</v>
      </c>
      <c r="L42" s="15" t="str">
        <f aca="false">IF(ROUND(L40-L41,2)=0,"✔ متوازن","✖ "&amp;TEXT(L40-L41,"#,##0.00"))</f>
        <v>✔ متوازن</v>
      </c>
      <c r="M42" s="15" t="str">
        <f aca="false">IF(ROUND(M40-M41,2)=0,"✔ متوازن","✖ "&amp;TEXT(M40-M41,"#,##0.00"))</f>
        <v>✔ متوازن</v>
      </c>
      <c r="N42" s="15" t="str">
        <f aca="false">IF(ROUND(N40-N41,2)=0,"✔ متوازن","✖ "&amp;TEXT(N40-N41,"#,##0.00"))</f>
        <v>✔ متوازن</v>
      </c>
      <c r="O42" s="15" t="str">
        <f aca="false">IF(ROUND(O40-O41,2)=0,"✔ متوازن","✖ "&amp;TEXT(O40-O41,"#,##0.00"))</f>
        <v>✔ متوازن</v>
      </c>
      <c r="P42" s="15" t="str">
        <f aca="false">IF(ROUND(P40-P41,2)=0,"✔ متوازن","✖ "&amp;TEXT(P40-P41,"#,##0.00"))</f>
        <v>✔ متوازن</v>
      </c>
      <c r="Q42" s="15" t="str">
        <f aca="false">IF(ROUND(Q40-Q41,2)=0,"✔ متوازن","✖ "&amp;TEXT(Q40-Q41,"#,##0.00"))</f>
        <v>✔ متوازن</v>
      </c>
      <c r="R42" s="15" t="str">
        <f aca="false">IF(ROUND(R40-R41,2)=0,"✔ متوازن","✖ "&amp;TEXT(R40-R41,"#,##0.00"))</f>
        <v>✔ متوازن</v>
      </c>
    </row>
    <row r="44" customFormat="false" ht="39.75" hidden="false" customHeight="true" outlineLevel="0" collapsed="false">
      <c r="B44" s="24" t="s">
        <v>611</v>
      </c>
      <c r="C44" s="24"/>
      <c r="D44" s="24"/>
      <c r="E44" s="24"/>
      <c r="F44" s="24"/>
      <c r="G44" s="24"/>
      <c r="H44" s="24"/>
      <c r="I44" s="24"/>
      <c r="J44" s="24"/>
      <c r="K44" s="24"/>
      <c r="L44" s="24"/>
      <c r="M44" s="24"/>
      <c r="N44" s="24"/>
      <c r="O44" s="24"/>
      <c r="P44" s="24"/>
      <c r="Q44" s="24"/>
      <c r="R44" s="24"/>
    </row>
  </sheetData>
  <mergeCells count="11">
    <mergeCell ref="B1:R1"/>
    <mergeCell ref="B2:R2"/>
    <mergeCell ref="B6:R6"/>
    <mergeCell ref="B19:R19"/>
    <mergeCell ref="B26:R26"/>
    <mergeCell ref="B29:R29"/>
    <mergeCell ref="B34:R34"/>
    <mergeCell ref="B40:D40"/>
    <mergeCell ref="B41:D41"/>
    <mergeCell ref="B42:D42"/>
    <mergeCell ref="B44:R44"/>
  </mergeCells>
  <conditionalFormatting sqref="E42:R42">
    <cfRule type="expression" priority="2" aboveAverage="0" equalAverage="0" bottom="0" percent="0" rank="0" text="" dxfId="0">
      <formula>ISNUMBER(SEARCH("✔",E42))</formula>
    </cfRule>
    <cfRule type="expression" priority="3" aboveAverage="0" equalAverage="0" bottom="0" percent="0" rank="0" text="" dxfId="1">
      <formula>ISNUMBER(SEARCH("✖",E42))</formula>
    </cfRule>
    <cfRule type="expression" priority="4" aboveAverage="0" equalAverage="0" bottom="0" percent="0" rank="0" text="" dxfId="2">
      <formula>ISNUMBER(SEARCH("⚠",E42))</formula>
    </cfRule>
    <cfRule type="expression" priority="5" aboveAverage="0" equalAverage="0" bottom="0" percent="0" rank="0" text="" dxfId="3">
      <formula>ISNUMBER(SEARCH("✈",E42))</formula>
    </cfRule>
    <cfRule type="expression" priority="6" aboveAverage="0" equalAverage="0" bottom="0" percent="0" rank="0" text="" dxfId="1">
      <formula>ISNUMBER(SEARCH("⛔",E42))</formula>
    </cfRule>
    <cfRule type="expression" priority="7" aboveAverage="0" equalAverage="0" bottom="0" percent="0" rank="0" text="" dxfId="0">
      <formula>ISNUMBER(SEARCH("🌴",E42))</formula>
    </cfRule>
    <cfRule type="expression" priority="8" aboveAverage="0" equalAverage="0" bottom="0" percent="0" rank="0" text="" dxfId="4">
      <formula>ISNUMBER(SEARCH("⏳",E42))</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B1:I38"/>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8"/>
    <col collapsed="false" customWidth="true" hidden="false" outlineLevel="0" max="4" min="4" style="0" width="4"/>
    <col collapsed="false" customWidth="true" hidden="false" outlineLevel="0" max="5" min="5" style="0" width="24"/>
    <col collapsed="false" customWidth="true" hidden="false" outlineLevel="0" max="6" min="6" style="0" width="18"/>
    <col collapsed="false" customWidth="true" hidden="false" outlineLevel="0" max="7" min="7" style="0" width="3"/>
    <col collapsed="false" customWidth="true" hidden="true" outlineLevel="0" max="8" min="8" style="0" width="12"/>
    <col collapsed="false" customWidth="true" hidden="true" outlineLevel="0" max="9" min="9" style="0" width="30"/>
  </cols>
  <sheetData>
    <row r="1" customFormat="false" ht="37.5" hidden="false" customHeight="true" outlineLevel="0" collapsed="false">
      <c r="B1" s="1" t="str">
        <f aca="false">"قسيمة راتب — "&amp;cfg_CO</f>
        <v>قسيمة راتب — شركة النخبة للتجارة والمقاولات</v>
      </c>
      <c r="C1" s="1"/>
      <c r="D1" s="1"/>
      <c r="E1" s="1"/>
      <c r="F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row>
    <row r="3" customFormat="false" ht="25.5" hidden="false" customHeight="true" outlineLevel="0" collapsed="false">
      <c r="B3" s="25" t="s">
        <v>80</v>
      </c>
      <c r="C3" s="12" t="s">
        <v>138</v>
      </c>
      <c r="E3" s="26" t="s">
        <v>81</v>
      </c>
      <c r="F3" s="26" t="s">
        <v>82</v>
      </c>
    </row>
    <row r="4" customFormat="false" ht="7.5" hidden="false" customHeight="true" outlineLevel="0" collapsed="false"/>
    <row r="5" customFormat="false" ht="15" hidden="false" customHeight="false" outlineLevel="0" collapsed="false">
      <c r="B5" s="62" t="s">
        <v>612</v>
      </c>
      <c r="C5" s="167" t="n">
        <v>9</v>
      </c>
      <c r="E5" s="62" t="s">
        <v>613</v>
      </c>
      <c r="F5" s="168" t="s">
        <v>373</v>
      </c>
      <c r="H5" s="169" t="s">
        <v>614</v>
      </c>
      <c r="I5" s="170" t="n">
        <f aca="false">IFERROR(MATCH(F5,الموظفون!$B$6:$B$105,0)+5,"")</f>
        <v>17</v>
      </c>
    </row>
    <row r="6" customFormat="false" ht="15" hidden="false" customHeight="false" outlineLevel="0" collapsed="false">
      <c r="H6" s="169" t="s">
        <v>615</v>
      </c>
      <c r="I6" s="170" t="str">
        <f aca="false">INDEX(L_MSHEET,C5)</f>
        <v>مسير سبتمبر</v>
      </c>
    </row>
    <row r="7" customFormat="false" ht="27.75" hidden="false" customHeight="true" outlineLevel="0" collapsed="false">
      <c r="B7" s="171" t="str">
        <f aca="false">"قسيمة راتب شهر "&amp;INDEX(L_MONTH,C5)&amp;" "&amp;cfg_FY&amp;IF(I5="","   ✖ الرقم الوظيفي غير موجود","")</f>
        <v>قسيمة راتب شهر سبتمبر 2026</v>
      </c>
      <c r="C7" s="171"/>
      <c r="D7" s="171"/>
      <c r="E7" s="171"/>
      <c r="F7" s="171"/>
    </row>
    <row r="9" customFormat="false" ht="15" hidden="false" customHeight="false" outlineLevel="0" collapsed="false">
      <c r="B9" s="172" t="s">
        <v>274</v>
      </c>
      <c r="C9" s="173" t="str">
        <f aca="false">IF($I$5="","",INDEX(الموظفون!$C$6:$C$105,$I$5-5))</f>
        <v>عمر حسين البيشي</v>
      </c>
      <c r="E9" s="172" t="s">
        <v>273</v>
      </c>
      <c r="F9" s="173" t="str">
        <f aca="false">F5</f>
        <v>E012</v>
      </c>
    </row>
    <row r="10" customFormat="false" ht="15" hidden="false" customHeight="false" outlineLevel="0" collapsed="false">
      <c r="B10" s="172" t="s">
        <v>122</v>
      </c>
      <c r="C10" s="173" t="str">
        <f aca="false">IF($I$5="","",INDEX(الموظفون!$F$6:$F$105,$I$5-5))</f>
        <v>تقنية المعلومات</v>
      </c>
      <c r="E10" s="172" t="s">
        <v>276</v>
      </c>
      <c r="F10" s="173" t="str">
        <f aca="false">IF($I$5="","",INDEX(الموظفون!$G$6:$G$105,$I$5-5))</f>
        <v>مطور برمجيات</v>
      </c>
    </row>
    <row r="11" customFormat="false" ht="15" hidden="false" customHeight="false" outlineLevel="0" collapsed="false">
      <c r="B11" s="172" t="s">
        <v>275</v>
      </c>
      <c r="C11" s="173" t="str">
        <f aca="false">IF($I$5="","",INDEX(الموظفون!$D$6:$D$105,$I$5-5))</f>
        <v>سعودي</v>
      </c>
      <c r="E11" s="172" t="s">
        <v>277</v>
      </c>
      <c r="F11" s="174" t="n">
        <f aca="false">IF($I$5="","",INDEX(الموظفون!$H$6:$H$105,$I$5-5))</f>
        <v>44752</v>
      </c>
    </row>
    <row r="12" customFormat="false" ht="15" hidden="false" customHeight="false" outlineLevel="0" collapsed="false">
      <c r="B12" s="172" t="s">
        <v>304</v>
      </c>
      <c r="C12" s="173" t="str">
        <f aca="false">IF($I$5="","",INDEX(الموظفون!$AI$6:$AI$105,$I$5-5))</f>
        <v>البلاد</v>
      </c>
      <c r="E12" s="172" t="s">
        <v>616</v>
      </c>
      <c r="F12" s="175" t="str">
        <f aca="false">IF($I$5="","",INDEX(الموظفون!$AJ$6:$AJ$105,$I$5-5))</f>
        <v>SA1515000999100000000007</v>
      </c>
    </row>
    <row r="13" customFormat="false" ht="15" hidden="false" customHeight="false" outlineLevel="0" collapsed="false">
      <c r="B13" s="172" t="s">
        <v>437</v>
      </c>
      <c r="C13" s="176" t="n">
        <f aca="true">IF($I$5="",0,N(INDIRECT("'"&amp;$I$6&amp;"'!G"&amp;$I$5)))</f>
        <v>30</v>
      </c>
      <c r="E13" s="172" t="s">
        <v>440</v>
      </c>
      <c r="F13" s="176" t="n">
        <f aca="true">IF($I$5="",0,N(INDIRECT("'"&amp;$I$6&amp;"'!J"&amp;$I$5)))</f>
        <v>27.5</v>
      </c>
    </row>
    <row r="14" customFormat="false" ht="30" hidden="false" customHeight="true" outlineLevel="0" collapsed="false">
      <c r="B14" s="172" t="s">
        <v>436</v>
      </c>
      <c r="C14" s="173" t="str">
        <f aca="true">IF($I$5="","",INDIRECT("'"&amp;$I$6&amp;"'!F"&amp;$I$5))</f>
        <v>✈ خصم 2.5 يوم بدون أجر</v>
      </c>
      <c r="E14" s="172" t="s">
        <v>617</v>
      </c>
      <c r="F14" s="176" t="n">
        <f aca="true">IF($I$5="",0,N(INDIRECT("'"&amp;$I$6&amp;"'!H"&amp;$I$5)))+IF($I$5="",0,N(INDIRECT("'"&amp;$I$6&amp;"'!I"&amp;$I$5)))</f>
        <v>2.5</v>
      </c>
    </row>
    <row r="16" customFormat="false" ht="21.75" hidden="false" customHeight="true" outlineLevel="0" collapsed="false">
      <c r="B16" s="20" t="s">
        <v>618</v>
      </c>
      <c r="C16" s="20"/>
      <c r="E16" s="52" t="s">
        <v>619</v>
      </c>
      <c r="F16" s="52"/>
    </row>
    <row r="17" customFormat="false" ht="15" hidden="false" customHeight="false" outlineLevel="0" collapsed="false">
      <c r="B17" s="14" t="s">
        <v>281</v>
      </c>
      <c r="C17" s="97" t="n">
        <f aca="true">IF($I$5="",0,N(INDIRECT("'"&amp;$I$6&amp;"'!K"&amp;$I$5)))</f>
        <v>11000</v>
      </c>
      <c r="E17" s="14" t="s">
        <v>620</v>
      </c>
      <c r="F17" s="97" t="n">
        <f aca="true">IF($I$5="",0,N(INDIRECT("'"&amp;$I$6&amp;"'!U"&amp;$I$5)))</f>
        <v>1462.5</v>
      </c>
    </row>
    <row r="18" customFormat="false" ht="15" hidden="false" customHeight="false" outlineLevel="0" collapsed="false">
      <c r="B18" s="14" t="s">
        <v>282</v>
      </c>
      <c r="C18" s="97" t="n">
        <f aca="true">IF($I$5="",0,N(INDIRECT("'"&amp;$I$6&amp;"'!L"&amp;$I$5)))</f>
        <v>2750</v>
      </c>
      <c r="E18" s="14" t="s">
        <v>621</v>
      </c>
      <c r="F18" s="97" t="n">
        <f aca="true">IF($I$5="",0,N(INDIRECT("'"&amp;$I$6&amp;"'!V"&amp;$I$5)))</f>
        <v>0</v>
      </c>
    </row>
    <row r="19" customFormat="false" ht="15" hidden="false" customHeight="false" outlineLevel="0" collapsed="false">
      <c r="B19" s="14" t="s">
        <v>283</v>
      </c>
      <c r="C19" s="97" t="n">
        <f aca="true">IF($I$5="",0,N(INDIRECT("'"&amp;$I$6&amp;"'!M"&amp;$I$5)))</f>
        <v>1100</v>
      </c>
      <c r="E19" s="14" t="s">
        <v>416</v>
      </c>
      <c r="F19" s="97" t="n">
        <f aca="true">IF($I$5="",0,N(INDIRECT("'"&amp;$I$6&amp;"'!W"&amp;$I$5)))</f>
        <v>0</v>
      </c>
    </row>
    <row r="20" customFormat="false" ht="15" hidden="false" customHeight="false" outlineLevel="0" collapsed="false">
      <c r="B20" s="14" t="s">
        <v>284</v>
      </c>
      <c r="C20" s="97" t="n">
        <f aca="true">IF($I$5="",0,N(INDIRECT("'"&amp;$I$6&amp;"'!N"&amp;$I$5)))</f>
        <v>1375</v>
      </c>
      <c r="E20" s="14"/>
      <c r="F20" s="97"/>
    </row>
    <row r="21" customFormat="false" ht="15" hidden="false" customHeight="false" outlineLevel="0" collapsed="false">
      <c r="B21" s="14" t="s">
        <v>474</v>
      </c>
      <c r="C21" s="97" t="n">
        <f aca="true">IF($I$5="",0,N(INDIRECT("'"&amp;$I$6&amp;"'!P"&amp;$I$5)))</f>
        <v>0</v>
      </c>
      <c r="E21" s="14"/>
      <c r="F21" s="97"/>
    </row>
    <row r="22" customFormat="false" ht="15" hidden="false" customHeight="false" outlineLevel="0" collapsed="false">
      <c r="B22" s="14" t="s">
        <v>413</v>
      </c>
      <c r="C22" s="97" t="n">
        <f aca="true">IF($I$5="",0,N(INDIRECT("'"&amp;$I$6&amp;"'!Q"&amp;$I$5)))</f>
        <v>0</v>
      </c>
      <c r="E22" s="14"/>
      <c r="F22" s="97"/>
    </row>
    <row r="23" customFormat="false" ht="15" hidden="false" customHeight="false" outlineLevel="0" collapsed="false">
      <c r="B23" s="14" t="s">
        <v>447</v>
      </c>
      <c r="C23" s="97" t="n">
        <f aca="true">IF($I$5="",0,N(INDIRECT("'"&amp;$I$6&amp;"'!R"&amp;$I$5)))</f>
        <v>0</v>
      </c>
      <c r="E23" s="14"/>
      <c r="F23" s="97"/>
    </row>
    <row r="24" customFormat="false" ht="15" hidden="false" customHeight="false" outlineLevel="0" collapsed="false">
      <c r="B24" s="14" t="s">
        <v>448</v>
      </c>
      <c r="C24" s="97" t="n">
        <f aca="true">IF($I$5="",0,N(INDIRECT("'"&amp;$I$6&amp;"'!S"&amp;$I$5)))</f>
        <v>0</v>
      </c>
      <c r="E24" s="14"/>
      <c r="F24" s="97"/>
    </row>
    <row r="25" customFormat="false" ht="15" hidden="false" customHeight="false" outlineLevel="0" collapsed="false">
      <c r="B25" s="177" t="s">
        <v>93</v>
      </c>
      <c r="C25" s="178" t="n">
        <f aca="false">SUM(C17:C24)</f>
        <v>16225</v>
      </c>
      <c r="E25" s="179" t="s">
        <v>450</v>
      </c>
      <c r="F25" s="180" t="n">
        <f aca="false">SUM(F17:F24)</f>
        <v>1462.5</v>
      </c>
    </row>
    <row r="27" customFormat="false" ht="33.75" hidden="false" customHeight="true" outlineLevel="0" collapsed="false">
      <c r="B27" s="181" t="s">
        <v>622</v>
      </c>
      <c r="C27" s="181"/>
      <c r="E27" s="182" t="n">
        <f aca="false">C25-F25</f>
        <v>14762.5</v>
      </c>
      <c r="F27" s="182"/>
    </row>
    <row r="28" customFormat="false" ht="15" hidden="false" customHeight="false" outlineLevel="0" collapsed="false">
      <c r="B28" s="183" t="str">
        <f aca="true">IF(ROUND(E27-IF($I$5="",0,N(INDIRECT("'"&amp;$I$6&amp;"'!Y"&amp;$I$5))),2)=0,"✔ مطابق لمسير الشهر","✖ غير مطابق للمسير")</f>
        <v>✔ مطابق لمسير الشهر</v>
      </c>
      <c r="C28" s="183"/>
      <c r="D28" s="183"/>
      <c r="E28" s="183"/>
      <c r="F28" s="183"/>
    </row>
    <row r="30" customFormat="false" ht="21.75" hidden="false" customHeight="true" outlineLevel="0" collapsed="false">
      <c r="B30" s="69" t="s">
        <v>623</v>
      </c>
      <c r="C30" s="69"/>
      <c r="D30" s="69"/>
      <c r="E30" s="69"/>
      <c r="F30" s="69"/>
    </row>
    <row r="31" customFormat="false" ht="15" hidden="false" customHeight="false" outlineLevel="0" collapsed="false">
      <c r="B31" s="172" t="s">
        <v>624</v>
      </c>
      <c r="C31" s="129" t="n">
        <f aca="true">IF($I$5="",0,N(INDIRECT("'"&amp;$I$6&amp;"'!Z"&amp;$I$5)))</f>
        <v>1762.5</v>
      </c>
      <c r="E31" s="172" t="s">
        <v>453</v>
      </c>
      <c r="F31" s="129" t="n">
        <f aca="true">IF($I$5="",0,N(INDIRECT("'"&amp;$I$6&amp;"'!AA"&amp;$I$5)))</f>
        <v>665.753424657537</v>
      </c>
    </row>
    <row r="32" customFormat="false" ht="15" hidden="false" customHeight="false" outlineLevel="0" collapsed="false">
      <c r="B32" s="172" t="s">
        <v>454</v>
      </c>
      <c r="C32" s="129" t="n">
        <f aca="true">IF($I$5="",0,N(INDIRECT("'"&amp;$I$6&amp;"'!AB"&amp;$I$5)))</f>
        <v>932.054794520548</v>
      </c>
      <c r="E32" s="172" t="s">
        <v>455</v>
      </c>
      <c r="F32" s="129" t="n">
        <f aca="true">IF($I$5="",0,N(INDIRECT("'"&amp;$I$6&amp;"'!AC"&amp;$I$5)))</f>
        <v>0</v>
      </c>
    </row>
    <row r="33" customFormat="false" ht="15" hidden="false" customHeight="false" outlineLevel="0" collapsed="false">
      <c r="B33" s="172" t="s">
        <v>625</v>
      </c>
      <c r="C33" s="129" t="n">
        <f aca="true">IF($I$5="",0,N(INDIRECT("'"&amp;$I$6&amp;"'!AD"&amp;$I$5)))</f>
        <v>0</v>
      </c>
      <c r="E33" s="172" t="s">
        <v>626</v>
      </c>
      <c r="F33" s="129" t="n">
        <f aca="true">IF($I$5="",0,N(INDIRECT("'"&amp;$I$6&amp;"'!AE"&amp;$I$5)))+IF($I$5="",0,N(INDIRECT("'"&amp;$I$6&amp;"'!AF"&amp;$I$5)))</f>
        <v>200</v>
      </c>
    </row>
    <row r="34" customFormat="false" ht="15" hidden="false" customHeight="false" outlineLevel="0" collapsed="false">
      <c r="B34" s="172" t="s">
        <v>627</v>
      </c>
      <c r="C34" s="129" t="n">
        <f aca="true">IF($I$5="",0,N(INDIRECT("'"&amp;$I$6&amp;"'!AG"&amp;$I$5)))</f>
        <v>19785.3082191781</v>
      </c>
      <c r="E34" s="172" t="s">
        <v>628</v>
      </c>
      <c r="F34" s="184" t="n">
        <f aca="false">IF($I$5="","",INDEX('مخصص الإجازات'!$O$6:$O$105,$I$5-5))</f>
        <v>25.7068493150685</v>
      </c>
    </row>
    <row r="35" customFormat="false" ht="15" hidden="false" customHeight="false" outlineLevel="0" collapsed="false">
      <c r="B35" s="172" t="s">
        <v>629</v>
      </c>
      <c r="C35" s="129" t="n">
        <f aca="false">IF($I$5="","",INDEX('مخصص نهاية الخدمة'!$S$6:$S$105,$I$5-5))</f>
        <v>34264.1095890411</v>
      </c>
      <c r="E35" s="172" t="s">
        <v>630</v>
      </c>
      <c r="F35" s="129" t="n">
        <f aca="false">IF($I$5="","",INDEX('مخصص التذاكر'!$N$6:$N$105,$I$5-5))</f>
        <v>0</v>
      </c>
    </row>
    <row r="38" customFormat="false" ht="15" hidden="false" customHeight="false" outlineLevel="0" collapsed="false">
      <c r="B38" s="185" t="s">
        <v>631</v>
      </c>
      <c r="E38" s="185" t="s">
        <v>632</v>
      </c>
    </row>
  </sheetData>
  <mergeCells count="9">
    <mergeCell ref="B1:F1"/>
    <mergeCell ref="B2:F2"/>
    <mergeCell ref="B7:F7"/>
    <mergeCell ref="B16:C16"/>
    <mergeCell ref="E16:F16"/>
    <mergeCell ref="B27:C27"/>
    <mergeCell ref="E27:F27"/>
    <mergeCell ref="B28:F28"/>
    <mergeCell ref="B30:F30"/>
  </mergeCells>
  <conditionalFormatting sqref="C14">
    <cfRule type="expression" priority="2" aboveAverage="0" equalAverage="0" bottom="0" percent="0" rank="0" text="" dxfId="0">
      <formula>ISNUMBER(SEARCH("✔",C14))</formula>
    </cfRule>
    <cfRule type="expression" priority="3" aboveAverage="0" equalAverage="0" bottom="0" percent="0" rank="0" text="" dxfId="1">
      <formula>ISNUMBER(SEARCH("✖",C14))</formula>
    </cfRule>
    <cfRule type="expression" priority="4" aboveAverage="0" equalAverage="0" bottom="0" percent="0" rank="0" text="" dxfId="2">
      <formula>ISNUMBER(SEARCH("⚠",C14))</formula>
    </cfRule>
    <cfRule type="expression" priority="5" aboveAverage="0" equalAverage="0" bottom="0" percent="0" rank="0" text="" dxfId="3">
      <formula>ISNUMBER(SEARCH("✈",C14))</formula>
    </cfRule>
    <cfRule type="expression" priority="6" aboveAverage="0" equalAverage="0" bottom="0" percent="0" rank="0" text="" dxfId="1">
      <formula>ISNUMBER(SEARCH("⛔",C14))</formula>
    </cfRule>
    <cfRule type="expression" priority="7" aboveAverage="0" equalAverage="0" bottom="0" percent="0" rank="0" text="" dxfId="0">
      <formula>ISNUMBER(SEARCH("🌴",C14))</formula>
    </cfRule>
    <cfRule type="expression" priority="8" aboveAverage="0" equalAverage="0" bottom="0" percent="0" rank="0" text="" dxfId="4">
      <formula>ISNUMBER(SEARCH("⏳",C14))</formula>
    </cfRule>
  </conditionalFormatting>
  <conditionalFormatting sqref="B28">
    <cfRule type="expression" priority="9" aboveAverage="0" equalAverage="0" bottom="0" percent="0" rank="0" text="" dxfId="0">
      <formula>ISNUMBER(SEARCH("✔",B28))</formula>
    </cfRule>
    <cfRule type="expression" priority="10" aboveAverage="0" equalAverage="0" bottom="0" percent="0" rank="0" text="" dxfId="1">
      <formula>ISNUMBER(SEARCH("✖",B28))</formula>
    </cfRule>
    <cfRule type="expression" priority="11" aboveAverage="0" equalAverage="0" bottom="0" percent="0" rank="0" text="" dxfId="2">
      <formula>ISNUMBER(SEARCH("⚠",B28))</formula>
    </cfRule>
    <cfRule type="expression" priority="12" aboveAverage="0" equalAverage="0" bottom="0" percent="0" rank="0" text="" dxfId="3">
      <formula>ISNUMBER(SEARCH("✈",B28))</formula>
    </cfRule>
    <cfRule type="expression" priority="13" aboveAverage="0" equalAverage="0" bottom="0" percent="0" rank="0" text="" dxfId="1">
      <formula>ISNUMBER(SEARCH("⛔",B28))</formula>
    </cfRule>
    <cfRule type="expression" priority="14" aboveAverage="0" equalAverage="0" bottom="0" percent="0" rank="0" text="" dxfId="0">
      <formula>ISNUMBER(SEARCH("🌴",B28))</formula>
    </cfRule>
    <cfRule type="expression" priority="15" aboveAverage="0" equalAverage="0" bottom="0" percent="0" rank="0" text="" dxfId="4">
      <formula>ISNUMBER(SEARCH("⏳",B28))</formula>
    </cfRule>
  </conditionalFormatting>
  <dataValidations count="2">
    <dataValidation allowBlank="true" error="الشهر من 1 إلى 12" errorStyle="stop" errorTitle="قيمة غير صحيحة" operator="between" showDropDown="false" showErrorMessage="true" showInputMessage="false" sqref="C5" type="whole">
      <formula1>1</formula1>
      <formula2>12</formula2>
    </dataValidation>
    <dataValidation allowBlank="true" error="من فضلك اختر قيمة من القائمة المنسدلة." errorStyle="stop" errorTitle="قيمة غير مسموحة" operator="between" prompt="اختر الموظف" promptTitle="الرقم الوظيفي" showDropDown="false" showErrorMessage="true" showInputMessage="true" sqref="F5" type="list">
      <formula1>L_EMPID</formula1>
      <formula2>0</formula2>
    </dataValidation>
  </dataValidations>
  <hyperlinks>
    <hyperlink ref="B3" location="'الرئيسية'!A1" display="🏠 الرئيسية"/>
    <hyperlink ref="C3" location="'لوحة التحكم'!A1" display="📊 لوحة التحكم"/>
    <hyperlink ref="E3" location="'الإعدادات'!A1" display="⚙ الإعدادات"/>
    <hyperlink ref="F3" location="'الموظفون'!A1" display="👥 الموظفون"/>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2026-09-29T23:17:18Z</dcterms:created>
  <dc:creator>openpyxl</dc:creator>
  <dc:description/>
  <dc:language>en-US</dc:language>
  <cp:lastModifiedBy/>
  <dcterms:modified xsi:type="dcterms:W3CDTF">2026-09-29T23:17:52Z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